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Y:\29-Jan-26\"/>
    </mc:Choice>
  </mc:AlternateContent>
  <bookViews>
    <workbookView xWindow="0" yWindow="0" windowWidth="28800" windowHeight="12210" tabRatio="947"/>
  </bookViews>
  <sheets>
    <sheet name="Snapshot (Value)" sheetId="2" r:id="rId1"/>
    <sheet name="Snapshot (Volume)" sheetId="3" r:id="rId2"/>
    <sheet name="Sectorwise OI" sheetId="5" state="hidden" r:id="rId3"/>
    <sheet name="OI(Volume)" sheetId="7" r:id="rId4"/>
    <sheet name="OI(Value)" sheetId="6" r:id="rId5"/>
    <sheet name="Nifty Baskets" sheetId="8" r:id="rId6"/>
    <sheet name="Total Value" sheetId="10" r:id="rId7"/>
    <sheet name="Total Valume" sheetId="11" r:id="rId8"/>
    <sheet name="PCR" sheetId="12" r:id="rId9"/>
    <sheet name="Basis" sheetId="13" r:id="rId10"/>
    <sheet name="IV" sheetId="14" r:id="rId11"/>
    <sheet name="Open Interest Position" sheetId="18" r:id="rId12"/>
    <sheet name="Margin" sheetId="19" r:id="rId13"/>
    <sheet name="Rollover" sheetId="15" state="hidden" r:id="rId14"/>
    <sheet name="Disclaimar" sheetId="20" r:id="rId15"/>
    <sheet name="NIFTY GRP" sheetId="9" r:id="rId16"/>
    <sheet name="Data Vlaue (Cr)" sheetId="1" r:id="rId17"/>
    <sheet name="Data shares" sheetId="4" r:id="rId18"/>
    <sheet name="FII" sheetId="16" r:id="rId19"/>
    <sheet name="Sheet1" sheetId="21" r:id="rId20"/>
    <sheet name="Participantwise OI" sheetId="26" r:id="rId21"/>
    <sheet name="Compatibility Report" sheetId="24" r:id="rId22"/>
    <sheet name="snap" sheetId="28" r:id="rId23"/>
    <sheet name="Sheet2" sheetId="27" r:id="rId24"/>
  </sheets>
  <definedNames>
    <definedName name="_xlnm._FilterDatabase" localSheetId="10" hidden="1">IV!$A$4:$G$6</definedName>
    <definedName name="_xlnm._FilterDatabase" localSheetId="12" hidden="1">Margin!$A$5:$N$5</definedName>
    <definedName name="_xlnm._FilterDatabase" localSheetId="4" hidden="1">'OI(Value)'!$A$6:$O$6</definedName>
    <definedName name="_xlnm._FilterDatabase" localSheetId="11" hidden="1">'Open Interest Position'!$A$4:$F$4</definedName>
    <definedName name="_xlnm._FilterDatabase" localSheetId="8" hidden="1">PCR!$A$6:$O$6</definedName>
    <definedName name="_xlnm._FilterDatabase" localSheetId="1" hidden="1">'Snapshot (Volume)'!$A$6:$Q$6</definedName>
    <definedName name="_xlnm._FilterDatabase" localSheetId="6" hidden="1">'Total Value'!$A$6:$O$6</definedName>
    <definedName name="Expry_Roll___19" localSheetId="17">'Data shares'!$A$1:$FA$214</definedName>
    <definedName name="Expry_Roll___20" localSheetId="15">'NIFTY GRP'!$A$1:$EY$51</definedName>
    <definedName name="fii" localSheetId="18">FII!$A$1:$N$16</definedName>
    <definedName name="_xlnm.Print_Area" localSheetId="14">Disclaimar!$A$1:$A$24</definedName>
    <definedName name="stats__2" localSheetId="16">'Data Vlaue (Cr)'!$A$1:$FB$214</definedName>
  </definedNames>
  <calcPr calcId="162913" calcMode="manual"/>
</workbook>
</file>

<file path=xl/calcChain.xml><?xml version="1.0" encoding="utf-8"?>
<calcChain xmlns="http://schemas.openxmlformats.org/spreadsheetml/2006/main">
  <c r="L3" i="21" l="1"/>
  <c r="G3" i="21"/>
  <c r="F3" i="21"/>
  <c r="E3" i="21"/>
  <c r="D3" i="21"/>
  <c r="C3" i="21"/>
  <c r="A6" i="13"/>
  <c r="B6" i="13"/>
  <c r="C6" i="13"/>
  <c r="D6" i="13"/>
  <c r="A7" i="13"/>
  <c r="B7" i="13"/>
  <c r="C7" i="13"/>
  <c r="D7" i="13"/>
  <c r="A8" i="13"/>
  <c r="B8" i="13"/>
  <c r="C8" i="13"/>
  <c r="D8" i="13"/>
  <c r="A9" i="13"/>
  <c r="B9" i="13"/>
  <c r="C9" i="13"/>
  <c r="D9" i="13"/>
  <c r="A10" i="13"/>
  <c r="B10" i="13"/>
  <c r="C10" i="13"/>
  <c r="D10" i="13"/>
  <c r="A11" i="13"/>
  <c r="B11" i="13"/>
  <c r="C11" i="13"/>
  <c r="D11" i="13"/>
  <c r="A12" i="13"/>
  <c r="B12" i="13"/>
  <c r="C12" i="13"/>
  <c r="D12" i="13"/>
  <c r="A13" i="13"/>
  <c r="B13" i="13"/>
  <c r="C13" i="13"/>
  <c r="D13" i="13"/>
  <c r="A14" i="13"/>
  <c r="B14" i="13"/>
  <c r="C14" i="13"/>
  <c r="D14" i="13"/>
  <c r="A15" i="13"/>
  <c r="B15" i="13"/>
  <c r="C15" i="13"/>
  <c r="D15" i="13"/>
  <c r="A16" i="13"/>
  <c r="B16" i="13"/>
  <c r="C16" i="13"/>
  <c r="D16" i="13"/>
  <c r="A17" i="13"/>
  <c r="B17" i="13"/>
  <c r="C17" i="13"/>
  <c r="D17" i="13"/>
  <c r="A18" i="13"/>
  <c r="B18" i="13"/>
  <c r="C18" i="13"/>
  <c r="D18" i="13"/>
  <c r="A19" i="13"/>
  <c r="B19" i="13"/>
  <c r="C19" i="13"/>
  <c r="D19" i="13"/>
  <c r="A20" i="13"/>
  <c r="B20" i="13"/>
  <c r="C20" i="13"/>
  <c r="D20" i="13"/>
  <c r="A21" i="13"/>
  <c r="B21" i="13"/>
  <c r="C21" i="13"/>
  <c r="D21" i="13"/>
  <c r="A22" i="13"/>
  <c r="B22" i="13"/>
  <c r="C22" i="13"/>
  <c r="D22" i="13"/>
  <c r="A23" i="13"/>
  <c r="B23" i="13"/>
  <c r="C23" i="13"/>
  <c r="D23" i="13"/>
  <c r="A24" i="13"/>
  <c r="B24" i="13"/>
  <c r="C24" i="13"/>
  <c r="D24" i="13"/>
  <c r="A25" i="13"/>
  <c r="B25" i="13"/>
  <c r="C25" i="13"/>
  <c r="D25" i="13"/>
  <c r="A26" i="13"/>
  <c r="B26" i="13"/>
  <c r="C26" i="13"/>
  <c r="D26" i="13"/>
  <c r="A27" i="13"/>
  <c r="B27" i="13"/>
  <c r="C27" i="13"/>
  <c r="D27" i="13"/>
  <c r="A28" i="13"/>
  <c r="B28" i="13"/>
  <c r="C28" i="13"/>
  <c r="D28" i="13"/>
  <c r="A29" i="13"/>
  <c r="B29" i="13"/>
  <c r="C29" i="13"/>
  <c r="D29" i="13"/>
  <c r="A30" i="13"/>
  <c r="B30" i="13"/>
  <c r="C30" i="13"/>
  <c r="D30" i="13"/>
  <c r="A31" i="13"/>
  <c r="B31" i="13"/>
  <c r="C31" i="13"/>
  <c r="D31" i="13"/>
  <c r="A32" i="13"/>
  <c r="B32" i="13"/>
  <c r="C32" i="13"/>
  <c r="D32" i="13"/>
  <c r="A33" i="13"/>
  <c r="B33" i="13"/>
  <c r="C33" i="13"/>
  <c r="D33" i="13"/>
  <c r="A34" i="13"/>
  <c r="B34" i="13"/>
  <c r="C34" i="13"/>
  <c r="D34" i="13"/>
  <c r="A35" i="13"/>
  <c r="B35" i="13"/>
  <c r="C35" i="13"/>
  <c r="D35" i="13"/>
  <c r="A36" i="13"/>
  <c r="B36" i="13"/>
  <c r="C36" i="13"/>
  <c r="D36" i="13"/>
  <c r="A37" i="13"/>
  <c r="B37" i="13"/>
  <c r="C37" i="13"/>
  <c r="D37" i="13"/>
  <c r="A38" i="13"/>
  <c r="B38" i="13"/>
  <c r="C38" i="13"/>
  <c r="D38" i="13"/>
  <c r="A39" i="13"/>
  <c r="B39" i="13"/>
  <c r="C39" i="13"/>
  <c r="D39" i="13"/>
  <c r="A40" i="13"/>
  <c r="B40" i="13"/>
  <c r="C40" i="13"/>
  <c r="D40" i="13"/>
  <c r="A41" i="13"/>
  <c r="B41" i="13"/>
  <c r="C41" i="13"/>
  <c r="D41" i="13"/>
  <c r="A42" i="13"/>
  <c r="B42" i="13"/>
  <c r="C42" i="13"/>
  <c r="D42" i="13"/>
  <c r="A43" i="13"/>
  <c r="B43" i="13"/>
  <c r="C43" i="13"/>
  <c r="D43" i="13"/>
  <c r="A44" i="13"/>
  <c r="B44" i="13"/>
  <c r="C44" i="13"/>
  <c r="D44" i="13"/>
  <c r="A45" i="13"/>
  <c r="B45" i="13"/>
  <c r="C45" i="13"/>
  <c r="D45" i="13"/>
  <c r="A46" i="13"/>
  <c r="B46" i="13"/>
  <c r="C46" i="13"/>
  <c r="D46" i="13"/>
  <c r="A47" i="13"/>
  <c r="B47" i="13"/>
  <c r="C47" i="13"/>
  <c r="D47" i="13"/>
  <c r="A48" i="13"/>
  <c r="B48" i="13"/>
  <c r="C48" i="13"/>
  <c r="D48" i="13"/>
  <c r="A49" i="13"/>
  <c r="B49" i="13"/>
  <c r="C49" i="13"/>
  <c r="D49" i="13"/>
  <c r="A50" i="13"/>
  <c r="B50" i="13"/>
  <c r="C50" i="13"/>
  <c r="D50" i="13"/>
  <c r="A51" i="13"/>
  <c r="B51" i="13"/>
  <c r="C51" i="13"/>
  <c r="D51" i="13"/>
  <c r="A52" i="13"/>
  <c r="B52" i="13"/>
  <c r="C52" i="13"/>
  <c r="D52" i="13"/>
  <c r="A53" i="13"/>
  <c r="B53" i="13"/>
  <c r="C53" i="13"/>
  <c r="D53" i="13"/>
  <c r="A54" i="13"/>
  <c r="B54" i="13"/>
  <c r="C54" i="13"/>
  <c r="D54" i="13"/>
  <c r="A55" i="13"/>
  <c r="B55" i="13"/>
  <c r="C55" i="13"/>
  <c r="D55" i="13"/>
  <c r="A56" i="13"/>
  <c r="B56" i="13"/>
  <c r="C56" i="13"/>
  <c r="D56" i="13"/>
  <c r="A57" i="13"/>
  <c r="B57" i="13"/>
  <c r="C57" i="13"/>
  <c r="D57" i="13"/>
  <c r="A58" i="13"/>
  <c r="B58" i="13"/>
  <c r="C58" i="13"/>
  <c r="D58" i="13"/>
  <c r="A59" i="13"/>
  <c r="B59" i="13"/>
  <c r="C59" i="13"/>
  <c r="D59" i="13"/>
  <c r="A60" i="13"/>
  <c r="B60" i="13"/>
  <c r="C60" i="13"/>
  <c r="D60" i="13"/>
  <c r="A61" i="13"/>
  <c r="B61" i="13"/>
  <c r="C61" i="13"/>
  <c r="D61" i="13"/>
  <c r="A62" i="13"/>
  <c r="B62" i="13"/>
  <c r="C62" i="13"/>
  <c r="D62" i="13"/>
  <c r="A63" i="13"/>
  <c r="B63" i="13"/>
  <c r="C63" i="13"/>
  <c r="D63" i="13"/>
  <c r="A64" i="13"/>
  <c r="B64" i="13"/>
  <c r="C64" i="13"/>
  <c r="D64" i="13"/>
  <c r="A65" i="13"/>
  <c r="B65" i="13"/>
  <c r="C65" i="13"/>
  <c r="D65" i="13"/>
  <c r="A66" i="13"/>
  <c r="B66" i="13"/>
  <c r="C66" i="13"/>
  <c r="D66" i="13"/>
  <c r="A67" i="13"/>
  <c r="B67" i="13"/>
  <c r="C67" i="13"/>
  <c r="D67" i="13"/>
  <c r="A68" i="13"/>
  <c r="B68" i="13"/>
  <c r="C68" i="13"/>
  <c r="D68" i="13"/>
  <c r="A69" i="13"/>
  <c r="B69" i="13"/>
  <c r="C69" i="13"/>
  <c r="D69" i="13"/>
  <c r="A70" i="13"/>
  <c r="B70" i="13"/>
  <c r="C70" i="13"/>
  <c r="D70" i="13"/>
  <c r="A71" i="13"/>
  <c r="B71" i="13"/>
  <c r="C71" i="13"/>
  <c r="D71" i="13"/>
  <c r="A72" i="13"/>
  <c r="B72" i="13"/>
  <c r="C72" i="13"/>
  <c r="D72" i="13"/>
  <c r="A73" i="13"/>
  <c r="B73" i="13"/>
  <c r="C73" i="13"/>
  <c r="D73" i="13"/>
  <c r="A74" i="13"/>
  <c r="B74" i="13"/>
  <c r="C74" i="13"/>
  <c r="D74" i="13"/>
  <c r="A75" i="13"/>
  <c r="B75" i="13"/>
  <c r="C75" i="13"/>
  <c r="D75" i="13"/>
  <c r="A76" i="13"/>
  <c r="B76" i="13"/>
  <c r="C76" i="13"/>
  <c r="D76" i="13"/>
  <c r="A77" i="13"/>
  <c r="B77" i="13"/>
  <c r="C77" i="13"/>
  <c r="D77" i="13"/>
  <c r="A78" i="13"/>
  <c r="B78" i="13"/>
  <c r="C78" i="13"/>
  <c r="D78" i="13"/>
  <c r="A79" i="13"/>
  <c r="B79" i="13"/>
  <c r="C79" i="13"/>
  <c r="D79" i="13"/>
  <c r="A80" i="13"/>
  <c r="B80" i="13"/>
  <c r="C80" i="13"/>
  <c r="D80" i="13"/>
  <c r="A81" i="13"/>
  <c r="B81" i="13"/>
  <c r="C81" i="13"/>
  <c r="D81" i="13"/>
  <c r="A82" i="13"/>
  <c r="B82" i="13"/>
  <c r="C82" i="13"/>
  <c r="D82" i="13"/>
  <c r="A83" i="13"/>
  <c r="B83" i="13"/>
  <c r="C83" i="13"/>
  <c r="D83" i="13"/>
  <c r="A84" i="13"/>
  <c r="B84" i="13"/>
  <c r="C84" i="13"/>
  <c r="D84" i="13"/>
  <c r="A85" i="13"/>
  <c r="B85" i="13"/>
  <c r="C85" i="13"/>
  <c r="D85" i="13"/>
  <c r="A86" i="13"/>
  <c r="B86" i="13"/>
  <c r="C86" i="13"/>
  <c r="D86" i="13"/>
  <c r="A87" i="13"/>
  <c r="B87" i="13"/>
  <c r="C87" i="13"/>
  <c r="D87" i="13"/>
  <c r="A88" i="13"/>
  <c r="B88" i="13"/>
  <c r="C88" i="13"/>
  <c r="D88" i="13"/>
  <c r="A89" i="13"/>
  <c r="B89" i="13"/>
  <c r="C89" i="13"/>
  <c r="D89" i="13"/>
  <c r="A90" i="13"/>
  <c r="B90" i="13"/>
  <c r="C90" i="13"/>
  <c r="D90" i="13"/>
  <c r="A91" i="13"/>
  <c r="B91" i="13"/>
  <c r="C91" i="13"/>
  <c r="D91" i="13"/>
  <c r="A92" i="13"/>
  <c r="B92" i="13"/>
  <c r="C92" i="13"/>
  <c r="D92" i="13"/>
  <c r="A93" i="13"/>
  <c r="B93" i="13"/>
  <c r="C93" i="13"/>
  <c r="D93" i="13"/>
  <c r="A94" i="13"/>
  <c r="B94" i="13"/>
  <c r="C94" i="13"/>
  <c r="D94" i="13"/>
  <c r="A95" i="13"/>
  <c r="B95" i="13"/>
  <c r="C95" i="13"/>
  <c r="D95" i="13"/>
  <c r="A96" i="13"/>
  <c r="B96" i="13"/>
  <c r="C96" i="13"/>
  <c r="D96" i="13"/>
  <c r="A97" i="13"/>
  <c r="B97" i="13"/>
  <c r="C97" i="13"/>
  <c r="D97" i="13"/>
  <c r="A98" i="13"/>
  <c r="B98" i="13"/>
  <c r="C98" i="13"/>
  <c r="D98" i="13"/>
  <c r="A99" i="13"/>
  <c r="B99" i="13"/>
  <c r="C99" i="13"/>
  <c r="D99" i="13"/>
  <c r="A100" i="13"/>
  <c r="B100" i="13"/>
  <c r="C100" i="13"/>
  <c r="D100" i="13"/>
  <c r="A101" i="13"/>
  <c r="B101" i="13"/>
  <c r="C101" i="13"/>
  <c r="D101" i="13"/>
  <c r="A102" i="13"/>
  <c r="B102" i="13"/>
  <c r="C102" i="13"/>
  <c r="D102" i="13"/>
  <c r="A103" i="13"/>
  <c r="B103" i="13"/>
  <c r="C103" i="13"/>
  <c r="D103" i="13"/>
  <c r="A104" i="13"/>
  <c r="B104" i="13"/>
  <c r="C104" i="13"/>
  <c r="D104" i="13"/>
  <c r="A105" i="13"/>
  <c r="B105" i="13"/>
  <c r="C105" i="13"/>
  <c r="D105" i="13"/>
  <c r="A106" i="13"/>
  <c r="B106" i="13"/>
  <c r="C106" i="13"/>
  <c r="D106" i="13"/>
  <c r="A107" i="13"/>
  <c r="B107" i="13"/>
  <c r="C107" i="13"/>
  <c r="D107" i="13"/>
  <c r="A108" i="13"/>
  <c r="B108" i="13"/>
  <c r="C108" i="13"/>
  <c r="D108" i="13"/>
  <c r="A109" i="13"/>
  <c r="B109" i="13"/>
  <c r="C109" i="13"/>
  <c r="D109" i="13"/>
  <c r="A110" i="13"/>
  <c r="B110" i="13"/>
  <c r="C110" i="13"/>
  <c r="D110" i="13"/>
  <c r="A111" i="13"/>
  <c r="B111" i="13"/>
  <c r="C111" i="13"/>
  <c r="D111" i="13"/>
  <c r="A112" i="13"/>
  <c r="B112" i="13"/>
  <c r="C112" i="13"/>
  <c r="D112" i="13"/>
  <c r="A113" i="13"/>
  <c r="B113" i="13"/>
  <c r="C113" i="13"/>
  <c r="D113" i="13"/>
  <c r="A114" i="13"/>
  <c r="B114" i="13"/>
  <c r="C114" i="13"/>
  <c r="D114" i="13"/>
  <c r="A115" i="13"/>
  <c r="B115" i="13"/>
  <c r="C115" i="13"/>
  <c r="D115" i="13"/>
  <c r="A116" i="13"/>
  <c r="B116" i="13"/>
  <c r="C116" i="13"/>
  <c r="D116" i="13"/>
  <c r="A117" i="13"/>
  <c r="B117" i="13"/>
  <c r="C117" i="13"/>
  <c r="D117" i="13"/>
  <c r="A118" i="13"/>
  <c r="B118" i="13"/>
  <c r="C118" i="13"/>
  <c r="D118" i="13"/>
  <c r="A119" i="13"/>
  <c r="B119" i="13"/>
  <c r="C119" i="13"/>
  <c r="D119" i="13"/>
  <c r="A120" i="13"/>
  <c r="B120" i="13"/>
  <c r="C120" i="13"/>
  <c r="D120" i="13"/>
  <c r="A121" i="13"/>
  <c r="B121" i="13"/>
  <c r="C121" i="13"/>
  <c r="D121" i="13"/>
  <c r="A122" i="13"/>
  <c r="B122" i="13"/>
  <c r="C122" i="13"/>
  <c r="D122" i="13"/>
  <c r="A123" i="13"/>
  <c r="B123" i="13"/>
  <c r="C123" i="13"/>
  <c r="D123" i="13"/>
  <c r="A124" i="13"/>
  <c r="B124" i="13"/>
  <c r="C124" i="13"/>
  <c r="D124" i="13"/>
  <c r="A125" i="13"/>
  <c r="B125" i="13"/>
  <c r="C125" i="13"/>
  <c r="D125" i="13"/>
  <c r="A126" i="13"/>
  <c r="B126" i="13"/>
  <c r="C126" i="13"/>
  <c r="D126" i="13"/>
  <c r="A127" i="13"/>
  <c r="B127" i="13"/>
  <c r="C127" i="13"/>
  <c r="D127" i="13"/>
  <c r="A128" i="13"/>
  <c r="B128" i="13"/>
  <c r="C128" i="13"/>
  <c r="D128" i="13"/>
  <c r="A129" i="13"/>
  <c r="B129" i="13"/>
  <c r="C129" i="13"/>
  <c r="D129" i="13"/>
  <c r="A130" i="13"/>
  <c r="B130" i="13"/>
  <c r="C130" i="13"/>
  <c r="D130" i="13"/>
  <c r="A131" i="13"/>
  <c r="B131" i="13"/>
  <c r="C131" i="13"/>
  <c r="D131" i="13"/>
  <c r="A132" i="13"/>
  <c r="B132" i="13"/>
  <c r="C132" i="13"/>
  <c r="D132" i="13"/>
  <c r="A133" i="13"/>
  <c r="B133" i="13"/>
  <c r="C133" i="13"/>
  <c r="D133" i="13"/>
  <c r="A134" i="13"/>
  <c r="B134" i="13"/>
  <c r="C134" i="13"/>
  <c r="D134" i="13"/>
  <c r="A135" i="13"/>
  <c r="B135" i="13"/>
  <c r="C135" i="13"/>
  <c r="D135" i="13"/>
  <c r="A136" i="13"/>
  <c r="B136" i="13"/>
  <c r="C136" i="13"/>
  <c r="D136" i="13"/>
  <c r="A137" i="13"/>
  <c r="B137" i="13"/>
  <c r="C137" i="13"/>
  <c r="D137" i="13"/>
  <c r="A138" i="13"/>
  <c r="B138" i="13"/>
  <c r="C138" i="13"/>
  <c r="D138" i="13"/>
  <c r="A139" i="13"/>
  <c r="B139" i="13"/>
  <c r="C139" i="13"/>
  <c r="D139" i="13"/>
  <c r="A140" i="13"/>
  <c r="B140" i="13"/>
  <c r="C140" i="13"/>
  <c r="D140" i="13"/>
  <c r="A141" i="13"/>
  <c r="B141" i="13"/>
  <c r="C141" i="13"/>
  <c r="D141" i="13"/>
  <c r="A142" i="13"/>
  <c r="B142" i="13"/>
  <c r="C142" i="13"/>
  <c r="D142" i="13"/>
  <c r="A143" i="13"/>
  <c r="B143" i="13"/>
  <c r="C143" i="13"/>
  <c r="D143" i="13"/>
  <c r="A144" i="13"/>
  <c r="B144" i="13"/>
  <c r="C144" i="13"/>
  <c r="D144" i="13"/>
  <c r="A145" i="13"/>
  <c r="B145" i="13"/>
  <c r="C145" i="13"/>
  <c r="D145" i="13"/>
  <c r="A146" i="13"/>
  <c r="B146" i="13"/>
  <c r="C146" i="13"/>
  <c r="D146" i="13"/>
  <c r="A147" i="13"/>
  <c r="B147" i="13"/>
  <c r="C147" i="13"/>
  <c r="D147" i="13"/>
  <c r="A148" i="13"/>
  <c r="B148" i="13"/>
  <c r="C148" i="13"/>
  <c r="D148" i="13"/>
  <c r="A149" i="13"/>
  <c r="B149" i="13"/>
  <c r="C149" i="13"/>
  <c r="D149" i="13"/>
  <c r="A150" i="13"/>
  <c r="B150" i="13"/>
  <c r="C150" i="13"/>
  <c r="D150" i="13"/>
  <c r="A151" i="13"/>
  <c r="B151" i="13"/>
  <c r="C151" i="13"/>
  <c r="D151" i="13"/>
  <c r="A152" i="13"/>
  <c r="B152" i="13"/>
  <c r="C152" i="13"/>
  <c r="D152" i="13"/>
  <c r="A153" i="13"/>
  <c r="B153" i="13"/>
  <c r="C153" i="13"/>
  <c r="D153" i="13"/>
  <c r="A154" i="13"/>
  <c r="B154" i="13"/>
  <c r="C154" i="13"/>
  <c r="D154" i="13"/>
  <c r="A155" i="13"/>
  <c r="B155" i="13"/>
  <c r="C155" i="13"/>
  <c r="D155" i="13"/>
  <c r="A156" i="13"/>
  <c r="B156" i="13"/>
  <c r="C156" i="13"/>
  <c r="D156" i="13"/>
  <c r="A157" i="13"/>
  <c r="B157" i="13"/>
  <c r="C157" i="13"/>
  <c r="D157" i="13"/>
  <c r="A158" i="13"/>
  <c r="B158" i="13"/>
  <c r="C158" i="13"/>
  <c r="D158" i="13"/>
  <c r="A159" i="13"/>
  <c r="B159" i="13"/>
  <c r="C159" i="13"/>
  <c r="D159" i="13"/>
  <c r="A160" i="13"/>
  <c r="B160" i="13"/>
  <c r="C160" i="13"/>
  <c r="D160" i="13"/>
  <c r="A161" i="13"/>
  <c r="B161" i="13"/>
  <c r="C161" i="13"/>
  <c r="D161" i="13"/>
  <c r="A162" i="13"/>
  <c r="B162" i="13"/>
  <c r="C162" i="13"/>
  <c r="D162" i="13"/>
  <c r="A163" i="13"/>
  <c r="B163" i="13"/>
  <c r="C163" i="13"/>
  <c r="D163" i="13"/>
  <c r="A164" i="13"/>
  <c r="B164" i="13"/>
  <c r="C164" i="13"/>
  <c r="D164" i="13"/>
  <c r="A165" i="13"/>
  <c r="B165" i="13"/>
  <c r="C165" i="13"/>
  <c r="D165" i="13"/>
  <c r="A166" i="13"/>
  <c r="B166" i="13"/>
  <c r="C166" i="13"/>
  <c r="D166" i="13"/>
  <c r="A167" i="13"/>
  <c r="B167" i="13"/>
  <c r="C167" i="13"/>
  <c r="D167" i="13"/>
  <c r="A168" i="13"/>
  <c r="B168" i="13"/>
  <c r="C168" i="13"/>
  <c r="D168" i="13"/>
  <c r="A169" i="13"/>
  <c r="B169" i="13"/>
  <c r="C169" i="13"/>
  <c r="D169" i="13"/>
  <c r="A170" i="13"/>
  <c r="B170" i="13"/>
  <c r="C170" i="13"/>
  <c r="D170" i="13"/>
  <c r="A171" i="13"/>
  <c r="B171" i="13"/>
  <c r="C171" i="13"/>
  <c r="D171" i="13"/>
  <c r="A172" i="13"/>
  <c r="B172" i="13"/>
  <c r="C172" i="13"/>
  <c r="D172" i="13"/>
  <c r="A173" i="13"/>
  <c r="B173" i="13"/>
  <c r="C173" i="13"/>
  <c r="D173" i="13"/>
  <c r="A174" i="13"/>
  <c r="B174" i="13"/>
  <c r="C174" i="13"/>
  <c r="D174" i="13"/>
  <c r="A175" i="13"/>
  <c r="B175" i="13"/>
  <c r="C175" i="13"/>
  <c r="D175" i="13"/>
  <c r="A176" i="13"/>
  <c r="B176" i="13"/>
  <c r="C176" i="13"/>
  <c r="D176" i="13"/>
  <c r="A177" i="13"/>
  <c r="B177" i="13"/>
  <c r="C177" i="13"/>
  <c r="D177" i="13"/>
  <c r="A178" i="13"/>
  <c r="B178" i="13"/>
  <c r="C178" i="13"/>
  <c r="D178" i="13"/>
  <c r="A179" i="13"/>
  <c r="B179" i="13"/>
  <c r="C179" i="13"/>
  <c r="D179" i="13"/>
  <c r="A180" i="13"/>
  <c r="B180" i="13"/>
  <c r="C180" i="13"/>
  <c r="D180" i="13"/>
  <c r="A181" i="13"/>
  <c r="B181" i="13"/>
  <c r="C181" i="13"/>
  <c r="D181" i="13"/>
  <c r="A182" i="13"/>
  <c r="B182" i="13"/>
  <c r="C182" i="13"/>
  <c r="D182" i="13"/>
  <c r="A183" i="13"/>
  <c r="B183" i="13"/>
  <c r="C183" i="13"/>
  <c r="D183" i="13"/>
  <c r="A184" i="13"/>
  <c r="B184" i="13"/>
  <c r="C184" i="13"/>
  <c r="D184" i="13"/>
  <c r="A185" i="13"/>
  <c r="B185" i="13"/>
  <c r="C185" i="13"/>
  <c r="D185" i="13"/>
  <c r="A186" i="13"/>
  <c r="B186" i="13"/>
  <c r="C186" i="13"/>
  <c r="D186" i="13"/>
  <c r="A187" i="13"/>
  <c r="B187" i="13"/>
  <c r="C187" i="13"/>
  <c r="D187" i="13"/>
  <c r="A188" i="13"/>
  <c r="B188" i="13"/>
  <c r="C188" i="13"/>
  <c r="D188" i="13"/>
  <c r="A189" i="13"/>
  <c r="B189" i="13"/>
  <c r="C189" i="13"/>
  <c r="D189" i="13"/>
  <c r="A190" i="13"/>
  <c r="B190" i="13"/>
  <c r="C190" i="13"/>
  <c r="D190" i="13"/>
  <c r="A191" i="13"/>
  <c r="B191" i="13"/>
  <c r="C191" i="13"/>
  <c r="D191" i="13"/>
  <c r="A192" i="13"/>
  <c r="B192" i="13"/>
  <c r="C192" i="13"/>
  <c r="D192" i="13"/>
  <c r="A193" i="13"/>
  <c r="B193" i="13"/>
  <c r="C193" i="13"/>
  <c r="D193" i="13"/>
  <c r="A194" i="13"/>
  <c r="B194" i="13"/>
  <c r="C194" i="13"/>
  <c r="D194" i="13"/>
  <c r="A195" i="13"/>
  <c r="B195" i="13"/>
  <c r="C195" i="13"/>
  <c r="D195" i="13"/>
  <c r="A196" i="13"/>
  <c r="B196" i="13"/>
  <c r="C196" i="13"/>
  <c r="D196" i="13"/>
  <c r="A197" i="13"/>
  <c r="B197" i="13"/>
  <c r="C197" i="13"/>
  <c r="D197" i="13"/>
  <c r="A198" i="13"/>
  <c r="B198" i="13"/>
  <c r="C198" i="13"/>
  <c r="D198" i="13"/>
  <c r="A199" i="13"/>
  <c r="B199" i="13"/>
  <c r="C199" i="13"/>
  <c r="D199" i="13"/>
  <c r="A200" i="13"/>
  <c r="B200" i="13"/>
  <c r="C200" i="13"/>
  <c r="D200" i="13"/>
  <c r="A201" i="13"/>
  <c r="B201" i="13"/>
  <c r="C201" i="13"/>
  <c r="D201" i="13"/>
  <c r="A202" i="13"/>
  <c r="B202" i="13"/>
  <c r="C202" i="13"/>
  <c r="D202" i="13"/>
  <c r="A203" i="13"/>
  <c r="B203" i="13"/>
  <c r="C203" i="13"/>
  <c r="D203" i="13"/>
  <c r="A204" i="13"/>
  <c r="B204" i="13"/>
  <c r="C204" i="13"/>
  <c r="D204" i="13"/>
  <c r="A205" i="13"/>
  <c r="B205" i="13"/>
  <c r="C205" i="13"/>
  <c r="D205" i="13"/>
  <c r="A206" i="13"/>
  <c r="B206" i="13"/>
  <c r="C206" i="13"/>
  <c r="D206" i="13"/>
  <c r="A207" i="13"/>
  <c r="B207" i="13"/>
  <c r="C207" i="13"/>
  <c r="D207" i="13"/>
  <c r="A208" i="13"/>
  <c r="B208" i="13"/>
  <c r="C208" i="13"/>
  <c r="D208" i="13"/>
  <c r="A209" i="13"/>
  <c r="B209" i="13"/>
  <c r="C209" i="13"/>
  <c r="D209" i="13"/>
  <c r="A210" i="13"/>
  <c r="B210" i="13"/>
  <c r="C210" i="13"/>
  <c r="D210" i="13"/>
  <c r="A211" i="13"/>
  <c r="B211" i="13"/>
  <c r="C211" i="13"/>
  <c r="D211" i="13"/>
  <c r="A212" i="13"/>
  <c r="B212" i="13"/>
  <c r="C212" i="13"/>
  <c r="D212" i="1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C215" i="3" s="1"/>
  <c r="A216" i="3"/>
  <c r="A217" i="3"/>
  <c r="A218" i="3"/>
  <c r="C218" i="3" s="1"/>
  <c r="A219" i="3"/>
  <c r="B219" i="3" s="1"/>
  <c r="D217" i="3"/>
  <c r="N219" i="3"/>
  <c r="J219" i="3"/>
  <c r="F219" i="3"/>
  <c r="Q219" i="3"/>
  <c r="J3" i="21"/>
  <c r="B215" i="3"/>
  <c r="D215" i="3"/>
  <c r="F215" i="3"/>
  <c r="G215" i="3"/>
  <c r="J215" i="3"/>
  <c r="L215" i="3"/>
  <c r="M215" i="3"/>
  <c r="O215" i="3"/>
  <c r="P215" i="3"/>
  <c r="Q215" i="3"/>
  <c r="B216" i="3"/>
  <c r="M216" i="3"/>
  <c r="Q216" i="3"/>
  <c r="B217" i="3"/>
  <c r="L217" i="3"/>
  <c r="M217" i="3"/>
  <c r="I3" i="21"/>
  <c r="H3" i="21"/>
  <c r="B3" i="21"/>
  <c r="N215" i="3" l="1"/>
  <c r="I215" i="3"/>
  <c r="K215" i="3" s="1"/>
  <c r="H215" i="3"/>
  <c r="Q218" i="3"/>
  <c r="D218" i="3"/>
  <c r="Q217" i="3"/>
  <c r="I217" i="3"/>
  <c r="L218" i="3"/>
  <c r="P217" i="3"/>
  <c r="C219" i="3"/>
  <c r="G219" i="3"/>
  <c r="H219" i="3" s="1"/>
  <c r="O219" i="3"/>
  <c r="D219" i="3"/>
  <c r="L219" i="3"/>
  <c r="P219" i="3"/>
  <c r="I219" i="3"/>
  <c r="K219" i="3" s="1"/>
  <c r="M219" i="3"/>
  <c r="P218" i="3"/>
  <c r="I218" i="3"/>
  <c r="B218" i="3"/>
  <c r="E215" i="3"/>
  <c r="O218" i="3"/>
  <c r="G218" i="3"/>
  <c r="E218" i="3"/>
  <c r="M218" i="3"/>
  <c r="I216" i="3"/>
  <c r="O217" i="3"/>
  <c r="G217" i="3"/>
  <c r="C217" i="3"/>
  <c r="E217" i="3" s="1"/>
  <c r="P216" i="3"/>
  <c r="L216" i="3"/>
  <c r="D216" i="3"/>
  <c r="N218" i="3"/>
  <c r="J218" i="3"/>
  <c r="F218" i="3"/>
  <c r="H218" i="3" s="1"/>
  <c r="N217" i="3"/>
  <c r="J217" i="3"/>
  <c r="F217" i="3"/>
  <c r="O216" i="3"/>
  <c r="G216" i="3"/>
  <c r="C216" i="3"/>
  <c r="E216" i="3" s="1"/>
  <c r="N216" i="3"/>
  <c r="J216" i="3"/>
  <c r="F216" i="3"/>
  <c r="H216" i="3" s="1"/>
  <c r="A213" i="13"/>
  <c r="A214" i="13"/>
  <c r="A215" i="13"/>
  <c r="A216" i="13"/>
  <c r="A217" i="13"/>
  <c r="A219" i="13"/>
  <c r="A220" i="13"/>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A124" i="12"/>
  <c r="A125" i="12"/>
  <c r="A126" i="12"/>
  <c r="A127" i="12"/>
  <c r="A128" i="12"/>
  <c r="A129" i="12"/>
  <c r="A130" i="12"/>
  <c r="A131" i="12"/>
  <c r="A132" i="12"/>
  <c r="A133" i="12"/>
  <c r="A134" i="12"/>
  <c r="A135" i="12"/>
  <c r="A136" i="12"/>
  <c r="A137" i="12"/>
  <c r="A138" i="12"/>
  <c r="A139" i="12"/>
  <c r="A140" i="12"/>
  <c r="A141" i="12"/>
  <c r="A142" i="12"/>
  <c r="A143" i="12"/>
  <c r="A144" i="12"/>
  <c r="A145" i="12"/>
  <c r="A146" i="12"/>
  <c r="A147" i="12"/>
  <c r="A148" i="12"/>
  <c r="A149" i="12"/>
  <c r="A150" i="12"/>
  <c r="A151" i="12"/>
  <c r="A152" i="12"/>
  <c r="A153" i="12"/>
  <c r="A154" i="12"/>
  <c r="A155" i="12"/>
  <c r="A156" i="12"/>
  <c r="A157" i="12"/>
  <c r="A158" i="12"/>
  <c r="A159" i="12"/>
  <c r="A160" i="12"/>
  <c r="A161" i="12"/>
  <c r="A162" i="12"/>
  <c r="A163" i="12"/>
  <c r="A164" i="12"/>
  <c r="A165" i="12"/>
  <c r="A166" i="12"/>
  <c r="A167" i="12"/>
  <c r="A168" i="12"/>
  <c r="A169" i="12"/>
  <c r="A170" i="12"/>
  <c r="A171" i="12"/>
  <c r="A172" i="12"/>
  <c r="A173" i="12"/>
  <c r="A174" i="12"/>
  <c r="A175" i="12"/>
  <c r="A176" i="12"/>
  <c r="A177" i="12"/>
  <c r="A178" i="12"/>
  <c r="A179" i="12"/>
  <c r="A180" i="12"/>
  <c r="A181" i="12"/>
  <c r="A182" i="12"/>
  <c r="A183" i="12"/>
  <c r="A184" i="12"/>
  <c r="A185" i="12"/>
  <c r="A186" i="12"/>
  <c r="A187" i="12"/>
  <c r="A188" i="12"/>
  <c r="A189" i="12"/>
  <c r="A190" i="12"/>
  <c r="A191" i="12"/>
  <c r="A192" i="12"/>
  <c r="A193" i="12"/>
  <c r="A194" i="12"/>
  <c r="A195" i="12"/>
  <c r="A196" i="12"/>
  <c r="A197" i="12"/>
  <c r="A198" i="12"/>
  <c r="D198" i="12" s="1"/>
  <c r="A199" i="12"/>
  <c r="F199" i="12" s="1"/>
  <c r="A200" i="12"/>
  <c r="A201" i="12"/>
  <c r="A202" i="12"/>
  <c r="A203" i="12"/>
  <c r="A204" i="12"/>
  <c r="A205" i="12"/>
  <c r="B205" i="12" s="1"/>
  <c r="A206" i="12"/>
  <c r="A207" i="12"/>
  <c r="A208" i="12"/>
  <c r="A209" i="12"/>
  <c r="J209" i="12" s="1"/>
  <c r="A210" i="12"/>
  <c r="A211" i="12"/>
  <c r="A212" i="12"/>
  <c r="A213" i="12"/>
  <c r="A214" i="12"/>
  <c r="B214" i="12" s="1"/>
  <c r="A215" i="12"/>
  <c r="A216" i="12"/>
  <c r="B216" i="12" s="1"/>
  <c r="A217" i="12"/>
  <c r="D217" i="12" s="1"/>
  <c r="A218" i="12"/>
  <c r="F218" i="12" s="1"/>
  <c r="A220" i="12"/>
  <c r="J220" i="12" s="1"/>
  <c r="A221" i="12"/>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2" i="11"/>
  <c r="A153" i="11"/>
  <c r="A154" i="11"/>
  <c r="A155" i="11"/>
  <c r="A156" i="11"/>
  <c r="A157" i="11"/>
  <c r="A158" i="11"/>
  <c r="A159" i="11"/>
  <c r="A160" i="11"/>
  <c r="A161" i="11"/>
  <c r="A162" i="11"/>
  <c r="A163" i="11"/>
  <c r="A164" i="11"/>
  <c r="A165" i="11"/>
  <c r="A166" i="11"/>
  <c r="A167" i="11"/>
  <c r="A168" i="11"/>
  <c r="A169" i="11"/>
  <c r="A170" i="11"/>
  <c r="A171" i="11"/>
  <c r="A172" i="11"/>
  <c r="A173" i="11"/>
  <c r="A174" i="11"/>
  <c r="A175" i="11"/>
  <c r="A176" i="11"/>
  <c r="A177" i="11"/>
  <c r="A178" i="11"/>
  <c r="A179" i="11"/>
  <c r="A180" i="11"/>
  <c r="A181" i="11"/>
  <c r="A182" i="11"/>
  <c r="A183" i="11"/>
  <c r="A184" i="11"/>
  <c r="A185" i="11"/>
  <c r="A186" i="11"/>
  <c r="A187" i="11"/>
  <c r="A188" i="11"/>
  <c r="A189" i="11"/>
  <c r="D189" i="11" s="1"/>
  <c r="A190" i="11"/>
  <c r="F190" i="11" s="1"/>
  <c r="A191" i="11"/>
  <c r="D191" i="11" s="1"/>
  <c r="A192" i="11"/>
  <c r="A193" i="11"/>
  <c r="L193" i="11" s="1"/>
  <c r="A194" i="11"/>
  <c r="N194" i="11" s="1"/>
  <c r="A195" i="11"/>
  <c r="H195" i="11" s="1"/>
  <c r="A196" i="11"/>
  <c r="A197" i="11"/>
  <c r="D197" i="11" s="1"/>
  <c r="A198" i="11"/>
  <c r="F198" i="11" s="1"/>
  <c r="A199" i="11"/>
  <c r="D199" i="11" s="1"/>
  <c r="A200" i="11"/>
  <c r="F200" i="11" s="1"/>
  <c r="A201" i="11"/>
  <c r="F201" i="11" s="1"/>
  <c r="A202" i="11"/>
  <c r="H202" i="11" s="1"/>
  <c r="A203" i="11"/>
  <c r="C203" i="11" s="1"/>
  <c r="A204" i="11"/>
  <c r="A205" i="11"/>
  <c r="C205" i="11" s="1"/>
  <c r="A206" i="11"/>
  <c r="D206" i="11" s="1"/>
  <c r="A207" i="11"/>
  <c r="C207" i="11" s="1"/>
  <c r="A208" i="11"/>
  <c r="A209" i="11"/>
  <c r="C209" i="11" s="1"/>
  <c r="A210" i="11"/>
  <c r="H210" i="11" s="1"/>
  <c r="A211" i="11"/>
  <c r="C211" i="11" s="1"/>
  <c r="A212" i="11"/>
  <c r="H212" i="11" s="1"/>
  <c r="A213" i="11"/>
  <c r="C213" i="11" s="1"/>
  <c r="A214" i="11"/>
  <c r="D214" i="11" s="1"/>
  <c r="A215" i="11"/>
  <c r="C215" i="11" s="1"/>
  <c r="A216" i="11"/>
  <c r="H216" i="11" s="1"/>
  <c r="A217" i="11"/>
  <c r="C217" i="11" s="1"/>
  <c r="A218" i="11"/>
  <c r="H218" i="11" s="1"/>
  <c r="A220" i="11"/>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O190" i="10" s="1"/>
  <c r="A191" i="10"/>
  <c r="E191" i="10" s="1"/>
  <c r="A192" i="10"/>
  <c r="G192" i="10" s="1"/>
  <c r="A193" i="10"/>
  <c r="E193" i="10" s="1"/>
  <c r="A194" i="10"/>
  <c r="G194" i="10" s="1"/>
  <c r="A195" i="10"/>
  <c r="M195" i="10" s="1"/>
  <c r="A196" i="10"/>
  <c r="O196" i="10" s="1"/>
  <c r="A197" i="10"/>
  <c r="I197" i="10" s="1"/>
  <c r="A198" i="10"/>
  <c r="O198" i="10" s="1"/>
  <c r="A199" i="10"/>
  <c r="E199" i="10" s="1"/>
  <c r="A200" i="10"/>
  <c r="G200" i="10" s="1"/>
  <c r="A201" i="10"/>
  <c r="E201" i="10" s="1"/>
  <c r="A202" i="10"/>
  <c r="G202" i="10" s="1"/>
  <c r="A203" i="10"/>
  <c r="M203" i="10" s="1"/>
  <c r="A204" i="10"/>
  <c r="O204" i="10" s="1"/>
  <c r="A205" i="10"/>
  <c r="I205" i="10" s="1"/>
  <c r="A206" i="10"/>
  <c r="O206" i="10" s="1"/>
  <c r="A207" i="10"/>
  <c r="E207" i="10" s="1"/>
  <c r="A208" i="10"/>
  <c r="A209" i="10"/>
  <c r="E209" i="10" s="1"/>
  <c r="A210" i="10"/>
  <c r="G210" i="10" s="1"/>
  <c r="A211" i="10"/>
  <c r="D211" i="10" s="1"/>
  <c r="A212" i="10"/>
  <c r="I212" i="10" s="1"/>
  <c r="A213" i="10"/>
  <c r="D213" i="10" s="1"/>
  <c r="A214" i="10"/>
  <c r="B214" i="10" s="1"/>
  <c r="A215" i="10"/>
  <c r="E215" i="10" s="1"/>
  <c r="A216" i="10"/>
  <c r="M216" i="10" s="1"/>
  <c r="A217" i="10"/>
  <c r="D217" i="10" s="1"/>
  <c r="A218" i="10"/>
  <c r="C218" i="10" s="1"/>
  <c r="A220" i="10"/>
  <c r="I220" i="10" s="1"/>
  <c r="A221" i="10"/>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7" i="14"/>
  <c r="A8" i="14"/>
  <c r="A9" i="14"/>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A136" i="14"/>
  <c r="A137" i="14"/>
  <c r="A138" i="14"/>
  <c r="A139" i="14"/>
  <c r="A140" i="14"/>
  <c r="A141" i="14"/>
  <c r="A142" i="14"/>
  <c r="A143" i="14"/>
  <c r="A144" i="14"/>
  <c r="A145" i="14"/>
  <c r="A146" i="14"/>
  <c r="A147" i="14"/>
  <c r="A148" i="14"/>
  <c r="A149" i="14"/>
  <c r="A150" i="14"/>
  <c r="A151" i="14"/>
  <c r="A152" i="14"/>
  <c r="A153" i="14"/>
  <c r="A154" i="14"/>
  <c r="A155" i="14"/>
  <c r="A156" i="14"/>
  <c r="A157" i="14"/>
  <c r="A158" i="14"/>
  <c r="A159" i="14"/>
  <c r="A160" i="14"/>
  <c r="A161" i="14"/>
  <c r="A162" i="14"/>
  <c r="A163" i="14"/>
  <c r="A164" i="14"/>
  <c r="A165" i="14"/>
  <c r="A166" i="14"/>
  <c r="A167" i="14"/>
  <c r="A168" i="14"/>
  <c r="A169" i="14"/>
  <c r="A170" i="14"/>
  <c r="A171" i="14"/>
  <c r="A172" i="14"/>
  <c r="A173" i="14"/>
  <c r="A174" i="14"/>
  <c r="A175" i="14"/>
  <c r="A176" i="14"/>
  <c r="A177" i="14"/>
  <c r="A178" i="14"/>
  <c r="A179" i="14"/>
  <c r="A180" i="14"/>
  <c r="A181" i="14"/>
  <c r="A182" i="14"/>
  <c r="A183" i="14"/>
  <c r="A184" i="14"/>
  <c r="A185" i="14"/>
  <c r="A186" i="14"/>
  <c r="A187" i="14"/>
  <c r="A188" i="14"/>
  <c r="A189" i="14"/>
  <c r="C189" i="14" s="1"/>
  <c r="A190" i="14"/>
  <c r="B190" i="14" s="1"/>
  <c r="A191" i="14"/>
  <c r="E191" i="14" s="1"/>
  <c r="A192" i="14"/>
  <c r="A193" i="14"/>
  <c r="E193" i="14" s="1"/>
  <c r="A194" i="14"/>
  <c r="D194" i="14" s="1"/>
  <c r="A195" i="14"/>
  <c r="C195" i="14" s="1"/>
  <c r="A196" i="14"/>
  <c r="A197" i="14"/>
  <c r="C197" i="14" s="1"/>
  <c r="A198" i="14"/>
  <c r="B198" i="14" s="1"/>
  <c r="A199" i="14"/>
  <c r="E199" i="14" s="1"/>
  <c r="A200" i="14"/>
  <c r="A201" i="14"/>
  <c r="A202" i="14"/>
  <c r="D202" i="14" s="1"/>
  <c r="A203" i="14"/>
  <c r="C203" i="14" s="1"/>
  <c r="A204" i="14"/>
  <c r="A205" i="14"/>
  <c r="C205" i="14" s="1"/>
  <c r="A206" i="14"/>
  <c r="B206" i="14" s="1"/>
  <c r="A207" i="14"/>
  <c r="E207" i="14" s="1"/>
  <c r="A208" i="14"/>
  <c r="A209" i="14"/>
  <c r="B209" i="14" s="1"/>
  <c r="A210" i="14"/>
  <c r="B210" i="14" s="1"/>
  <c r="A211" i="14"/>
  <c r="E211" i="14" s="1"/>
  <c r="A212" i="14"/>
  <c r="A213" i="14"/>
  <c r="A214" i="14"/>
  <c r="E214" i="14" s="1"/>
  <c r="A215" i="14"/>
  <c r="D215" i="14" s="1"/>
  <c r="A216" i="14"/>
  <c r="A217" i="14"/>
  <c r="E217" i="14" s="1"/>
  <c r="A218" i="14"/>
  <c r="E218" i="14" s="1"/>
  <c r="A220" i="14"/>
  <c r="F7" i="18"/>
  <c r="F34" i="18"/>
  <c r="F61" i="18"/>
  <c r="F62" i="18"/>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K211" i="6" s="1"/>
  <c r="A212" i="6"/>
  <c r="C212" i="6" s="1"/>
  <c r="A213" i="6"/>
  <c r="E213" i="6" s="1"/>
  <c r="A214" i="6"/>
  <c r="C214" i="6" s="1"/>
  <c r="A215" i="6"/>
  <c r="E215" i="6" s="1"/>
  <c r="A216" i="6"/>
  <c r="C216" i="6" s="1"/>
  <c r="A217" i="6"/>
  <c r="E217" i="6" s="1"/>
  <c r="A218" i="6"/>
  <c r="C218" i="6" s="1"/>
  <c r="A220" i="6"/>
  <c r="C220" i="6" s="1"/>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89" i="7"/>
  <c r="A190" i="7"/>
  <c r="H190" i="7" s="1"/>
  <c r="A191" i="7"/>
  <c r="N191" i="7" s="1"/>
  <c r="A192" i="7"/>
  <c r="H192" i="7" s="1"/>
  <c r="A193" i="7"/>
  <c r="A194" i="7"/>
  <c r="A195" i="7"/>
  <c r="F195" i="7" s="1"/>
  <c r="A196" i="7"/>
  <c r="L196" i="7" s="1"/>
  <c r="A197" i="7"/>
  <c r="J197" i="7" s="1"/>
  <c r="A198" i="7"/>
  <c r="H198" i="7" s="1"/>
  <c r="A199" i="7"/>
  <c r="N199" i="7" s="1"/>
  <c r="A200" i="7"/>
  <c r="D200" i="7" s="1"/>
  <c r="A201" i="7"/>
  <c r="A202" i="7"/>
  <c r="D202" i="7" s="1"/>
  <c r="A203" i="7"/>
  <c r="F203" i="7" s="1"/>
  <c r="A204" i="7"/>
  <c r="L204" i="7" s="1"/>
  <c r="A205" i="7"/>
  <c r="J205" i="7" s="1"/>
  <c r="A206" i="7"/>
  <c r="H206" i="7" s="1"/>
  <c r="A207" i="7"/>
  <c r="J207" i="7" s="1"/>
  <c r="A208" i="7"/>
  <c r="F208" i="7" s="1"/>
  <c r="A209" i="7"/>
  <c r="E209" i="7" s="1"/>
  <c r="A210" i="7"/>
  <c r="F210" i="7" s="1"/>
  <c r="A211" i="7"/>
  <c r="B211" i="7" s="1"/>
  <c r="A212" i="7"/>
  <c r="D212" i="7" s="1"/>
  <c r="A213" i="7"/>
  <c r="E213" i="7" s="1"/>
  <c r="A214" i="7"/>
  <c r="A215" i="7"/>
  <c r="A216" i="7"/>
  <c r="K216" i="7" s="1"/>
  <c r="A217" i="7"/>
  <c r="E217" i="7" s="1"/>
  <c r="A218" i="7"/>
  <c r="A220" i="7"/>
  <c r="G220" i="7" s="1"/>
  <c r="C189" i="3"/>
  <c r="G190" i="3"/>
  <c r="N191" i="3"/>
  <c r="C193" i="3"/>
  <c r="C194" i="3"/>
  <c r="N195" i="3"/>
  <c r="I196" i="3"/>
  <c r="C197" i="3"/>
  <c r="G198" i="3"/>
  <c r="D199" i="3"/>
  <c r="I200" i="3"/>
  <c r="C201" i="3"/>
  <c r="L202" i="3"/>
  <c r="I203" i="3"/>
  <c r="C205" i="3"/>
  <c r="P206" i="3"/>
  <c r="I207" i="3"/>
  <c r="B208" i="3"/>
  <c r="C209" i="3"/>
  <c r="L210" i="3"/>
  <c r="M211" i="3"/>
  <c r="O212" i="3"/>
  <c r="C213" i="3"/>
  <c r="C214" i="3"/>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R195" i="2" s="1"/>
  <c r="A196" i="2"/>
  <c r="A197" i="2"/>
  <c r="Q197" i="2" s="1"/>
  <c r="A198" i="2"/>
  <c r="C198" i="2" s="1"/>
  <c r="A199" i="2"/>
  <c r="H199" i="2" s="1"/>
  <c r="A200" i="2"/>
  <c r="A201" i="2"/>
  <c r="A202" i="2"/>
  <c r="M202" i="2" s="1"/>
  <c r="A203" i="2"/>
  <c r="E203" i="2" s="1"/>
  <c r="A204" i="2"/>
  <c r="A205" i="2"/>
  <c r="M205" i="2" s="1"/>
  <c r="A206" i="2"/>
  <c r="A207" i="2"/>
  <c r="C207" i="2" s="1"/>
  <c r="A208" i="2"/>
  <c r="E208" i="2" s="1"/>
  <c r="A209" i="2"/>
  <c r="B209" i="2" s="1"/>
  <c r="A210" i="2"/>
  <c r="L210" i="2" s="1"/>
  <c r="A211" i="2"/>
  <c r="R211" i="2" s="1"/>
  <c r="A212" i="2"/>
  <c r="A213" i="2"/>
  <c r="I213" i="2" s="1"/>
  <c r="A214" i="2"/>
  <c r="C214" i="2" s="1"/>
  <c r="A215" i="2"/>
  <c r="H215" i="2" s="1"/>
  <c r="A216" i="2"/>
  <c r="A217" i="2"/>
  <c r="R217" i="2" s="1"/>
  <c r="A218" i="2"/>
  <c r="E218" i="2" s="1"/>
  <c r="A219" i="2"/>
  <c r="E219" i="2" s="1"/>
  <c r="A220" i="2"/>
  <c r="Q220" i="2" s="1"/>
  <c r="A221" i="2"/>
  <c r="D221" i="2" s="1"/>
  <c r="A222" i="2"/>
  <c r="C222" i="2" s="1"/>
  <c r="K218" i="3" l="1"/>
  <c r="E219" i="3"/>
  <c r="K217" i="3"/>
  <c r="H217" i="3"/>
  <c r="K216" i="3"/>
  <c r="L207" i="7"/>
  <c r="I201" i="10"/>
  <c r="C215" i="2"/>
  <c r="D203" i="3"/>
  <c r="D214" i="14"/>
  <c r="F215" i="11"/>
  <c r="C210" i="3"/>
  <c r="Q195" i="3"/>
  <c r="E198" i="14"/>
  <c r="I218" i="10"/>
  <c r="F209" i="11"/>
  <c r="G214" i="3"/>
  <c r="M191" i="3"/>
  <c r="M211" i="7"/>
  <c r="E214" i="10"/>
  <c r="J200" i="11"/>
  <c r="N211" i="3"/>
  <c r="M207" i="3"/>
  <c r="Q199" i="3"/>
  <c r="E211" i="7"/>
  <c r="E210" i="14"/>
  <c r="G210" i="14" s="1"/>
  <c r="C194" i="14"/>
  <c r="O217" i="10"/>
  <c r="C213" i="10"/>
  <c r="K194" i="10"/>
  <c r="J213" i="11"/>
  <c r="B207" i="11"/>
  <c r="L194" i="3"/>
  <c r="O212" i="7"/>
  <c r="D192" i="7"/>
  <c r="E206" i="14"/>
  <c r="E190" i="14"/>
  <c r="G190" i="14" s="1"/>
  <c r="H215" i="10"/>
  <c r="C211" i="10"/>
  <c r="F205" i="11"/>
  <c r="P214" i="3"/>
  <c r="P198" i="3"/>
  <c r="G212" i="7"/>
  <c r="K208" i="7"/>
  <c r="D218" i="14"/>
  <c r="C202" i="14"/>
  <c r="N214" i="10"/>
  <c r="J217" i="11"/>
  <c r="F211" i="11"/>
  <c r="B203" i="11"/>
  <c r="C204" i="3"/>
  <c r="I204" i="3"/>
  <c r="C192" i="3"/>
  <c r="J192" i="3"/>
  <c r="I212" i="3"/>
  <c r="F208" i="3"/>
  <c r="J196" i="3"/>
  <c r="K196" i="3" s="1"/>
  <c r="B220" i="14"/>
  <c r="E220" i="14"/>
  <c r="C212" i="14"/>
  <c r="B212" i="14"/>
  <c r="F212" i="14"/>
  <c r="E204" i="14"/>
  <c r="D204" i="14"/>
  <c r="E196" i="14"/>
  <c r="D196" i="14"/>
  <c r="E188" i="14"/>
  <c r="D188" i="14"/>
  <c r="B211" i="3"/>
  <c r="I211" i="3"/>
  <c r="B207" i="3"/>
  <c r="D207" i="3"/>
  <c r="Q207" i="3"/>
  <c r="B203" i="3"/>
  <c r="N203" i="3"/>
  <c r="B199" i="3"/>
  <c r="M199" i="3"/>
  <c r="B195" i="3"/>
  <c r="I195" i="3"/>
  <c r="B191" i="3"/>
  <c r="D191" i="3"/>
  <c r="Q191" i="3"/>
  <c r="F212" i="3"/>
  <c r="D211" i="3"/>
  <c r="O208" i="3"/>
  <c r="N204" i="3"/>
  <c r="Q203" i="3"/>
  <c r="J200" i="3"/>
  <c r="K200" i="3" s="1"/>
  <c r="N199" i="3"/>
  <c r="M195" i="3"/>
  <c r="F192" i="3"/>
  <c r="I191" i="3"/>
  <c r="D220" i="7"/>
  <c r="B220" i="7"/>
  <c r="J220" i="7"/>
  <c r="C220" i="7"/>
  <c r="K220" i="7"/>
  <c r="F220" i="7"/>
  <c r="N220" i="7"/>
  <c r="D216" i="7"/>
  <c r="F216" i="7"/>
  <c r="N216" i="7"/>
  <c r="G216" i="7"/>
  <c r="O216" i="7"/>
  <c r="B216" i="7"/>
  <c r="J216" i="7"/>
  <c r="C216" i="7"/>
  <c r="E216" i="10"/>
  <c r="C208" i="3"/>
  <c r="J208" i="3"/>
  <c r="C196" i="3"/>
  <c r="B196" i="3"/>
  <c r="N196" i="3"/>
  <c r="C216" i="14"/>
  <c r="B216" i="14"/>
  <c r="F216" i="14"/>
  <c r="D208" i="14"/>
  <c r="C208" i="14"/>
  <c r="C200" i="14"/>
  <c r="B200" i="14"/>
  <c r="F200" i="14"/>
  <c r="C192" i="14"/>
  <c r="B192" i="14"/>
  <c r="F192" i="14"/>
  <c r="D214" i="3"/>
  <c r="E214" i="3" s="1"/>
  <c r="L214" i="3"/>
  <c r="D210" i="3"/>
  <c r="G210" i="3"/>
  <c r="D206" i="3"/>
  <c r="C206" i="3"/>
  <c r="D202" i="3"/>
  <c r="P202" i="3"/>
  <c r="D198" i="3"/>
  <c r="L198" i="3"/>
  <c r="D194" i="3"/>
  <c r="E194" i="3" s="1"/>
  <c r="G194" i="3"/>
  <c r="D190" i="3"/>
  <c r="C190" i="3"/>
  <c r="Q211" i="3"/>
  <c r="P210" i="3"/>
  <c r="N208" i="3"/>
  <c r="N207" i="3"/>
  <c r="L206" i="3"/>
  <c r="J204" i="3"/>
  <c r="M203" i="3"/>
  <c r="G202" i="3"/>
  <c r="I199" i="3"/>
  <c r="C198" i="3"/>
  <c r="F196" i="3"/>
  <c r="D195" i="3"/>
  <c r="O192" i="3"/>
  <c r="B192" i="3"/>
  <c r="P190" i="3"/>
  <c r="B215" i="7"/>
  <c r="D215" i="7"/>
  <c r="L215" i="7"/>
  <c r="E215" i="7"/>
  <c r="M215" i="7"/>
  <c r="H215" i="7"/>
  <c r="I215" i="7"/>
  <c r="E220" i="11"/>
  <c r="D220" i="11"/>
  <c r="H220" i="11"/>
  <c r="E216" i="11"/>
  <c r="L216" i="11"/>
  <c r="D216" i="11"/>
  <c r="E212" i="11"/>
  <c r="L212" i="11"/>
  <c r="D212" i="11"/>
  <c r="E208" i="11"/>
  <c r="H208" i="11"/>
  <c r="L208" i="11"/>
  <c r="E204" i="11"/>
  <c r="H204" i="11"/>
  <c r="L204" i="11"/>
  <c r="N196" i="11"/>
  <c r="B196" i="11"/>
  <c r="F192" i="11"/>
  <c r="J192" i="11"/>
  <c r="L220" i="11"/>
  <c r="D204" i="11"/>
  <c r="C212" i="3"/>
  <c r="B212" i="3"/>
  <c r="N212" i="3"/>
  <c r="C200" i="3"/>
  <c r="F200" i="3"/>
  <c r="O200" i="3"/>
  <c r="O204" i="3"/>
  <c r="B204" i="3"/>
  <c r="N200" i="3"/>
  <c r="I192" i="3"/>
  <c r="J212" i="3"/>
  <c r="I208" i="3"/>
  <c r="G206" i="3"/>
  <c r="F204" i="3"/>
  <c r="C202" i="3"/>
  <c r="E202" i="3" s="1"/>
  <c r="B200" i="3"/>
  <c r="O196" i="3"/>
  <c r="P194" i="3"/>
  <c r="N192" i="3"/>
  <c r="L190" i="3"/>
  <c r="C218" i="7"/>
  <c r="J218" i="7"/>
  <c r="N218" i="7"/>
  <c r="B218" i="7"/>
  <c r="C214" i="7"/>
  <c r="B214" i="7"/>
  <c r="F214" i="7"/>
  <c r="J214" i="7"/>
  <c r="C210" i="7"/>
  <c r="J210" i="7"/>
  <c r="N210" i="7"/>
  <c r="B210" i="7"/>
  <c r="D194" i="7"/>
  <c r="H194" i="7"/>
  <c r="H194" i="12" s="1"/>
  <c r="O220" i="7"/>
  <c r="F218" i="7"/>
  <c r="N214" i="7"/>
  <c r="H202" i="7"/>
  <c r="H202" i="12" s="1"/>
  <c r="D208" i="11"/>
  <c r="N212" i="7"/>
  <c r="F212" i="7"/>
  <c r="L211" i="7"/>
  <c r="D211" i="7"/>
  <c r="J208" i="7"/>
  <c r="B207" i="7"/>
  <c r="H200" i="7"/>
  <c r="H200" i="12" s="1"/>
  <c r="J195" i="7"/>
  <c r="B191" i="7"/>
  <c r="F209" i="14"/>
  <c r="N218" i="10"/>
  <c r="F218" i="10"/>
  <c r="K217" i="10"/>
  <c r="O215" i="10"/>
  <c r="G215" i="10"/>
  <c r="M214" i="10"/>
  <c r="O213" i="10"/>
  <c r="O211" i="10"/>
  <c r="M210" i="10"/>
  <c r="C206" i="10"/>
  <c r="I193" i="10"/>
  <c r="F217" i="11"/>
  <c r="B215" i="11"/>
  <c r="F213" i="11"/>
  <c r="B211" i="11"/>
  <c r="B209" i="11"/>
  <c r="N207" i="11"/>
  <c r="H206" i="11"/>
  <c r="B205" i="11"/>
  <c r="N203" i="11"/>
  <c r="N201" i="11"/>
  <c r="H199" i="11"/>
  <c r="K212" i="7"/>
  <c r="C212" i="7"/>
  <c r="I211" i="7"/>
  <c r="O208" i="7"/>
  <c r="G208" i="7"/>
  <c r="G198" i="14"/>
  <c r="F203" i="14"/>
  <c r="F195" i="14"/>
  <c r="M218" i="10"/>
  <c r="E218" i="10"/>
  <c r="G217" i="10"/>
  <c r="L215" i="10"/>
  <c r="D215" i="10"/>
  <c r="J214" i="10"/>
  <c r="K213" i="10"/>
  <c r="K211" i="10"/>
  <c r="H210" i="10"/>
  <c r="C198" i="10"/>
  <c r="B217" i="11"/>
  <c r="N215" i="11"/>
  <c r="H214" i="11"/>
  <c r="B213" i="11"/>
  <c r="N211" i="11"/>
  <c r="N209" i="11"/>
  <c r="J207" i="11"/>
  <c r="N205" i="11"/>
  <c r="J203" i="11"/>
  <c r="J201" i="11"/>
  <c r="J212" i="7"/>
  <c r="B212" i="7"/>
  <c r="H211" i="7"/>
  <c r="N208" i="7"/>
  <c r="J203" i="7"/>
  <c r="B199" i="7"/>
  <c r="C215" i="14"/>
  <c r="D211" i="14"/>
  <c r="D207" i="14"/>
  <c r="B203" i="14"/>
  <c r="D199" i="14"/>
  <c r="B195" i="14"/>
  <c r="D191" i="14"/>
  <c r="J218" i="10"/>
  <c r="B218" i="10"/>
  <c r="C217" i="10"/>
  <c r="K215" i="10"/>
  <c r="C215" i="10"/>
  <c r="I214" i="10"/>
  <c r="G213" i="10"/>
  <c r="G211" i="10"/>
  <c r="I209" i="10"/>
  <c r="K202" i="10"/>
  <c r="C190" i="10"/>
  <c r="N217" i="11"/>
  <c r="J215" i="11"/>
  <c r="N213" i="11"/>
  <c r="J211" i="11"/>
  <c r="J209" i="11"/>
  <c r="F207" i="11"/>
  <c r="J205" i="11"/>
  <c r="F203" i="11"/>
  <c r="H191" i="11"/>
  <c r="O213" i="3"/>
  <c r="J213" i="3"/>
  <c r="F213" i="3"/>
  <c r="B213" i="3"/>
  <c r="J209" i="3"/>
  <c r="J205" i="3"/>
  <c r="F205" i="3"/>
  <c r="B205" i="3"/>
  <c r="J201" i="3"/>
  <c r="J189" i="3"/>
  <c r="F189" i="3"/>
  <c r="C201" i="7"/>
  <c r="G201" i="7"/>
  <c r="K201" i="7"/>
  <c r="J201" i="12" s="1"/>
  <c r="O201" i="7"/>
  <c r="D201" i="7"/>
  <c r="H201" i="7"/>
  <c r="H201" i="12" s="1"/>
  <c r="L201" i="7"/>
  <c r="K201" i="12" s="1"/>
  <c r="E201" i="7"/>
  <c r="I201" i="7"/>
  <c r="I201" i="12" s="1"/>
  <c r="M201" i="7"/>
  <c r="C193" i="7"/>
  <c r="G193" i="7"/>
  <c r="K193" i="7"/>
  <c r="J193" i="12" s="1"/>
  <c r="O193" i="7"/>
  <c r="D193" i="7"/>
  <c r="H193" i="7"/>
  <c r="H193" i="12" s="1"/>
  <c r="L193" i="7"/>
  <c r="K193" i="12" s="1"/>
  <c r="E193" i="7"/>
  <c r="I193" i="7"/>
  <c r="I193" i="12" s="1"/>
  <c r="M193" i="7"/>
  <c r="L217" i="7"/>
  <c r="H217" i="7"/>
  <c r="D217" i="7"/>
  <c r="L209" i="7"/>
  <c r="H209" i="7"/>
  <c r="D209" i="7"/>
  <c r="N205" i="7"/>
  <c r="O214" i="3"/>
  <c r="J214" i="3"/>
  <c r="F214" i="3"/>
  <c r="H214" i="3" s="1"/>
  <c r="B214" i="3"/>
  <c r="N213" i="3"/>
  <c r="I213" i="3"/>
  <c r="Q212" i="3"/>
  <c r="M212" i="3"/>
  <c r="D212" i="3"/>
  <c r="E212" i="3" s="1"/>
  <c r="P211" i="3"/>
  <c r="L211" i="3"/>
  <c r="G211" i="3"/>
  <c r="C211" i="3"/>
  <c r="O210" i="3"/>
  <c r="J210" i="3"/>
  <c r="F210" i="3"/>
  <c r="B210" i="3"/>
  <c r="N209" i="3"/>
  <c r="I209" i="3"/>
  <c r="K209" i="3" s="1"/>
  <c r="Q208" i="3"/>
  <c r="M208" i="3"/>
  <c r="D208" i="3"/>
  <c r="P207" i="3"/>
  <c r="L207" i="3"/>
  <c r="G207" i="3"/>
  <c r="C207" i="3"/>
  <c r="O206" i="3"/>
  <c r="J206" i="3"/>
  <c r="F206" i="3"/>
  <c r="B206" i="3"/>
  <c r="N205" i="3"/>
  <c r="I205" i="3"/>
  <c r="Q204" i="3"/>
  <c r="M204" i="3"/>
  <c r="D204" i="3"/>
  <c r="P203" i="3"/>
  <c r="L203" i="3"/>
  <c r="G203" i="3"/>
  <c r="C203" i="3"/>
  <c r="E203" i="3" s="1"/>
  <c r="O202" i="3"/>
  <c r="J202" i="3"/>
  <c r="F202" i="3"/>
  <c r="B202" i="3"/>
  <c r="N201" i="3"/>
  <c r="I201" i="3"/>
  <c r="Q200" i="3"/>
  <c r="M200" i="3"/>
  <c r="D200" i="3"/>
  <c r="P199" i="3"/>
  <c r="L199" i="3"/>
  <c r="G199" i="3"/>
  <c r="C199" i="3"/>
  <c r="E199" i="3" s="1"/>
  <c r="O198" i="3"/>
  <c r="J198" i="3"/>
  <c r="F198" i="3"/>
  <c r="H198" i="3" s="1"/>
  <c r="B198" i="3"/>
  <c r="N197" i="3"/>
  <c r="I197" i="3"/>
  <c r="Q196" i="3"/>
  <c r="M196" i="3"/>
  <c r="D196" i="3"/>
  <c r="P195" i="3"/>
  <c r="L195" i="3"/>
  <c r="G195" i="3"/>
  <c r="C195" i="3"/>
  <c r="E195" i="3" s="1"/>
  <c r="O194" i="3"/>
  <c r="J194" i="3"/>
  <c r="F194" i="3"/>
  <c r="B194" i="3"/>
  <c r="N193" i="3"/>
  <c r="I193" i="3"/>
  <c r="Q192" i="3"/>
  <c r="M192" i="3"/>
  <c r="D192" i="3"/>
  <c r="P191" i="3"/>
  <c r="L191" i="3"/>
  <c r="G191" i="3"/>
  <c r="C191" i="3"/>
  <c r="O190" i="3"/>
  <c r="J190" i="3"/>
  <c r="F190" i="3"/>
  <c r="H190" i="3" s="1"/>
  <c r="B190" i="3"/>
  <c r="N189" i="3"/>
  <c r="I189" i="3"/>
  <c r="E208" i="7"/>
  <c r="C208" i="7"/>
  <c r="E204" i="7"/>
  <c r="I204" i="7"/>
  <c r="I204" i="12" s="1"/>
  <c r="M204" i="7"/>
  <c r="B204" i="7"/>
  <c r="F204" i="7"/>
  <c r="J204" i="7"/>
  <c r="N204" i="7"/>
  <c r="C204" i="7"/>
  <c r="G204" i="7"/>
  <c r="K204" i="7"/>
  <c r="J204" i="12" s="1"/>
  <c r="O204" i="7"/>
  <c r="E200" i="7"/>
  <c r="I200" i="7"/>
  <c r="I200" i="12" s="1"/>
  <c r="M200" i="7"/>
  <c r="B200" i="7"/>
  <c r="F200" i="7"/>
  <c r="J200" i="7"/>
  <c r="N200" i="7"/>
  <c r="C200" i="7"/>
  <c r="G200" i="7"/>
  <c r="K200" i="7"/>
  <c r="J200" i="12" s="1"/>
  <c r="O200" i="7"/>
  <c r="E196" i="7"/>
  <c r="I196" i="7"/>
  <c r="I196" i="12" s="1"/>
  <c r="M196" i="7"/>
  <c r="B196" i="7"/>
  <c r="F196" i="7"/>
  <c r="J196" i="7"/>
  <c r="N196" i="7"/>
  <c r="C196" i="7"/>
  <c r="G196" i="7"/>
  <c r="K196" i="7"/>
  <c r="O196" i="7"/>
  <c r="E192" i="7"/>
  <c r="I192" i="7"/>
  <c r="I192" i="12" s="1"/>
  <c r="M192" i="7"/>
  <c r="B192" i="7"/>
  <c r="F192" i="7"/>
  <c r="J192" i="7"/>
  <c r="N192" i="7"/>
  <c r="C192" i="7"/>
  <c r="G192" i="7"/>
  <c r="K192" i="7"/>
  <c r="J192" i="12" s="1"/>
  <c r="O192" i="7"/>
  <c r="M220" i="7"/>
  <c r="I220" i="7"/>
  <c r="E220" i="7"/>
  <c r="M218" i="7"/>
  <c r="I218" i="7"/>
  <c r="E218" i="7"/>
  <c r="O217" i="7"/>
  <c r="K217" i="7"/>
  <c r="G217" i="7"/>
  <c r="C217" i="7"/>
  <c r="M216" i="7"/>
  <c r="I216" i="7"/>
  <c r="E216" i="7"/>
  <c r="O215" i="7"/>
  <c r="K215" i="7"/>
  <c r="G215" i="7"/>
  <c r="C215" i="7"/>
  <c r="M214" i="7"/>
  <c r="I214" i="7"/>
  <c r="E214" i="7"/>
  <c r="O213" i="7"/>
  <c r="K213" i="7"/>
  <c r="G213" i="7"/>
  <c r="C213" i="7"/>
  <c r="M212" i="7"/>
  <c r="I212" i="7"/>
  <c r="E212" i="7"/>
  <c r="O211" i="7"/>
  <c r="K211" i="7"/>
  <c r="G211" i="7"/>
  <c r="C211" i="7"/>
  <c r="M210" i="7"/>
  <c r="I210" i="7"/>
  <c r="E210" i="7"/>
  <c r="O209" i="7"/>
  <c r="K209" i="7"/>
  <c r="G209" i="7"/>
  <c r="C209" i="7"/>
  <c r="M208" i="7"/>
  <c r="I208" i="7"/>
  <c r="D208" i="7"/>
  <c r="L206" i="7"/>
  <c r="K206" i="12" s="1"/>
  <c r="H204" i="7"/>
  <c r="H204" i="12" s="1"/>
  <c r="B201" i="7"/>
  <c r="L198" i="7"/>
  <c r="K198" i="12" s="1"/>
  <c r="H196" i="7"/>
  <c r="H196" i="12" s="1"/>
  <c r="B193" i="7"/>
  <c r="L190" i="7"/>
  <c r="M220" i="10"/>
  <c r="M212" i="10"/>
  <c r="O209" i="3"/>
  <c r="F209" i="3"/>
  <c r="B209" i="3"/>
  <c r="O201" i="3"/>
  <c r="F201" i="3"/>
  <c r="B201" i="3"/>
  <c r="O197" i="3"/>
  <c r="J197" i="3"/>
  <c r="F197" i="3"/>
  <c r="B197" i="3"/>
  <c r="O193" i="3"/>
  <c r="J193" i="3"/>
  <c r="F193" i="3"/>
  <c r="B193" i="3"/>
  <c r="O189" i="3"/>
  <c r="B189" i="3"/>
  <c r="C205" i="7"/>
  <c r="G205" i="7"/>
  <c r="K205" i="7"/>
  <c r="J205" i="12" s="1"/>
  <c r="O205" i="7"/>
  <c r="D205" i="7"/>
  <c r="H205" i="7"/>
  <c r="H205" i="12" s="1"/>
  <c r="L205" i="7"/>
  <c r="K205" i="12" s="1"/>
  <c r="E205" i="7"/>
  <c r="I205" i="7"/>
  <c r="I205" i="12" s="1"/>
  <c r="M205" i="7"/>
  <c r="C197" i="7"/>
  <c r="G197" i="7"/>
  <c r="K197" i="7"/>
  <c r="J197" i="12" s="1"/>
  <c r="O197" i="7"/>
  <c r="D197" i="7"/>
  <c r="H197" i="7"/>
  <c r="L197" i="7"/>
  <c r="K197" i="12" s="1"/>
  <c r="E197" i="7"/>
  <c r="I197" i="7"/>
  <c r="I197" i="12" s="1"/>
  <c r="M197" i="7"/>
  <c r="L213" i="7"/>
  <c r="H213" i="7"/>
  <c r="D213" i="7"/>
  <c r="F201" i="7"/>
  <c r="N197" i="7"/>
  <c r="F193" i="7"/>
  <c r="N214" i="3"/>
  <c r="I214" i="3"/>
  <c r="Q213" i="3"/>
  <c r="M213" i="3"/>
  <c r="D213" i="3"/>
  <c r="E213" i="3" s="1"/>
  <c r="P212" i="3"/>
  <c r="L212" i="3"/>
  <c r="G212" i="3"/>
  <c r="O211" i="3"/>
  <c r="J211" i="3"/>
  <c r="K211" i="3" s="1"/>
  <c r="F211" i="3"/>
  <c r="N210" i="3"/>
  <c r="I210" i="3"/>
  <c r="Q209" i="3"/>
  <c r="M209" i="3"/>
  <c r="D209" i="3"/>
  <c r="E209" i="3" s="1"/>
  <c r="P208" i="3"/>
  <c r="L208" i="3"/>
  <c r="G208" i="3"/>
  <c r="O207" i="3"/>
  <c r="J207" i="3"/>
  <c r="K207" i="3" s="1"/>
  <c r="F207" i="3"/>
  <c r="N206" i="3"/>
  <c r="I206" i="3"/>
  <c r="Q205" i="3"/>
  <c r="M205" i="3"/>
  <c r="D205" i="3"/>
  <c r="E205" i="3" s="1"/>
  <c r="P204" i="3"/>
  <c r="L204" i="3"/>
  <c r="G204" i="3"/>
  <c r="O203" i="3"/>
  <c r="J203" i="3"/>
  <c r="K203" i="3" s="1"/>
  <c r="F203" i="3"/>
  <c r="N202" i="3"/>
  <c r="I202" i="3"/>
  <c r="Q201" i="3"/>
  <c r="M201" i="3"/>
  <c r="D201" i="3"/>
  <c r="E201" i="3" s="1"/>
  <c r="P200" i="3"/>
  <c r="L200" i="3"/>
  <c r="G200" i="3"/>
  <c r="O199" i="3"/>
  <c r="J199" i="3"/>
  <c r="F199" i="3"/>
  <c r="N198" i="3"/>
  <c r="I198" i="3"/>
  <c r="Q197" i="3"/>
  <c r="M197" i="3"/>
  <c r="D197" i="3"/>
  <c r="E197" i="3" s="1"/>
  <c r="P196" i="3"/>
  <c r="L196" i="3"/>
  <c r="G196" i="3"/>
  <c r="O195" i="3"/>
  <c r="J195" i="3"/>
  <c r="F195" i="3"/>
  <c r="N194" i="3"/>
  <c r="I194" i="3"/>
  <c r="Q193" i="3"/>
  <c r="M193" i="3"/>
  <c r="D193" i="3"/>
  <c r="E193" i="3" s="1"/>
  <c r="P192" i="3"/>
  <c r="L192" i="3"/>
  <c r="G192" i="3"/>
  <c r="O191" i="3"/>
  <c r="J191" i="3"/>
  <c r="F191" i="3"/>
  <c r="N190" i="3"/>
  <c r="I190" i="3"/>
  <c r="Q189" i="3"/>
  <c r="M189" i="3"/>
  <c r="D189" i="3"/>
  <c r="E189" i="3" s="1"/>
  <c r="C207" i="7"/>
  <c r="G207" i="7"/>
  <c r="K207" i="7"/>
  <c r="O207" i="7"/>
  <c r="D207" i="7"/>
  <c r="E207" i="7"/>
  <c r="I207" i="7"/>
  <c r="M207" i="7"/>
  <c r="C203" i="7"/>
  <c r="G203" i="7"/>
  <c r="K203" i="7"/>
  <c r="J203" i="12" s="1"/>
  <c r="O203" i="7"/>
  <c r="D203" i="7"/>
  <c r="H203" i="7"/>
  <c r="H203" i="12" s="1"/>
  <c r="L203" i="7"/>
  <c r="K203" i="12" s="1"/>
  <c r="E203" i="7"/>
  <c r="I203" i="7"/>
  <c r="I203" i="12" s="1"/>
  <c r="M203" i="7"/>
  <c r="C199" i="7"/>
  <c r="G199" i="7"/>
  <c r="K199" i="7"/>
  <c r="J199" i="12" s="1"/>
  <c r="O199" i="7"/>
  <c r="D199" i="7"/>
  <c r="H199" i="7"/>
  <c r="H199" i="12" s="1"/>
  <c r="L199" i="7"/>
  <c r="K199" i="12" s="1"/>
  <c r="E199" i="7"/>
  <c r="I199" i="7"/>
  <c r="I199" i="12" s="1"/>
  <c r="M199" i="7"/>
  <c r="C195" i="7"/>
  <c r="G195" i="7"/>
  <c r="K195" i="7"/>
  <c r="J195" i="12" s="1"/>
  <c r="O195" i="7"/>
  <c r="D195" i="7"/>
  <c r="H195" i="7"/>
  <c r="H195" i="12" s="1"/>
  <c r="L195" i="7"/>
  <c r="E195" i="7"/>
  <c r="I195" i="7"/>
  <c r="I195" i="12" s="1"/>
  <c r="M195" i="7"/>
  <c r="C191" i="7"/>
  <c r="G191" i="7"/>
  <c r="K191" i="7"/>
  <c r="J191" i="12" s="1"/>
  <c r="O191" i="7"/>
  <c r="D191" i="7"/>
  <c r="H191" i="7"/>
  <c r="H191" i="12" s="1"/>
  <c r="L191" i="7"/>
  <c r="K191" i="12" s="1"/>
  <c r="E191" i="7"/>
  <c r="I191" i="7"/>
  <c r="I191" i="12" s="1"/>
  <c r="M191" i="7"/>
  <c r="L220" i="7"/>
  <c r="H220" i="7"/>
  <c r="L218" i="7"/>
  <c r="H218" i="7"/>
  <c r="D218" i="7"/>
  <c r="N217" i="7"/>
  <c r="J217" i="7"/>
  <c r="F217" i="7"/>
  <c r="B217" i="7"/>
  <c r="L216" i="7"/>
  <c r="H216" i="7"/>
  <c r="N215" i="7"/>
  <c r="J215" i="7"/>
  <c r="F215" i="7"/>
  <c r="L214" i="7"/>
  <c r="H214" i="7"/>
  <c r="D214" i="7"/>
  <c r="N213" i="7"/>
  <c r="J213" i="7"/>
  <c r="F213" i="7"/>
  <c r="B213" i="7"/>
  <c r="L212" i="7"/>
  <c r="H212" i="7"/>
  <c r="N211" i="7"/>
  <c r="J211" i="7"/>
  <c r="F211" i="7"/>
  <c r="L210" i="7"/>
  <c r="H210" i="7"/>
  <c r="D210" i="7"/>
  <c r="N209" i="7"/>
  <c r="J209" i="7"/>
  <c r="F209" i="7"/>
  <c r="B209" i="7"/>
  <c r="L208" i="7"/>
  <c r="H208" i="7"/>
  <c r="B208" i="7"/>
  <c r="H207" i="7"/>
  <c r="F205" i="7"/>
  <c r="D204" i="7"/>
  <c r="B203" i="7"/>
  <c r="N201" i="7"/>
  <c r="L200" i="7"/>
  <c r="K200" i="12" s="1"/>
  <c r="J199" i="7"/>
  <c r="F197" i="7"/>
  <c r="D196" i="7"/>
  <c r="B195" i="7"/>
  <c r="N193" i="7"/>
  <c r="L192" i="7"/>
  <c r="K192" i="12" s="1"/>
  <c r="J191" i="7"/>
  <c r="G206" i="14"/>
  <c r="O205" i="3"/>
  <c r="P221" i="2"/>
  <c r="Q214" i="3"/>
  <c r="M214" i="3"/>
  <c r="P213" i="3"/>
  <c r="L213" i="3"/>
  <c r="G213" i="3"/>
  <c r="Q210" i="3"/>
  <c r="M210" i="3"/>
  <c r="P209" i="3"/>
  <c r="L209" i="3"/>
  <c r="G209" i="3"/>
  <c r="Q206" i="3"/>
  <c r="M206" i="3"/>
  <c r="P205" i="3"/>
  <c r="L205" i="3"/>
  <c r="G205" i="3"/>
  <c r="Q202" i="3"/>
  <c r="M202" i="3"/>
  <c r="P201" i="3"/>
  <c r="L201" i="3"/>
  <c r="G201" i="3"/>
  <c r="Q198" i="3"/>
  <c r="M198" i="3"/>
  <c r="P197" i="3"/>
  <c r="L197" i="3"/>
  <c r="G197" i="3"/>
  <c r="Q194" i="3"/>
  <c r="M194" i="3"/>
  <c r="P193" i="3"/>
  <c r="L193" i="3"/>
  <c r="G193" i="3"/>
  <c r="Q190" i="3"/>
  <c r="M190" i="3"/>
  <c r="P189" i="3"/>
  <c r="L189" i="3"/>
  <c r="G189" i="3"/>
  <c r="E206" i="7"/>
  <c r="I206" i="7"/>
  <c r="I206" i="12" s="1"/>
  <c r="M206" i="7"/>
  <c r="B206" i="7"/>
  <c r="F206" i="7"/>
  <c r="J206" i="7"/>
  <c r="N206" i="7"/>
  <c r="C206" i="7"/>
  <c r="G206" i="7"/>
  <c r="K206" i="7"/>
  <c r="J206" i="12" s="1"/>
  <c r="O206" i="7"/>
  <c r="E202" i="7"/>
  <c r="I202" i="7"/>
  <c r="I202" i="12" s="1"/>
  <c r="M202" i="7"/>
  <c r="B202" i="7"/>
  <c r="F202" i="7"/>
  <c r="J202" i="7"/>
  <c r="N202" i="7"/>
  <c r="C202" i="7"/>
  <c r="G202" i="7"/>
  <c r="K202" i="7"/>
  <c r="J202" i="12" s="1"/>
  <c r="O202" i="7"/>
  <c r="E198" i="7"/>
  <c r="I198" i="7"/>
  <c r="I198" i="12" s="1"/>
  <c r="M198" i="7"/>
  <c r="B198" i="7"/>
  <c r="F198" i="7"/>
  <c r="J198" i="7"/>
  <c r="N198" i="7"/>
  <c r="C198" i="7"/>
  <c r="G198" i="7"/>
  <c r="K198" i="7"/>
  <c r="J198" i="12" s="1"/>
  <c r="O198" i="7"/>
  <c r="E194" i="7"/>
  <c r="I194" i="7"/>
  <c r="M194" i="7"/>
  <c r="B194" i="7"/>
  <c r="F194" i="7"/>
  <c r="J194" i="7"/>
  <c r="N194" i="7"/>
  <c r="C194" i="7"/>
  <c r="G194" i="7"/>
  <c r="K194" i="7"/>
  <c r="J194" i="12" s="1"/>
  <c r="O194" i="7"/>
  <c r="E190" i="7"/>
  <c r="I190" i="7"/>
  <c r="I190" i="12" s="1"/>
  <c r="M190" i="7"/>
  <c r="B190" i="7"/>
  <c r="F190" i="7"/>
  <c r="J190" i="7"/>
  <c r="N190" i="7"/>
  <c r="C190" i="7"/>
  <c r="G190" i="7"/>
  <c r="K190" i="7"/>
  <c r="J190" i="12" s="1"/>
  <c r="O190" i="7"/>
  <c r="O218" i="7"/>
  <c r="K218" i="7"/>
  <c r="G218" i="7"/>
  <c r="M217" i="7"/>
  <c r="I217" i="7"/>
  <c r="O214" i="7"/>
  <c r="K214" i="7"/>
  <c r="G214" i="7"/>
  <c r="M213" i="7"/>
  <c r="I213" i="7"/>
  <c r="O210" i="7"/>
  <c r="K210" i="7"/>
  <c r="G210" i="7"/>
  <c r="M209" i="7"/>
  <c r="I209" i="7"/>
  <c r="N207" i="7"/>
  <c r="F207" i="7"/>
  <c r="D206" i="7"/>
  <c r="B205" i="7"/>
  <c r="N203" i="7"/>
  <c r="L202" i="7"/>
  <c r="K202" i="12" s="1"/>
  <c r="J201" i="7"/>
  <c r="F199" i="7"/>
  <c r="D198" i="7"/>
  <c r="B197" i="7"/>
  <c r="N195" i="7"/>
  <c r="L194" i="7"/>
  <c r="K194" i="12" s="1"/>
  <c r="J193" i="7"/>
  <c r="F191" i="7"/>
  <c r="D190" i="7"/>
  <c r="B217" i="14"/>
  <c r="G217" i="14" s="1"/>
  <c r="F217" i="14"/>
  <c r="C217" i="14"/>
  <c r="D217" i="14"/>
  <c r="B213" i="14"/>
  <c r="F213" i="14"/>
  <c r="C213" i="14"/>
  <c r="D213" i="14"/>
  <c r="C209" i="14"/>
  <c r="D209" i="14"/>
  <c r="E209" i="14"/>
  <c r="G209" i="14" s="1"/>
  <c r="D205" i="14"/>
  <c r="E205" i="14"/>
  <c r="B205" i="14"/>
  <c r="F205" i="14"/>
  <c r="B201" i="14"/>
  <c r="F201" i="14"/>
  <c r="C201" i="14"/>
  <c r="D201" i="14"/>
  <c r="D197" i="14"/>
  <c r="E197" i="14"/>
  <c r="B197" i="14"/>
  <c r="F197" i="14"/>
  <c r="B193" i="14"/>
  <c r="G193" i="14" s="1"/>
  <c r="F193" i="14"/>
  <c r="C193" i="14"/>
  <c r="D193" i="14"/>
  <c r="D189" i="14"/>
  <c r="E189" i="14"/>
  <c r="B189" i="14"/>
  <c r="F189" i="14"/>
  <c r="E213" i="14"/>
  <c r="E201" i="14"/>
  <c r="B220" i="10"/>
  <c r="F220" i="10"/>
  <c r="J220" i="10"/>
  <c r="N220" i="10"/>
  <c r="C220" i="10"/>
  <c r="G220" i="10"/>
  <c r="K220" i="10"/>
  <c r="O220" i="10"/>
  <c r="D220" i="10"/>
  <c r="H220" i="10"/>
  <c r="L220" i="10"/>
  <c r="B216" i="10"/>
  <c r="F216" i="10"/>
  <c r="J216" i="10"/>
  <c r="N216" i="10"/>
  <c r="C216" i="10"/>
  <c r="G216" i="10"/>
  <c r="K216" i="10"/>
  <c r="O216" i="10"/>
  <c r="D216" i="10"/>
  <c r="H216" i="10"/>
  <c r="L216" i="10"/>
  <c r="B212" i="10"/>
  <c r="F212" i="10"/>
  <c r="J212" i="10"/>
  <c r="N212" i="10"/>
  <c r="C212" i="10"/>
  <c r="G212" i="10"/>
  <c r="K212" i="10"/>
  <c r="O212" i="10"/>
  <c r="D212" i="10"/>
  <c r="H212" i="10"/>
  <c r="L212" i="10"/>
  <c r="D208" i="10"/>
  <c r="H208" i="10"/>
  <c r="L208" i="10"/>
  <c r="E208" i="10"/>
  <c r="I208" i="10"/>
  <c r="M208" i="10"/>
  <c r="B208" i="10"/>
  <c r="F208" i="10"/>
  <c r="J208" i="10"/>
  <c r="N208" i="10"/>
  <c r="K208" i="10"/>
  <c r="O208" i="10"/>
  <c r="C208" i="10"/>
  <c r="D204" i="10"/>
  <c r="H204" i="10"/>
  <c r="L204" i="10"/>
  <c r="E204" i="10"/>
  <c r="I204" i="10"/>
  <c r="M204" i="10"/>
  <c r="B204" i="10"/>
  <c r="F204" i="10"/>
  <c r="J204" i="10"/>
  <c r="N204" i="10"/>
  <c r="C204" i="10"/>
  <c r="G204" i="10"/>
  <c r="K204" i="10"/>
  <c r="D200" i="10"/>
  <c r="H200" i="10"/>
  <c r="L200" i="10"/>
  <c r="E200" i="10"/>
  <c r="I200" i="10"/>
  <c r="M200" i="10"/>
  <c r="B200" i="10"/>
  <c r="F200" i="10"/>
  <c r="J200" i="10"/>
  <c r="N200" i="10"/>
  <c r="K200" i="10"/>
  <c r="O200" i="10"/>
  <c r="C200" i="10"/>
  <c r="D196" i="10"/>
  <c r="H196" i="10"/>
  <c r="L196" i="10"/>
  <c r="E196" i="10"/>
  <c r="I196" i="10"/>
  <c r="M196" i="10"/>
  <c r="B196" i="10"/>
  <c r="F196" i="10"/>
  <c r="J196" i="10"/>
  <c r="N196" i="10"/>
  <c r="C196" i="10"/>
  <c r="G196" i="10"/>
  <c r="K196" i="10"/>
  <c r="D192" i="10"/>
  <c r="H192" i="10"/>
  <c r="L192" i="10"/>
  <c r="E192" i="10"/>
  <c r="I192" i="10"/>
  <c r="M192" i="10"/>
  <c r="B192" i="10"/>
  <c r="F192" i="10"/>
  <c r="J192" i="10"/>
  <c r="N192" i="10"/>
  <c r="K192" i="10"/>
  <c r="O192" i="10"/>
  <c r="C192" i="10"/>
  <c r="E220" i="10"/>
  <c r="I216" i="10"/>
  <c r="E212" i="10"/>
  <c r="G208" i="10"/>
  <c r="D220" i="14"/>
  <c r="C218" i="14"/>
  <c r="E216" i="14"/>
  <c r="F215" i="14"/>
  <c r="B215" i="14"/>
  <c r="C214" i="14"/>
  <c r="E212" i="14"/>
  <c r="C211" i="14"/>
  <c r="D210" i="14"/>
  <c r="F208" i="14"/>
  <c r="B208" i="14"/>
  <c r="C207" i="14"/>
  <c r="D206" i="14"/>
  <c r="C204" i="14"/>
  <c r="E203" i="14"/>
  <c r="F202" i="14"/>
  <c r="B202" i="14"/>
  <c r="E200" i="14"/>
  <c r="C199" i="14"/>
  <c r="D198" i="14"/>
  <c r="C196" i="14"/>
  <c r="E195" i="14"/>
  <c r="F194" i="14"/>
  <c r="B194" i="14"/>
  <c r="E192" i="14"/>
  <c r="C191" i="14"/>
  <c r="D190" i="14"/>
  <c r="C188" i="14"/>
  <c r="B207" i="10"/>
  <c r="F207" i="10"/>
  <c r="J207" i="10"/>
  <c r="N207" i="10"/>
  <c r="C207" i="10"/>
  <c r="G207" i="10"/>
  <c r="K207" i="10"/>
  <c r="O207" i="10"/>
  <c r="D207" i="10"/>
  <c r="H207" i="10"/>
  <c r="L207" i="10"/>
  <c r="B203" i="10"/>
  <c r="F203" i="10"/>
  <c r="J203" i="10"/>
  <c r="N203" i="10"/>
  <c r="C203" i="10"/>
  <c r="G203" i="10"/>
  <c r="K203" i="10"/>
  <c r="O203" i="10"/>
  <c r="D203" i="10"/>
  <c r="H203" i="10"/>
  <c r="L203" i="10"/>
  <c r="B199" i="10"/>
  <c r="F199" i="10"/>
  <c r="J199" i="10"/>
  <c r="N199" i="10"/>
  <c r="C199" i="10"/>
  <c r="G199" i="10"/>
  <c r="K199" i="10"/>
  <c r="O199" i="10"/>
  <c r="D199" i="10"/>
  <c r="H199" i="10"/>
  <c r="L199" i="10"/>
  <c r="B195" i="10"/>
  <c r="F195" i="10"/>
  <c r="J195" i="10"/>
  <c r="N195" i="10"/>
  <c r="C195" i="10"/>
  <c r="G195" i="10"/>
  <c r="K195" i="10"/>
  <c r="O195" i="10"/>
  <c r="D195" i="10"/>
  <c r="H195" i="10"/>
  <c r="L195" i="10"/>
  <c r="B191" i="10"/>
  <c r="F191" i="10"/>
  <c r="J191" i="10"/>
  <c r="N191" i="10"/>
  <c r="C191" i="10"/>
  <c r="G191" i="10"/>
  <c r="K191" i="10"/>
  <c r="O191" i="10"/>
  <c r="D191" i="10"/>
  <c r="H191" i="10"/>
  <c r="L191" i="10"/>
  <c r="L218" i="10"/>
  <c r="H218" i="10"/>
  <c r="D218" i="10"/>
  <c r="N217" i="10"/>
  <c r="J217" i="10"/>
  <c r="F217" i="10"/>
  <c r="B217" i="10"/>
  <c r="N215" i="10"/>
  <c r="J215" i="10"/>
  <c r="F215" i="10"/>
  <c r="B215" i="10"/>
  <c r="L214" i="10"/>
  <c r="H214" i="10"/>
  <c r="D214" i="10"/>
  <c r="N213" i="10"/>
  <c r="J213" i="10"/>
  <c r="F213" i="10"/>
  <c r="B213" i="10"/>
  <c r="N211" i="10"/>
  <c r="J211" i="10"/>
  <c r="F211" i="10"/>
  <c r="B211" i="10"/>
  <c r="L210" i="10"/>
  <c r="M205" i="10"/>
  <c r="I203" i="10"/>
  <c r="M197" i="10"/>
  <c r="I195" i="10"/>
  <c r="L218" i="11"/>
  <c r="L210" i="11"/>
  <c r="L202" i="11"/>
  <c r="C220" i="14"/>
  <c r="F218" i="14"/>
  <c r="B218" i="14"/>
  <c r="G218" i="14" s="1"/>
  <c r="D216" i="14"/>
  <c r="E215" i="14"/>
  <c r="F214" i="14"/>
  <c r="B214" i="14"/>
  <c r="G214" i="14" s="1"/>
  <c r="D212" i="14"/>
  <c r="F211" i="14"/>
  <c r="B211" i="14"/>
  <c r="G211" i="14" s="1"/>
  <c r="C210" i="14"/>
  <c r="E208" i="14"/>
  <c r="F207" i="14"/>
  <c r="B207" i="14"/>
  <c r="G207" i="14" s="1"/>
  <c r="C206" i="14"/>
  <c r="F204" i="14"/>
  <c r="B204" i="14"/>
  <c r="D203" i="14"/>
  <c r="E202" i="14"/>
  <c r="D200" i="14"/>
  <c r="F199" i="14"/>
  <c r="B199" i="14"/>
  <c r="G199" i="14" s="1"/>
  <c r="C198" i="14"/>
  <c r="F196" i="14"/>
  <c r="B196" i="14"/>
  <c r="D195" i="14"/>
  <c r="E194" i="14"/>
  <c r="D192" i="14"/>
  <c r="F191" i="14"/>
  <c r="B191" i="14"/>
  <c r="G191" i="14" s="1"/>
  <c r="C190" i="14"/>
  <c r="F188" i="14"/>
  <c r="B188" i="14"/>
  <c r="D210" i="10"/>
  <c r="E210" i="10"/>
  <c r="I210" i="10"/>
  <c r="B210" i="10"/>
  <c r="F210" i="10"/>
  <c r="D206" i="10"/>
  <c r="H206" i="10"/>
  <c r="L206" i="10"/>
  <c r="E206" i="10"/>
  <c r="I206" i="10"/>
  <c r="M206" i="10"/>
  <c r="B206" i="10"/>
  <c r="F206" i="10"/>
  <c r="J206" i="10"/>
  <c r="N206" i="10"/>
  <c r="D202" i="10"/>
  <c r="H202" i="10"/>
  <c r="L202" i="10"/>
  <c r="E202" i="10"/>
  <c r="I202" i="10"/>
  <c r="M202" i="10"/>
  <c r="B202" i="10"/>
  <c r="F202" i="10"/>
  <c r="J202" i="10"/>
  <c r="N202" i="10"/>
  <c r="D198" i="10"/>
  <c r="H198" i="10"/>
  <c r="L198" i="10"/>
  <c r="E198" i="10"/>
  <c r="I198" i="10"/>
  <c r="M198" i="10"/>
  <c r="B198" i="10"/>
  <c r="F198" i="10"/>
  <c r="J198" i="10"/>
  <c r="N198" i="10"/>
  <c r="D194" i="10"/>
  <c r="H194" i="10"/>
  <c r="L194" i="10"/>
  <c r="E194" i="10"/>
  <c r="I194" i="10"/>
  <c r="M194" i="10"/>
  <c r="B194" i="10"/>
  <c r="F194" i="10"/>
  <c r="J194" i="10"/>
  <c r="N194" i="10"/>
  <c r="D190" i="10"/>
  <c r="H190" i="10"/>
  <c r="L190" i="10"/>
  <c r="E190" i="10"/>
  <c r="I190" i="10"/>
  <c r="M190" i="10"/>
  <c r="B190" i="10"/>
  <c r="F190" i="10"/>
  <c r="J190" i="10"/>
  <c r="N190" i="10"/>
  <c r="O218" i="10"/>
  <c r="K218" i="10"/>
  <c r="G218" i="10"/>
  <c r="M217" i="10"/>
  <c r="I217" i="10"/>
  <c r="E217" i="10"/>
  <c r="M215" i="10"/>
  <c r="I215" i="10"/>
  <c r="O214" i="10"/>
  <c r="K214" i="10"/>
  <c r="G214" i="10"/>
  <c r="C214" i="10"/>
  <c r="M213" i="10"/>
  <c r="I213" i="10"/>
  <c r="E213" i="10"/>
  <c r="M211" i="10"/>
  <c r="I211" i="10"/>
  <c r="E211" i="10"/>
  <c r="O210" i="10"/>
  <c r="K210" i="10"/>
  <c r="C210" i="10"/>
  <c r="M207" i="10"/>
  <c r="K206" i="10"/>
  <c r="E203" i="10"/>
  <c r="C202" i="10"/>
  <c r="M199" i="10"/>
  <c r="K198" i="10"/>
  <c r="E195" i="10"/>
  <c r="C194" i="10"/>
  <c r="M191" i="10"/>
  <c r="K190" i="10"/>
  <c r="F220" i="14"/>
  <c r="F210" i="14"/>
  <c r="F206" i="14"/>
  <c r="F198" i="14"/>
  <c r="F190" i="14"/>
  <c r="B209" i="10"/>
  <c r="F209" i="10"/>
  <c r="J209" i="10"/>
  <c r="N209" i="10"/>
  <c r="C209" i="10"/>
  <c r="G209" i="10"/>
  <c r="K209" i="10"/>
  <c r="O209" i="10"/>
  <c r="D209" i="10"/>
  <c r="H209" i="10"/>
  <c r="L209" i="10"/>
  <c r="B205" i="10"/>
  <c r="F205" i="10"/>
  <c r="J205" i="10"/>
  <c r="N205" i="10"/>
  <c r="C205" i="10"/>
  <c r="G205" i="10"/>
  <c r="K205" i="10"/>
  <c r="O205" i="10"/>
  <c r="D205" i="10"/>
  <c r="H205" i="10"/>
  <c r="L205" i="10"/>
  <c r="B201" i="10"/>
  <c r="F201" i="10"/>
  <c r="J201" i="10"/>
  <c r="N201" i="10"/>
  <c r="C201" i="10"/>
  <c r="G201" i="10"/>
  <c r="K201" i="10"/>
  <c r="O201" i="10"/>
  <c r="D201" i="10"/>
  <c r="H201" i="10"/>
  <c r="L201" i="10"/>
  <c r="B197" i="10"/>
  <c r="F197" i="10"/>
  <c r="J197" i="10"/>
  <c r="N197" i="10"/>
  <c r="C197" i="10"/>
  <c r="G197" i="10"/>
  <c r="K197" i="10"/>
  <c r="O197" i="10"/>
  <c r="D197" i="10"/>
  <c r="H197" i="10"/>
  <c r="L197" i="10"/>
  <c r="B193" i="10"/>
  <c r="F193" i="10"/>
  <c r="J193" i="10"/>
  <c r="N193" i="10"/>
  <c r="C193" i="10"/>
  <c r="G193" i="10"/>
  <c r="K193" i="10"/>
  <c r="O193" i="10"/>
  <c r="D193" i="10"/>
  <c r="H193" i="10"/>
  <c r="L193" i="10"/>
  <c r="L217" i="10"/>
  <c r="H217" i="10"/>
  <c r="F214" i="10"/>
  <c r="L213" i="10"/>
  <c r="H213" i="10"/>
  <c r="L211" i="10"/>
  <c r="H211" i="10"/>
  <c r="N210" i="10"/>
  <c r="J210" i="10"/>
  <c r="M209" i="10"/>
  <c r="I207" i="10"/>
  <c r="G206" i="10"/>
  <c r="E205" i="10"/>
  <c r="O202" i="10"/>
  <c r="M201" i="10"/>
  <c r="I199" i="10"/>
  <c r="G198" i="10"/>
  <c r="E197" i="10"/>
  <c r="O194" i="10"/>
  <c r="M193" i="10"/>
  <c r="I191" i="10"/>
  <c r="G190" i="10"/>
  <c r="E218" i="11"/>
  <c r="I218" i="11"/>
  <c r="M218" i="11"/>
  <c r="B218" i="11"/>
  <c r="F218" i="11"/>
  <c r="J218" i="11"/>
  <c r="N218" i="11"/>
  <c r="C218" i="11"/>
  <c r="G218" i="11"/>
  <c r="K218" i="11"/>
  <c r="O218" i="11"/>
  <c r="E214" i="11"/>
  <c r="I214" i="11"/>
  <c r="M214" i="11"/>
  <c r="B214" i="11"/>
  <c r="F214" i="11"/>
  <c r="J214" i="11"/>
  <c r="N214" i="11"/>
  <c r="C214" i="11"/>
  <c r="G214" i="11"/>
  <c r="K214" i="11"/>
  <c r="O214" i="11"/>
  <c r="E210" i="11"/>
  <c r="I210" i="11"/>
  <c r="M210" i="11"/>
  <c r="B210" i="11"/>
  <c r="F210" i="11"/>
  <c r="J210" i="11"/>
  <c r="N210" i="11"/>
  <c r="C210" i="11"/>
  <c r="G210" i="11"/>
  <c r="K210" i="11"/>
  <c r="O210" i="11"/>
  <c r="E206" i="11"/>
  <c r="I206" i="11"/>
  <c r="M206" i="11"/>
  <c r="B206" i="11"/>
  <c r="F206" i="11"/>
  <c r="J206" i="11"/>
  <c r="N206" i="11"/>
  <c r="C206" i="11"/>
  <c r="G206" i="11"/>
  <c r="K206" i="11"/>
  <c r="O206" i="11"/>
  <c r="E202" i="11"/>
  <c r="I202" i="11"/>
  <c r="M202" i="11"/>
  <c r="B202" i="11"/>
  <c r="F202" i="11"/>
  <c r="J202" i="11"/>
  <c r="N202" i="11"/>
  <c r="C202" i="11"/>
  <c r="G202" i="11"/>
  <c r="K202" i="11"/>
  <c r="O202" i="11"/>
  <c r="C198" i="11"/>
  <c r="G198" i="11"/>
  <c r="K198" i="11"/>
  <c r="O198" i="11"/>
  <c r="D198" i="11"/>
  <c r="H198" i="11"/>
  <c r="L198" i="11"/>
  <c r="E198" i="11"/>
  <c r="I198" i="11"/>
  <c r="M198" i="11"/>
  <c r="J198" i="11"/>
  <c r="N198" i="11"/>
  <c r="B198" i="11"/>
  <c r="C194" i="11"/>
  <c r="G194" i="11"/>
  <c r="K194" i="11"/>
  <c r="O194" i="11"/>
  <c r="D194" i="11"/>
  <c r="H194" i="11"/>
  <c r="L194" i="11"/>
  <c r="E194" i="11"/>
  <c r="I194" i="11"/>
  <c r="M194" i="11"/>
  <c r="B194" i="11"/>
  <c r="F194" i="11"/>
  <c r="J194" i="11"/>
  <c r="C190" i="11"/>
  <c r="G190" i="11"/>
  <c r="K190" i="11"/>
  <c r="O190" i="11"/>
  <c r="D190" i="11"/>
  <c r="H190" i="11"/>
  <c r="L190" i="11"/>
  <c r="E190" i="11"/>
  <c r="I190" i="11"/>
  <c r="M190" i="11"/>
  <c r="J190" i="11"/>
  <c r="N190" i="11"/>
  <c r="B190" i="11"/>
  <c r="E217" i="12"/>
  <c r="I217" i="12"/>
  <c r="B217" i="12"/>
  <c r="F217" i="12"/>
  <c r="J217" i="12"/>
  <c r="C217" i="12"/>
  <c r="G217" i="12"/>
  <c r="K217" i="12"/>
  <c r="H217" i="12"/>
  <c r="C213" i="12"/>
  <c r="G213" i="12"/>
  <c r="K213" i="12"/>
  <c r="D213" i="12"/>
  <c r="H213" i="12"/>
  <c r="E213" i="12"/>
  <c r="I213" i="12"/>
  <c r="F213" i="12"/>
  <c r="J213" i="12"/>
  <c r="B213" i="12"/>
  <c r="C209" i="12"/>
  <c r="G209" i="12"/>
  <c r="K209" i="12"/>
  <c r="D209" i="12"/>
  <c r="H209" i="12"/>
  <c r="E209" i="12"/>
  <c r="I209" i="12"/>
  <c r="B209" i="12"/>
  <c r="F209" i="12"/>
  <c r="C205" i="12"/>
  <c r="G205" i="12"/>
  <c r="D205" i="12"/>
  <c r="E205" i="12"/>
  <c r="F205" i="12"/>
  <c r="C201" i="12"/>
  <c r="G201" i="12"/>
  <c r="D201" i="12"/>
  <c r="E201" i="12"/>
  <c r="B201" i="12"/>
  <c r="F201" i="12"/>
  <c r="B197" i="12"/>
  <c r="F197" i="12"/>
  <c r="C197" i="12"/>
  <c r="D197" i="12"/>
  <c r="G197" i="12"/>
  <c r="H197" i="12"/>
  <c r="E197" i="12"/>
  <c r="B193" i="12"/>
  <c r="F193" i="12"/>
  <c r="C193" i="12"/>
  <c r="G193" i="12"/>
  <c r="D193" i="12"/>
  <c r="E193" i="12"/>
  <c r="B189" i="12"/>
  <c r="F189" i="12"/>
  <c r="C189" i="12"/>
  <c r="G189" i="12"/>
  <c r="D189" i="12"/>
  <c r="E189" i="12"/>
  <c r="B219" i="13"/>
  <c r="F219" i="13"/>
  <c r="C219" i="13"/>
  <c r="G219" i="13"/>
  <c r="D219" i="13"/>
  <c r="E219" i="13"/>
  <c r="B215" i="13"/>
  <c r="F215" i="13"/>
  <c r="C215" i="13"/>
  <c r="G215" i="13"/>
  <c r="D215" i="13"/>
  <c r="E215" i="13"/>
  <c r="F211" i="13"/>
  <c r="G211" i="13"/>
  <c r="E211" i="13"/>
  <c r="F207" i="13"/>
  <c r="G207" i="13"/>
  <c r="E207" i="13"/>
  <c r="F203" i="13"/>
  <c r="G203" i="13"/>
  <c r="E203" i="13"/>
  <c r="F199" i="13"/>
  <c r="G199" i="13"/>
  <c r="E199" i="13"/>
  <c r="F195" i="13"/>
  <c r="G195" i="13"/>
  <c r="E195" i="13"/>
  <c r="F191" i="13"/>
  <c r="G191" i="13"/>
  <c r="E191" i="13"/>
  <c r="F187" i="13"/>
  <c r="G187" i="13"/>
  <c r="E187" i="13"/>
  <c r="D218" i="11"/>
  <c r="L214" i="11"/>
  <c r="D210" i="11"/>
  <c r="L206" i="11"/>
  <c r="D202" i="11"/>
  <c r="E201" i="11"/>
  <c r="C201" i="11"/>
  <c r="E197" i="11"/>
  <c r="I197" i="11"/>
  <c r="M197" i="11"/>
  <c r="B197" i="11"/>
  <c r="F197" i="11"/>
  <c r="J197" i="11"/>
  <c r="N197" i="11"/>
  <c r="C197" i="11"/>
  <c r="G197" i="11"/>
  <c r="K197" i="11"/>
  <c r="O197" i="11"/>
  <c r="E193" i="11"/>
  <c r="I193" i="11"/>
  <c r="M193" i="11"/>
  <c r="B193" i="11"/>
  <c r="F193" i="11"/>
  <c r="J193" i="11"/>
  <c r="N193" i="11"/>
  <c r="C193" i="11"/>
  <c r="G193" i="11"/>
  <c r="K193" i="11"/>
  <c r="O193" i="11"/>
  <c r="E189" i="11"/>
  <c r="I189" i="11"/>
  <c r="M189" i="11"/>
  <c r="B189" i="11"/>
  <c r="F189" i="11"/>
  <c r="J189" i="11"/>
  <c r="N189" i="11"/>
  <c r="C189" i="11"/>
  <c r="G189" i="11"/>
  <c r="K189" i="11"/>
  <c r="O189" i="11"/>
  <c r="C220" i="12"/>
  <c r="G220" i="12"/>
  <c r="K220" i="12"/>
  <c r="D220" i="12"/>
  <c r="H220" i="12"/>
  <c r="E220" i="12"/>
  <c r="I220" i="12"/>
  <c r="C216" i="12"/>
  <c r="G216" i="12"/>
  <c r="K216" i="12"/>
  <c r="D216" i="12"/>
  <c r="H216" i="12"/>
  <c r="E216" i="12"/>
  <c r="I216" i="12"/>
  <c r="E212" i="12"/>
  <c r="I212" i="12"/>
  <c r="B212" i="12"/>
  <c r="F212" i="12"/>
  <c r="J212" i="12"/>
  <c r="C212" i="12"/>
  <c r="G212" i="12"/>
  <c r="K212" i="12"/>
  <c r="D212" i="12"/>
  <c r="H212" i="12"/>
  <c r="E208" i="12"/>
  <c r="I208" i="12"/>
  <c r="B208" i="12"/>
  <c r="F208" i="12"/>
  <c r="J208" i="12"/>
  <c r="C208" i="12"/>
  <c r="G208" i="12"/>
  <c r="K208" i="12"/>
  <c r="D208" i="12"/>
  <c r="E204" i="12"/>
  <c r="B204" i="12"/>
  <c r="F204" i="12"/>
  <c r="C204" i="12"/>
  <c r="G204" i="12"/>
  <c r="K204" i="12"/>
  <c r="D204" i="12"/>
  <c r="E200" i="12"/>
  <c r="B200" i="12"/>
  <c r="F200" i="12"/>
  <c r="C200" i="12"/>
  <c r="G200" i="12"/>
  <c r="D200" i="12"/>
  <c r="D196" i="12"/>
  <c r="E196" i="12"/>
  <c r="B196" i="12"/>
  <c r="F196" i="12"/>
  <c r="J196" i="12"/>
  <c r="G196" i="12"/>
  <c r="K196" i="12"/>
  <c r="D192" i="12"/>
  <c r="H192" i="12"/>
  <c r="E192" i="12"/>
  <c r="B192" i="12"/>
  <c r="F192" i="12"/>
  <c r="C192" i="12"/>
  <c r="G192" i="12"/>
  <c r="D188" i="12"/>
  <c r="E188" i="12"/>
  <c r="B188" i="12"/>
  <c r="F188" i="12"/>
  <c r="G188" i="12"/>
  <c r="C188" i="12"/>
  <c r="D214" i="13"/>
  <c r="E214" i="13"/>
  <c r="B214" i="13"/>
  <c r="F214" i="13"/>
  <c r="C214" i="13"/>
  <c r="G214" i="13"/>
  <c r="E210" i="13"/>
  <c r="F210" i="13"/>
  <c r="G210" i="13"/>
  <c r="E206" i="13"/>
  <c r="F206" i="13"/>
  <c r="G206" i="13"/>
  <c r="E202" i="13"/>
  <c r="F202" i="13"/>
  <c r="G202" i="13"/>
  <c r="E198" i="13"/>
  <c r="F198" i="13"/>
  <c r="G198" i="13"/>
  <c r="E194" i="13"/>
  <c r="F194" i="13"/>
  <c r="G194" i="13"/>
  <c r="E190" i="13"/>
  <c r="F190" i="13"/>
  <c r="G190" i="13"/>
  <c r="O220" i="11"/>
  <c r="K220" i="11"/>
  <c r="G220" i="11"/>
  <c r="C220" i="11"/>
  <c r="M217" i="11"/>
  <c r="I217" i="11"/>
  <c r="E217" i="11"/>
  <c r="O216" i="11"/>
  <c r="K216" i="11"/>
  <c r="G216" i="11"/>
  <c r="C216" i="11"/>
  <c r="M215" i="11"/>
  <c r="I215" i="11"/>
  <c r="E215" i="11"/>
  <c r="M213" i="11"/>
  <c r="I213" i="11"/>
  <c r="E213" i="11"/>
  <c r="O212" i="11"/>
  <c r="K212" i="11"/>
  <c r="G212" i="11"/>
  <c r="C212" i="11"/>
  <c r="M211" i="11"/>
  <c r="I211" i="11"/>
  <c r="E211" i="11"/>
  <c r="M209" i="11"/>
  <c r="I209" i="11"/>
  <c r="E209" i="11"/>
  <c r="O208" i="11"/>
  <c r="K208" i="11"/>
  <c r="G208" i="11"/>
  <c r="C208" i="11"/>
  <c r="M207" i="11"/>
  <c r="I207" i="11"/>
  <c r="E207" i="11"/>
  <c r="M205" i="11"/>
  <c r="I205" i="11"/>
  <c r="E205" i="11"/>
  <c r="O204" i="11"/>
  <c r="K204" i="11"/>
  <c r="G204" i="11"/>
  <c r="C204" i="11"/>
  <c r="M203" i="11"/>
  <c r="I203" i="11"/>
  <c r="E203" i="11"/>
  <c r="M201" i="11"/>
  <c r="I201" i="11"/>
  <c r="D201" i="11"/>
  <c r="L195" i="11"/>
  <c r="H193" i="11"/>
  <c r="F220" i="12"/>
  <c r="B218" i="12"/>
  <c r="H208" i="12"/>
  <c r="C200" i="11"/>
  <c r="G200" i="11"/>
  <c r="K200" i="11"/>
  <c r="O200" i="11"/>
  <c r="D200" i="11"/>
  <c r="H200" i="11"/>
  <c r="L200" i="11"/>
  <c r="E200" i="11"/>
  <c r="I200" i="11"/>
  <c r="M200" i="11"/>
  <c r="C196" i="11"/>
  <c r="G196" i="11"/>
  <c r="K196" i="11"/>
  <c r="O196" i="11"/>
  <c r="D196" i="11"/>
  <c r="H196" i="11"/>
  <c r="L196" i="11"/>
  <c r="E196" i="11"/>
  <c r="I196" i="11"/>
  <c r="M196" i="11"/>
  <c r="C192" i="11"/>
  <c r="G192" i="11"/>
  <c r="K192" i="11"/>
  <c r="O192" i="11"/>
  <c r="D192" i="11"/>
  <c r="H192" i="11"/>
  <c r="L192" i="11"/>
  <c r="E192" i="11"/>
  <c r="I192" i="11"/>
  <c r="M192" i="11"/>
  <c r="C215" i="12"/>
  <c r="G215" i="12"/>
  <c r="K215" i="12"/>
  <c r="E215" i="12"/>
  <c r="I215" i="12"/>
  <c r="F215" i="12"/>
  <c r="H215" i="12"/>
  <c r="B215" i="12"/>
  <c r="J215" i="12"/>
  <c r="C211" i="12"/>
  <c r="G211" i="12"/>
  <c r="K211" i="12"/>
  <c r="D211" i="12"/>
  <c r="H211" i="12"/>
  <c r="E211" i="12"/>
  <c r="I211" i="12"/>
  <c r="B211" i="12"/>
  <c r="F211" i="12"/>
  <c r="J211" i="12"/>
  <c r="C207" i="12"/>
  <c r="G207" i="12"/>
  <c r="K207" i="12"/>
  <c r="D207" i="12"/>
  <c r="H207" i="12"/>
  <c r="E207" i="12"/>
  <c r="I207" i="12"/>
  <c r="J207" i="12"/>
  <c r="B207" i="12"/>
  <c r="C203" i="12"/>
  <c r="G203" i="12"/>
  <c r="D203" i="12"/>
  <c r="E203" i="12"/>
  <c r="B203" i="12"/>
  <c r="F203" i="12"/>
  <c r="C199" i="12"/>
  <c r="G199" i="12"/>
  <c r="D199" i="12"/>
  <c r="E199" i="12"/>
  <c r="B199" i="12"/>
  <c r="B195" i="12"/>
  <c r="F195" i="12"/>
  <c r="C195" i="12"/>
  <c r="G195" i="12"/>
  <c r="K195" i="12"/>
  <c r="D195" i="12"/>
  <c r="E195" i="12"/>
  <c r="B191" i="12"/>
  <c r="F191" i="12"/>
  <c r="C191" i="12"/>
  <c r="G191" i="12"/>
  <c r="D191" i="12"/>
  <c r="E191" i="12"/>
  <c r="B217" i="13"/>
  <c r="F217" i="13"/>
  <c r="C217" i="13"/>
  <c r="G217" i="13"/>
  <c r="D217" i="13"/>
  <c r="E217" i="13"/>
  <c r="B213" i="13"/>
  <c r="F213" i="13"/>
  <c r="C213" i="13"/>
  <c r="G213" i="13"/>
  <c r="D213" i="13"/>
  <c r="E213" i="13"/>
  <c r="F209" i="13"/>
  <c r="G209" i="13"/>
  <c r="E209" i="13"/>
  <c r="F205" i="13"/>
  <c r="G205" i="13"/>
  <c r="E205" i="13"/>
  <c r="F201" i="13"/>
  <c r="G201" i="13"/>
  <c r="E201" i="13"/>
  <c r="F197" i="13"/>
  <c r="G197" i="13"/>
  <c r="F193" i="13"/>
  <c r="G193" i="13"/>
  <c r="E193" i="13"/>
  <c r="F189" i="13"/>
  <c r="G189" i="13"/>
  <c r="E189" i="13"/>
  <c r="N220" i="11"/>
  <c r="J220" i="11"/>
  <c r="F220" i="11"/>
  <c r="B220" i="11"/>
  <c r="L217" i="11"/>
  <c r="H217" i="11"/>
  <c r="D217" i="11"/>
  <c r="N216" i="11"/>
  <c r="J216" i="11"/>
  <c r="F216" i="11"/>
  <c r="B216" i="11"/>
  <c r="L215" i="11"/>
  <c r="H215" i="11"/>
  <c r="D215" i="11"/>
  <c r="L213" i="11"/>
  <c r="H213" i="11"/>
  <c r="D213" i="11"/>
  <c r="N212" i="11"/>
  <c r="J212" i="11"/>
  <c r="F212" i="11"/>
  <c r="B212" i="11"/>
  <c r="L211" i="11"/>
  <c r="H211" i="11"/>
  <c r="D211" i="11"/>
  <c r="L209" i="11"/>
  <c r="H209" i="11"/>
  <c r="D209" i="11"/>
  <c r="N208" i="11"/>
  <c r="J208" i="11"/>
  <c r="F208" i="11"/>
  <c r="B208" i="11"/>
  <c r="L207" i="11"/>
  <c r="H207" i="11"/>
  <c r="D207" i="11"/>
  <c r="L205" i="11"/>
  <c r="H205" i="11"/>
  <c r="D205" i="11"/>
  <c r="N204" i="11"/>
  <c r="J204" i="11"/>
  <c r="F204" i="11"/>
  <c r="B204" i="11"/>
  <c r="L203" i="11"/>
  <c r="H203" i="11"/>
  <c r="D203" i="11"/>
  <c r="L201" i="11"/>
  <c r="H201" i="11"/>
  <c r="B201" i="11"/>
  <c r="B200" i="11"/>
  <c r="L197" i="11"/>
  <c r="J196" i="11"/>
  <c r="D193" i="11"/>
  <c r="B192" i="11"/>
  <c r="L189" i="11"/>
  <c r="B220" i="12"/>
  <c r="J216" i="12"/>
  <c r="D215" i="12"/>
  <c r="N211" i="12"/>
  <c r="F207" i="12"/>
  <c r="E199" i="11"/>
  <c r="I199" i="11"/>
  <c r="M199" i="11"/>
  <c r="B199" i="11"/>
  <c r="F199" i="11"/>
  <c r="J199" i="11"/>
  <c r="N199" i="11"/>
  <c r="C199" i="11"/>
  <c r="G199" i="11"/>
  <c r="K199" i="11"/>
  <c r="O199" i="11"/>
  <c r="E195" i="11"/>
  <c r="I195" i="11"/>
  <c r="M195" i="11"/>
  <c r="B195" i="11"/>
  <c r="F195" i="11"/>
  <c r="J195" i="11"/>
  <c r="N195" i="11"/>
  <c r="C195" i="11"/>
  <c r="G195" i="11"/>
  <c r="K195" i="11"/>
  <c r="O195" i="11"/>
  <c r="E191" i="11"/>
  <c r="I191" i="11"/>
  <c r="M191" i="11"/>
  <c r="B191" i="11"/>
  <c r="F191" i="11"/>
  <c r="J191" i="11"/>
  <c r="N191" i="11"/>
  <c r="C191" i="11"/>
  <c r="G191" i="11"/>
  <c r="K191" i="11"/>
  <c r="O191" i="11"/>
  <c r="C218" i="12"/>
  <c r="G218" i="12"/>
  <c r="K218" i="12"/>
  <c r="D218" i="12"/>
  <c r="H218" i="12"/>
  <c r="E218" i="12"/>
  <c r="I218" i="12"/>
  <c r="E214" i="12"/>
  <c r="I214" i="12"/>
  <c r="C214" i="12"/>
  <c r="G214" i="12"/>
  <c r="K214" i="12"/>
  <c r="D214" i="12"/>
  <c r="F214" i="12"/>
  <c r="H214" i="12"/>
  <c r="E210" i="12"/>
  <c r="I210" i="12"/>
  <c r="B210" i="12"/>
  <c r="F210" i="12"/>
  <c r="J210" i="12"/>
  <c r="C210" i="12"/>
  <c r="G210" i="12"/>
  <c r="K210" i="12"/>
  <c r="D210" i="12"/>
  <c r="H210" i="12"/>
  <c r="E206" i="12"/>
  <c r="B206" i="12"/>
  <c r="F206" i="12"/>
  <c r="C206" i="12"/>
  <c r="G206" i="12"/>
  <c r="H206" i="12"/>
  <c r="E202" i="12"/>
  <c r="B202" i="12"/>
  <c r="F202" i="12"/>
  <c r="C202" i="12"/>
  <c r="G202" i="12"/>
  <c r="D202" i="12"/>
  <c r="E198" i="12"/>
  <c r="B198" i="12"/>
  <c r="F198" i="12"/>
  <c r="C198" i="12"/>
  <c r="G198" i="12"/>
  <c r="H198" i="12"/>
  <c r="D194" i="12"/>
  <c r="E194" i="12"/>
  <c r="I194" i="12"/>
  <c r="B194" i="12"/>
  <c r="F194" i="12"/>
  <c r="C194" i="12"/>
  <c r="G194" i="12"/>
  <c r="D190" i="12"/>
  <c r="H190" i="12"/>
  <c r="E190" i="12"/>
  <c r="B190" i="12"/>
  <c r="F190" i="12"/>
  <c r="K190" i="12"/>
  <c r="C190" i="12"/>
  <c r="G190" i="12"/>
  <c r="D216" i="13"/>
  <c r="E216" i="13"/>
  <c r="B216" i="13"/>
  <c r="F216" i="13"/>
  <c r="G216" i="13"/>
  <c r="C216" i="13"/>
  <c r="E212" i="13"/>
  <c r="F212" i="13"/>
  <c r="G212" i="13"/>
  <c r="E208" i="13"/>
  <c r="F208" i="13"/>
  <c r="G208" i="13"/>
  <c r="E204" i="13"/>
  <c r="F204" i="13"/>
  <c r="G204" i="13"/>
  <c r="E200" i="13"/>
  <c r="F200" i="13"/>
  <c r="G200" i="13"/>
  <c r="E196" i="13"/>
  <c r="F196" i="13"/>
  <c r="G196" i="13"/>
  <c r="E192" i="13"/>
  <c r="F192" i="13"/>
  <c r="G192" i="13"/>
  <c r="E188" i="13"/>
  <c r="F188" i="13"/>
  <c r="G188" i="13"/>
  <c r="M220" i="11"/>
  <c r="I220" i="11"/>
  <c r="O217" i="11"/>
  <c r="K217" i="11"/>
  <c r="G217" i="11"/>
  <c r="M216" i="11"/>
  <c r="I216" i="11"/>
  <c r="O215" i="11"/>
  <c r="K215" i="11"/>
  <c r="G215" i="11"/>
  <c r="O213" i="11"/>
  <c r="K213" i="11"/>
  <c r="G213" i="11"/>
  <c r="M212" i="11"/>
  <c r="I212" i="11"/>
  <c r="O211" i="11"/>
  <c r="K211" i="11"/>
  <c r="G211" i="11"/>
  <c r="O209" i="11"/>
  <c r="K209" i="11"/>
  <c r="G209" i="11"/>
  <c r="M208" i="11"/>
  <c r="I208" i="11"/>
  <c r="O207" i="11"/>
  <c r="K207" i="11"/>
  <c r="G207" i="11"/>
  <c r="O205" i="11"/>
  <c r="K205" i="11"/>
  <c r="G205" i="11"/>
  <c r="M204" i="11"/>
  <c r="I204" i="11"/>
  <c r="O203" i="11"/>
  <c r="K203" i="11"/>
  <c r="G203" i="11"/>
  <c r="O201" i="11"/>
  <c r="K201" i="11"/>
  <c r="G201" i="11"/>
  <c r="N200" i="11"/>
  <c r="L199" i="11"/>
  <c r="H197" i="11"/>
  <c r="F196" i="11"/>
  <c r="D195" i="11"/>
  <c r="N192" i="11"/>
  <c r="L191" i="11"/>
  <c r="H189" i="11"/>
  <c r="J218" i="12"/>
  <c r="F216" i="12"/>
  <c r="J214" i="12"/>
  <c r="D206" i="12"/>
  <c r="C196" i="12"/>
  <c r="E197" i="13"/>
  <c r="E209" i="6"/>
  <c r="I209" i="6"/>
  <c r="M209" i="12" s="1"/>
  <c r="M209" i="6"/>
  <c r="B209" i="6"/>
  <c r="F209" i="6"/>
  <c r="J209" i="6"/>
  <c r="N209" i="6"/>
  <c r="C209" i="6"/>
  <c r="G209" i="6"/>
  <c r="K209" i="6"/>
  <c r="N209" i="12" s="1"/>
  <c r="O209" i="6"/>
  <c r="D209" i="6"/>
  <c r="H209" i="6"/>
  <c r="L209" i="12" s="1"/>
  <c r="L209" i="6"/>
  <c r="O209" i="12" s="1"/>
  <c r="E205" i="6"/>
  <c r="I205" i="6"/>
  <c r="M205" i="12" s="1"/>
  <c r="M205" i="6"/>
  <c r="B205" i="6"/>
  <c r="F205" i="6"/>
  <c r="J205" i="6"/>
  <c r="N205" i="6"/>
  <c r="C205" i="6"/>
  <c r="G205" i="6"/>
  <c r="K205" i="6"/>
  <c r="N205" i="12" s="1"/>
  <c r="O205" i="6"/>
  <c r="D205" i="6"/>
  <c r="H205" i="6"/>
  <c r="L205" i="12" s="1"/>
  <c r="L205" i="6"/>
  <c r="O205" i="12" s="1"/>
  <c r="E201" i="6"/>
  <c r="I201" i="6"/>
  <c r="M201" i="12" s="1"/>
  <c r="M201" i="6"/>
  <c r="B201" i="6"/>
  <c r="F201" i="6"/>
  <c r="J201" i="6"/>
  <c r="N201" i="6"/>
  <c r="C201" i="6"/>
  <c r="G201" i="6"/>
  <c r="K201" i="6"/>
  <c r="N201" i="12" s="1"/>
  <c r="O201" i="6"/>
  <c r="D201" i="6"/>
  <c r="H201" i="6"/>
  <c r="L201" i="12" s="1"/>
  <c r="L201" i="6"/>
  <c r="O201" i="12" s="1"/>
  <c r="E197" i="6"/>
  <c r="I197" i="6"/>
  <c r="M197" i="12" s="1"/>
  <c r="M197" i="6"/>
  <c r="B197" i="6"/>
  <c r="F197" i="6"/>
  <c r="J197" i="6"/>
  <c r="N197" i="6"/>
  <c r="C197" i="6"/>
  <c r="G197" i="6"/>
  <c r="K197" i="6"/>
  <c r="N197" i="12" s="1"/>
  <c r="O197" i="6"/>
  <c r="D197" i="6"/>
  <c r="H197" i="6"/>
  <c r="L197" i="12" s="1"/>
  <c r="L197" i="6"/>
  <c r="O197" i="12" s="1"/>
  <c r="E193" i="6"/>
  <c r="I193" i="6"/>
  <c r="M193" i="12" s="1"/>
  <c r="M193" i="6"/>
  <c r="B193" i="6"/>
  <c r="F193" i="6"/>
  <c r="J193" i="6"/>
  <c r="N193" i="6"/>
  <c r="C193" i="6"/>
  <c r="G193" i="6"/>
  <c r="K193" i="6"/>
  <c r="N193" i="12" s="1"/>
  <c r="O193" i="6"/>
  <c r="D193" i="6"/>
  <c r="H193" i="6"/>
  <c r="L193" i="12" s="1"/>
  <c r="L193" i="6"/>
  <c r="O193" i="12" s="1"/>
  <c r="E189" i="6"/>
  <c r="I189" i="6"/>
  <c r="M189" i="12" s="1"/>
  <c r="M189" i="6"/>
  <c r="B189" i="6"/>
  <c r="F189" i="6"/>
  <c r="J189" i="6"/>
  <c r="N189" i="6"/>
  <c r="C189" i="6"/>
  <c r="G189" i="6"/>
  <c r="K189" i="6"/>
  <c r="N189" i="12" s="1"/>
  <c r="O189" i="6"/>
  <c r="D189" i="6"/>
  <c r="H189" i="6"/>
  <c r="L189" i="12" s="1"/>
  <c r="L189" i="6"/>
  <c r="O189" i="12" s="1"/>
  <c r="N220" i="6"/>
  <c r="J220" i="6"/>
  <c r="F220" i="6"/>
  <c r="B220" i="6"/>
  <c r="N218" i="6"/>
  <c r="J218" i="6"/>
  <c r="F218" i="6"/>
  <c r="B218" i="6"/>
  <c r="L217" i="6"/>
  <c r="O217" i="12" s="1"/>
  <c r="H217" i="6"/>
  <c r="L217" i="12" s="1"/>
  <c r="D217" i="6"/>
  <c r="N216" i="6"/>
  <c r="J216" i="6"/>
  <c r="F216" i="6"/>
  <c r="B216" i="6"/>
  <c r="L215" i="6"/>
  <c r="O215" i="12" s="1"/>
  <c r="H215" i="6"/>
  <c r="L215" i="12" s="1"/>
  <c r="D215" i="6"/>
  <c r="N214" i="6"/>
  <c r="J214" i="6"/>
  <c r="F214" i="6"/>
  <c r="B214" i="6"/>
  <c r="L213" i="6"/>
  <c r="O213" i="12" s="1"/>
  <c r="H213" i="6"/>
  <c r="L213" i="12" s="1"/>
  <c r="D213" i="6"/>
  <c r="N212" i="6"/>
  <c r="J212" i="6"/>
  <c r="F212" i="6"/>
  <c r="B212" i="6"/>
  <c r="L211" i="6"/>
  <c r="O211" i="12" s="1"/>
  <c r="C208" i="6"/>
  <c r="G208" i="6"/>
  <c r="K208" i="6"/>
  <c r="N208" i="12" s="1"/>
  <c r="O208" i="6"/>
  <c r="D208" i="6"/>
  <c r="H208" i="6"/>
  <c r="L208" i="12" s="1"/>
  <c r="L208" i="6"/>
  <c r="O208" i="12" s="1"/>
  <c r="E208" i="6"/>
  <c r="I208" i="6"/>
  <c r="M208" i="12" s="1"/>
  <c r="M208" i="6"/>
  <c r="B208" i="6"/>
  <c r="F208" i="6"/>
  <c r="J208" i="6"/>
  <c r="N208" i="6"/>
  <c r="C204" i="6"/>
  <c r="G204" i="6"/>
  <c r="K204" i="6"/>
  <c r="N204" i="12" s="1"/>
  <c r="O204" i="6"/>
  <c r="D204" i="6"/>
  <c r="H204" i="6"/>
  <c r="L204" i="12" s="1"/>
  <c r="L204" i="6"/>
  <c r="O204" i="12" s="1"/>
  <c r="E204" i="6"/>
  <c r="I204" i="6"/>
  <c r="M204" i="12" s="1"/>
  <c r="M204" i="6"/>
  <c r="B204" i="6"/>
  <c r="F204" i="6"/>
  <c r="J204" i="6"/>
  <c r="N204" i="6"/>
  <c r="C200" i="6"/>
  <c r="G200" i="6"/>
  <c r="K200" i="6"/>
  <c r="N200" i="12" s="1"/>
  <c r="O200" i="6"/>
  <c r="D200" i="6"/>
  <c r="H200" i="6"/>
  <c r="L200" i="12" s="1"/>
  <c r="L200" i="6"/>
  <c r="O200" i="12" s="1"/>
  <c r="E200" i="6"/>
  <c r="I200" i="6"/>
  <c r="M200" i="12" s="1"/>
  <c r="M200" i="6"/>
  <c r="B200" i="6"/>
  <c r="F200" i="6"/>
  <c r="J200" i="6"/>
  <c r="N200" i="6"/>
  <c r="C196" i="6"/>
  <c r="G196" i="6"/>
  <c r="K196" i="6"/>
  <c r="N196" i="12" s="1"/>
  <c r="O196" i="6"/>
  <c r="D196" i="6"/>
  <c r="H196" i="6"/>
  <c r="L196" i="12" s="1"/>
  <c r="L196" i="6"/>
  <c r="O196" i="12" s="1"/>
  <c r="E196" i="6"/>
  <c r="I196" i="6"/>
  <c r="M196" i="12" s="1"/>
  <c r="M196" i="6"/>
  <c r="B196" i="6"/>
  <c r="F196" i="6"/>
  <c r="J196" i="6"/>
  <c r="N196" i="6"/>
  <c r="C192" i="6"/>
  <c r="G192" i="6"/>
  <c r="K192" i="6"/>
  <c r="N192" i="12" s="1"/>
  <c r="O192" i="6"/>
  <c r="D192" i="6"/>
  <c r="H192" i="6"/>
  <c r="L192" i="12" s="1"/>
  <c r="L192" i="6"/>
  <c r="O192" i="12" s="1"/>
  <c r="E192" i="6"/>
  <c r="I192" i="6"/>
  <c r="M192" i="12" s="1"/>
  <c r="M192" i="6"/>
  <c r="B192" i="6"/>
  <c r="F192" i="6"/>
  <c r="J192" i="6"/>
  <c r="N192" i="6"/>
  <c r="C188" i="6"/>
  <c r="G188" i="6"/>
  <c r="K188" i="6"/>
  <c r="N188" i="12" s="1"/>
  <c r="O188" i="6"/>
  <c r="D188" i="6"/>
  <c r="H188" i="6"/>
  <c r="L188" i="12" s="1"/>
  <c r="L188" i="6"/>
  <c r="O188" i="12" s="1"/>
  <c r="E188" i="6"/>
  <c r="I188" i="6"/>
  <c r="M188" i="12" s="1"/>
  <c r="M188" i="6"/>
  <c r="B188" i="6"/>
  <c r="F188" i="6"/>
  <c r="J188" i="6"/>
  <c r="N188" i="6"/>
  <c r="M220" i="6"/>
  <c r="I220" i="6"/>
  <c r="M220" i="12" s="1"/>
  <c r="E220" i="6"/>
  <c r="M218" i="6"/>
  <c r="I218" i="6"/>
  <c r="M218" i="12" s="1"/>
  <c r="E218" i="6"/>
  <c r="O217" i="6"/>
  <c r="K217" i="6"/>
  <c r="N217" i="12" s="1"/>
  <c r="G217" i="6"/>
  <c r="C217" i="6"/>
  <c r="M216" i="6"/>
  <c r="I216" i="6"/>
  <c r="M216" i="12" s="1"/>
  <c r="E216" i="6"/>
  <c r="O215" i="6"/>
  <c r="K215" i="6"/>
  <c r="N215" i="12" s="1"/>
  <c r="G215" i="6"/>
  <c r="C215" i="6"/>
  <c r="M214" i="6"/>
  <c r="I214" i="6"/>
  <c r="M214" i="12" s="1"/>
  <c r="E214" i="6"/>
  <c r="O213" i="6"/>
  <c r="K213" i="6"/>
  <c r="N213" i="12" s="1"/>
  <c r="G213" i="6"/>
  <c r="C213" i="6"/>
  <c r="M212" i="6"/>
  <c r="I212" i="6"/>
  <c r="M212" i="12" s="1"/>
  <c r="E212" i="6"/>
  <c r="O211" i="6"/>
  <c r="E211" i="6"/>
  <c r="B211" i="6"/>
  <c r="F211" i="6"/>
  <c r="C211" i="6"/>
  <c r="G211" i="6"/>
  <c r="D211" i="6"/>
  <c r="H211" i="6"/>
  <c r="L211" i="12" s="1"/>
  <c r="E207" i="6"/>
  <c r="I207" i="6"/>
  <c r="M207" i="12" s="1"/>
  <c r="M207" i="6"/>
  <c r="B207" i="6"/>
  <c r="F207" i="6"/>
  <c r="J207" i="6"/>
  <c r="N207" i="6"/>
  <c r="C207" i="6"/>
  <c r="G207" i="6"/>
  <c r="K207" i="6"/>
  <c r="N207" i="12" s="1"/>
  <c r="O207" i="6"/>
  <c r="D207" i="6"/>
  <c r="H207" i="6"/>
  <c r="L207" i="12" s="1"/>
  <c r="L207" i="6"/>
  <c r="O207" i="12" s="1"/>
  <c r="E203" i="6"/>
  <c r="I203" i="6"/>
  <c r="M203" i="12" s="1"/>
  <c r="M203" i="6"/>
  <c r="B203" i="6"/>
  <c r="F203" i="6"/>
  <c r="J203" i="6"/>
  <c r="N203" i="6"/>
  <c r="C203" i="6"/>
  <c r="G203" i="6"/>
  <c r="K203" i="6"/>
  <c r="N203" i="12" s="1"/>
  <c r="O203" i="6"/>
  <c r="D203" i="6"/>
  <c r="H203" i="6"/>
  <c r="L203" i="12" s="1"/>
  <c r="L203" i="6"/>
  <c r="O203" i="12" s="1"/>
  <c r="E199" i="6"/>
  <c r="I199" i="6"/>
  <c r="M199" i="12" s="1"/>
  <c r="M199" i="6"/>
  <c r="B199" i="6"/>
  <c r="F199" i="6"/>
  <c r="J199" i="6"/>
  <c r="N199" i="6"/>
  <c r="C199" i="6"/>
  <c r="G199" i="6"/>
  <c r="K199" i="6"/>
  <c r="N199" i="12" s="1"/>
  <c r="O199" i="6"/>
  <c r="D199" i="6"/>
  <c r="H199" i="6"/>
  <c r="L199" i="12" s="1"/>
  <c r="L199" i="6"/>
  <c r="O199" i="12" s="1"/>
  <c r="E195" i="6"/>
  <c r="I195" i="6"/>
  <c r="M195" i="12" s="1"/>
  <c r="M195" i="6"/>
  <c r="B195" i="6"/>
  <c r="F195" i="6"/>
  <c r="J195" i="6"/>
  <c r="N195" i="6"/>
  <c r="C195" i="6"/>
  <c r="G195" i="6"/>
  <c r="K195" i="6"/>
  <c r="N195" i="12" s="1"/>
  <c r="O195" i="6"/>
  <c r="D195" i="6"/>
  <c r="H195" i="6"/>
  <c r="L195" i="12" s="1"/>
  <c r="L195" i="6"/>
  <c r="O195" i="12" s="1"/>
  <c r="E191" i="6"/>
  <c r="I191" i="6"/>
  <c r="M191" i="12" s="1"/>
  <c r="M191" i="6"/>
  <c r="B191" i="6"/>
  <c r="F191" i="6"/>
  <c r="J191" i="6"/>
  <c r="N191" i="6"/>
  <c r="C191" i="6"/>
  <c r="G191" i="6"/>
  <c r="K191" i="6"/>
  <c r="N191" i="12" s="1"/>
  <c r="O191" i="6"/>
  <c r="D191" i="6"/>
  <c r="H191" i="6"/>
  <c r="L191" i="12" s="1"/>
  <c r="L191" i="6"/>
  <c r="O191" i="12" s="1"/>
  <c r="L220" i="6"/>
  <c r="O220" i="12" s="1"/>
  <c r="H220" i="6"/>
  <c r="L220" i="12" s="1"/>
  <c r="D220" i="6"/>
  <c r="L218" i="6"/>
  <c r="O218" i="12" s="1"/>
  <c r="H218" i="6"/>
  <c r="L218" i="12" s="1"/>
  <c r="D218" i="6"/>
  <c r="N217" i="6"/>
  <c r="J217" i="6"/>
  <c r="F217" i="6"/>
  <c r="B217" i="6"/>
  <c r="L216" i="6"/>
  <c r="O216" i="12" s="1"/>
  <c r="H216" i="6"/>
  <c r="L216" i="12" s="1"/>
  <c r="D216" i="6"/>
  <c r="N215" i="6"/>
  <c r="J215" i="6"/>
  <c r="F215" i="6"/>
  <c r="B215" i="6"/>
  <c r="L214" i="6"/>
  <c r="O214" i="12" s="1"/>
  <c r="H214" i="6"/>
  <c r="L214" i="12" s="1"/>
  <c r="D214" i="6"/>
  <c r="N213" i="6"/>
  <c r="J213" i="6"/>
  <c r="F213" i="6"/>
  <c r="B213" i="6"/>
  <c r="L212" i="6"/>
  <c r="O212" i="12" s="1"/>
  <c r="H212" i="6"/>
  <c r="L212" i="12" s="1"/>
  <c r="D212" i="6"/>
  <c r="N211" i="6"/>
  <c r="J211" i="6"/>
  <c r="C210" i="6"/>
  <c r="G210" i="6"/>
  <c r="K210" i="6"/>
  <c r="N210" i="12" s="1"/>
  <c r="O210" i="6"/>
  <c r="D210" i="6"/>
  <c r="H210" i="6"/>
  <c r="L210" i="12" s="1"/>
  <c r="L210" i="6"/>
  <c r="O210" i="12" s="1"/>
  <c r="E210" i="6"/>
  <c r="I210" i="6"/>
  <c r="M210" i="12" s="1"/>
  <c r="M210" i="6"/>
  <c r="B210" i="6"/>
  <c r="F210" i="6"/>
  <c r="J210" i="6"/>
  <c r="N210" i="6"/>
  <c r="C206" i="6"/>
  <c r="G206" i="6"/>
  <c r="K206" i="6"/>
  <c r="N206" i="12" s="1"/>
  <c r="O206" i="6"/>
  <c r="D206" i="6"/>
  <c r="H206" i="6"/>
  <c r="L206" i="12" s="1"/>
  <c r="L206" i="6"/>
  <c r="O206" i="12" s="1"/>
  <c r="E206" i="6"/>
  <c r="I206" i="6"/>
  <c r="M206" i="12" s="1"/>
  <c r="M206" i="6"/>
  <c r="B206" i="6"/>
  <c r="F206" i="6"/>
  <c r="J206" i="6"/>
  <c r="N206" i="6"/>
  <c r="C202" i="6"/>
  <c r="G202" i="6"/>
  <c r="K202" i="6"/>
  <c r="N202" i="12" s="1"/>
  <c r="O202" i="6"/>
  <c r="D202" i="6"/>
  <c r="H202" i="6"/>
  <c r="L202" i="12" s="1"/>
  <c r="L202" i="6"/>
  <c r="O202" i="12" s="1"/>
  <c r="E202" i="6"/>
  <c r="I202" i="6"/>
  <c r="M202" i="12" s="1"/>
  <c r="M202" i="6"/>
  <c r="B202" i="6"/>
  <c r="F202" i="6"/>
  <c r="J202" i="6"/>
  <c r="N202" i="6"/>
  <c r="C198" i="6"/>
  <c r="G198" i="6"/>
  <c r="K198" i="6"/>
  <c r="N198" i="12" s="1"/>
  <c r="O198" i="6"/>
  <c r="D198" i="6"/>
  <c r="H198" i="6"/>
  <c r="L198" i="12" s="1"/>
  <c r="L198" i="6"/>
  <c r="O198" i="12" s="1"/>
  <c r="E198" i="6"/>
  <c r="I198" i="6"/>
  <c r="M198" i="12" s="1"/>
  <c r="M198" i="6"/>
  <c r="B198" i="6"/>
  <c r="F198" i="6"/>
  <c r="J198" i="6"/>
  <c r="N198" i="6"/>
  <c r="C194" i="6"/>
  <c r="G194" i="6"/>
  <c r="K194" i="6"/>
  <c r="N194" i="12" s="1"/>
  <c r="O194" i="6"/>
  <c r="D194" i="6"/>
  <c r="H194" i="6"/>
  <c r="L194" i="12" s="1"/>
  <c r="L194" i="6"/>
  <c r="O194" i="12" s="1"/>
  <c r="E194" i="6"/>
  <c r="I194" i="6"/>
  <c r="M194" i="12" s="1"/>
  <c r="M194" i="6"/>
  <c r="B194" i="6"/>
  <c r="F194" i="6"/>
  <c r="J194" i="6"/>
  <c r="N194" i="6"/>
  <c r="C190" i="6"/>
  <c r="G190" i="6"/>
  <c r="K190" i="6"/>
  <c r="N190" i="12" s="1"/>
  <c r="O190" i="6"/>
  <c r="D190" i="6"/>
  <c r="H190" i="6"/>
  <c r="L190" i="12" s="1"/>
  <c r="L190" i="6"/>
  <c r="O190" i="12" s="1"/>
  <c r="E190" i="6"/>
  <c r="I190" i="6"/>
  <c r="M190" i="12" s="1"/>
  <c r="M190" i="6"/>
  <c r="B190" i="6"/>
  <c r="F190" i="6"/>
  <c r="J190" i="6"/>
  <c r="N190" i="6"/>
  <c r="O220" i="6"/>
  <c r="K220" i="6"/>
  <c r="N220" i="12" s="1"/>
  <c r="G220" i="6"/>
  <c r="O218" i="6"/>
  <c r="K218" i="6"/>
  <c r="N218" i="12" s="1"/>
  <c r="G218" i="6"/>
  <c r="M217" i="6"/>
  <c r="I217" i="6"/>
  <c r="M217" i="12" s="1"/>
  <c r="O216" i="6"/>
  <c r="K216" i="6"/>
  <c r="N216" i="12" s="1"/>
  <c r="G216" i="6"/>
  <c r="M215" i="6"/>
  <c r="I215" i="6"/>
  <c r="M215" i="12" s="1"/>
  <c r="O214" i="6"/>
  <c r="K214" i="6"/>
  <c r="N214" i="12" s="1"/>
  <c r="G214" i="6"/>
  <c r="M213" i="6"/>
  <c r="I213" i="6"/>
  <c r="M213" i="12" s="1"/>
  <c r="O212" i="6"/>
  <c r="K212" i="6"/>
  <c r="N212" i="12" s="1"/>
  <c r="G212" i="6"/>
  <c r="M211" i="6"/>
  <c r="I211" i="6"/>
  <c r="M211" i="12" s="1"/>
  <c r="L221" i="2"/>
  <c r="Q213" i="2"/>
  <c r="M219" i="2"/>
  <c r="D205" i="2"/>
  <c r="C217" i="2"/>
  <c r="I197" i="2"/>
  <c r="H208" i="2"/>
  <c r="M216" i="2"/>
  <c r="B216" i="2"/>
  <c r="P216" i="2"/>
  <c r="C212" i="2"/>
  <c r="R212" i="2"/>
  <c r="I204" i="2"/>
  <c r="L204" i="2"/>
  <c r="M200" i="2"/>
  <c r="P200" i="2"/>
  <c r="C196" i="2"/>
  <c r="D196" i="2"/>
  <c r="R196" i="2"/>
  <c r="B200" i="2"/>
  <c r="D220" i="2"/>
  <c r="C220" i="2"/>
  <c r="I220" i="2"/>
  <c r="D212" i="2"/>
  <c r="I219" i="2"/>
  <c r="E211" i="2"/>
  <c r="P207" i="2"/>
  <c r="L199" i="2"/>
  <c r="H221" i="2"/>
  <c r="D219" i="2"/>
  <c r="G219" i="2" s="1"/>
  <c r="S209" i="2"/>
  <c r="H207" i="2"/>
  <c r="R203" i="2"/>
  <c r="C199" i="2"/>
  <c r="C221" i="2"/>
  <c r="F221" i="2" s="1"/>
  <c r="Q219" i="2"/>
  <c r="L215" i="2"/>
  <c r="E195" i="2"/>
  <c r="D206" i="2"/>
  <c r="L206" i="2"/>
  <c r="R206" i="2"/>
  <c r="E206" i="2"/>
  <c r="M206" i="2"/>
  <c r="S206" i="2"/>
  <c r="B194" i="2"/>
  <c r="H194" i="2"/>
  <c r="P194" i="2"/>
  <c r="C194" i="2"/>
  <c r="I194" i="2"/>
  <c r="Q194" i="2"/>
  <c r="L218" i="2"/>
  <c r="C206" i="2"/>
  <c r="S202" i="2"/>
  <c r="D217" i="2"/>
  <c r="I217" i="2"/>
  <c r="E213" i="2"/>
  <c r="R213" i="2"/>
  <c r="B213" i="2"/>
  <c r="S213" i="2"/>
  <c r="C209" i="2"/>
  <c r="H209" i="2"/>
  <c r="L209" i="2"/>
  <c r="P209" i="2"/>
  <c r="D209" i="2"/>
  <c r="I209" i="2"/>
  <c r="M209" i="2"/>
  <c r="Q209" i="2"/>
  <c r="E205" i="2"/>
  <c r="R205" i="2"/>
  <c r="B205" i="2"/>
  <c r="S205" i="2"/>
  <c r="C201" i="2"/>
  <c r="H201" i="2"/>
  <c r="L201" i="2"/>
  <c r="P201" i="2"/>
  <c r="D201" i="2"/>
  <c r="I201" i="2"/>
  <c r="M201" i="2"/>
  <c r="Q201" i="2"/>
  <c r="E197" i="2"/>
  <c r="R197" i="2"/>
  <c r="B197" i="2"/>
  <c r="S197" i="2"/>
  <c r="S222" i="2"/>
  <c r="M222" i="2"/>
  <c r="E222" i="2"/>
  <c r="S221" i="2"/>
  <c r="B221" i="2"/>
  <c r="P220" i="2"/>
  <c r="H220" i="2"/>
  <c r="B220" i="2"/>
  <c r="P219" i="2"/>
  <c r="L219" i="2"/>
  <c r="H219" i="2"/>
  <c r="C219" i="2"/>
  <c r="F219" i="2" s="1"/>
  <c r="Q218" i="2"/>
  <c r="I218" i="2"/>
  <c r="C218" i="2"/>
  <c r="Q217" i="2"/>
  <c r="M217" i="2"/>
  <c r="H217" i="2"/>
  <c r="J217" i="2" s="1"/>
  <c r="K217" i="2" s="1"/>
  <c r="B217" i="2"/>
  <c r="S215" i="2"/>
  <c r="B215" i="2"/>
  <c r="H214" i="2"/>
  <c r="P213" i="2"/>
  <c r="H213" i="2"/>
  <c r="J213" i="2" s="1"/>
  <c r="K213" i="2" s="1"/>
  <c r="Q212" i="2"/>
  <c r="M211" i="2"/>
  <c r="D211" i="2"/>
  <c r="R209" i="2"/>
  <c r="S208" i="2"/>
  <c r="P206" i="2"/>
  <c r="B206" i="2"/>
  <c r="L205" i="2"/>
  <c r="N205" i="2" s="1"/>
  <c r="O205" i="2" s="1"/>
  <c r="C205" i="2"/>
  <c r="F205" i="2" s="1"/>
  <c r="Q203" i="2"/>
  <c r="I203" i="2"/>
  <c r="R202" i="2"/>
  <c r="D202" i="2"/>
  <c r="E201" i="2"/>
  <c r="S199" i="2"/>
  <c r="B199" i="2"/>
  <c r="H198" i="2"/>
  <c r="P197" i="2"/>
  <c r="H197" i="2"/>
  <c r="J197" i="2" s="1"/>
  <c r="K197" i="2" s="1"/>
  <c r="Q196" i="2"/>
  <c r="M195" i="2"/>
  <c r="D195" i="2"/>
  <c r="L194" i="2"/>
  <c r="B210" i="2"/>
  <c r="H210" i="2"/>
  <c r="P210" i="2"/>
  <c r="C210" i="2"/>
  <c r="I210" i="2"/>
  <c r="Q210" i="2"/>
  <c r="P222" i="2"/>
  <c r="H222" i="2"/>
  <c r="B222" i="2"/>
  <c r="Q206" i="2"/>
  <c r="C216" i="2"/>
  <c r="I216" i="2"/>
  <c r="D216" i="2"/>
  <c r="L216" i="2"/>
  <c r="R216" i="2"/>
  <c r="E212" i="2"/>
  <c r="M212" i="2"/>
  <c r="S212" i="2"/>
  <c r="B212" i="2"/>
  <c r="H212" i="2"/>
  <c r="P212" i="2"/>
  <c r="C208" i="2"/>
  <c r="I208" i="2"/>
  <c r="Q208" i="2"/>
  <c r="D208" i="2"/>
  <c r="L208" i="2"/>
  <c r="R208" i="2"/>
  <c r="E204" i="2"/>
  <c r="M204" i="2"/>
  <c r="S204" i="2"/>
  <c r="B204" i="2"/>
  <c r="H204" i="2"/>
  <c r="P204" i="2"/>
  <c r="C200" i="2"/>
  <c r="I200" i="2"/>
  <c r="Q200" i="2"/>
  <c r="D200" i="2"/>
  <c r="L200" i="2"/>
  <c r="R200" i="2"/>
  <c r="E196" i="2"/>
  <c r="M196" i="2"/>
  <c r="S196" i="2"/>
  <c r="B196" i="2"/>
  <c r="H196" i="2"/>
  <c r="P196" i="2"/>
  <c r="R222" i="2"/>
  <c r="L222" i="2"/>
  <c r="D222" i="2"/>
  <c r="F222" i="2" s="1"/>
  <c r="R221" i="2"/>
  <c r="E221" i="2"/>
  <c r="G221" i="2" s="1"/>
  <c r="S220" i="2"/>
  <c r="M220" i="2"/>
  <c r="E220" i="2"/>
  <c r="S219" i="2"/>
  <c r="B219" i="2"/>
  <c r="P218" i="2"/>
  <c r="H218" i="2"/>
  <c r="B218" i="2"/>
  <c r="P217" i="2"/>
  <c r="L217" i="2"/>
  <c r="S216" i="2"/>
  <c r="H216" i="2"/>
  <c r="P215" i="2"/>
  <c r="Q214" i="2"/>
  <c r="M213" i="2"/>
  <c r="D213" i="2"/>
  <c r="L212" i="2"/>
  <c r="S210" i="2"/>
  <c r="E210" i="2"/>
  <c r="P208" i="2"/>
  <c r="B208" i="2"/>
  <c r="L207" i="2"/>
  <c r="I206" i="2"/>
  <c r="Q205" i="2"/>
  <c r="I205" i="2"/>
  <c r="R204" i="2"/>
  <c r="D204" i="2"/>
  <c r="S201" i="2"/>
  <c r="B201" i="2"/>
  <c r="H200" i="2"/>
  <c r="P199" i="2"/>
  <c r="Q198" i="2"/>
  <c r="M197" i="2"/>
  <c r="D197" i="2"/>
  <c r="L196" i="2"/>
  <c r="N196" i="2" s="1"/>
  <c r="O196" i="2" s="1"/>
  <c r="S194" i="2"/>
  <c r="E194" i="2"/>
  <c r="D214" i="2"/>
  <c r="F214" i="2" s="1"/>
  <c r="L214" i="2"/>
  <c r="R214" i="2"/>
  <c r="E214" i="2"/>
  <c r="M214" i="2"/>
  <c r="S214" i="2"/>
  <c r="B202" i="2"/>
  <c r="H202" i="2"/>
  <c r="P202" i="2"/>
  <c r="C202" i="2"/>
  <c r="I202" i="2"/>
  <c r="Q202" i="2"/>
  <c r="D198" i="2"/>
  <c r="F198" i="2" s="1"/>
  <c r="L198" i="2"/>
  <c r="R198" i="2"/>
  <c r="E198" i="2"/>
  <c r="M198" i="2"/>
  <c r="S198" i="2"/>
  <c r="R218" i="2"/>
  <c r="D218" i="2"/>
  <c r="I214" i="2"/>
  <c r="M210" i="2"/>
  <c r="N210" i="2" s="1"/>
  <c r="O210" i="2" s="1"/>
  <c r="E202" i="2"/>
  <c r="I198" i="2"/>
  <c r="M194" i="2"/>
  <c r="D215" i="2"/>
  <c r="I215" i="2"/>
  <c r="J215" i="2" s="1"/>
  <c r="K215" i="2" s="1"/>
  <c r="M215" i="2"/>
  <c r="Q215" i="2"/>
  <c r="E215" i="2"/>
  <c r="R215" i="2"/>
  <c r="B211" i="2"/>
  <c r="S211" i="2"/>
  <c r="C211" i="2"/>
  <c r="H211" i="2"/>
  <c r="L211" i="2"/>
  <c r="P211" i="2"/>
  <c r="D207" i="2"/>
  <c r="I207" i="2"/>
  <c r="M207" i="2"/>
  <c r="Q207" i="2"/>
  <c r="E207" i="2"/>
  <c r="R207" i="2"/>
  <c r="B203" i="2"/>
  <c r="S203" i="2"/>
  <c r="C203" i="2"/>
  <c r="H203" i="2"/>
  <c r="L203" i="2"/>
  <c r="P203" i="2"/>
  <c r="D199" i="2"/>
  <c r="I199" i="2"/>
  <c r="J199" i="2" s="1"/>
  <c r="K199" i="2" s="1"/>
  <c r="M199" i="2"/>
  <c r="Q199" i="2"/>
  <c r="E199" i="2"/>
  <c r="R199" i="2"/>
  <c r="B195" i="2"/>
  <c r="S195" i="2"/>
  <c r="C195" i="2"/>
  <c r="H195" i="2"/>
  <c r="L195" i="2"/>
  <c r="P195" i="2"/>
  <c r="Q222" i="2"/>
  <c r="I222" i="2"/>
  <c r="Q221" i="2"/>
  <c r="M221" i="2"/>
  <c r="I221" i="2"/>
  <c r="R220" i="2"/>
  <c r="L220" i="2"/>
  <c r="R219" i="2"/>
  <c r="S218" i="2"/>
  <c r="M218" i="2"/>
  <c r="S217" i="2"/>
  <c r="E217" i="2"/>
  <c r="Q216" i="2"/>
  <c r="E216" i="2"/>
  <c r="P214" i="2"/>
  <c r="B214" i="2"/>
  <c r="L213" i="2"/>
  <c r="C213" i="2"/>
  <c r="I212" i="2"/>
  <c r="Q211" i="2"/>
  <c r="I211" i="2"/>
  <c r="R210" i="2"/>
  <c r="D210" i="2"/>
  <c r="E209" i="2"/>
  <c r="M208" i="2"/>
  <c r="S207" i="2"/>
  <c r="B207" i="2"/>
  <c r="H206" i="2"/>
  <c r="P205" i="2"/>
  <c r="H205" i="2"/>
  <c r="Q204" i="2"/>
  <c r="C204" i="2"/>
  <c r="M203" i="2"/>
  <c r="D203" i="2"/>
  <c r="G203" i="2" s="1"/>
  <c r="L202" i="2"/>
  <c r="N202" i="2" s="1"/>
  <c r="O202" i="2" s="1"/>
  <c r="R201" i="2"/>
  <c r="S200" i="2"/>
  <c r="E200" i="2"/>
  <c r="P198" i="2"/>
  <c r="B198" i="2"/>
  <c r="L197" i="2"/>
  <c r="C197" i="2"/>
  <c r="I196" i="2"/>
  <c r="Q195" i="2"/>
  <c r="I195" i="2"/>
  <c r="R194" i="2"/>
  <c r="D194" i="2"/>
  <c r="G218" i="2"/>
  <c r="L4" i="21"/>
  <c r="H191" i="3" l="1"/>
  <c r="H207" i="3"/>
  <c r="E210" i="3"/>
  <c r="H199" i="3"/>
  <c r="E211" i="3"/>
  <c r="J207" i="2"/>
  <c r="K207" i="2" s="1"/>
  <c r="N199" i="2"/>
  <c r="O199" i="2" s="1"/>
  <c r="F218" i="2"/>
  <c r="K198" i="3"/>
  <c r="K214" i="3"/>
  <c r="K201" i="3"/>
  <c r="G212" i="14"/>
  <c r="H203" i="3"/>
  <c r="F213" i="2"/>
  <c r="F195" i="2"/>
  <c r="F200" i="2"/>
  <c r="E207" i="3"/>
  <c r="E190" i="3"/>
  <c r="E198" i="3"/>
  <c r="E206" i="3"/>
  <c r="J218" i="2"/>
  <c r="K218" i="2" s="1"/>
  <c r="F208" i="2"/>
  <c r="J204" i="2"/>
  <c r="K204" i="2" s="1"/>
  <c r="H204" i="3"/>
  <c r="K208" i="3"/>
  <c r="K192" i="3"/>
  <c r="K191" i="3"/>
  <c r="N221" i="2"/>
  <c r="O221" i="2" s="1"/>
  <c r="N206" i="2"/>
  <c r="O206" i="2" s="1"/>
  <c r="G208" i="14"/>
  <c r="G220" i="14"/>
  <c r="G200" i="14"/>
  <c r="H200" i="3"/>
  <c r="H194" i="3"/>
  <c r="H210" i="3"/>
  <c r="G216" i="14"/>
  <c r="F211" i="2"/>
  <c r="J221" i="2"/>
  <c r="K221" i="2" s="1"/>
  <c r="G197" i="2"/>
  <c r="J200" i="2"/>
  <c r="K200" i="2" s="1"/>
  <c r="N217" i="2"/>
  <c r="O217" i="2" s="1"/>
  <c r="H208" i="3"/>
  <c r="H202" i="3"/>
  <c r="K190" i="3"/>
  <c r="H196" i="3"/>
  <c r="K206" i="3"/>
  <c r="H212" i="3"/>
  <c r="E204" i="3"/>
  <c r="G215" i="14"/>
  <c r="H195" i="3"/>
  <c r="H211" i="3"/>
  <c r="G188" i="14"/>
  <c r="G204" i="14"/>
  <c r="H192" i="3"/>
  <c r="G195" i="14"/>
  <c r="E196" i="3"/>
  <c r="G192" i="14"/>
  <c r="E200" i="3"/>
  <c r="K199" i="3"/>
  <c r="K195" i="3"/>
  <c r="K202" i="3"/>
  <c r="E191" i="3"/>
  <c r="J208" i="2"/>
  <c r="K208" i="2" s="1"/>
  <c r="G196" i="14"/>
  <c r="G203" i="14"/>
  <c r="G201" i="14"/>
  <c r="E192" i="3"/>
  <c r="E208" i="3"/>
  <c r="K213" i="3"/>
  <c r="K204" i="3"/>
  <c r="N215" i="2"/>
  <c r="O215" i="2" s="1"/>
  <c r="J220" i="2"/>
  <c r="K220" i="2" s="1"/>
  <c r="H206" i="3"/>
  <c r="K212" i="3"/>
  <c r="K194" i="3"/>
  <c r="K210" i="3"/>
  <c r="K189" i="3"/>
  <c r="K205" i="3"/>
  <c r="K197" i="3"/>
  <c r="H189" i="3"/>
  <c r="H205" i="3"/>
  <c r="H213" i="3"/>
  <c r="H209" i="3"/>
  <c r="F210" i="2"/>
  <c r="J203" i="2"/>
  <c r="K203" i="2" s="1"/>
  <c r="G213" i="2"/>
  <c r="N200" i="2"/>
  <c r="O200" i="2" s="1"/>
  <c r="N219" i="2"/>
  <c r="O219" i="2" s="1"/>
  <c r="G206" i="2"/>
  <c r="G202" i="14"/>
  <c r="G189" i="14"/>
  <c r="G197" i="14"/>
  <c r="G205" i="14"/>
  <c r="H193" i="3"/>
  <c r="H197" i="3"/>
  <c r="H201" i="3"/>
  <c r="J210" i="2"/>
  <c r="K210" i="2" s="1"/>
  <c r="G202" i="2"/>
  <c r="F212" i="2"/>
  <c r="G205" i="2"/>
  <c r="G194" i="14"/>
  <c r="G213" i="14"/>
  <c r="K193" i="3"/>
  <c r="F194" i="2"/>
  <c r="J205" i="2"/>
  <c r="K205" i="2" s="1"/>
  <c r="F199" i="2"/>
  <c r="N216" i="2"/>
  <c r="O216" i="2" s="1"/>
  <c r="J219" i="2"/>
  <c r="K219" i="2" s="1"/>
  <c r="N207" i="2"/>
  <c r="O207" i="2" s="1"/>
  <c r="G198" i="2"/>
  <c r="G212" i="2"/>
  <c r="N197" i="2"/>
  <c r="O197" i="2" s="1"/>
  <c r="G220" i="2"/>
  <c r="F216" i="2"/>
  <c r="G195" i="2"/>
  <c r="F196" i="2"/>
  <c r="G214" i="2"/>
  <c r="F197" i="2"/>
  <c r="G207" i="2"/>
  <c r="J202" i="2"/>
  <c r="K202" i="2" s="1"/>
  <c r="F220" i="2"/>
  <c r="G194" i="2"/>
  <c r="G211" i="2"/>
  <c r="J198" i="2"/>
  <c r="K198" i="2" s="1"/>
  <c r="G196" i="2"/>
  <c r="G210" i="2"/>
  <c r="G222" i="2"/>
  <c r="N195" i="2"/>
  <c r="O195" i="2" s="1"/>
  <c r="N198" i="2"/>
  <c r="O198" i="2" s="1"/>
  <c r="N214" i="2"/>
  <c r="O214" i="2" s="1"/>
  <c r="F204" i="2"/>
  <c r="N204" i="2"/>
  <c r="O204" i="2" s="1"/>
  <c r="G215" i="2"/>
  <c r="F215" i="2"/>
  <c r="J196" i="2"/>
  <c r="K196" i="2" s="1"/>
  <c r="J212" i="2"/>
  <c r="K212" i="2" s="1"/>
  <c r="F202" i="2"/>
  <c r="N201" i="2"/>
  <c r="O201" i="2" s="1"/>
  <c r="N209" i="2"/>
  <c r="O209" i="2" s="1"/>
  <c r="G217" i="2"/>
  <c r="F217" i="2"/>
  <c r="G199" i="2"/>
  <c r="N213" i="2"/>
  <c r="O213" i="2" s="1"/>
  <c r="J206" i="2"/>
  <c r="K206" i="2" s="1"/>
  <c r="N203" i="2"/>
  <c r="O203" i="2" s="1"/>
  <c r="N211" i="2"/>
  <c r="O211" i="2" s="1"/>
  <c r="N212" i="2"/>
  <c r="O212" i="2" s="1"/>
  <c r="N222" i="2"/>
  <c r="O222" i="2" s="1"/>
  <c r="J201" i="2"/>
  <c r="K201" i="2" s="1"/>
  <c r="J209" i="2"/>
  <c r="K209" i="2" s="1"/>
  <c r="N218" i="2"/>
  <c r="O218" i="2" s="1"/>
  <c r="F206" i="2"/>
  <c r="F203" i="2"/>
  <c r="J214" i="2"/>
  <c r="K214" i="2" s="1"/>
  <c r="G204" i="2"/>
  <c r="G200" i="2"/>
  <c r="G208" i="2"/>
  <c r="G216" i="2"/>
  <c r="N220" i="2"/>
  <c r="O220" i="2" s="1"/>
  <c r="J195" i="2"/>
  <c r="K195" i="2" s="1"/>
  <c r="J211" i="2"/>
  <c r="K211" i="2" s="1"/>
  <c r="J216" i="2"/>
  <c r="K216" i="2" s="1"/>
  <c r="N208" i="2"/>
  <c r="O208" i="2" s="1"/>
  <c r="J222" i="2"/>
  <c r="K222" i="2" s="1"/>
  <c r="N194" i="2"/>
  <c r="O194" i="2" s="1"/>
  <c r="G201" i="2"/>
  <c r="F201" i="2"/>
  <c r="G209" i="2"/>
  <c r="F209" i="2"/>
  <c r="J194" i="2"/>
  <c r="K194" i="2" s="1"/>
  <c r="F207" i="2"/>
  <c r="F174" i="18"/>
  <c r="F179" i="18" l="1"/>
  <c r="F33" i="18"/>
  <c r="F47" i="18"/>
  <c r="F95" i="18"/>
  <c r="F93" i="18"/>
  <c r="F210" i="18"/>
  <c r="F23" i="18"/>
  <c r="F49" i="18"/>
  <c r="F151" i="18"/>
  <c r="F173" i="18"/>
  <c r="F158" i="18"/>
  <c r="F109" i="18"/>
  <c r="F131" i="18"/>
  <c r="F187" i="18"/>
  <c r="F28" i="18"/>
  <c r="F10" i="18"/>
  <c r="F65" i="18"/>
  <c r="F148" i="18"/>
  <c r="F75" i="18"/>
  <c r="F117" i="18"/>
  <c r="F70" i="18"/>
  <c r="F199" i="18"/>
  <c r="F159" i="18"/>
  <c r="F200" i="18"/>
  <c r="F130" i="18"/>
  <c r="F25" i="18"/>
  <c r="F97" i="18"/>
  <c r="F152" i="18"/>
  <c r="F96" i="18"/>
  <c r="F64" i="18"/>
  <c r="F146" i="18"/>
  <c r="F76" i="18"/>
  <c r="F172" i="18"/>
  <c r="F57" i="18"/>
  <c r="F37" i="18"/>
  <c r="F135" i="18"/>
  <c r="F55" i="18"/>
  <c r="F82" i="18"/>
  <c r="F176" i="18"/>
  <c r="F184" i="18"/>
  <c r="F67" i="18"/>
  <c r="F73" i="18"/>
  <c r="F195" i="18"/>
  <c r="F104" i="18"/>
  <c r="F20" i="18"/>
  <c r="F180" i="18"/>
  <c r="F48" i="18"/>
  <c r="F94" i="18"/>
  <c r="F128" i="18"/>
  <c r="F19" i="18"/>
  <c r="F35" i="18"/>
  <c r="F156" i="18"/>
  <c r="F133" i="18"/>
  <c r="F145" i="18"/>
  <c r="F196" i="18"/>
  <c r="F79" i="18"/>
  <c r="F207" i="18"/>
  <c r="F154" i="18"/>
  <c r="F110" i="18"/>
  <c r="F126" i="18"/>
  <c r="F72" i="18"/>
  <c r="F183" i="18"/>
  <c r="F78" i="18"/>
  <c r="F5" i="18"/>
  <c r="F68" i="18"/>
  <c r="F51" i="18"/>
  <c r="F71" i="18"/>
  <c r="F116" i="18"/>
  <c r="F113" i="18"/>
  <c r="F38" i="18"/>
  <c r="F209" i="18"/>
  <c r="F105" i="18"/>
  <c r="F89" i="18"/>
  <c r="F66" i="18"/>
  <c r="F164" i="18"/>
  <c r="F157" i="18"/>
  <c r="F43" i="18"/>
  <c r="F188" i="18"/>
  <c r="F44" i="18"/>
  <c r="F8" i="18"/>
  <c r="F63" i="18"/>
  <c r="F15" i="18"/>
  <c r="F162" i="18"/>
  <c r="F153" i="18"/>
  <c r="F185" i="18"/>
  <c r="F119" i="18"/>
  <c r="F92" i="18"/>
  <c r="F118" i="18"/>
  <c r="F139" i="18"/>
  <c r="F18" i="18"/>
  <c r="F11" i="18"/>
  <c r="F136" i="18"/>
  <c r="F27" i="18"/>
  <c r="F208" i="18"/>
  <c r="F88" i="18"/>
  <c r="F101" i="18"/>
  <c r="F56" i="18"/>
  <c r="F149" i="18"/>
  <c r="F6" i="18"/>
  <c r="F80" i="18"/>
  <c r="F201" i="18"/>
  <c r="F140" i="18"/>
  <c r="F160" i="18"/>
  <c r="F21" i="18"/>
  <c r="F203" i="18"/>
  <c r="F197" i="18"/>
  <c r="F142" i="18"/>
  <c r="F45" i="18"/>
  <c r="F167" i="18"/>
  <c r="F204" i="18"/>
  <c r="F205" i="18"/>
  <c r="F108" i="18"/>
  <c r="F98" i="18"/>
  <c r="F123" i="18"/>
  <c r="F13" i="18"/>
  <c r="F182" i="18"/>
  <c r="F103" i="18"/>
  <c r="F42" i="18"/>
  <c r="F87" i="18"/>
  <c r="F132" i="18"/>
  <c r="F155" i="18"/>
  <c r="F161" i="18"/>
  <c r="F91" i="18"/>
  <c r="F53" i="18"/>
  <c r="F134" i="18"/>
  <c r="F58" i="18"/>
  <c r="F17" i="18"/>
  <c r="F120" i="18"/>
  <c r="F69" i="18"/>
  <c r="F50" i="18"/>
  <c r="F54" i="18"/>
  <c r="F16" i="18"/>
  <c r="F99" i="18"/>
  <c r="F83" i="18"/>
  <c r="F36" i="18"/>
  <c r="F40" i="18"/>
  <c r="F178" i="18"/>
  <c r="F41" i="18"/>
  <c r="F26" i="18"/>
  <c r="F122" i="18"/>
  <c r="F102" i="18"/>
  <c r="F189" i="18"/>
  <c r="F46" i="18"/>
  <c r="F111" i="18"/>
  <c r="F121" i="18"/>
  <c r="F29" i="18"/>
  <c r="F198" i="18"/>
  <c r="F193" i="18"/>
  <c r="F194" i="18"/>
  <c r="F138" i="18"/>
  <c r="F115" i="18"/>
  <c r="F177" i="18"/>
  <c r="F143" i="18"/>
  <c r="F171" i="18"/>
  <c r="F90" i="18"/>
  <c r="F9" i="18"/>
  <c r="F106" i="18"/>
  <c r="F147" i="18"/>
  <c r="F211" i="18"/>
  <c r="F129" i="18"/>
  <c r="F77" i="18"/>
  <c r="F137" i="18"/>
  <c r="F192" i="18"/>
  <c r="F190" i="18"/>
  <c r="F81" i="18"/>
  <c r="F168" i="18"/>
  <c r="F150" i="18"/>
  <c r="F114" i="18"/>
  <c r="F100" i="18"/>
  <c r="F59" i="18"/>
  <c r="F170" i="18"/>
  <c r="F32" i="18"/>
  <c r="F206" i="18"/>
  <c r="F125" i="18"/>
  <c r="F127" i="18"/>
  <c r="F12" i="18"/>
  <c r="F165" i="18"/>
  <c r="F39" i="18"/>
  <c r="F14" i="18"/>
  <c r="F202" i="18"/>
  <c r="F86" i="18"/>
  <c r="F163" i="18"/>
  <c r="F85" i="18"/>
  <c r="F22" i="18"/>
  <c r="F181" i="18"/>
  <c r="F84" i="18"/>
  <c r="F191" i="18"/>
  <c r="F24" i="18"/>
  <c r="F52" i="18"/>
  <c r="F144" i="18"/>
  <c r="F186" i="18"/>
  <c r="F141" i="18"/>
  <c r="F124" i="18"/>
  <c r="F31" i="18"/>
  <c r="F112" i="18"/>
  <c r="F60" i="18"/>
  <c r="F30" i="18"/>
  <c r="F166" i="18"/>
  <c r="F175" i="18"/>
  <c r="F74" i="18"/>
  <c r="F107" i="18"/>
  <c r="E163" i="18" l="1"/>
  <c r="B20" i="28" l="1"/>
  <c r="B21" i="28"/>
  <c r="B22" i="28"/>
  <c r="V2" i="16"/>
  <c r="V3" i="16"/>
  <c r="FB2" i="4"/>
  <c r="FB3" i="4"/>
  <c r="FB4" i="4"/>
  <c r="FB5" i="4"/>
  <c r="FB6" i="4"/>
  <c r="FB7" i="4"/>
  <c r="FB8" i="4"/>
  <c r="FB9" i="4"/>
  <c r="FB10" i="4"/>
  <c r="FB11" i="4"/>
  <c r="FB12" i="4"/>
  <c r="FB13" i="4"/>
  <c r="FB14" i="4"/>
  <c r="FB15" i="4"/>
  <c r="FB16" i="4"/>
  <c r="FB17" i="4"/>
  <c r="FB18" i="4"/>
  <c r="FB19" i="4"/>
  <c r="FB20" i="4"/>
  <c r="FB21" i="4"/>
  <c r="FB22" i="4"/>
  <c r="FB23" i="4"/>
  <c r="FB24" i="4"/>
  <c r="FB25" i="4"/>
  <c r="FB26" i="4"/>
  <c r="FB27" i="4"/>
  <c r="FB28" i="4"/>
  <c r="FB29" i="4"/>
  <c r="FB30" i="4"/>
  <c r="FB31" i="4"/>
  <c r="FB32" i="4"/>
  <c r="FB33" i="4"/>
  <c r="FB34" i="4"/>
  <c r="FB35" i="4"/>
  <c r="FB36" i="4"/>
  <c r="FB37" i="4"/>
  <c r="FB38" i="4"/>
  <c r="FB39" i="4"/>
  <c r="FB40" i="4"/>
  <c r="FB41" i="4"/>
  <c r="FB42" i="4"/>
  <c r="FB43" i="4"/>
  <c r="FB44" i="4"/>
  <c r="FB45" i="4"/>
  <c r="FB46" i="4"/>
  <c r="FB47" i="4"/>
  <c r="FB48" i="4"/>
  <c r="FB49" i="4"/>
  <c r="FB50" i="4"/>
  <c r="FB51" i="4"/>
  <c r="FB52" i="4"/>
  <c r="FB53" i="4"/>
  <c r="FB54" i="4"/>
  <c r="FB55" i="4"/>
  <c r="FB56" i="4"/>
  <c r="FB57" i="4"/>
  <c r="FB58" i="4"/>
  <c r="FB59" i="4"/>
  <c r="FB60" i="4"/>
  <c r="FB61" i="4"/>
  <c r="FB62" i="4"/>
  <c r="FB63" i="4"/>
  <c r="FB64" i="4"/>
  <c r="FB65" i="4"/>
  <c r="FB66" i="4"/>
  <c r="FB67" i="4"/>
  <c r="FB68" i="4"/>
  <c r="FB69" i="4"/>
  <c r="FB70" i="4"/>
  <c r="FB71" i="4"/>
  <c r="FB72" i="4"/>
  <c r="FB73" i="4"/>
  <c r="FB74" i="4"/>
  <c r="FB75" i="4"/>
  <c r="FB76" i="4"/>
  <c r="FB77" i="4"/>
  <c r="FB78" i="4"/>
  <c r="FB79" i="4"/>
  <c r="FB80" i="4"/>
  <c r="FB81" i="4"/>
  <c r="FB82" i="4"/>
  <c r="FB83" i="4"/>
  <c r="FB84" i="4"/>
  <c r="FB85" i="4"/>
  <c r="FB86" i="4"/>
  <c r="FB87" i="4"/>
  <c r="FB88" i="4"/>
  <c r="FB89" i="4"/>
  <c r="FB90" i="4"/>
  <c r="FB91" i="4"/>
  <c r="FB92" i="4"/>
  <c r="FB93" i="4"/>
  <c r="FB94" i="4"/>
  <c r="FB95" i="4"/>
  <c r="FB96" i="4"/>
  <c r="FB97" i="4"/>
  <c r="FB98" i="4"/>
  <c r="FB99" i="4"/>
  <c r="FB100" i="4"/>
  <c r="FB101" i="4"/>
  <c r="FB102" i="4"/>
  <c r="FB103" i="4"/>
  <c r="FB104" i="4"/>
  <c r="FB105" i="4"/>
  <c r="FB106" i="4"/>
  <c r="FB107" i="4"/>
  <c r="FB108" i="4"/>
  <c r="FB109" i="4"/>
  <c r="FB110" i="4"/>
  <c r="FB111" i="4"/>
  <c r="FB112" i="4"/>
  <c r="FB113" i="4"/>
  <c r="FB114" i="4"/>
  <c r="FB115" i="4"/>
  <c r="FB116" i="4"/>
  <c r="FB117" i="4"/>
  <c r="FB118" i="4"/>
  <c r="FB119" i="4"/>
  <c r="FB120" i="4"/>
  <c r="FB121" i="4"/>
  <c r="FB122" i="4"/>
  <c r="FB123" i="4"/>
  <c r="FB124" i="4"/>
  <c r="FB125" i="4"/>
  <c r="FB126" i="4"/>
  <c r="FB127" i="4"/>
  <c r="FB128" i="4"/>
  <c r="FB129" i="4"/>
  <c r="FB130" i="4"/>
  <c r="FB131" i="4"/>
  <c r="FB132" i="4"/>
  <c r="FB133" i="4"/>
  <c r="FB134" i="4"/>
  <c r="FB135" i="4"/>
  <c r="FB136" i="4"/>
  <c r="FB137" i="4"/>
  <c r="FB138" i="4"/>
  <c r="FB139" i="4"/>
  <c r="FB140" i="4"/>
  <c r="FB141" i="4"/>
  <c r="FB142" i="4"/>
  <c r="FB143" i="4"/>
  <c r="FB144" i="4"/>
  <c r="FB145" i="4"/>
  <c r="FB146" i="4"/>
  <c r="FB147" i="4"/>
  <c r="FB148" i="4"/>
  <c r="FB149" i="4"/>
  <c r="FB150" i="4"/>
  <c r="FB151" i="4"/>
  <c r="FB152" i="4"/>
  <c r="FB153" i="4"/>
  <c r="FB154" i="4"/>
  <c r="FB155" i="4"/>
  <c r="FB156" i="4"/>
  <c r="FB157" i="4"/>
  <c r="FB158" i="4"/>
  <c r="FB159" i="4"/>
  <c r="FB160" i="4"/>
  <c r="FB161" i="4"/>
  <c r="FB162" i="4"/>
  <c r="FB163" i="4"/>
  <c r="FB164" i="4"/>
  <c r="FB165" i="4"/>
  <c r="FB166" i="4"/>
  <c r="FB167" i="4"/>
  <c r="FB168" i="4"/>
  <c r="FB169" i="4"/>
  <c r="FB170" i="4"/>
  <c r="FB171" i="4"/>
  <c r="FB172" i="4"/>
  <c r="FB173" i="4"/>
  <c r="FB174" i="4"/>
  <c r="FB175" i="4"/>
  <c r="FB176" i="4"/>
  <c r="FB177" i="4"/>
  <c r="FB178" i="4"/>
  <c r="FB179" i="4"/>
  <c r="FB180" i="4"/>
  <c r="FB181" i="4"/>
  <c r="FB182" i="4"/>
  <c r="FB183" i="4"/>
  <c r="FB184" i="4"/>
  <c r="FB185" i="4"/>
  <c r="FB186" i="4"/>
  <c r="FB187" i="4"/>
  <c r="FB188" i="4"/>
  <c r="FB189" i="4"/>
  <c r="FB190" i="4"/>
  <c r="FB191" i="4"/>
  <c r="FB192" i="4"/>
  <c r="FB193" i="4"/>
  <c r="FB194" i="4"/>
  <c r="FB195" i="4"/>
  <c r="FB196" i="4"/>
  <c r="FB197" i="4"/>
  <c r="FB198" i="4"/>
  <c r="FB199" i="4"/>
  <c r="FB200" i="4"/>
  <c r="FB201" i="4"/>
  <c r="FB202" i="4"/>
  <c r="FB203" i="4"/>
  <c r="FB204" i="4"/>
  <c r="FB205" i="4"/>
  <c r="FB206" i="4"/>
  <c r="FB207" i="4"/>
  <c r="FB208" i="4"/>
  <c r="FB209" i="4"/>
  <c r="FB210" i="4"/>
  <c r="FB211" i="4"/>
  <c r="FB212" i="4"/>
  <c r="FB213" i="4"/>
  <c r="FB214" i="4"/>
  <c r="FB215" i="4"/>
  <c r="FB216" i="4"/>
  <c r="FB217" i="4"/>
  <c r="FB218" i="4"/>
  <c r="FB219" i="4"/>
  <c r="FB220" i="4"/>
  <c r="FB221" i="4"/>
  <c r="FB222" i="4"/>
  <c r="FB223" i="4"/>
  <c r="FB224" i="4"/>
  <c r="FB225" i="4"/>
  <c r="FB226" i="4"/>
  <c r="FB227" i="4"/>
  <c r="FB228" i="4"/>
  <c r="FB229" i="4"/>
  <c r="FB230" i="4"/>
  <c r="FB231" i="4"/>
  <c r="FB232" i="4"/>
  <c r="FB233" i="4"/>
  <c r="FB234" i="4"/>
  <c r="FB235" i="4"/>
  <c r="FB236" i="4"/>
  <c r="FB237" i="4"/>
  <c r="FB238" i="4"/>
  <c r="FB239" i="4"/>
  <c r="FB240" i="4"/>
  <c r="FB241" i="4"/>
  <c r="FB242" i="4"/>
  <c r="FB243" i="4"/>
  <c r="FB244" i="4"/>
  <c r="FB245" i="4"/>
  <c r="FB246" i="4"/>
  <c r="FB247" i="4"/>
  <c r="FB248" i="4"/>
  <c r="FB249" i="4"/>
  <c r="FB250" i="4"/>
  <c r="FB251" i="4"/>
  <c r="FB252" i="4"/>
  <c r="FB253" i="4"/>
  <c r="FB254" i="4"/>
  <c r="FB255" i="4"/>
  <c r="FB256" i="4"/>
  <c r="FB257" i="4"/>
  <c r="FB258" i="4"/>
  <c r="FB259" i="4"/>
  <c r="FB260" i="4"/>
  <c r="FB261" i="4"/>
  <c r="FB262" i="4"/>
  <c r="FB263" i="4"/>
  <c r="FB264" i="4"/>
  <c r="FB265" i="4"/>
  <c r="FB266" i="4"/>
  <c r="FB267" i="4"/>
  <c r="FB268" i="4"/>
  <c r="FB269" i="4"/>
  <c r="FB270" i="4"/>
  <c r="FB271" i="4"/>
  <c r="FB272" i="4"/>
  <c r="FB273" i="4"/>
  <c r="FB274" i="4"/>
  <c r="FB275" i="4"/>
  <c r="FB276" i="4"/>
  <c r="FB277" i="4"/>
  <c r="FB278" i="4"/>
  <c r="FB279" i="4"/>
  <c r="FB280" i="4"/>
  <c r="FB281" i="4"/>
  <c r="FB282" i="4"/>
  <c r="FB283" i="4"/>
  <c r="FB284" i="4"/>
  <c r="FB285" i="4"/>
  <c r="FB286" i="4"/>
  <c r="FB287" i="4"/>
  <c r="FB288" i="4"/>
  <c r="FB289" i="4"/>
  <c r="FB290" i="4"/>
  <c r="FB291" i="4"/>
  <c r="FB292" i="4"/>
  <c r="FB293" i="4"/>
  <c r="FB294" i="4"/>
  <c r="FB295" i="4"/>
  <c r="FB296" i="4"/>
  <c r="FB297" i="4"/>
  <c r="FB298" i="4"/>
  <c r="FB299" i="4"/>
  <c r="FB300" i="4"/>
  <c r="FB301" i="4"/>
  <c r="FB302" i="4"/>
  <c r="FB303" i="4"/>
  <c r="FB304" i="4"/>
  <c r="FB305" i="4"/>
  <c r="FB306" i="4"/>
  <c r="FB307" i="4"/>
  <c r="FB308" i="4"/>
  <c r="FB309" i="4"/>
  <c r="FB310" i="4"/>
  <c r="FB311" i="4"/>
  <c r="FB312" i="4"/>
  <c r="FB313" i="4"/>
  <c r="FB314" i="4"/>
  <c r="FB315" i="4"/>
  <c r="FB316" i="4"/>
  <c r="FB317" i="4"/>
  <c r="FB318" i="4"/>
  <c r="FB319" i="4"/>
  <c r="FB320" i="4"/>
  <c r="FB321" i="4"/>
  <c r="FB322" i="4"/>
  <c r="FC2" i="1"/>
  <c r="FC3" i="1"/>
  <c r="FC4" i="1"/>
  <c r="FC5" i="1"/>
  <c r="FC6" i="1"/>
  <c r="FC7" i="1"/>
  <c r="FC8" i="1"/>
  <c r="FC9" i="1"/>
  <c r="FC10" i="1"/>
  <c r="FC11" i="1"/>
  <c r="FC12" i="1"/>
  <c r="FC13" i="1"/>
  <c r="FC14" i="1"/>
  <c r="FC15" i="1"/>
  <c r="FC16" i="1"/>
  <c r="FC17" i="1"/>
  <c r="FC18" i="1"/>
  <c r="FC19" i="1"/>
  <c r="FC20" i="1"/>
  <c r="FC21" i="1"/>
  <c r="FC22" i="1"/>
  <c r="FC23" i="1"/>
  <c r="FC24" i="1"/>
  <c r="FC25" i="1"/>
  <c r="FC26" i="1"/>
  <c r="FC27" i="1"/>
  <c r="FC28" i="1"/>
  <c r="FC29" i="1"/>
  <c r="FC30" i="1"/>
  <c r="FC31" i="1"/>
  <c r="FC32" i="1"/>
  <c r="FC33" i="1"/>
  <c r="FC34" i="1"/>
  <c r="FC35" i="1"/>
  <c r="FC36" i="1"/>
  <c r="FC37" i="1"/>
  <c r="FC38" i="1"/>
  <c r="FC39" i="1"/>
  <c r="FC40" i="1"/>
  <c r="FC41" i="1"/>
  <c r="FC42" i="1"/>
  <c r="FC43" i="1"/>
  <c r="FC44" i="1"/>
  <c r="FC45" i="1"/>
  <c r="FC46" i="1"/>
  <c r="FC47" i="1"/>
  <c r="FC48" i="1"/>
  <c r="FC49" i="1"/>
  <c r="FC50" i="1"/>
  <c r="FC51" i="1"/>
  <c r="FC52" i="1"/>
  <c r="FC53" i="1"/>
  <c r="FC54" i="1"/>
  <c r="FC55" i="1"/>
  <c r="FC56" i="1"/>
  <c r="FC57" i="1"/>
  <c r="FC58" i="1"/>
  <c r="FC59" i="1"/>
  <c r="FC60" i="1"/>
  <c r="FC61" i="1"/>
  <c r="FC62" i="1"/>
  <c r="FC63" i="1"/>
  <c r="FC64" i="1"/>
  <c r="FC65" i="1"/>
  <c r="FC66" i="1"/>
  <c r="FC67" i="1"/>
  <c r="FC68" i="1"/>
  <c r="FC69" i="1"/>
  <c r="FC70" i="1"/>
  <c r="FC71" i="1"/>
  <c r="FC72" i="1"/>
  <c r="FC73" i="1"/>
  <c r="FC74" i="1"/>
  <c r="FC75" i="1"/>
  <c r="FC76" i="1"/>
  <c r="FC77" i="1"/>
  <c r="FC78" i="1"/>
  <c r="FC79" i="1"/>
  <c r="FC80" i="1"/>
  <c r="FC81" i="1"/>
  <c r="FC82" i="1"/>
  <c r="FC83" i="1"/>
  <c r="FC84" i="1"/>
  <c r="FC85" i="1"/>
  <c r="FC86" i="1"/>
  <c r="FC87" i="1"/>
  <c r="FC88" i="1"/>
  <c r="FC89" i="1"/>
  <c r="FC90" i="1"/>
  <c r="FC91" i="1"/>
  <c r="FC92" i="1"/>
  <c r="FC93" i="1"/>
  <c r="FC94" i="1"/>
  <c r="FC95" i="1"/>
  <c r="FC96" i="1"/>
  <c r="FC97" i="1"/>
  <c r="FC98" i="1"/>
  <c r="FC99" i="1"/>
  <c r="FC100" i="1"/>
  <c r="FC101" i="1"/>
  <c r="FC102" i="1"/>
  <c r="FC103" i="1"/>
  <c r="FC104" i="1"/>
  <c r="FC105" i="1"/>
  <c r="FC106" i="1"/>
  <c r="FC107" i="1"/>
  <c r="FC108" i="1"/>
  <c r="FC109" i="1"/>
  <c r="FC110" i="1"/>
  <c r="FC111" i="1"/>
  <c r="FC112" i="1"/>
  <c r="FC113" i="1"/>
  <c r="FC114" i="1"/>
  <c r="FC115" i="1"/>
  <c r="FC116" i="1"/>
  <c r="FC117" i="1"/>
  <c r="FC118" i="1"/>
  <c r="FC119" i="1"/>
  <c r="FC120" i="1"/>
  <c r="FC121" i="1"/>
  <c r="FC122" i="1"/>
  <c r="FC123" i="1"/>
  <c r="FC124" i="1"/>
  <c r="FC125" i="1"/>
  <c r="FC126" i="1"/>
  <c r="FC127" i="1"/>
  <c r="FC128" i="1"/>
  <c r="FC129" i="1"/>
  <c r="FC130" i="1"/>
  <c r="FC131" i="1"/>
  <c r="FC132" i="1"/>
  <c r="FC133" i="1"/>
  <c r="FC134" i="1"/>
  <c r="FC135" i="1"/>
  <c r="FC136" i="1"/>
  <c r="FC137" i="1"/>
  <c r="FC138" i="1"/>
  <c r="FC139" i="1"/>
  <c r="FC140" i="1"/>
  <c r="FC141" i="1"/>
  <c r="FC142" i="1"/>
  <c r="FC143" i="1"/>
  <c r="FC144" i="1"/>
  <c r="FC145" i="1"/>
  <c r="FC146" i="1"/>
  <c r="FC147" i="1"/>
  <c r="FC148" i="1"/>
  <c r="FC149" i="1"/>
  <c r="FC150" i="1"/>
  <c r="FC151" i="1"/>
  <c r="FC152" i="1"/>
  <c r="FC153" i="1"/>
  <c r="FC154" i="1"/>
  <c r="FC155" i="1"/>
  <c r="FC156" i="1"/>
  <c r="FC157" i="1"/>
  <c r="FC158" i="1"/>
  <c r="FC159" i="1"/>
  <c r="FC160" i="1"/>
  <c r="FC161" i="1"/>
  <c r="FC162" i="1"/>
  <c r="FC163" i="1"/>
  <c r="FC164" i="1"/>
  <c r="FC165" i="1"/>
  <c r="FC166" i="1"/>
  <c r="FC167" i="1"/>
  <c r="FC168" i="1"/>
  <c r="FC169" i="1"/>
  <c r="FC170" i="1"/>
  <c r="FC171" i="1"/>
  <c r="FC172" i="1"/>
  <c r="FC173" i="1"/>
  <c r="FC174" i="1"/>
  <c r="FC175" i="1"/>
  <c r="FC176" i="1"/>
  <c r="FC177" i="1"/>
  <c r="FC178" i="1"/>
  <c r="FC179" i="1"/>
  <c r="FC180" i="1"/>
  <c r="FC181" i="1"/>
  <c r="FC182" i="1"/>
  <c r="FC183" i="1"/>
  <c r="FC184" i="1"/>
  <c r="FC185" i="1"/>
  <c r="FC186" i="1"/>
  <c r="FC187" i="1"/>
  <c r="FC188" i="1"/>
  <c r="FC189" i="1"/>
  <c r="FC190" i="1"/>
  <c r="FC191" i="1"/>
  <c r="FC192" i="1"/>
  <c r="FC193" i="1"/>
  <c r="FC194" i="1"/>
  <c r="FC195" i="1"/>
  <c r="FC196" i="1"/>
  <c r="FC197" i="1"/>
  <c r="FC198" i="1"/>
  <c r="FC199" i="1"/>
  <c r="FC200" i="1"/>
  <c r="FC201" i="1"/>
  <c r="FC202" i="1"/>
  <c r="FC203" i="1"/>
  <c r="FC204" i="1"/>
  <c r="FC205" i="1"/>
  <c r="FC206" i="1"/>
  <c r="FC207" i="1"/>
  <c r="FC208" i="1"/>
  <c r="FC209" i="1"/>
  <c r="FC210" i="1"/>
  <c r="FC211" i="1"/>
  <c r="FC212" i="1"/>
  <c r="FC213" i="1"/>
  <c r="FC214" i="1"/>
  <c r="FC215" i="1"/>
  <c r="FC216" i="1"/>
  <c r="FC217" i="1"/>
  <c r="FC218" i="1"/>
  <c r="FC219" i="1"/>
  <c r="FC220" i="1"/>
  <c r="FC221" i="1"/>
  <c r="FC222" i="1"/>
  <c r="FC223" i="1"/>
  <c r="FC224" i="1"/>
  <c r="FC225" i="1"/>
  <c r="FC226" i="1"/>
  <c r="FC227" i="1"/>
  <c r="FC228" i="1"/>
  <c r="FC229" i="1"/>
  <c r="FC230" i="1"/>
  <c r="FC231" i="1"/>
  <c r="FC232" i="1"/>
  <c r="FC233" i="1"/>
  <c r="FC234" i="1"/>
  <c r="FC235" i="1"/>
  <c r="FC236" i="1"/>
  <c r="FC237" i="1"/>
  <c r="FC238" i="1"/>
  <c r="FC239" i="1"/>
  <c r="FC240" i="1"/>
  <c r="FC241" i="1"/>
  <c r="FC242" i="1"/>
  <c r="FC243" i="1"/>
  <c r="FC244" i="1"/>
  <c r="FC245" i="1"/>
  <c r="FC246" i="1"/>
  <c r="FC247" i="1"/>
  <c r="FC248" i="1"/>
  <c r="FC249" i="1"/>
  <c r="FC250" i="1"/>
  <c r="FC251" i="1"/>
  <c r="FC252" i="1"/>
  <c r="FC253" i="1"/>
  <c r="FC254" i="1"/>
  <c r="FC255" i="1"/>
  <c r="FC256" i="1"/>
  <c r="FC257" i="1"/>
  <c r="FC258" i="1"/>
  <c r="FC259" i="1"/>
  <c r="FC260" i="1"/>
  <c r="FC261" i="1"/>
  <c r="FC262" i="1"/>
  <c r="FC263" i="1"/>
  <c r="FC264" i="1"/>
  <c r="FC265" i="1"/>
  <c r="FC266" i="1"/>
  <c r="FC267" i="1"/>
  <c r="FC268" i="1"/>
  <c r="FC269" i="1"/>
  <c r="FC270" i="1"/>
  <c r="FC271" i="1"/>
  <c r="FC272" i="1"/>
  <c r="FC273" i="1"/>
  <c r="FC274" i="1"/>
  <c r="FC275" i="1"/>
  <c r="FC276" i="1"/>
  <c r="FC277" i="1"/>
  <c r="FC278" i="1"/>
  <c r="FC279" i="1"/>
  <c r="FC280" i="1"/>
  <c r="FC281" i="1"/>
  <c r="FC282" i="1"/>
  <c r="FC283" i="1"/>
  <c r="FC284" i="1"/>
  <c r="FC285" i="1"/>
  <c r="FC286" i="1"/>
  <c r="FC287" i="1"/>
  <c r="FC288" i="1"/>
  <c r="FC289" i="1"/>
  <c r="FC290" i="1"/>
  <c r="FC291" i="1"/>
  <c r="FC292" i="1"/>
  <c r="FC293" i="1"/>
  <c r="FC294" i="1"/>
  <c r="FC295" i="1"/>
  <c r="FC296" i="1"/>
  <c r="FC297" i="1"/>
  <c r="FC298" i="1"/>
  <c r="FC299" i="1"/>
  <c r="FC300" i="1"/>
  <c r="FC301" i="1"/>
  <c r="FC302" i="1"/>
  <c r="FC303" i="1"/>
  <c r="FC304" i="1"/>
  <c r="FC305" i="1"/>
  <c r="FC306" i="1"/>
  <c r="FC307" i="1"/>
  <c r="FC308" i="1"/>
  <c r="FC309" i="1"/>
  <c r="FC310" i="1"/>
  <c r="FC311" i="1"/>
  <c r="FC312" i="1"/>
  <c r="FC313" i="1"/>
  <c r="FC314" i="1"/>
  <c r="FC315" i="1"/>
  <c r="FC316" i="1"/>
  <c r="FC317" i="1"/>
  <c r="FC318" i="1"/>
  <c r="FC319" i="1"/>
  <c r="FC320" i="1"/>
  <c r="FC321" i="1"/>
  <c r="FC322" i="1"/>
  <c r="FC323" i="1"/>
  <c r="FC324" i="1"/>
  <c r="FC325" i="1"/>
  <c r="FC326" i="1"/>
  <c r="FC327" i="1"/>
  <c r="FC328" i="1"/>
  <c r="FC329" i="1"/>
  <c r="FC330" i="1"/>
  <c r="FC331" i="1"/>
  <c r="FC332" i="1"/>
  <c r="FC333" i="1"/>
  <c r="FC334" i="1"/>
  <c r="FC335" i="1"/>
  <c r="FC336" i="1"/>
  <c r="FC337" i="1"/>
  <c r="FC338" i="1"/>
  <c r="FC339" i="1"/>
  <c r="FC340" i="1"/>
  <c r="FC341" i="1"/>
  <c r="FC342" i="1"/>
  <c r="FC343" i="1"/>
  <c r="FC344" i="1"/>
  <c r="FC345" i="1"/>
  <c r="FC346" i="1"/>
  <c r="FC347" i="1"/>
  <c r="FC348" i="1"/>
  <c r="FC349" i="1"/>
  <c r="FC350" i="1"/>
  <c r="FC351" i="1"/>
  <c r="FC352" i="1"/>
  <c r="FC353" i="1"/>
  <c r="FC354" i="1"/>
  <c r="D6" i="15"/>
  <c r="E6" i="15"/>
  <c r="F6" i="15"/>
  <c r="D7" i="15"/>
  <c r="E7" i="15"/>
  <c r="F7" i="15"/>
  <c r="D8" i="15"/>
  <c r="E8" i="15"/>
  <c r="F8" i="15"/>
  <c r="D9" i="15"/>
  <c r="E9" i="15"/>
  <c r="F9" i="15"/>
  <c r="D10" i="15"/>
  <c r="E10" i="15"/>
  <c r="F10" i="15"/>
  <c r="D11" i="15"/>
  <c r="E11" i="15"/>
  <c r="F11" i="15"/>
  <c r="D12" i="15"/>
  <c r="E12" i="15"/>
  <c r="F12" i="15"/>
  <c r="D13" i="15"/>
  <c r="E13" i="15"/>
  <c r="F13" i="15"/>
  <c r="D14" i="15"/>
  <c r="E14" i="15"/>
  <c r="F14" i="15"/>
  <c r="D15" i="15"/>
  <c r="E15" i="15"/>
  <c r="F15" i="15"/>
  <c r="D16" i="15"/>
  <c r="E16" i="15"/>
  <c r="F16" i="15"/>
  <c r="D17" i="15"/>
  <c r="E17" i="15"/>
  <c r="F17" i="15"/>
  <c r="D18" i="15"/>
  <c r="E18" i="15"/>
  <c r="F18" i="15"/>
  <c r="D19" i="15"/>
  <c r="E19" i="15"/>
  <c r="F19" i="15"/>
  <c r="D20" i="15"/>
  <c r="E20" i="15"/>
  <c r="F20" i="15"/>
  <c r="D21" i="15"/>
  <c r="E21" i="15"/>
  <c r="F21" i="15"/>
  <c r="D22" i="15"/>
  <c r="E22" i="15"/>
  <c r="F22" i="15"/>
  <c r="D23" i="15"/>
  <c r="E23" i="15"/>
  <c r="F23" i="15"/>
  <c r="D24" i="15"/>
  <c r="E24" i="15"/>
  <c r="F24" i="15"/>
  <c r="D25" i="15"/>
  <c r="E25" i="15"/>
  <c r="F25" i="15"/>
  <c r="D26" i="15"/>
  <c r="E26" i="15"/>
  <c r="F26" i="15"/>
  <c r="D27" i="15"/>
  <c r="E27" i="15"/>
  <c r="F27" i="15"/>
  <c r="D28" i="15"/>
  <c r="E28" i="15"/>
  <c r="F28" i="15"/>
  <c r="D29" i="15"/>
  <c r="E29" i="15"/>
  <c r="F29" i="15"/>
  <c r="D30" i="15"/>
  <c r="E30" i="15"/>
  <c r="F30" i="15"/>
  <c r="D31" i="15"/>
  <c r="E31" i="15"/>
  <c r="F31" i="15"/>
  <c r="D32" i="15"/>
  <c r="E32" i="15"/>
  <c r="F32" i="15"/>
  <c r="D33" i="15"/>
  <c r="E33" i="15"/>
  <c r="F33" i="15"/>
  <c r="D34" i="15"/>
  <c r="E34" i="15"/>
  <c r="F34" i="15"/>
  <c r="D35" i="15"/>
  <c r="E35" i="15"/>
  <c r="F35" i="15"/>
  <c r="D36" i="15"/>
  <c r="E36" i="15"/>
  <c r="F36" i="15"/>
  <c r="D37" i="15"/>
  <c r="E37" i="15"/>
  <c r="F37" i="15"/>
  <c r="D38" i="15"/>
  <c r="E38" i="15"/>
  <c r="F38" i="15"/>
  <c r="D39" i="15"/>
  <c r="E39" i="15"/>
  <c r="F39" i="15"/>
  <c r="D40" i="15"/>
  <c r="E40" i="15"/>
  <c r="F40" i="15"/>
  <c r="D41" i="15"/>
  <c r="E41" i="15"/>
  <c r="F41" i="15"/>
  <c r="D42" i="15"/>
  <c r="E42" i="15"/>
  <c r="F42" i="15"/>
  <c r="D43" i="15"/>
  <c r="E43" i="15"/>
  <c r="F43" i="15"/>
  <c r="D44" i="15"/>
  <c r="E44" i="15"/>
  <c r="F44" i="15"/>
  <c r="D45" i="15"/>
  <c r="E45" i="15"/>
  <c r="F45" i="15"/>
  <c r="D46" i="15"/>
  <c r="E46" i="15"/>
  <c r="F46" i="15"/>
  <c r="D47" i="15"/>
  <c r="E47" i="15"/>
  <c r="F47" i="15"/>
  <c r="D48" i="15"/>
  <c r="E48" i="15"/>
  <c r="F48" i="15"/>
  <c r="D49" i="15"/>
  <c r="E49" i="15"/>
  <c r="F49" i="15"/>
  <c r="D50" i="15"/>
  <c r="E50" i="15"/>
  <c r="F50" i="15"/>
  <c r="D51" i="15"/>
  <c r="E51" i="15"/>
  <c r="F51" i="15"/>
  <c r="D52" i="15"/>
  <c r="E52" i="15"/>
  <c r="F52" i="15"/>
  <c r="D53" i="15"/>
  <c r="E53" i="15"/>
  <c r="F53" i="15"/>
  <c r="D54" i="15"/>
  <c r="E54" i="15"/>
  <c r="F54" i="15"/>
  <c r="D55" i="15"/>
  <c r="E55" i="15"/>
  <c r="F55" i="15"/>
  <c r="D56" i="15"/>
  <c r="E56" i="15"/>
  <c r="F56" i="15"/>
  <c r="D57" i="15"/>
  <c r="E57" i="15"/>
  <c r="F57" i="15"/>
  <c r="D58" i="15"/>
  <c r="E58" i="15"/>
  <c r="F58" i="15"/>
  <c r="D59" i="15"/>
  <c r="E59" i="15"/>
  <c r="F59" i="15"/>
  <c r="D60" i="15"/>
  <c r="E60" i="15"/>
  <c r="F60" i="15"/>
  <c r="D61" i="15"/>
  <c r="E61" i="15"/>
  <c r="F61" i="15"/>
  <c r="D62" i="15"/>
  <c r="E62" i="15"/>
  <c r="F62" i="15"/>
  <c r="D63" i="15"/>
  <c r="E63" i="15"/>
  <c r="F63" i="15"/>
  <c r="D64" i="15"/>
  <c r="E64" i="15"/>
  <c r="F64" i="15"/>
  <c r="D65" i="15"/>
  <c r="E65" i="15"/>
  <c r="F65" i="15"/>
  <c r="D66" i="15"/>
  <c r="E66" i="15"/>
  <c r="F66" i="15"/>
  <c r="D67" i="15"/>
  <c r="E67" i="15"/>
  <c r="F67" i="15"/>
  <c r="D68" i="15"/>
  <c r="E68" i="15"/>
  <c r="F68" i="15"/>
  <c r="D69" i="15"/>
  <c r="E69" i="15"/>
  <c r="F69" i="15"/>
  <c r="D70" i="15"/>
  <c r="E70" i="15"/>
  <c r="F70" i="15"/>
  <c r="D71" i="15"/>
  <c r="E71" i="15"/>
  <c r="F71" i="15"/>
  <c r="D72" i="15"/>
  <c r="E72" i="15"/>
  <c r="F72" i="15"/>
  <c r="D73" i="15"/>
  <c r="E73" i="15"/>
  <c r="F73" i="15"/>
  <c r="D74" i="15"/>
  <c r="E74" i="15"/>
  <c r="F74" i="15"/>
  <c r="D75" i="15"/>
  <c r="E75" i="15"/>
  <c r="F75" i="15"/>
  <c r="D76" i="15"/>
  <c r="E76" i="15"/>
  <c r="F76" i="15"/>
  <c r="D77" i="15"/>
  <c r="E77" i="15"/>
  <c r="F77" i="15"/>
  <c r="D78" i="15"/>
  <c r="E78" i="15"/>
  <c r="F78" i="15"/>
  <c r="D79" i="15"/>
  <c r="E79" i="15"/>
  <c r="F79" i="15"/>
  <c r="D80" i="15"/>
  <c r="E80" i="15"/>
  <c r="F80" i="15"/>
  <c r="D81" i="15"/>
  <c r="E81" i="15"/>
  <c r="F81" i="15"/>
  <c r="D82" i="15"/>
  <c r="E82" i="15"/>
  <c r="F82" i="15"/>
  <c r="D83" i="15"/>
  <c r="E83" i="15"/>
  <c r="F83" i="15"/>
  <c r="D84" i="15"/>
  <c r="E84" i="15"/>
  <c r="F84" i="15"/>
  <c r="D85" i="15"/>
  <c r="E85" i="15"/>
  <c r="F85" i="15"/>
  <c r="D86" i="15"/>
  <c r="E86" i="15"/>
  <c r="F86" i="15"/>
  <c r="D87" i="15"/>
  <c r="E87" i="15"/>
  <c r="F87" i="15"/>
  <c r="D88" i="15"/>
  <c r="E88" i="15"/>
  <c r="F88" i="15"/>
  <c r="D89" i="15"/>
  <c r="E89" i="15"/>
  <c r="F89" i="15"/>
  <c r="D90" i="15"/>
  <c r="E90" i="15"/>
  <c r="F90" i="15"/>
  <c r="D91" i="15"/>
  <c r="E91" i="15"/>
  <c r="F91" i="15"/>
  <c r="D92" i="15"/>
  <c r="E92" i="15"/>
  <c r="F92" i="15"/>
  <c r="D93" i="15"/>
  <c r="E93" i="15"/>
  <c r="F93" i="15"/>
  <c r="D94" i="15"/>
  <c r="E94" i="15"/>
  <c r="F94" i="15"/>
  <c r="D95" i="15"/>
  <c r="E95" i="15"/>
  <c r="F95" i="15"/>
  <c r="D96" i="15"/>
  <c r="E96" i="15"/>
  <c r="F96" i="15"/>
  <c r="D97" i="15"/>
  <c r="E97" i="15"/>
  <c r="F97" i="15"/>
  <c r="D98" i="15"/>
  <c r="E98" i="15"/>
  <c r="F98" i="15"/>
  <c r="D99" i="15"/>
  <c r="E99" i="15"/>
  <c r="F99" i="15"/>
  <c r="D100" i="15"/>
  <c r="E100" i="15"/>
  <c r="F100" i="15"/>
  <c r="D101" i="15"/>
  <c r="E101" i="15"/>
  <c r="F101" i="15"/>
  <c r="D102" i="15"/>
  <c r="E102" i="15"/>
  <c r="F102" i="15"/>
  <c r="D103" i="15"/>
  <c r="E103" i="15"/>
  <c r="F103" i="15"/>
  <c r="D104" i="15"/>
  <c r="E104" i="15"/>
  <c r="F104" i="15"/>
  <c r="D105" i="15"/>
  <c r="E105" i="15"/>
  <c r="F105" i="15"/>
  <c r="D106" i="15"/>
  <c r="E106" i="15"/>
  <c r="F106" i="15"/>
  <c r="D107" i="15"/>
  <c r="E107" i="15"/>
  <c r="F107" i="15"/>
  <c r="D108" i="15"/>
  <c r="E108" i="15"/>
  <c r="F108" i="15"/>
  <c r="D109" i="15"/>
  <c r="E109" i="15"/>
  <c r="F109" i="15"/>
  <c r="D110" i="15"/>
  <c r="E110" i="15"/>
  <c r="F110" i="15"/>
  <c r="D111" i="15"/>
  <c r="E111" i="15"/>
  <c r="F111" i="15"/>
  <c r="D112" i="15"/>
  <c r="E112" i="15"/>
  <c r="F112" i="15"/>
  <c r="D113" i="15"/>
  <c r="E113" i="15"/>
  <c r="F113" i="15"/>
  <c r="D114" i="15"/>
  <c r="E114" i="15"/>
  <c r="F114" i="15"/>
  <c r="D115" i="15"/>
  <c r="E115" i="15"/>
  <c r="F115" i="15"/>
  <c r="D116" i="15"/>
  <c r="E116" i="15"/>
  <c r="F116" i="15"/>
  <c r="D117" i="15"/>
  <c r="E117" i="15"/>
  <c r="F117" i="15"/>
  <c r="D118" i="15"/>
  <c r="E118" i="15"/>
  <c r="F118" i="15"/>
  <c r="D119" i="15"/>
  <c r="E119" i="15"/>
  <c r="F119" i="15"/>
  <c r="D120" i="15"/>
  <c r="E120" i="15"/>
  <c r="F120" i="15"/>
  <c r="D121" i="15"/>
  <c r="E121" i="15"/>
  <c r="F121" i="15"/>
  <c r="D122" i="15"/>
  <c r="E122" i="15"/>
  <c r="F122" i="15"/>
  <c r="D123" i="15"/>
  <c r="E123" i="15"/>
  <c r="F123" i="15"/>
  <c r="D124" i="15"/>
  <c r="E124" i="15"/>
  <c r="F124" i="15"/>
  <c r="D125" i="15"/>
  <c r="E125" i="15"/>
  <c r="F125" i="15"/>
  <c r="D126" i="15"/>
  <c r="E126" i="15"/>
  <c r="F126" i="15"/>
  <c r="D127" i="15"/>
  <c r="E127" i="15"/>
  <c r="F127" i="15"/>
  <c r="D128" i="15"/>
  <c r="E128" i="15"/>
  <c r="F128" i="15"/>
  <c r="D129" i="15"/>
  <c r="E129" i="15"/>
  <c r="F129" i="15"/>
  <c r="D130" i="15"/>
  <c r="E130" i="15"/>
  <c r="F130" i="15"/>
  <c r="D131" i="15"/>
  <c r="E131" i="15"/>
  <c r="F131" i="15"/>
  <c r="D132" i="15"/>
  <c r="E132" i="15"/>
  <c r="F132" i="15"/>
  <c r="D133" i="15"/>
  <c r="E133" i="15"/>
  <c r="F133" i="15"/>
  <c r="D134" i="15"/>
  <c r="E134" i="15"/>
  <c r="F134" i="15"/>
  <c r="D135" i="15"/>
  <c r="E135" i="15"/>
  <c r="F135" i="15"/>
  <c r="D136" i="15"/>
  <c r="E136" i="15"/>
  <c r="F136" i="15"/>
  <c r="D137" i="15"/>
  <c r="E137" i="15"/>
  <c r="F137" i="15"/>
  <c r="D138" i="15"/>
  <c r="E138" i="15"/>
  <c r="F138" i="15"/>
  <c r="D139" i="15"/>
  <c r="E139" i="15"/>
  <c r="F139" i="15"/>
  <c r="D140" i="15"/>
  <c r="E140" i="15"/>
  <c r="F140" i="15"/>
  <c r="D141" i="15"/>
  <c r="E141" i="15"/>
  <c r="F141" i="15"/>
  <c r="D142" i="15"/>
  <c r="E142" i="15"/>
  <c r="F142" i="15"/>
  <c r="D143" i="15"/>
  <c r="E143" i="15"/>
  <c r="F143" i="15"/>
  <c r="D144" i="15"/>
  <c r="E144" i="15"/>
  <c r="F144" i="15"/>
  <c r="D145" i="15"/>
  <c r="E145" i="15"/>
  <c r="F145" i="15"/>
  <c r="D146" i="15"/>
  <c r="E146" i="15"/>
  <c r="F146" i="15"/>
  <c r="D147" i="15"/>
  <c r="E147" i="15"/>
  <c r="F147" i="15"/>
  <c r="D148" i="15"/>
  <c r="E148" i="15"/>
  <c r="F148" i="15"/>
  <c r="D149" i="15"/>
  <c r="E149" i="15"/>
  <c r="F149" i="15"/>
  <c r="D150" i="15"/>
  <c r="E150" i="15"/>
  <c r="F150" i="15"/>
  <c r="D151" i="15"/>
  <c r="E151" i="15"/>
  <c r="F151" i="15"/>
  <c r="D152" i="15"/>
  <c r="E152" i="15"/>
  <c r="F152" i="15"/>
  <c r="D153" i="15"/>
  <c r="E153" i="15"/>
  <c r="F153" i="15"/>
  <c r="D154" i="15"/>
  <c r="E154" i="15"/>
  <c r="F154" i="15"/>
  <c r="D155" i="15"/>
  <c r="E155" i="15"/>
  <c r="F155" i="15"/>
  <c r="D156" i="15"/>
  <c r="E156" i="15"/>
  <c r="F156" i="15"/>
  <c r="D157" i="15"/>
  <c r="E157" i="15"/>
  <c r="F157" i="15"/>
  <c r="D158" i="15"/>
  <c r="E158" i="15"/>
  <c r="F158" i="15"/>
  <c r="D159" i="15"/>
  <c r="E159" i="15"/>
  <c r="F159" i="15"/>
  <c r="D160" i="15"/>
  <c r="E160" i="15"/>
  <c r="F160" i="15"/>
  <c r="D161" i="15"/>
  <c r="E161" i="15"/>
  <c r="F161" i="15"/>
  <c r="D162" i="15"/>
  <c r="E162" i="15"/>
  <c r="F162" i="15"/>
  <c r="D163" i="15"/>
  <c r="E163" i="15"/>
  <c r="F163" i="15"/>
  <c r="D164" i="15"/>
  <c r="E164" i="15"/>
  <c r="F164" i="15"/>
  <c r="D165" i="15"/>
  <c r="E165" i="15"/>
  <c r="F165" i="15"/>
  <c r="D166" i="15"/>
  <c r="E166" i="15"/>
  <c r="F166" i="15"/>
  <c r="D167" i="15"/>
  <c r="E167" i="15"/>
  <c r="F167" i="15"/>
  <c r="D168" i="15"/>
  <c r="E168" i="15"/>
  <c r="F168" i="15"/>
  <c r="D169" i="15"/>
  <c r="E169" i="15"/>
  <c r="F169" i="15"/>
  <c r="D170" i="15"/>
  <c r="E170" i="15"/>
  <c r="F170" i="15"/>
  <c r="D171" i="15"/>
  <c r="E171" i="15"/>
  <c r="F171" i="15"/>
  <c r="D172" i="15"/>
  <c r="E172" i="15"/>
  <c r="F172" i="15"/>
  <c r="D173" i="15"/>
  <c r="E173" i="15"/>
  <c r="F173" i="15"/>
  <c r="D174" i="15"/>
  <c r="E174" i="15"/>
  <c r="F174" i="15"/>
  <c r="D175" i="15"/>
  <c r="E175" i="15"/>
  <c r="F175" i="15"/>
  <c r="D176" i="15"/>
  <c r="E176" i="15"/>
  <c r="F176" i="15"/>
  <c r="D177" i="15"/>
  <c r="E177" i="15"/>
  <c r="F177" i="15"/>
  <c r="D178" i="15"/>
  <c r="E178" i="15"/>
  <c r="F178" i="15"/>
  <c r="D179" i="15"/>
  <c r="E179" i="15"/>
  <c r="F179" i="15"/>
  <c r="D180" i="15"/>
  <c r="E180" i="15"/>
  <c r="F180" i="15"/>
  <c r="D181" i="15"/>
  <c r="E181" i="15"/>
  <c r="F181" i="15"/>
  <c r="D182" i="15"/>
  <c r="E182" i="15"/>
  <c r="F182" i="15"/>
  <c r="D183" i="15"/>
  <c r="E183" i="15"/>
  <c r="F183" i="15"/>
  <c r="D184" i="15"/>
  <c r="E184" i="15"/>
  <c r="F184" i="15"/>
  <c r="D185" i="15"/>
  <c r="E185" i="15"/>
  <c r="F185" i="15"/>
  <c r="D186" i="15"/>
  <c r="E186" i="15"/>
  <c r="F186" i="15"/>
  <c r="D187" i="15"/>
  <c r="E187" i="15"/>
  <c r="F187" i="15"/>
  <c r="D188" i="15"/>
  <c r="E188" i="15"/>
  <c r="F188" i="15"/>
  <c r="D189" i="15"/>
  <c r="E189" i="15"/>
  <c r="F189" i="15"/>
  <c r="D190" i="15"/>
  <c r="E190" i="15"/>
  <c r="F190" i="15"/>
  <c r="D191" i="15"/>
  <c r="E191" i="15"/>
  <c r="F191" i="15"/>
  <c r="D192" i="15"/>
  <c r="E192" i="15"/>
  <c r="F192" i="15"/>
  <c r="D193" i="15"/>
  <c r="E193" i="15"/>
  <c r="F193" i="15"/>
  <c r="D194" i="15"/>
  <c r="E194" i="15"/>
  <c r="F194" i="15"/>
  <c r="D195" i="15"/>
  <c r="E195" i="15"/>
  <c r="F195" i="15"/>
  <c r="D196" i="15"/>
  <c r="E196" i="15"/>
  <c r="F196" i="15"/>
  <c r="D197" i="15"/>
  <c r="E197" i="15"/>
  <c r="F197" i="15"/>
  <c r="D198" i="15"/>
  <c r="E198" i="15"/>
  <c r="F198" i="15"/>
  <c r="D199" i="15"/>
  <c r="E199" i="15"/>
  <c r="F199" i="15"/>
  <c r="D200" i="15"/>
  <c r="E200" i="15"/>
  <c r="F200" i="15"/>
  <c r="D201" i="15"/>
  <c r="E201" i="15"/>
  <c r="F201" i="15"/>
  <c r="D202" i="15"/>
  <c r="E202" i="15"/>
  <c r="F202" i="15"/>
  <c r="D203" i="15"/>
  <c r="E203" i="15"/>
  <c r="F203" i="15"/>
  <c r="D204" i="15"/>
  <c r="E204" i="15"/>
  <c r="F204" i="15"/>
  <c r="E199" i="18"/>
  <c r="E157" i="18"/>
  <c r="E20" i="18"/>
  <c r="E187" i="18"/>
  <c r="E8" i="18"/>
  <c r="E144" i="18"/>
  <c r="E5" i="18"/>
  <c r="E165" i="18"/>
  <c r="E145" i="18"/>
  <c r="E15" i="18"/>
  <c r="E18" i="18"/>
  <c r="E110" i="18"/>
  <c r="E105" i="18"/>
  <c r="E191" i="18"/>
  <c r="E209" i="18"/>
  <c r="E137" i="18"/>
  <c r="E56" i="18"/>
  <c r="E75" i="18"/>
  <c r="E74" i="18"/>
  <c r="E132" i="18"/>
  <c r="E202" i="18"/>
  <c r="E67" i="18"/>
  <c r="E179" i="18"/>
  <c r="E39" i="18"/>
  <c r="E192" i="18"/>
  <c r="E122" i="18"/>
  <c r="E115" i="18"/>
  <c r="E204" i="18"/>
  <c r="E59" i="18"/>
  <c r="E160" i="18"/>
  <c r="E183" i="18"/>
  <c r="E88" i="18"/>
  <c r="E161" i="18"/>
  <c r="E93" i="18"/>
  <c r="E136" i="18"/>
  <c r="E69" i="18"/>
  <c r="E79" i="18"/>
  <c r="E101" i="18"/>
  <c r="E107" i="18"/>
  <c r="E42" i="18"/>
  <c r="E207" i="18"/>
  <c r="E45" i="18"/>
  <c r="E55" i="18"/>
  <c r="E12" i="18"/>
  <c r="E73" i="18"/>
  <c r="E130" i="18"/>
  <c r="E195" i="18"/>
  <c r="E104" i="18"/>
  <c r="E51" i="18"/>
  <c r="E180" i="18"/>
  <c r="E85" i="18"/>
  <c r="E123" i="18"/>
  <c r="E206" i="18"/>
  <c r="E21" i="18"/>
  <c r="E142" i="18"/>
  <c r="E162" i="18"/>
  <c r="E98" i="18"/>
  <c r="E108" i="18"/>
  <c r="E114" i="18"/>
  <c r="E96" i="18"/>
  <c r="E36" i="18"/>
  <c r="E153" i="18"/>
  <c r="E14" i="18"/>
  <c r="E92" i="18"/>
  <c r="E63" i="18"/>
  <c r="E31" i="18"/>
  <c r="E46" i="18"/>
  <c r="E35" i="18"/>
  <c r="E133" i="18"/>
  <c r="E26" i="18"/>
  <c r="E97" i="18"/>
  <c r="E143" i="18"/>
  <c r="E125" i="18"/>
  <c r="E210" i="18"/>
  <c r="E181" i="18"/>
  <c r="E22" i="18"/>
  <c r="E117" i="18"/>
  <c r="E167" i="18"/>
  <c r="E43" i="18"/>
  <c r="E78" i="18"/>
  <c r="E172" i="18"/>
  <c r="E60" i="18"/>
  <c r="E196" i="18"/>
  <c r="E6" i="18"/>
  <c r="E173" i="18"/>
  <c r="E25" i="18"/>
  <c r="E87" i="18"/>
  <c r="E76" i="18"/>
  <c r="E135" i="18"/>
  <c r="E90" i="18"/>
  <c r="E140" i="18"/>
  <c r="E68" i="18"/>
  <c r="E118" i="18"/>
  <c r="E175" i="18"/>
  <c r="E113" i="18"/>
  <c r="E154" i="18"/>
  <c r="E99" i="18"/>
  <c r="E80" i="18"/>
  <c r="E83" i="18"/>
  <c r="E52" i="18"/>
  <c r="E146" i="18"/>
  <c r="E37" i="18"/>
  <c r="E11" i="18"/>
  <c r="E47" i="18"/>
  <c r="E147" i="18"/>
  <c r="E120" i="18"/>
  <c r="E71" i="18"/>
  <c r="E150" i="18"/>
  <c r="E57" i="18"/>
  <c r="E190" i="18"/>
  <c r="E65" i="18"/>
  <c r="E48" i="18"/>
  <c r="E182" i="18"/>
  <c r="E116" i="18"/>
  <c r="E139" i="18"/>
  <c r="E129" i="18"/>
  <c r="E103" i="18"/>
  <c r="E95" i="18"/>
  <c r="E86" i="18"/>
  <c r="E38" i="18"/>
  <c r="E200" i="18"/>
  <c r="E141" i="18"/>
  <c r="E208" i="18"/>
  <c r="E58" i="18"/>
  <c r="E109" i="18"/>
  <c r="E171" i="18"/>
  <c r="E205" i="18"/>
  <c r="E112" i="18"/>
  <c r="E203" i="18"/>
  <c r="E77" i="18"/>
  <c r="E188" i="18"/>
  <c r="E91" i="18"/>
  <c r="E119" i="18"/>
  <c r="E169" i="18"/>
  <c r="F169" i="18"/>
  <c r="E27" i="18"/>
  <c r="E33" i="18"/>
  <c r="E155" i="18"/>
  <c r="E66" i="18"/>
  <c r="E30" i="18"/>
  <c r="E158" i="18"/>
  <c r="E89" i="18"/>
  <c r="E16" i="18"/>
  <c r="E102" i="18"/>
  <c r="E193" i="18"/>
  <c r="E17" i="18"/>
  <c r="E50" i="18"/>
  <c r="E29" i="18"/>
  <c r="E72" i="18"/>
  <c r="E126" i="18"/>
  <c r="E54" i="18"/>
  <c r="E138" i="18"/>
  <c r="E149" i="18"/>
  <c r="E44" i="18"/>
  <c r="E41" i="18"/>
  <c r="E40" i="18"/>
  <c r="E178" i="18"/>
  <c r="E164" i="18"/>
  <c r="E197" i="18"/>
  <c r="E152" i="18"/>
  <c r="E9" i="18"/>
  <c r="E148" i="18"/>
  <c r="E124" i="18"/>
  <c r="E100" i="18"/>
  <c r="E194" i="18"/>
  <c r="E128" i="18"/>
  <c r="E166" i="18"/>
  <c r="E184" i="18"/>
  <c r="E211" i="18"/>
  <c r="E189" i="18"/>
  <c r="E10" i="18"/>
  <c r="E201" i="18"/>
  <c r="E176" i="18"/>
  <c r="E121" i="18"/>
  <c r="E151" i="18"/>
  <c r="E23" i="18"/>
  <c r="E70" i="18"/>
  <c r="E111" i="18"/>
  <c r="E64" i="18"/>
  <c r="E131" i="18"/>
  <c r="E198" i="18"/>
  <c r="E82" i="18"/>
  <c r="E49" i="18"/>
  <c r="E168" i="18"/>
  <c r="E156" i="18"/>
  <c r="E81" i="18"/>
  <c r="E53" i="18"/>
  <c r="E185" i="18"/>
  <c r="E127" i="18"/>
  <c r="E24" i="18"/>
  <c r="E106" i="18"/>
  <c r="E94" i="18"/>
  <c r="E84" i="18"/>
  <c r="C7" i="14"/>
  <c r="B8" i="14"/>
  <c r="B9" i="14"/>
  <c r="C10" i="14"/>
  <c r="C11" i="14"/>
  <c r="B12" i="14"/>
  <c r="D13" i="14"/>
  <c r="C14" i="14"/>
  <c r="C15" i="14"/>
  <c r="B16" i="14"/>
  <c r="D17" i="14"/>
  <c r="C18" i="14"/>
  <c r="C19" i="14"/>
  <c r="B20" i="14"/>
  <c r="D21" i="14"/>
  <c r="C23" i="14"/>
  <c r="C24" i="14"/>
  <c r="D25" i="14"/>
  <c r="C26" i="14"/>
  <c r="C27" i="14"/>
  <c r="C28" i="14"/>
  <c r="C29" i="14"/>
  <c r="E30" i="14"/>
  <c r="C31" i="14"/>
  <c r="C32" i="14"/>
  <c r="C33" i="14"/>
  <c r="C34" i="14"/>
  <c r="C35" i="14"/>
  <c r="D37" i="14"/>
  <c r="C39" i="14"/>
  <c r="C40" i="14"/>
  <c r="B41" i="14"/>
  <c r="C42" i="14"/>
  <c r="F43" i="14"/>
  <c r="E44" i="14"/>
  <c r="E46" i="14"/>
  <c r="F47" i="14"/>
  <c r="D48" i="14"/>
  <c r="C49" i="14"/>
  <c r="E50" i="14"/>
  <c r="C51" i="14"/>
  <c r="D52" i="14"/>
  <c r="D53" i="14"/>
  <c r="C54" i="14"/>
  <c r="C55" i="14"/>
  <c r="D56" i="14"/>
  <c r="D57" i="14"/>
  <c r="C59" i="14"/>
  <c r="D60" i="14"/>
  <c r="C61" i="14"/>
  <c r="C62" i="14"/>
  <c r="C63" i="14"/>
  <c r="C65" i="14"/>
  <c r="C66" i="14"/>
  <c r="C67" i="14"/>
  <c r="C69" i="14"/>
  <c r="C70" i="14"/>
  <c r="C71" i="14"/>
  <c r="C73" i="14"/>
  <c r="C74" i="14"/>
  <c r="C75" i="14"/>
  <c r="C77" i="14"/>
  <c r="C78" i="14"/>
  <c r="C79" i="14"/>
  <c r="E81" i="14"/>
  <c r="E82" i="14"/>
  <c r="F83" i="14"/>
  <c r="B84" i="14"/>
  <c r="E85" i="14"/>
  <c r="C86" i="14"/>
  <c r="C87" i="14"/>
  <c r="C88" i="14"/>
  <c r="D89" i="14"/>
  <c r="C91" i="14"/>
  <c r="C92" i="14"/>
  <c r="D93" i="14"/>
  <c r="C94" i="14"/>
  <c r="C95" i="14"/>
  <c r="C96" i="14"/>
  <c r="D97" i="14"/>
  <c r="C98" i="14"/>
  <c r="C99" i="14"/>
  <c r="C100" i="14"/>
  <c r="E101" i="14"/>
  <c r="C102" i="14"/>
  <c r="C103" i="14"/>
  <c r="C104" i="14"/>
  <c r="D105" i="14"/>
  <c r="C107" i="14"/>
  <c r="C108" i="14"/>
  <c r="B109" i="14"/>
  <c r="C111" i="14"/>
  <c r="C112" i="14"/>
  <c r="D113" i="14"/>
  <c r="C114" i="14"/>
  <c r="C115" i="14"/>
  <c r="C117" i="14"/>
  <c r="C118" i="14"/>
  <c r="C119" i="14"/>
  <c r="C120" i="14"/>
  <c r="C123" i="14"/>
  <c r="C124" i="14"/>
  <c r="C125" i="14"/>
  <c r="C126" i="14"/>
  <c r="C127" i="14"/>
  <c r="B129" i="14"/>
  <c r="C130" i="14"/>
  <c r="D131" i="14"/>
  <c r="C133" i="14"/>
  <c r="D135" i="14"/>
  <c r="D136" i="14"/>
  <c r="C137" i="14"/>
  <c r="C138" i="14"/>
  <c r="C139" i="14"/>
  <c r="C140" i="14"/>
  <c r="C141" i="14"/>
  <c r="C142" i="14"/>
  <c r="E143" i="14"/>
  <c r="F144" i="14"/>
  <c r="D148" i="14"/>
  <c r="D149" i="14"/>
  <c r="F151" i="14"/>
  <c r="D152" i="14"/>
  <c r="C153" i="14"/>
  <c r="D156" i="14"/>
  <c r="C157" i="14"/>
  <c r="C158" i="14"/>
  <c r="B159" i="14"/>
  <c r="D160" i="14"/>
  <c r="D161" i="14"/>
  <c r="B165" i="14"/>
  <c r="D167" i="14"/>
  <c r="F168" i="14"/>
  <c r="C169" i="14"/>
  <c r="C171" i="14"/>
  <c r="C172" i="14"/>
  <c r="E173" i="14"/>
  <c r="E174" i="14"/>
  <c r="E175" i="14"/>
  <c r="E176" i="14"/>
  <c r="E177" i="14"/>
  <c r="C178" i="14"/>
  <c r="C180" i="14"/>
  <c r="E182" i="14"/>
  <c r="B183" i="14"/>
  <c r="C184" i="14"/>
  <c r="F185" i="14"/>
  <c r="C186" i="14"/>
  <c r="B187" i="14"/>
  <c r="E19" i="13"/>
  <c r="E20" i="13"/>
  <c r="E21" i="13"/>
  <c r="F35" i="13"/>
  <c r="E37" i="13"/>
  <c r="F43" i="13"/>
  <c r="E49" i="13"/>
  <c r="E54" i="13"/>
  <c r="G58" i="13"/>
  <c r="F59" i="13"/>
  <c r="E61" i="13"/>
  <c r="F63" i="13"/>
  <c r="F64" i="13"/>
  <c r="G72" i="13"/>
  <c r="E73" i="13"/>
  <c r="G74" i="13"/>
  <c r="F76" i="13"/>
  <c r="F77" i="13"/>
  <c r="E78" i="13"/>
  <c r="E89" i="13"/>
  <c r="E93" i="13"/>
  <c r="F102" i="13"/>
  <c r="F106" i="13"/>
  <c r="E114" i="13"/>
  <c r="G123" i="13"/>
  <c r="F128" i="13"/>
  <c r="E133" i="13"/>
  <c r="F141" i="13"/>
  <c r="E142" i="13"/>
  <c r="E147" i="13"/>
  <c r="F148" i="13"/>
  <c r="E152" i="13"/>
  <c r="F153" i="13"/>
  <c r="E163" i="13"/>
  <c r="F164" i="13"/>
  <c r="F165" i="13"/>
  <c r="E170" i="13"/>
  <c r="G171" i="13"/>
  <c r="F172" i="13"/>
  <c r="G173" i="13"/>
  <c r="E174" i="13"/>
  <c r="G177" i="13"/>
  <c r="E180" i="13"/>
  <c r="F184" i="13"/>
  <c r="E186" i="13"/>
  <c r="D7" i="12"/>
  <c r="C8" i="12"/>
  <c r="G10" i="12"/>
  <c r="D11" i="12"/>
  <c r="F13" i="12"/>
  <c r="F15" i="12"/>
  <c r="C16" i="12"/>
  <c r="C17" i="12"/>
  <c r="F19" i="12"/>
  <c r="C20" i="12"/>
  <c r="D21" i="12"/>
  <c r="G22" i="12"/>
  <c r="C24" i="12"/>
  <c r="E25" i="12"/>
  <c r="C27" i="12"/>
  <c r="F29" i="12"/>
  <c r="C30" i="12"/>
  <c r="C31" i="12"/>
  <c r="C32" i="12"/>
  <c r="G34" i="12"/>
  <c r="B36" i="12"/>
  <c r="D38" i="12"/>
  <c r="E39" i="12"/>
  <c r="C40" i="12"/>
  <c r="B43" i="12"/>
  <c r="B45" i="12"/>
  <c r="E46" i="12"/>
  <c r="D47" i="12"/>
  <c r="B49" i="12"/>
  <c r="G50" i="12"/>
  <c r="D51" i="12"/>
  <c r="F52" i="12"/>
  <c r="B53" i="12"/>
  <c r="D54" i="12"/>
  <c r="B55" i="12"/>
  <c r="C57" i="12"/>
  <c r="D59" i="12"/>
  <c r="B61" i="12"/>
  <c r="D63" i="12"/>
  <c r="B64" i="12"/>
  <c r="C65" i="12"/>
  <c r="D66" i="12"/>
  <c r="F67" i="12"/>
  <c r="C68" i="12"/>
  <c r="C69" i="12"/>
  <c r="D70" i="12"/>
  <c r="E71" i="12"/>
  <c r="D72" i="12"/>
  <c r="F73" i="12"/>
  <c r="B74" i="12"/>
  <c r="F76" i="12"/>
  <c r="B77" i="12"/>
  <c r="C78" i="12"/>
  <c r="E79" i="12"/>
  <c r="C82" i="12"/>
  <c r="F83" i="12"/>
  <c r="D85" i="12"/>
  <c r="C86" i="12"/>
  <c r="C87" i="12"/>
  <c r="B90" i="12"/>
  <c r="F91" i="12"/>
  <c r="E94" i="12"/>
  <c r="C95" i="12"/>
  <c r="E96" i="12"/>
  <c r="G98" i="12"/>
  <c r="C99" i="12"/>
  <c r="C100" i="12"/>
  <c r="C102" i="12"/>
  <c r="C104" i="12"/>
  <c r="E105" i="12"/>
  <c r="C106" i="12"/>
  <c r="C107" i="12"/>
  <c r="C108" i="12"/>
  <c r="C109" i="12"/>
  <c r="E110" i="12"/>
  <c r="C111" i="12"/>
  <c r="C112" i="12"/>
  <c r="D113" i="12"/>
  <c r="E114" i="12"/>
  <c r="C115" i="12"/>
  <c r="C116" i="12"/>
  <c r="F117" i="12"/>
  <c r="E118" i="12"/>
  <c r="E119" i="12"/>
  <c r="C120" i="12"/>
  <c r="D121" i="12"/>
  <c r="B122" i="12"/>
  <c r="C123" i="12"/>
  <c r="F125" i="12"/>
  <c r="B126" i="12"/>
  <c r="C127" i="12"/>
  <c r="E128" i="12"/>
  <c r="D129" i="12"/>
  <c r="G130" i="12"/>
  <c r="C132" i="12"/>
  <c r="F134" i="12"/>
  <c r="F135" i="12"/>
  <c r="D136" i="12"/>
  <c r="F137" i="12"/>
  <c r="B138" i="12"/>
  <c r="F141" i="12"/>
  <c r="D143" i="12"/>
  <c r="E144" i="12"/>
  <c r="E147" i="12"/>
  <c r="E148" i="12"/>
  <c r="C149" i="12"/>
  <c r="C151" i="12"/>
  <c r="E152" i="12"/>
  <c r="G153" i="12"/>
  <c r="E154" i="12"/>
  <c r="C156" i="12"/>
  <c r="F157" i="12"/>
  <c r="E158" i="12"/>
  <c r="E159" i="12"/>
  <c r="E162" i="12"/>
  <c r="C164" i="12"/>
  <c r="E165" i="12"/>
  <c r="C166" i="12"/>
  <c r="D167" i="12"/>
  <c r="C168" i="12"/>
  <c r="G169" i="12"/>
  <c r="G170" i="12"/>
  <c r="E171" i="12"/>
  <c r="C172" i="12"/>
  <c r="D173" i="12"/>
  <c r="E174" i="12"/>
  <c r="D177" i="12"/>
  <c r="G178" i="12"/>
  <c r="E179" i="12"/>
  <c r="E182" i="12"/>
  <c r="E187" i="12"/>
  <c r="E7" i="11"/>
  <c r="L8" i="11"/>
  <c r="L10" i="11"/>
  <c r="F12" i="11"/>
  <c r="E15" i="11"/>
  <c r="C17" i="11"/>
  <c r="E18" i="11"/>
  <c r="H19" i="11"/>
  <c r="L20" i="11"/>
  <c r="C21" i="11"/>
  <c r="C22" i="11"/>
  <c r="C23" i="11"/>
  <c r="E24" i="11"/>
  <c r="I25" i="11"/>
  <c r="G27" i="11"/>
  <c r="L28" i="11"/>
  <c r="B29" i="11"/>
  <c r="D31" i="11"/>
  <c r="B32" i="11"/>
  <c r="K33" i="11"/>
  <c r="B34" i="11"/>
  <c r="C35" i="11"/>
  <c r="N36" i="11"/>
  <c r="C38" i="11"/>
  <c r="C39" i="11"/>
  <c r="B40" i="11"/>
  <c r="B41" i="11"/>
  <c r="C42" i="11"/>
  <c r="D43" i="11"/>
  <c r="B44" i="11"/>
  <c r="B45" i="11"/>
  <c r="B46" i="11"/>
  <c r="C48" i="11"/>
  <c r="F50" i="11"/>
  <c r="B51" i="11"/>
  <c r="I52" i="11"/>
  <c r="D53" i="11"/>
  <c r="E54" i="11"/>
  <c r="B55" i="11"/>
  <c r="D57" i="11"/>
  <c r="C58" i="11"/>
  <c r="C60" i="11"/>
  <c r="K61" i="11"/>
  <c r="F62" i="11"/>
  <c r="E63" i="11"/>
  <c r="B64" i="11"/>
  <c r="I65" i="11"/>
  <c r="E66" i="11"/>
  <c r="E67" i="11"/>
  <c r="C68" i="11"/>
  <c r="I69" i="11"/>
  <c r="E70" i="11"/>
  <c r="C71" i="11"/>
  <c r="C72" i="11"/>
  <c r="G73" i="11"/>
  <c r="E74" i="11"/>
  <c r="C75" i="11"/>
  <c r="C76" i="11"/>
  <c r="E77" i="11"/>
  <c r="C80" i="11"/>
  <c r="K81" i="11"/>
  <c r="C82" i="11"/>
  <c r="C83" i="11"/>
  <c r="C84" i="11"/>
  <c r="I85" i="11"/>
  <c r="E86" i="11"/>
  <c r="D88" i="11"/>
  <c r="G89" i="11"/>
  <c r="E90" i="11"/>
  <c r="C91" i="11"/>
  <c r="D92" i="11"/>
  <c r="K93" i="11"/>
  <c r="B94" i="11"/>
  <c r="E95" i="11"/>
  <c r="F96" i="11"/>
  <c r="N97" i="11"/>
  <c r="E98" i="11"/>
  <c r="C99" i="11"/>
  <c r="E100" i="11"/>
  <c r="F101" i="11"/>
  <c r="G102" i="11"/>
  <c r="D103" i="11"/>
  <c r="L104" i="11"/>
  <c r="F105" i="11"/>
  <c r="D106" i="11"/>
  <c r="D107" i="11"/>
  <c r="I108" i="11"/>
  <c r="K109" i="11"/>
  <c r="L110" i="11"/>
  <c r="E111" i="11"/>
  <c r="F112" i="11"/>
  <c r="C113" i="11"/>
  <c r="E114" i="11"/>
  <c r="G115" i="11"/>
  <c r="B116" i="11"/>
  <c r="C117" i="11"/>
  <c r="E118" i="11"/>
  <c r="H119" i="11"/>
  <c r="G121" i="11"/>
  <c r="B122" i="11"/>
  <c r="C123" i="11"/>
  <c r="B124" i="11"/>
  <c r="B125" i="11"/>
  <c r="B126" i="11"/>
  <c r="E127" i="11"/>
  <c r="F128" i="11"/>
  <c r="C129" i="11"/>
  <c r="I130" i="11"/>
  <c r="M131" i="11"/>
  <c r="B132" i="11"/>
  <c r="E133" i="11"/>
  <c r="G134" i="11"/>
  <c r="M135" i="11"/>
  <c r="B136" i="11"/>
  <c r="D137" i="11"/>
  <c r="I138" i="11"/>
  <c r="M139" i="11"/>
  <c r="F140" i="11"/>
  <c r="E141" i="11"/>
  <c r="C142" i="11"/>
  <c r="E143" i="11"/>
  <c r="B144" i="11"/>
  <c r="D145" i="11"/>
  <c r="C146" i="11"/>
  <c r="B147" i="11"/>
  <c r="B148" i="11"/>
  <c r="E150" i="11"/>
  <c r="L151" i="11"/>
  <c r="B152" i="11"/>
  <c r="D153" i="11"/>
  <c r="C154" i="11"/>
  <c r="B155" i="11"/>
  <c r="B156" i="11"/>
  <c r="F157" i="11"/>
  <c r="L159" i="11"/>
  <c r="B160" i="11"/>
  <c r="I162" i="11"/>
  <c r="H163" i="11"/>
  <c r="B164" i="11"/>
  <c r="K165" i="11"/>
  <c r="I166" i="11"/>
  <c r="E167" i="11"/>
  <c r="B168" i="11"/>
  <c r="D169" i="11"/>
  <c r="I170" i="11"/>
  <c r="H171" i="11"/>
  <c r="E172" i="11"/>
  <c r="F173" i="11"/>
  <c r="E174" i="11"/>
  <c r="D175" i="11"/>
  <c r="E176" i="11"/>
  <c r="K177" i="11"/>
  <c r="D179" i="11"/>
  <c r="E180" i="11"/>
  <c r="K181" i="11"/>
  <c r="I182" i="11"/>
  <c r="H183" i="11"/>
  <c r="E184" i="11"/>
  <c r="C186" i="11"/>
  <c r="E187" i="11"/>
  <c r="B188" i="11"/>
  <c r="D7" i="10"/>
  <c r="B8" i="10"/>
  <c r="E9" i="10"/>
  <c r="B10" i="10"/>
  <c r="C11" i="10"/>
  <c r="G12" i="10"/>
  <c r="D13" i="10"/>
  <c r="B14" i="10"/>
  <c r="B15" i="10"/>
  <c r="G16" i="10"/>
  <c r="B17" i="10"/>
  <c r="F18" i="10"/>
  <c r="E19" i="10"/>
  <c r="C20" i="10"/>
  <c r="F21" i="10"/>
  <c r="B22" i="10"/>
  <c r="D24" i="10"/>
  <c r="C25" i="10"/>
  <c r="B26" i="10"/>
  <c r="E29" i="10"/>
  <c r="B30" i="10"/>
  <c r="E31" i="10"/>
  <c r="F32" i="10"/>
  <c r="E33" i="10"/>
  <c r="B34" i="10"/>
  <c r="C37" i="10"/>
  <c r="B38" i="10"/>
  <c r="E39" i="10"/>
  <c r="D40" i="10"/>
  <c r="B41" i="10"/>
  <c r="B42" i="10"/>
  <c r="D44" i="10"/>
  <c r="D45" i="10"/>
  <c r="B46" i="10"/>
  <c r="N48" i="10"/>
  <c r="B49" i="10"/>
  <c r="B50" i="10"/>
  <c r="D52" i="10"/>
  <c r="B53" i="10"/>
  <c r="E54" i="10"/>
  <c r="E55" i="10"/>
  <c r="D56" i="10"/>
  <c r="B57" i="10"/>
  <c r="C60" i="10"/>
  <c r="B61" i="10"/>
  <c r="B62" i="10"/>
  <c r="E63" i="10"/>
  <c r="B65" i="10"/>
  <c r="D68" i="10"/>
  <c r="D69" i="10"/>
  <c r="B70" i="10"/>
  <c r="E71" i="10"/>
  <c r="D72" i="10"/>
  <c r="K76" i="10"/>
  <c r="C77" i="10"/>
  <c r="E79" i="10"/>
  <c r="D80" i="10"/>
  <c r="I81" i="10"/>
  <c r="E82" i="10"/>
  <c r="C84" i="10"/>
  <c r="C85" i="10"/>
  <c r="B86" i="10"/>
  <c r="E87" i="10"/>
  <c r="D88" i="10"/>
  <c r="C89" i="10"/>
  <c r="I90" i="10"/>
  <c r="B93" i="10"/>
  <c r="B94" i="10"/>
  <c r="D96" i="10"/>
  <c r="I97" i="10"/>
  <c r="L98" i="10"/>
  <c r="B100" i="10"/>
  <c r="I101" i="10"/>
  <c r="E103" i="10"/>
  <c r="E104" i="10"/>
  <c r="E106" i="10"/>
  <c r="C108" i="10"/>
  <c r="C109" i="10"/>
  <c r="B110" i="10"/>
  <c r="C113" i="10"/>
  <c r="B114" i="10"/>
  <c r="E117" i="10"/>
  <c r="B119" i="10"/>
  <c r="D120" i="10"/>
  <c r="C121" i="10"/>
  <c r="H122" i="10"/>
  <c r="I123" i="10"/>
  <c r="C125" i="10"/>
  <c r="H126" i="10"/>
  <c r="I127" i="10"/>
  <c r="I128" i="10"/>
  <c r="I129" i="10"/>
  <c r="D132" i="10"/>
  <c r="B133" i="10"/>
  <c r="E134" i="10"/>
  <c r="B136" i="10"/>
  <c r="L137" i="10"/>
  <c r="D138" i="10"/>
  <c r="E141" i="10"/>
  <c r="D142" i="10"/>
  <c r="E143" i="10"/>
  <c r="C144" i="10"/>
  <c r="C145" i="10"/>
  <c r="L151" i="10"/>
  <c r="B153" i="10"/>
  <c r="D154" i="10"/>
  <c r="F155" i="10"/>
  <c r="C156" i="10"/>
  <c r="D157" i="10"/>
  <c r="E158" i="10"/>
  <c r="L159" i="10"/>
  <c r="B161" i="10"/>
  <c r="C164" i="10"/>
  <c r="L166" i="10"/>
  <c r="D167" i="10"/>
  <c r="C169" i="10"/>
  <c r="D171" i="10"/>
  <c r="C172" i="10"/>
  <c r="E174" i="10"/>
  <c r="B176" i="10"/>
  <c r="L178" i="10"/>
  <c r="M179" i="10"/>
  <c r="C180" i="10"/>
  <c r="I181" i="10"/>
  <c r="H182" i="10"/>
  <c r="M184" i="10"/>
  <c r="C185" i="10"/>
  <c r="L186" i="10"/>
  <c r="F187" i="10"/>
  <c r="I189" i="10"/>
  <c r="D7" i="8"/>
  <c r="F8" i="8"/>
  <c r="G9" i="8"/>
  <c r="F14" i="8"/>
  <c r="I16" i="8"/>
  <c r="D17" i="8"/>
  <c r="C18" i="8"/>
  <c r="D19" i="8"/>
  <c r="C20" i="8"/>
  <c r="D21" i="8"/>
  <c r="C22" i="8"/>
  <c r="D23" i="8"/>
  <c r="F24" i="8"/>
  <c r="G25" i="8"/>
  <c r="C26" i="8"/>
  <c r="D27" i="8"/>
  <c r="G30" i="8"/>
  <c r="D31" i="8"/>
  <c r="I32" i="8"/>
  <c r="D33" i="8"/>
  <c r="C34" i="8"/>
  <c r="D35" i="8"/>
  <c r="G37" i="8"/>
  <c r="C38" i="8"/>
  <c r="D39" i="8"/>
  <c r="C40" i="8"/>
  <c r="D41" i="8"/>
  <c r="F44" i="8"/>
  <c r="G47" i="8"/>
  <c r="C48" i="8"/>
  <c r="D49" i="8"/>
  <c r="C50" i="8"/>
  <c r="D51" i="8"/>
  <c r="F52" i="8"/>
  <c r="G54" i="8"/>
  <c r="D55" i="8"/>
  <c r="F56" i="8"/>
  <c r="C7" i="7"/>
  <c r="C8" i="6"/>
  <c r="E9" i="6"/>
  <c r="G10" i="6"/>
  <c r="B11" i="6"/>
  <c r="E12" i="7"/>
  <c r="I13" i="6"/>
  <c r="C16" i="6"/>
  <c r="B17" i="6"/>
  <c r="I20" i="7"/>
  <c r="D21" i="6"/>
  <c r="D22" i="6"/>
  <c r="I23" i="6"/>
  <c r="E24" i="6"/>
  <c r="D25" i="6"/>
  <c r="G26" i="6"/>
  <c r="B27" i="7"/>
  <c r="F29" i="6"/>
  <c r="M30" i="6"/>
  <c r="B31" i="7"/>
  <c r="L32" i="6"/>
  <c r="B33" i="6"/>
  <c r="C34" i="6"/>
  <c r="C35" i="6"/>
  <c r="G36" i="6"/>
  <c r="L37" i="6"/>
  <c r="B38" i="6"/>
  <c r="C39" i="6"/>
  <c r="L40" i="6"/>
  <c r="H41" i="7"/>
  <c r="B42" i="7"/>
  <c r="C43" i="6"/>
  <c r="L44" i="6"/>
  <c r="D45" i="6"/>
  <c r="I46" i="6"/>
  <c r="D47" i="6"/>
  <c r="I48" i="6"/>
  <c r="L49" i="6"/>
  <c r="K50" i="6"/>
  <c r="K51" i="6"/>
  <c r="E52" i="6"/>
  <c r="I53" i="6"/>
  <c r="B55" i="6"/>
  <c r="O56" i="6"/>
  <c r="F57" i="6"/>
  <c r="K58" i="6"/>
  <c r="F59" i="6"/>
  <c r="E60" i="6"/>
  <c r="L61" i="6"/>
  <c r="C64" i="7"/>
  <c r="E65" i="6"/>
  <c r="E67" i="6"/>
  <c r="K68" i="6"/>
  <c r="F69" i="6"/>
  <c r="I70" i="6"/>
  <c r="C71" i="7"/>
  <c r="L72" i="7"/>
  <c r="J73" i="6"/>
  <c r="I74" i="6"/>
  <c r="E75" i="6"/>
  <c r="D77" i="6"/>
  <c r="I78" i="6"/>
  <c r="F79" i="7"/>
  <c r="C80" i="6"/>
  <c r="L81" i="7"/>
  <c r="I82" i="6"/>
  <c r="C84" i="6"/>
  <c r="F85" i="6"/>
  <c r="I86" i="6"/>
  <c r="L87" i="6"/>
  <c r="C88" i="6"/>
  <c r="B89" i="6"/>
  <c r="I90" i="6"/>
  <c r="C91" i="6"/>
  <c r="G92" i="6"/>
  <c r="O93" i="7"/>
  <c r="M94" i="6"/>
  <c r="B95" i="7"/>
  <c r="K96" i="6"/>
  <c r="E97" i="6"/>
  <c r="I98" i="6"/>
  <c r="E99" i="6"/>
  <c r="G100" i="6"/>
  <c r="L101" i="6"/>
  <c r="D103" i="6"/>
  <c r="C104" i="6"/>
  <c r="B105" i="6"/>
  <c r="I106" i="6"/>
  <c r="C107" i="6"/>
  <c r="G108" i="6"/>
  <c r="E109" i="6"/>
  <c r="C111" i="6"/>
  <c r="H112" i="7"/>
  <c r="F113" i="6"/>
  <c r="J114" i="6"/>
  <c r="B115" i="6"/>
  <c r="G116" i="6"/>
  <c r="D117" i="6"/>
  <c r="F118" i="6"/>
  <c r="B119" i="6"/>
  <c r="E120" i="6"/>
  <c r="I121" i="6"/>
  <c r="C122" i="6"/>
  <c r="B123" i="6"/>
  <c r="G124" i="6"/>
  <c r="F126" i="6"/>
  <c r="C127" i="6"/>
  <c r="O128" i="6"/>
  <c r="L129" i="6"/>
  <c r="B130" i="6"/>
  <c r="C131" i="6"/>
  <c r="C132" i="6"/>
  <c r="D133" i="6"/>
  <c r="K134" i="6"/>
  <c r="E136" i="6"/>
  <c r="B137" i="6"/>
  <c r="F138" i="7"/>
  <c r="B139" i="6"/>
  <c r="G140" i="6"/>
  <c r="B142" i="6"/>
  <c r="F143" i="7"/>
  <c r="H144" i="6"/>
  <c r="F145" i="6"/>
  <c r="E146" i="6"/>
  <c r="I148" i="6"/>
  <c r="E149" i="6"/>
  <c r="F151" i="6"/>
  <c r="G152" i="7"/>
  <c r="C153" i="6"/>
  <c r="E154" i="6"/>
  <c r="B155" i="6"/>
  <c r="B156" i="6"/>
  <c r="E158" i="6"/>
  <c r="D159" i="6"/>
  <c r="N161" i="6"/>
  <c r="E162" i="6"/>
  <c r="D163" i="6"/>
  <c r="H165" i="6"/>
  <c r="E166" i="6"/>
  <c r="D167" i="6"/>
  <c r="B168" i="6"/>
  <c r="B169" i="6"/>
  <c r="E170" i="6"/>
  <c r="F171" i="6"/>
  <c r="G173" i="6"/>
  <c r="E174" i="6"/>
  <c r="C175" i="6"/>
  <c r="C176" i="6"/>
  <c r="B177" i="6"/>
  <c r="E178" i="6"/>
  <c r="D179" i="6"/>
  <c r="D180" i="6"/>
  <c r="B181" i="6"/>
  <c r="E182" i="6"/>
  <c r="C183" i="6"/>
  <c r="I184" i="6"/>
  <c r="F185" i="7"/>
  <c r="E186" i="6"/>
  <c r="B189" i="7"/>
  <c r="A7" i="5"/>
  <c r="B7" i="5"/>
  <c r="A8" i="5"/>
  <c r="B8" i="5"/>
  <c r="D8" i="5" s="1"/>
  <c r="A9" i="5"/>
  <c r="B9" i="5"/>
  <c r="D9" i="5" s="1"/>
  <c r="A10" i="5"/>
  <c r="B10" i="5"/>
  <c r="D10" i="5" s="1"/>
  <c r="A11" i="5"/>
  <c r="B11" i="5"/>
  <c r="D11" i="5" s="1"/>
  <c r="A12" i="5"/>
  <c r="B12" i="5"/>
  <c r="N12" i="5" s="1"/>
  <c r="A13" i="5"/>
  <c r="B13" i="5"/>
  <c r="D13" i="5" s="1"/>
  <c r="A14" i="5"/>
  <c r="B14" i="5"/>
  <c r="D14" i="5" s="1"/>
  <c r="A15" i="5"/>
  <c r="B15" i="5"/>
  <c r="D15" i="5" s="1"/>
  <c r="A16" i="5"/>
  <c r="B16" i="5"/>
  <c r="D16" i="5" s="1"/>
  <c r="A17" i="5"/>
  <c r="B17" i="5"/>
  <c r="D17" i="5" s="1"/>
  <c r="A18" i="5"/>
  <c r="B18" i="5"/>
  <c r="D18" i="5" s="1"/>
  <c r="A19" i="5"/>
  <c r="B19" i="5"/>
  <c r="D19" i="5" s="1"/>
  <c r="A20" i="5"/>
  <c r="B20" i="5"/>
  <c r="D20" i="5" s="1"/>
  <c r="A21" i="5"/>
  <c r="B21" i="5"/>
  <c r="D21" i="5" s="1"/>
  <c r="A22" i="5"/>
  <c r="B22" i="5"/>
  <c r="D22" i="5" s="1"/>
  <c r="A23" i="5"/>
  <c r="B23" i="5"/>
  <c r="D23" i="5" s="1"/>
  <c r="A24" i="5"/>
  <c r="B24" i="5"/>
  <c r="D24" i="5" s="1"/>
  <c r="A25" i="5"/>
  <c r="B25" i="5"/>
  <c r="D25" i="5" s="1"/>
  <c r="A26" i="5"/>
  <c r="B26" i="5"/>
  <c r="D26" i="5" s="1"/>
  <c r="A27" i="5"/>
  <c r="B27" i="5"/>
  <c r="D27" i="5" s="1"/>
  <c r="A28" i="5"/>
  <c r="B28" i="5"/>
  <c r="D28" i="5" s="1"/>
  <c r="A29" i="5"/>
  <c r="B29" i="5"/>
  <c r="D29" i="5" s="1"/>
  <c r="A30" i="5"/>
  <c r="B30" i="5"/>
  <c r="D30" i="5" s="1"/>
  <c r="A31" i="5"/>
  <c r="B31" i="5"/>
  <c r="D31" i="5" s="1"/>
  <c r="A32" i="5"/>
  <c r="B32" i="5"/>
  <c r="D32" i="5" s="1"/>
  <c r="A33" i="5"/>
  <c r="B33" i="5"/>
  <c r="D33" i="5" s="1"/>
  <c r="A34" i="5"/>
  <c r="B34" i="5"/>
  <c r="D34" i="5" s="1"/>
  <c r="A35" i="5"/>
  <c r="B35" i="5"/>
  <c r="D35" i="5" s="1"/>
  <c r="A36" i="5"/>
  <c r="B36" i="5"/>
  <c r="D36" i="5" s="1"/>
  <c r="A37" i="5"/>
  <c r="B37" i="5"/>
  <c r="D37" i="5" s="1"/>
  <c r="A38" i="5"/>
  <c r="B38" i="5"/>
  <c r="D38" i="5" s="1"/>
  <c r="A39" i="5"/>
  <c r="B39" i="5"/>
  <c r="D39" i="5" s="1"/>
  <c r="A40" i="5"/>
  <c r="B40" i="5"/>
  <c r="D40" i="5" s="1"/>
  <c r="A41" i="5"/>
  <c r="B41" i="5"/>
  <c r="D41" i="5" s="1"/>
  <c r="A42" i="5"/>
  <c r="B42" i="5"/>
  <c r="D42" i="5" s="1"/>
  <c r="A43" i="5"/>
  <c r="B43" i="5"/>
  <c r="D43" i="5" s="1"/>
  <c r="A44" i="5"/>
  <c r="B44" i="5"/>
  <c r="D44" i="5" s="1"/>
  <c r="A45" i="5"/>
  <c r="B45" i="5"/>
  <c r="D45" i="5" s="1"/>
  <c r="A46" i="5"/>
  <c r="B46" i="5"/>
  <c r="D46" i="5" s="1"/>
  <c r="A47" i="5"/>
  <c r="B47" i="5"/>
  <c r="D47" i="5" s="1"/>
  <c r="A48" i="5"/>
  <c r="B48" i="5"/>
  <c r="D48" i="5" s="1"/>
  <c r="A49" i="5"/>
  <c r="B49" i="5"/>
  <c r="D49" i="5" s="1"/>
  <c r="A50" i="5"/>
  <c r="B50" i="5"/>
  <c r="O50" i="5" s="1"/>
  <c r="A51" i="5"/>
  <c r="B51" i="5"/>
  <c r="O51" i="5" s="1"/>
  <c r="A52" i="5"/>
  <c r="B52" i="5"/>
  <c r="O52" i="5" s="1"/>
  <c r="A53" i="5"/>
  <c r="B53" i="5"/>
  <c r="O53" i="5" s="1"/>
  <c r="A54" i="5"/>
  <c r="B54" i="5"/>
  <c r="O54" i="5" s="1"/>
  <c r="A55" i="5"/>
  <c r="B55" i="5"/>
  <c r="O55" i="5" s="1"/>
  <c r="A56" i="5"/>
  <c r="B56" i="5"/>
  <c r="O56" i="5" s="1"/>
  <c r="A57" i="5"/>
  <c r="B57" i="5"/>
  <c r="O57" i="5" s="1"/>
  <c r="A58" i="5"/>
  <c r="B58" i="5"/>
  <c r="O58" i="5" s="1"/>
  <c r="A59" i="5"/>
  <c r="B59" i="5"/>
  <c r="O59" i="5" s="1"/>
  <c r="A60" i="5"/>
  <c r="B60" i="5"/>
  <c r="O60" i="5" s="1"/>
  <c r="A61" i="5"/>
  <c r="B61" i="5"/>
  <c r="O61" i="5" s="1"/>
  <c r="A62" i="5"/>
  <c r="B62" i="5"/>
  <c r="A63" i="5"/>
  <c r="B63" i="5"/>
  <c r="I63" i="5" s="1"/>
  <c r="A64" i="5"/>
  <c r="B64" i="5"/>
  <c r="I64" i="5" s="1"/>
  <c r="A65" i="5"/>
  <c r="B65" i="5"/>
  <c r="I65" i="5" s="1"/>
  <c r="A66" i="5"/>
  <c r="B66" i="5"/>
  <c r="C66" i="5" s="1"/>
  <c r="A67" i="5"/>
  <c r="B67" i="5"/>
  <c r="I67" i="5" s="1"/>
  <c r="A68" i="5"/>
  <c r="B68" i="5"/>
  <c r="I68" i="5" s="1"/>
  <c r="A69" i="5"/>
  <c r="B69" i="5"/>
  <c r="I69" i="5" s="1"/>
  <c r="A70" i="5"/>
  <c r="B70" i="5"/>
  <c r="C70" i="5" s="1"/>
  <c r="A71" i="5"/>
  <c r="B71" i="5"/>
  <c r="I71" i="5" s="1"/>
  <c r="A72" i="5"/>
  <c r="B72" i="5"/>
  <c r="I72" i="5" s="1"/>
  <c r="A73" i="5"/>
  <c r="B73" i="5"/>
  <c r="I73" i="5" s="1"/>
  <c r="A74" i="5"/>
  <c r="B74" i="5"/>
  <c r="C74" i="5" s="1"/>
  <c r="A75" i="5"/>
  <c r="B75" i="5"/>
  <c r="I75" i="5" s="1"/>
  <c r="A76" i="5"/>
  <c r="B76" i="5"/>
  <c r="I76" i="5" s="1"/>
  <c r="A77" i="5"/>
  <c r="B77" i="5"/>
  <c r="I77" i="5" s="1"/>
  <c r="A78" i="5"/>
  <c r="B78" i="5"/>
  <c r="C78" i="5" s="1"/>
  <c r="A79" i="5"/>
  <c r="B79" i="5"/>
  <c r="I79" i="5" s="1"/>
  <c r="A80" i="5"/>
  <c r="B80" i="5"/>
  <c r="I80" i="5" s="1"/>
  <c r="A81" i="5"/>
  <c r="B81" i="5"/>
  <c r="I81" i="5" s="1"/>
  <c r="A82" i="5"/>
  <c r="B82" i="5"/>
  <c r="C82" i="5" s="1"/>
  <c r="A83" i="5"/>
  <c r="B83" i="5"/>
  <c r="I83" i="5" s="1"/>
  <c r="A84" i="5"/>
  <c r="B84" i="5"/>
  <c r="I84" i="5" s="1"/>
  <c r="A85" i="5"/>
  <c r="B85" i="5"/>
  <c r="I85" i="5" s="1"/>
  <c r="A86" i="5"/>
  <c r="B86" i="5"/>
  <c r="C86" i="5" s="1"/>
  <c r="A87" i="5"/>
  <c r="B87" i="5"/>
  <c r="I87" i="5" s="1"/>
  <c r="A88" i="5"/>
  <c r="B88" i="5"/>
  <c r="I88" i="5" s="1"/>
  <c r="A89" i="5"/>
  <c r="B89" i="5"/>
  <c r="I89" i="5" s="1"/>
  <c r="A90" i="5"/>
  <c r="B90" i="5"/>
  <c r="C90" i="5" s="1"/>
  <c r="A91" i="5"/>
  <c r="B91" i="5"/>
  <c r="I91" i="5" s="1"/>
  <c r="A92" i="5"/>
  <c r="B92" i="5"/>
  <c r="I92" i="5" s="1"/>
  <c r="A93" i="5"/>
  <c r="B93" i="5"/>
  <c r="I93" i="5" s="1"/>
  <c r="A94" i="5"/>
  <c r="B94" i="5"/>
  <c r="C94" i="5" s="1"/>
  <c r="A95" i="5"/>
  <c r="B95" i="5"/>
  <c r="I95" i="5" s="1"/>
  <c r="A96" i="5"/>
  <c r="B96" i="5"/>
  <c r="I96" i="5" s="1"/>
  <c r="A97" i="5"/>
  <c r="B97" i="5"/>
  <c r="I97" i="5" s="1"/>
  <c r="A98" i="5"/>
  <c r="B98" i="5"/>
  <c r="C98" i="5" s="1"/>
  <c r="A99" i="5"/>
  <c r="B99" i="5"/>
  <c r="I99" i="5" s="1"/>
  <c r="A100" i="5"/>
  <c r="B100" i="5"/>
  <c r="I100" i="5" s="1"/>
  <c r="A101" i="5"/>
  <c r="B101" i="5"/>
  <c r="I101" i="5" s="1"/>
  <c r="A102" i="5"/>
  <c r="B102" i="5"/>
  <c r="C102" i="5" s="1"/>
  <c r="A103" i="5"/>
  <c r="B103" i="5"/>
  <c r="I103" i="5" s="1"/>
  <c r="A104" i="5"/>
  <c r="B104" i="5"/>
  <c r="I104" i="5" s="1"/>
  <c r="A105" i="5"/>
  <c r="B105" i="5"/>
  <c r="I105" i="5" s="1"/>
  <c r="A106" i="5"/>
  <c r="B106" i="5"/>
  <c r="C106" i="5" s="1"/>
  <c r="A107" i="5"/>
  <c r="B107" i="5"/>
  <c r="I107" i="5" s="1"/>
  <c r="A108" i="5"/>
  <c r="B108" i="5"/>
  <c r="I108" i="5" s="1"/>
  <c r="A109" i="5"/>
  <c r="B109" i="5"/>
  <c r="I109" i="5" s="1"/>
  <c r="A110" i="5"/>
  <c r="B110" i="5"/>
  <c r="C110" i="5" s="1"/>
  <c r="A111" i="5"/>
  <c r="B111" i="5"/>
  <c r="I111" i="5" s="1"/>
  <c r="A112" i="5"/>
  <c r="B112" i="5"/>
  <c r="N112" i="5" s="1"/>
  <c r="A113" i="5"/>
  <c r="B113" i="5"/>
  <c r="K113" i="5" s="1"/>
  <c r="A114" i="5"/>
  <c r="B114" i="5"/>
  <c r="C114" i="5" s="1"/>
  <c r="A115" i="5"/>
  <c r="B115" i="5"/>
  <c r="I115" i="5" s="1"/>
  <c r="A116" i="5"/>
  <c r="B116" i="5"/>
  <c r="N116" i="5" s="1"/>
  <c r="A117" i="5"/>
  <c r="B117" i="5"/>
  <c r="O117" i="5" s="1"/>
  <c r="A118" i="5"/>
  <c r="B118" i="5"/>
  <c r="C118" i="5" s="1"/>
  <c r="A119" i="5"/>
  <c r="B119" i="5"/>
  <c r="A120" i="5"/>
  <c r="B120" i="5"/>
  <c r="N120" i="5" s="1"/>
  <c r="A121" i="5"/>
  <c r="B121" i="5"/>
  <c r="C121" i="5" s="1"/>
  <c r="A122" i="5"/>
  <c r="B122" i="5"/>
  <c r="C122" i="5" s="1"/>
  <c r="A123" i="5"/>
  <c r="B123" i="5"/>
  <c r="I123" i="5" s="1"/>
  <c r="A124" i="5"/>
  <c r="B124" i="5"/>
  <c r="N124" i="5" s="1"/>
  <c r="A125" i="5"/>
  <c r="B125" i="5"/>
  <c r="K125" i="5" s="1"/>
  <c r="A126" i="5"/>
  <c r="B126" i="5"/>
  <c r="C126" i="5" s="1"/>
  <c r="A127" i="5"/>
  <c r="B127" i="5"/>
  <c r="I127" i="5" s="1"/>
  <c r="A128" i="5"/>
  <c r="B128" i="5"/>
  <c r="N128" i="5" s="1"/>
  <c r="A129" i="5"/>
  <c r="B129" i="5"/>
  <c r="K129" i="5" s="1"/>
  <c r="A130" i="5"/>
  <c r="B130" i="5"/>
  <c r="C130" i="5" s="1"/>
  <c r="A131" i="5"/>
  <c r="B131" i="5"/>
  <c r="I131" i="5" s="1"/>
  <c r="A132" i="5"/>
  <c r="B132" i="5"/>
  <c r="N132" i="5" s="1"/>
  <c r="A133" i="5"/>
  <c r="B133" i="5"/>
  <c r="I133" i="5" s="1"/>
  <c r="A134" i="5"/>
  <c r="B134" i="5"/>
  <c r="C134" i="5" s="1"/>
  <c r="A135" i="5"/>
  <c r="B135" i="5"/>
  <c r="I135" i="5" s="1"/>
  <c r="A136" i="5"/>
  <c r="B136" i="5"/>
  <c r="N136" i="5" s="1"/>
  <c r="A137" i="5"/>
  <c r="B137" i="5"/>
  <c r="C137" i="5" s="1"/>
  <c r="A138" i="5"/>
  <c r="B138" i="5"/>
  <c r="C138" i="5" s="1"/>
  <c r="A139" i="5"/>
  <c r="B139" i="5"/>
  <c r="I139" i="5" s="1"/>
  <c r="A140" i="5"/>
  <c r="B140" i="5"/>
  <c r="N140" i="5" s="1"/>
  <c r="A141" i="5"/>
  <c r="B141" i="5"/>
  <c r="I141" i="5" s="1"/>
  <c r="A142" i="5"/>
  <c r="B142" i="5"/>
  <c r="C142" i="5" s="1"/>
  <c r="A143" i="5"/>
  <c r="B143" i="5"/>
  <c r="I143" i="5" s="1"/>
  <c r="A144" i="5"/>
  <c r="B144" i="5"/>
  <c r="N144" i="5" s="1"/>
  <c r="A145" i="5"/>
  <c r="B145" i="5"/>
  <c r="K145" i="5" s="1"/>
  <c r="A146" i="5"/>
  <c r="B146" i="5"/>
  <c r="C146" i="5" s="1"/>
  <c r="A147" i="5"/>
  <c r="B147" i="5"/>
  <c r="I147" i="5" s="1"/>
  <c r="A148" i="5"/>
  <c r="B148" i="5"/>
  <c r="I148" i="5" s="1"/>
  <c r="A149" i="5"/>
  <c r="B149" i="5"/>
  <c r="I149" i="5" s="1"/>
  <c r="A150" i="5"/>
  <c r="B150" i="5"/>
  <c r="N150" i="5" s="1"/>
  <c r="A151" i="5"/>
  <c r="B151" i="5"/>
  <c r="I151" i="5" s="1"/>
  <c r="A152" i="5"/>
  <c r="B152" i="5"/>
  <c r="N152" i="5" s="1"/>
  <c r="A153" i="5"/>
  <c r="B153" i="5"/>
  <c r="I153" i="5" s="1"/>
  <c r="A154" i="5"/>
  <c r="B154" i="5"/>
  <c r="I154" i="5" s="1"/>
  <c r="A155" i="5"/>
  <c r="B155" i="5"/>
  <c r="I155" i="5" s="1"/>
  <c r="A156" i="5"/>
  <c r="B156" i="5"/>
  <c r="N156" i="5" s="1"/>
  <c r="A157" i="5"/>
  <c r="B157" i="5"/>
  <c r="K157" i="5" s="1"/>
  <c r="A158" i="5"/>
  <c r="B158" i="5"/>
  <c r="I158" i="5" s="1"/>
  <c r="A159" i="5"/>
  <c r="B159" i="5"/>
  <c r="I159" i="5" s="1"/>
  <c r="A160" i="5"/>
  <c r="B160" i="5"/>
  <c r="N160" i="5" s="1"/>
  <c r="A161" i="5"/>
  <c r="B161" i="5"/>
  <c r="K161" i="5" s="1"/>
  <c r="A162" i="5"/>
  <c r="B162" i="5"/>
  <c r="N162" i="5" s="1"/>
  <c r="A163" i="5"/>
  <c r="B163" i="5"/>
  <c r="I163" i="5" s="1"/>
  <c r="A164" i="5"/>
  <c r="B164" i="5"/>
  <c r="I164" i="5" s="1"/>
  <c r="A165" i="5"/>
  <c r="B165" i="5"/>
  <c r="I165" i="5" s="1"/>
  <c r="A166" i="5"/>
  <c r="B166" i="5"/>
  <c r="I166" i="5" s="1"/>
  <c r="C7" i="3"/>
  <c r="O8" i="3"/>
  <c r="C9" i="3"/>
  <c r="M10" i="3"/>
  <c r="Q11" i="3"/>
  <c r="G12" i="3"/>
  <c r="B13" i="3"/>
  <c r="I14" i="3"/>
  <c r="D15" i="3"/>
  <c r="B16" i="3"/>
  <c r="Q17" i="3"/>
  <c r="B18" i="3"/>
  <c r="D19" i="3"/>
  <c r="C20" i="3"/>
  <c r="F21" i="3"/>
  <c r="F22" i="3"/>
  <c r="C23" i="3"/>
  <c r="B24" i="3"/>
  <c r="N25" i="3"/>
  <c r="B26" i="3"/>
  <c r="G27" i="3"/>
  <c r="B28" i="3"/>
  <c r="F29" i="3"/>
  <c r="I30" i="3"/>
  <c r="C31" i="3"/>
  <c r="B32" i="3"/>
  <c r="F33" i="3"/>
  <c r="B34" i="3"/>
  <c r="D35" i="3"/>
  <c r="B36" i="3"/>
  <c r="C37" i="3"/>
  <c r="L38" i="3"/>
  <c r="P39" i="3"/>
  <c r="B40" i="3"/>
  <c r="D42" i="3"/>
  <c r="C43" i="3"/>
  <c r="D44" i="3"/>
  <c r="G45" i="3"/>
  <c r="I46" i="3"/>
  <c r="D47" i="3"/>
  <c r="C48" i="3"/>
  <c r="B49" i="3"/>
  <c r="I51" i="3"/>
  <c r="Q52" i="3"/>
  <c r="F53" i="3"/>
  <c r="B54" i="3"/>
  <c r="C56" i="3"/>
  <c r="I57" i="3"/>
  <c r="I58" i="3"/>
  <c r="C59" i="3"/>
  <c r="G60" i="3"/>
  <c r="G61" i="3"/>
  <c r="I62" i="3"/>
  <c r="I63" i="3"/>
  <c r="D64" i="3"/>
  <c r="B65" i="3"/>
  <c r="F66" i="3"/>
  <c r="G67" i="3"/>
  <c r="D68" i="3"/>
  <c r="F69" i="3"/>
  <c r="G71" i="3"/>
  <c r="D72" i="3"/>
  <c r="I73" i="3"/>
  <c r="Q75" i="3"/>
  <c r="O76" i="3"/>
  <c r="F77" i="3"/>
  <c r="C79" i="3"/>
  <c r="L80" i="3"/>
  <c r="Q81" i="3"/>
  <c r="B82" i="3"/>
  <c r="D83" i="3"/>
  <c r="F85" i="3"/>
  <c r="L87" i="3"/>
  <c r="P88" i="3"/>
  <c r="C89" i="3"/>
  <c r="I90" i="3"/>
  <c r="C91" i="3"/>
  <c r="C92" i="3"/>
  <c r="B93" i="3"/>
  <c r="D94" i="3"/>
  <c r="B96" i="3"/>
  <c r="F97" i="3"/>
  <c r="B98" i="3"/>
  <c r="I99" i="3"/>
  <c r="F100" i="3"/>
  <c r="N101" i="3"/>
  <c r="F102" i="3"/>
  <c r="G103" i="3"/>
  <c r="B104" i="3"/>
  <c r="Q105" i="3"/>
  <c r="N106" i="3"/>
  <c r="D108" i="3"/>
  <c r="G109" i="3"/>
  <c r="I110" i="3"/>
  <c r="C111" i="3"/>
  <c r="D112" i="3"/>
  <c r="F113" i="3"/>
  <c r="J114" i="3"/>
  <c r="I115" i="3"/>
  <c r="B116" i="3"/>
  <c r="F117" i="3"/>
  <c r="F118" i="3"/>
  <c r="L119" i="3"/>
  <c r="I120" i="3"/>
  <c r="Q121" i="3"/>
  <c r="B122" i="3"/>
  <c r="D123" i="3"/>
  <c r="M124" i="3"/>
  <c r="J125" i="3"/>
  <c r="F127" i="3"/>
  <c r="Q128" i="3"/>
  <c r="F129" i="3"/>
  <c r="D130" i="3"/>
  <c r="D131" i="3"/>
  <c r="B132" i="3"/>
  <c r="I133" i="3"/>
  <c r="O134" i="3"/>
  <c r="C135" i="3"/>
  <c r="B136" i="3"/>
  <c r="M137" i="3"/>
  <c r="C138" i="3"/>
  <c r="C139" i="3"/>
  <c r="M140" i="3"/>
  <c r="P142" i="3"/>
  <c r="F143" i="3"/>
  <c r="Q144" i="3"/>
  <c r="M146" i="3"/>
  <c r="C147" i="3"/>
  <c r="Q148" i="3"/>
  <c r="O151" i="3"/>
  <c r="I152" i="3"/>
  <c r="M153" i="3"/>
  <c r="D154" i="3"/>
  <c r="J155" i="3"/>
  <c r="B156" i="3"/>
  <c r="I157" i="3"/>
  <c r="G159" i="3"/>
  <c r="I160" i="3"/>
  <c r="I161" i="3"/>
  <c r="D162" i="3"/>
  <c r="D163" i="3"/>
  <c r="I165" i="3"/>
  <c r="G166" i="3"/>
  <c r="N167" i="3"/>
  <c r="I168" i="3"/>
  <c r="I169" i="3"/>
  <c r="G170" i="3"/>
  <c r="B171" i="3"/>
  <c r="Q172" i="3"/>
  <c r="D174" i="3"/>
  <c r="D175" i="3"/>
  <c r="M176" i="3"/>
  <c r="Q177" i="3"/>
  <c r="B178" i="3"/>
  <c r="P179" i="3"/>
  <c r="Q180" i="3"/>
  <c r="I181" i="3"/>
  <c r="C182" i="3"/>
  <c r="B183" i="3"/>
  <c r="I184" i="3"/>
  <c r="I185" i="3"/>
  <c r="G186" i="3"/>
  <c r="C187" i="3"/>
  <c r="G188" i="3"/>
  <c r="C10" i="2"/>
  <c r="B6" i="3" s="1"/>
  <c r="D6" i="5" s="1"/>
  <c r="D10" i="2"/>
  <c r="R10" i="2" s="1"/>
  <c r="Q11" i="2"/>
  <c r="D12" i="2"/>
  <c r="L13" i="2"/>
  <c r="L14" i="2"/>
  <c r="I15" i="2"/>
  <c r="E16" i="2"/>
  <c r="Q17" i="2"/>
  <c r="I18" i="2"/>
  <c r="Q19" i="2"/>
  <c r="C20" i="2"/>
  <c r="L21" i="2"/>
  <c r="Q22" i="2"/>
  <c r="C23" i="2"/>
  <c r="L26" i="2"/>
  <c r="C27" i="2"/>
  <c r="D28" i="2"/>
  <c r="I29" i="2"/>
  <c r="Q31" i="2"/>
  <c r="E32" i="2"/>
  <c r="D33" i="2"/>
  <c r="I34" i="2"/>
  <c r="S35" i="2"/>
  <c r="B36" i="2"/>
  <c r="L37" i="2"/>
  <c r="D38" i="2"/>
  <c r="C39" i="2"/>
  <c r="Q40" i="2"/>
  <c r="L41" i="2"/>
  <c r="L42" i="2"/>
  <c r="I43" i="2"/>
  <c r="H44" i="2"/>
  <c r="I45" i="2"/>
  <c r="C47" i="2"/>
  <c r="B48" i="2"/>
  <c r="I50" i="2"/>
  <c r="S51" i="2"/>
  <c r="B52" i="2"/>
  <c r="D53" i="2"/>
  <c r="D54" i="2"/>
  <c r="C55" i="2"/>
  <c r="B56" i="2"/>
  <c r="Q57" i="2"/>
  <c r="D58" i="2"/>
  <c r="C59" i="2"/>
  <c r="P60" i="2"/>
  <c r="I61" i="2"/>
  <c r="D62" i="2"/>
  <c r="Q63" i="2"/>
  <c r="B64" i="2"/>
  <c r="D65" i="2"/>
  <c r="Q66" i="2"/>
  <c r="C67" i="2"/>
  <c r="B68" i="2"/>
  <c r="L69" i="2"/>
  <c r="D70" i="2"/>
  <c r="C71" i="2"/>
  <c r="D72" i="2"/>
  <c r="C75" i="2"/>
  <c r="D76" i="2"/>
  <c r="D77" i="2"/>
  <c r="C80" i="2"/>
  <c r="I81" i="2"/>
  <c r="I82" i="2"/>
  <c r="I84" i="2"/>
  <c r="D85" i="2"/>
  <c r="D86" i="2"/>
  <c r="I87" i="2"/>
  <c r="C88" i="2"/>
  <c r="I89" i="2"/>
  <c r="C91" i="2"/>
  <c r="H92" i="2"/>
  <c r="D94" i="2"/>
  <c r="I95" i="2"/>
  <c r="D96" i="2"/>
  <c r="I97" i="2"/>
  <c r="I98" i="2"/>
  <c r="I99" i="2"/>
  <c r="C100" i="2"/>
  <c r="D101" i="2"/>
  <c r="D102" i="2"/>
  <c r="I103" i="2"/>
  <c r="D104" i="2"/>
  <c r="I105" i="2"/>
  <c r="I106" i="2"/>
  <c r="E108" i="2"/>
  <c r="D109" i="2"/>
  <c r="D110" i="2"/>
  <c r="I111" i="2"/>
  <c r="E112" i="2"/>
  <c r="D113" i="2"/>
  <c r="L114" i="2"/>
  <c r="C115" i="2"/>
  <c r="R116" i="2"/>
  <c r="D117" i="2"/>
  <c r="D118" i="2"/>
  <c r="D120" i="2"/>
  <c r="I121" i="2"/>
  <c r="L122" i="2"/>
  <c r="C123" i="2"/>
  <c r="D124" i="2"/>
  <c r="D125" i="2"/>
  <c r="D126" i="2"/>
  <c r="I127" i="2"/>
  <c r="D128" i="2"/>
  <c r="I129" i="2"/>
  <c r="I130" i="2"/>
  <c r="C131" i="2"/>
  <c r="C132" i="2"/>
  <c r="D133" i="2"/>
  <c r="I135" i="2"/>
  <c r="D136" i="2"/>
  <c r="I137" i="2"/>
  <c r="Q138" i="2"/>
  <c r="C139" i="2"/>
  <c r="C140" i="2"/>
  <c r="D141" i="2"/>
  <c r="I143" i="2"/>
  <c r="I144" i="2"/>
  <c r="D145" i="2"/>
  <c r="C146" i="2"/>
  <c r="D147" i="2"/>
  <c r="D148" i="2"/>
  <c r="I149" i="2"/>
  <c r="I150" i="2"/>
  <c r="I151" i="2"/>
  <c r="Q152" i="2"/>
  <c r="C154" i="2"/>
  <c r="E155" i="2"/>
  <c r="I157" i="2"/>
  <c r="I159" i="2"/>
  <c r="Q160" i="2"/>
  <c r="D161" i="2"/>
  <c r="C162" i="2"/>
  <c r="I165" i="2"/>
  <c r="Q166" i="2"/>
  <c r="I167" i="2"/>
  <c r="Q168" i="2"/>
  <c r="D169" i="2"/>
  <c r="Q170" i="2"/>
  <c r="C171" i="2"/>
  <c r="C172" i="2"/>
  <c r="B173" i="2"/>
  <c r="E174" i="2"/>
  <c r="C175" i="2"/>
  <c r="I176" i="2"/>
  <c r="D177" i="2"/>
  <c r="C178" i="2"/>
  <c r="H179" i="2"/>
  <c r="D181" i="2"/>
  <c r="E182" i="2"/>
  <c r="E184" i="2"/>
  <c r="E185" i="2"/>
  <c r="C186" i="2"/>
  <c r="C187" i="2"/>
  <c r="C188" i="2"/>
  <c r="D189" i="2"/>
  <c r="I190" i="2"/>
  <c r="C191" i="2"/>
  <c r="E192" i="2"/>
  <c r="Q193" i="2"/>
  <c r="G243" i="2"/>
  <c r="C244" i="2"/>
  <c r="D244" i="2"/>
  <c r="F244" i="2"/>
  <c r="G244" i="2"/>
  <c r="C245" i="2"/>
  <c r="D245" i="2"/>
  <c r="F245" i="2"/>
  <c r="G245" i="2"/>
  <c r="C246" i="2"/>
  <c r="D246" i="2"/>
  <c r="F246" i="2"/>
  <c r="G246" i="2"/>
  <c r="C247" i="2"/>
  <c r="D247" i="2"/>
  <c r="F247" i="2"/>
  <c r="G247" i="2"/>
  <c r="L29" i="7" l="1"/>
  <c r="N119" i="7"/>
  <c r="I148" i="7"/>
  <c r="O136" i="7"/>
  <c r="D114" i="7"/>
  <c r="I183" i="7"/>
  <c r="L173" i="7"/>
  <c r="F90" i="7"/>
  <c r="D60" i="7"/>
  <c r="F52" i="7"/>
  <c r="D171" i="7"/>
  <c r="J78" i="7"/>
  <c r="B30" i="7"/>
  <c r="B163" i="7"/>
  <c r="B131" i="7"/>
  <c r="N107" i="7"/>
  <c r="H47" i="7"/>
  <c r="J155" i="7"/>
  <c r="C59" i="7"/>
  <c r="B35" i="7"/>
  <c r="I11" i="7"/>
  <c r="H181" i="7"/>
  <c r="F94" i="7"/>
  <c r="B178" i="7"/>
  <c r="J46" i="7"/>
  <c r="E177" i="7"/>
  <c r="F82" i="7"/>
  <c r="B130" i="7"/>
  <c r="K80" i="7"/>
  <c r="G34" i="7"/>
  <c r="C243" i="2"/>
  <c r="F243" i="2" s="1"/>
  <c r="F169" i="7"/>
  <c r="B127" i="7"/>
  <c r="O67" i="7"/>
  <c r="H16" i="7"/>
  <c r="F19" i="14"/>
  <c r="G97" i="7"/>
  <c r="L155" i="6"/>
  <c r="J155" i="6"/>
  <c r="E155" i="6"/>
  <c r="D146" i="7"/>
  <c r="G96" i="7"/>
  <c r="F50" i="7"/>
  <c r="B170" i="7"/>
  <c r="E121" i="7"/>
  <c r="F74" i="7"/>
  <c r="E49" i="7"/>
  <c r="B26" i="7"/>
  <c r="I144" i="7"/>
  <c r="K120" i="7"/>
  <c r="G73" i="7"/>
  <c r="K48" i="7"/>
  <c r="K25" i="7"/>
  <c r="E167" i="7"/>
  <c r="E24" i="7"/>
  <c r="I166" i="7"/>
  <c r="G89" i="7"/>
  <c r="C23" i="7"/>
  <c r="M182" i="7"/>
  <c r="N165" i="7"/>
  <c r="C113" i="7"/>
  <c r="C85" i="7"/>
  <c r="D68" i="7"/>
  <c r="E134" i="7"/>
  <c r="O84" i="7"/>
  <c r="B38" i="7"/>
  <c r="C180" i="7"/>
  <c r="C133" i="7"/>
  <c r="B111" i="7"/>
  <c r="O37" i="7"/>
  <c r="K179" i="7"/>
  <c r="J132" i="7"/>
  <c r="B108" i="7"/>
  <c r="C61" i="7"/>
  <c r="D36" i="7"/>
  <c r="K13" i="7"/>
  <c r="G129" i="7"/>
  <c r="C33" i="7"/>
  <c r="E162" i="7"/>
  <c r="J123" i="7"/>
  <c r="I45" i="7"/>
  <c r="I175" i="7"/>
  <c r="L161" i="7"/>
  <c r="C92" i="7"/>
  <c r="C75" i="7"/>
  <c r="B106" i="7"/>
  <c r="C91" i="7"/>
  <c r="K43" i="7"/>
  <c r="C105" i="7"/>
  <c r="H57" i="7"/>
  <c r="C10" i="7"/>
  <c r="E156" i="7"/>
  <c r="O39" i="7"/>
  <c r="I8" i="7"/>
  <c r="L117" i="7"/>
  <c r="C103" i="7"/>
  <c r="F55" i="7"/>
  <c r="L154" i="7"/>
  <c r="D116" i="7"/>
  <c r="B70" i="7"/>
  <c r="F22" i="7"/>
  <c r="E165" i="5"/>
  <c r="C99" i="7"/>
  <c r="L69" i="7"/>
  <c r="E21" i="7"/>
  <c r="L23" i="6"/>
  <c r="O23" i="12" s="1"/>
  <c r="E246" i="2"/>
  <c r="O32" i="3"/>
  <c r="N69" i="3"/>
  <c r="O93" i="5"/>
  <c r="L145" i="10"/>
  <c r="I33" i="10"/>
  <c r="I18" i="8"/>
  <c r="C84" i="14"/>
  <c r="O73" i="5"/>
  <c r="F167" i="12"/>
  <c r="F161" i="14"/>
  <c r="M167" i="6"/>
  <c r="K132" i="10"/>
  <c r="M109" i="6"/>
  <c r="H247" i="2"/>
  <c r="K73" i="5"/>
  <c r="E137" i="14"/>
  <c r="B67" i="14"/>
  <c r="N77" i="5"/>
  <c r="H141" i="10"/>
  <c r="I177" i="6"/>
  <c r="J167" i="6"/>
  <c r="L76" i="2"/>
  <c r="L57" i="2"/>
  <c r="L183" i="3"/>
  <c r="K71" i="7"/>
  <c r="M161" i="10"/>
  <c r="O141" i="10"/>
  <c r="M89" i="10"/>
  <c r="L128" i="2"/>
  <c r="L170" i="3"/>
  <c r="N53" i="3"/>
  <c r="B42" i="3"/>
  <c r="J183" i="6"/>
  <c r="B167" i="6"/>
  <c r="O119" i="6"/>
  <c r="G39" i="6"/>
  <c r="K161" i="10"/>
  <c r="H89" i="10"/>
  <c r="K119" i="6"/>
  <c r="J8" i="6"/>
  <c r="C161" i="10"/>
  <c r="L110" i="10"/>
  <c r="Q111" i="2"/>
  <c r="D89" i="2"/>
  <c r="O171" i="3"/>
  <c r="M113" i="7"/>
  <c r="J119" i="6"/>
  <c r="H18" i="7"/>
  <c r="M18" i="7"/>
  <c r="Q143" i="3"/>
  <c r="C165" i="5"/>
  <c r="L77" i="7"/>
  <c r="L53" i="7"/>
  <c r="H167" i="6"/>
  <c r="L109" i="6"/>
  <c r="M8" i="6"/>
  <c r="K120" i="10"/>
  <c r="E110" i="10"/>
  <c r="K113" i="11"/>
  <c r="E78" i="12"/>
  <c r="F13" i="13"/>
  <c r="I161" i="2"/>
  <c r="I36" i="5"/>
  <c r="I151" i="7"/>
  <c r="B88" i="7"/>
  <c r="G65" i="7"/>
  <c r="L51" i="7"/>
  <c r="O56" i="10"/>
  <c r="M146" i="11"/>
  <c r="C170" i="12"/>
  <c r="C161" i="14"/>
  <c r="E70" i="14"/>
  <c r="P140" i="2"/>
  <c r="C56" i="2"/>
  <c r="O176" i="7"/>
  <c r="G149" i="7"/>
  <c r="L98" i="7"/>
  <c r="L86" i="7"/>
  <c r="E16" i="6"/>
  <c r="K93" i="5"/>
  <c r="E188" i="7"/>
  <c r="M165" i="6"/>
  <c r="I96" i="10"/>
  <c r="K74" i="11"/>
  <c r="D125" i="14"/>
  <c r="E193" i="2"/>
  <c r="R147" i="2"/>
  <c r="L32" i="2"/>
  <c r="I171" i="3"/>
  <c r="M37" i="3"/>
  <c r="N163" i="5"/>
  <c r="E186" i="7"/>
  <c r="H118" i="7"/>
  <c r="D109" i="7"/>
  <c r="N35" i="6"/>
  <c r="H245" i="2"/>
  <c r="B56" i="3"/>
  <c r="O165" i="5"/>
  <c r="H158" i="7"/>
  <c r="F71" i="7"/>
  <c r="B9" i="7"/>
  <c r="F131" i="6"/>
  <c r="L120" i="6"/>
  <c r="E103" i="6"/>
  <c r="O80" i="6"/>
  <c r="F104" i="10"/>
  <c r="K84" i="10"/>
  <c r="I62" i="10"/>
  <c r="N72" i="11"/>
  <c r="F87" i="14"/>
  <c r="C44" i="14"/>
  <c r="I40" i="2"/>
  <c r="M178" i="3"/>
  <c r="O12" i="3"/>
  <c r="N165" i="5"/>
  <c r="K128" i="7"/>
  <c r="F111" i="6"/>
  <c r="I84" i="10"/>
  <c r="L72" i="11"/>
  <c r="G173" i="12"/>
  <c r="F47" i="12"/>
  <c r="Q144" i="2"/>
  <c r="L124" i="2"/>
  <c r="L92" i="2"/>
  <c r="Q60" i="2"/>
  <c r="F187" i="3"/>
  <c r="L135" i="3"/>
  <c r="L12" i="3"/>
  <c r="K165" i="5"/>
  <c r="L38" i="10"/>
  <c r="F173" i="12"/>
  <c r="F100" i="7"/>
  <c r="D144" i="2"/>
  <c r="Q16" i="2"/>
  <c r="I64" i="3"/>
  <c r="B12" i="3"/>
  <c r="K101" i="5"/>
  <c r="I139" i="7"/>
  <c r="H126" i="7"/>
  <c r="F153" i="10"/>
  <c r="E173" i="12"/>
  <c r="B52" i="14"/>
  <c r="G19" i="8"/>
  <c r="O163" i="5"/>
  <c r="O109" i="5"/>
  <c r="O83" i="5"/>
  <c r="O65" i="5"/>
  <c r="C18" i="5"/>
  <c r="E18" i="13"/>
  <c r="E13" i="14"/>
  <c r="L123" i="11"/>
  <c r="B173" i="12"/>
  <c r="C163" i="5"/>
  <c r="F80" i="11"/>
  <c r="N60" i="11"/>
  <c r="E177" i="13"/>
  <c r="E154" i="13"/>
  <c r="E86" i="13"/>
  <c r="E113" i="14"/>
  <c r="B63" i="14"/>
  <c r="D50" i="14"/>
  <c r="E28" i="14"/>
  <c r="E25" i="14"/>
  <c r="N129" i="5"/>
  <c r="F122" i="13"/>
  <c r="B177" i="14"/>
  <c r="G177" i="14" s="1"/>
  <c r="F125" i="14"/>
  <c r="E119" i="14"/>
  <c r="B79" i="14"/>
  <c r="F55" i="14"/>
  <c r="I188" i="2"/>
  <c r="B109" i="6"/>
  <c r="I96" i="6"/>
  <c r="H21" i="6"/>
  <c r="M133" i="10"/>
  <c r="M121" i="10"/>
  <c r="J100" i="10"/>
  <c r="E72" i="10"/>
  <c r="D62" i="10"/>
  <c r="I37" i="10"/>
  <c r="L34" i="10"/>
  <c r="I25" i="10"/>
  <c r="J12" i="3"/>
  <c r="D10" i="3"/>
  <c r="M7" i="3"/>
  <c r="K95" i="7"/>
  <c r="L132" i="6"/>
  <c r="G130" i="6"/>
  <c r="E119" i="6"/>
  <c r="I133" i="10"/>
  <c r="E121" i="10"/>
  <c r="E109" i="10"/>
  <c r="F88" i="10"/>
  <c r="H25" i="10"/>
  <c r="L187" i="2"/>
  <c r="J135" i="3"/>
  <c r="P36" i="3"/>
  <c r="F95" i="7"/>
  <c r="C27" i="7"/>
  <c r="L179" i="6"/>
  <c r="F177" i="6"/>
  <c r="M36" i="6"/>
  <c r="O16" i="6"/>
  <c r="L11" i="6"/>
  <c r="O11" i="12" s="1"/>
  <c r="F8" i="6"/>
  <c r="O176" i="10"/>
  <c r="I157" i="10"/>
  <c r="E133" i="10"/>
  <c r="M13" i="10"/>
  <c r="D187" i="2"/>
  <c r="F187" i="2" s="1"/>
  <c r="Q140" i="2"/>
  <c r="L116" i="2"/>
  <c r="E80" i="2"/>
  <c r="L56" i="2"/>
  <c r="I28" i="2"/>
  <c r="L187" i="3"/>
  <c r="P182" i="3"/>
  <c r="L179" i="3"/>
  <c r="I68" i="3"/>
  <c r="G52" i="3"/>
  <c r="O36" i="3"/>
  <c r="F30" i="3"/>
  <c r="M15" i="3"/>
  <c r="F109" i="6"/>
  <c r="M38" i="6"/>
  <c r="J16" i="6"/>
  <c r="H11" i="6"/>
  <c r="P11" i="12" s="1"/>
  <c r="E176" i="10"/>
  <c r="N25" i="10"/>
  <c r="I19" i="8"/>
  <c r="F18" i="8"/>
  <c r="O141" i="5"/>
  <c r="I122" i="5"/>
  <c r="O101" i="5"/>
  <c r="N85" i="5"/>
  <c r="K65" i="5"/>
  <c r="I13" i="5"/>
  <c r="F78" i="12"/>
  <c r="F77" i="12"/>
  <c r="E134" i="13"/>
  <c r="E116" i="13"/>
  <c r="G110" i="13"/>
  <c r="F98" i="13"/>
  <c r="G9" i="13"/>
  <c r="E172" i="14"/>
  <c r="E169" i="14"/>
  <c r="B161" i="14"/>
  <c r="D139" i="14"/>
  <c r="E129" i="14"/>
  <c r="G129" i="14" s="1"/>
  <c r="B125" i="14"/>
  <c r="F115" i="14"/>
  <c r="F77" i="14"/>
  <c r="E74" i="14"/>
  <c r="F65" i="14"/>
  <c r="L155" i="11"/>
  <c r="I72" i="11"/>
  <c r="N62" i="11"/>
  <c r="K43" i="11"/>
  <c r="C34" i="12"/>
  <c r="F110" i="13"/>
  <c r="K79" i="5"/>
  <c r="K71" i="5"/>
  <c r="I29" i="5"/>
  <c r="L108" i="11"/>
  <c r="I97" i="11"/>
  <c r="O94" i="11"/>
  <c r="D72" i="11"/>
  <c r="H62" i="11"/>
  <c r="D60" i="11"/>
  <c r="O53" i="11"/>
  <c r="G43" i="11"/>
  <c r="L32" i="11"/>
  <c r="B107" i="12"/>
  <c r="B78" i="12"/>
  <c r="G40" i="13"/>
  <c r="G20" i="13"/>
  <c r="E161" i="14"/>
  <c r="F152" i="14"/>
  <c r="E125" i="14"/>
  <c r="D111" i="14"/>
  <c r="F61" i="14"/>
  <c r="C30" i="14"/>
  <c r="B7" i="14"/>
  <c r="K150" i="11"/>
  <c r="D147" i="11"/>
  <c r="F29" i="13"/>
  <c r="S192" i="2"/>
  <c r="B181" i="2"/>
  <c r="M174" i="2"/>
  <c r="C143" i="2"/>
  <c r="H120" i="2"/>
  <c r="Q76" i="2"/>
  <c r="C76" i="2"/>
  <c r="F76" i="2" s="1"/>
  <c r="D50" i="2"/>
  <c r="H48" i="2"/>
  <c r="D41" i="2"/>
  <c r="I21" i="2"/>
  <c r="E20" i="2"/>
  <c r="C16" i="2"/>
  <c r="C186" i="3"/>
  <c r="P183" i="3"/>
  <c r="C183" i="3"/>
  <c r="Q127" i="3"/>
  <c r="Q85" i="3"/>
  <c r="G81" i="7"/>
  <c r="N31" i="7"/>
  <c r="O27" i="7"/>
  <c r="O181" i="6"/>
  <c r="L175" i="6"/>
  <c r="E168" i="6"/>
  <c r="L107" i="6"/>
  <c r="K104" i="6"/>
  <c r="R104" i="12" s="1"/>
  <c r="I94" i="6"/>
  <c r="Q94" i="12" s="1"/>
  <c r="N77" i="6"/>
  <c r="I25" i="6"/>
  <c r="G16" i="6"/>
  <c r="E171" i="10"/>
  <c r="N164" i="10"/>
  <c r="J157" i="10"/>
  <c r="I156" i="10"/>
  <c r="I141" i="10"/>
  <c r="C141" i="10"/>
  <c r="I121" i="10"/>
  <c r="F120" i="10"/>
  <c r="I110" i="10"/>
  <c r="K96" i="10"/>
  <c r="L94" i="10"/>
  <c r="I86" i="10"/>
  <c r="K56" i="10"/>
  <c r="O112" i="7"/>
  <c r="H181" i="6"/>
  <c r="G122" i="6"/>
  <c r="O114" i="6"/>
  <c r="L69" i="6"/>
  <c r="O69" i="12" s="1"/>
  <c r="M72" i="10"/>
  <c r="I61" i="10"/>
  <c r="F56" i="10"/>
  <c r="I34" i="10"/>
  <c r="M140" i="2"/>
  <c r="S104" i="2"/>
  <c r="I76" i="2"/>
  <c r="R20" i="2"/>
  <c r="M16" i="2"/>
  <c r="J183" i="3"/>
  <c r="G143" i="3"/>
  <c r="H143" i="3" s="1"/>
  <c r="Q135" i="3"/>
  <c r="G135" i="3"/>
  <c r="N108" i="3"/>
  <c r="O56" i="3"/>
  <c r="P42" i="3"/>
  <c r="L36" i="3"/>
  <c r="N152" i="7"/>
  <c r="G112" i="7"/>
  <c r="C181" i="6"/>
  <c r="F155" i="6"/>
  <c r="K128" i="6"/>
  <c r="F122" i="6"/>
  <c r="F119" i="6"/>
  <c r="O111" i="6"/>
  <c r="L103" i="6"/>
  <c r="M55" i="6"/>
  <c r="O48" i="6"/>
  <c r="O36" i="6"/>
  <c r="I21" i="6"/>
  <c r="K16" i="6"/>
  <c r="S16" i="12" s="1"/>
  <c r="B16" i="6"/>
  <c r="I185" i="10"/>
  <c r="E161" i="10"/>
  <c r="B157" i="10"/>
  <c r="H155" i="10"/>
  <c r="D153" i="10"/>
  <c r="M141" i="10"/>
  <c r="G141" i="10"/>
  <c r="F132" i="10"/>
  <c r="C129" i="10"/>
  <c r="K72" i="10"/>
  <c r="E56" i="10"/>
  <c r="O49" i="10"/>
  <c r="Q187" i="2"/>
  <c r="D140" i="2"/>
  <c r="Q137" i="2"/>
  <c r="Q120" i="2"/>
  <c r="B104" i="2"/>
  <c r="Q98" i="2"/>
  <c r="I85" i="2"/>
  <c r="S76" i="2"/>
  <c r="E76" i="2"/>
  <c r="G76" i="2" s="1"/>
  <c r="P56" i="2"/>
  <c r="Q48" i="2"/>
  <c r="Q36" i="2"/>
  <c r="Q21" i="2"/>
  <c r="Q20" i="2"/>
  <c r="I16" i="2"/>
  <c r="O187" i="3"/>
  <c r="O186" i="3"/>
  <c r="I183" i="3"/>
  <c r="O170" i="3"/>
  <c r="I156" i="3"/>
  <c r="B152" i="3"/>
  <c r="Q147" i="3"/>
  <c r="I144" i="3"/>
  <c r="D143" i="3"/>
  <c r="I140" i="3"/>
  <c r="I137" i="3"/>
  <c r="P135" i="3"/>
  <c r="B135" i="3"/>
  <c r="J117" i="3"/>
  <c r="Q114" i="3"/>
  <c r="G108" i="3"/>
  <c r="Q68" i="3"/>
  <c r="L56" i="3"/>
  <c r="F44" i="3"/>
  <c r="N42" i="3"/>
  <c r="D36" i="3"/>
  <c r="P16" i="3"/>
  <c r="N14" i="3"/>
  <c r="H171" i="10"/>
  <c r="L141" i="10"/>
  <c r="D141" i="10"/>
  <c r="B25" i="10"/>
  <c r="M15" i="10"/>
  <c r="L13" i="10"/>
  <c r="J27" i="7"/>
  <c r="I27" i="7"/>
  <c r="H94" i="7"/>
  <c r="J30" i="7"/>
  <c r="H55" i="8"/>
  <c r="I48" i="8"/>
  <c r="I138" i="5"/>
  <c r="K133" i="5"/>
  <c r="O103" i="5"/>
  <c r="O95" i="5"/>
  <c r="K87" i="5"/>
  <c r="K81" i="5"/>
  <c r="O67" i="5"/>
  <c r="N47" i="5"/>
  <c r="N42" i="5"/>
  <c r="N10" i="5"/>
  <c r="H175" i="11"/>
  <c r="E166" i="11"/>
  <c r="M150" i="11"/>
  <c r="I122" i="11"/>
  <c r="C94" i="11"/>
  <c r="F92" i="11"/>
  <c r="I90" i="11"/>
  <c r="F88" i="11"/>
  <c r="L64" i="11"/>
  <c r="L62" i="11"/>
  <c r="I61" i="11"/>
  <c r="K57" i="11"/>
  <c r="C53" i="11"/>
  <c r="I46" i="11"/>
  <c r="L44" i="11"/>
  <c r="H43" i="11"/>
  <c r="F143" i="12"/>
  <c r="C119" i="12"/>
  <c r="C74" i="12"/>
  <c r="E64" i="12"/>
  <c r="E61" i="12"/>
  <c r="G134" i="13"/>
  <c r="E110" i="13"/>
  <c r="E72" i="13"/>
  <c r="E69" i="13"/>
  <c r="G29" i="13"/>
  <c r="F19" i="13"/>
  <c r="G13" i="13"/>
  <c r="C160" i="14"/>
  <c r="F157" i="14"/>
  <c r="D151" i="14"/>
  <c r="E112" i="14"/>
  <c r="D95" i="14"/>
  <c r="B75" i="14"/>
  <c r="F73" i="14"/>
  <c r="E66" i="14"/>
  <c r="C53" i="14"/>
  <c r="F51" i="14"/>
  <c r="F49" i="14"/>
  <c r="C41" i="14"/>
  <c r="B23" i="14"/>
  <c r="N157" i="5"/>
  <c r="I146" i="5"/>
  <c r="O123" i="5"/>
  <c r="O34" i="5"/>
  <c r="I174" i="11"/>
  <c r="I165" i="11"/>
  <c r="D155" i="11"/>
  <c r="C150" i="11"/>
  <c r="L147" i="11"/>
  <c r="G123" i="11"/>
  <c r="O121" i="11"/>
  <c r="K94" i="11"/>
  <c r="L91" i="11"/>
  <c r="H76" i="11"/>
  <c r="D62" i="11"/>
  <c r="F58" i="11"/>
  <c r="K53" i="11"/>
  <c r="J45" i="11"/>
  <c r="M43" i="11"/>
  <c r="C43" i="11"/>
  <c r="L18" i="11"/>
  <c r="G138" i="12"/>
  <c r="G119" i="12"/>
  <c r="G73" i="12"/>
  <c r="G170" i="13"/>
  <c r="F124" i="13"/>
  <c r="E98" i="13"/>
  <c r="F80" i="13"/>
  <c r="E13" i="13"/>
  <c r="F15" i="14"/>
  <c r="O151" i="5"/>
  <c r="O133" i="5"/>
  <c r="C123" i="5"/>
  <c r="I114" i="5"/>
  <c r="K107" i="5"/>
  <c r="O97" i="5"/>
  <c r="O89" i="5"/>
  <c r="O81" i="5"/>
  <c r="O75" i="5"/>
  <c r="N69" i="5"/>
  <c r="K63" i="5"/>
  <c r="N44" i="5"/>
  <c r="C34" i="5"/>
  <c r="N23" i="5"/>
  <c r="K166" i="11"/>
  <c r="I94" i="11"/>
  <c r="J92" i="11"/>
  <c r="L88" i="11"/>
  <c r="G53" i="11"/>
  <c r="G74" i="12"/>
  <c r="F96" i="13"/>
  <c r="F90" i="13"/>
  <c r="E141" i="14"/>
  <c r="F99" i="14"/>
  <c r="F93" i="14"/>
  <c r="E78" i="14"/>
  <c r="B71" i="14"/>
  <c r="F69" i="14"/>
  <c r="D62" i="14"/>
  <c r="F60" i="14"/>
  <c r="E41" i="14"/>
  <c r="G41" i="14" s="1"/>
  <c r="B31" i="14"/>
  <c r="F29" i="14"/>
  <c r="D15" i="14"/>
  <c r="C13" i="14"/>
  <c r="I168" i="2"/>
  <c r="C166" i="2"/>
  <c r="D157" i="2"/>
  <c r="C147" i="2"/>
  <c r="F147" i="2" s="1"/>
  <c r="D137" i="2"/>
  <c r="P128" i="2"/>
  <c r="L80" i="2"/>
  <c r="P76" i="2"/>
  <c r="I75" i="2"/>
  <c r="R68" i="2"/>
  <c r="D66" i="2"/>
  <c r="H52" i="2"/>
  <c r="H40" i="2"/>
  <c r="I32" i="2"/>
  <c r="S16" i="2"/>
  <c r="J188" i="3"/>
  <c r="M187" i="3"/>
  <c r="D187" i="3"/>
  <c r="E187" i="3" s="1"/>
  <c r="O183" i="3"/>
  <c r="D183" i="3"/>
  <c r="B179" i="3"/>
  <c r="D178" i="3"/>
  <c r="O175" i="3"/>
  <c r="I172" i="3"/>
  <c r="N171" i="3"/>
  <c r="F171" i="3"/>
  <c r="Q168" i="3"/>
  <c r="O166" i="3"/>
  <c r="I163" i="3"/>
  <c r="P157" i="3"/>
  <c r="O135" i="3"/>
  <c r="D135" i="3"/>
  <c r="E135" i="3" s="1"/>
  <c r="J129" i="3"/>
  <c r="P127" i="3"/>
  <c r="M122" i="3"/>
  <c r="Q108" i="3"/>
  <c r="C108" i="3"/>
  <c r="E108" i="3" s="1"/>
  <c r="P103" i="3"/>
  <c r="J93" i="3"/>
  <c r="P87" i="3"/>
  <c r="I85" i="3"/>
  <c r="J82" i="3"/>
  <c r="M79" i="3"/>
  <c r="M71" i="3"/>
  <c r="G68" i="3"/>
  <c r="E68" i="5" s="1"/>
  <c r="G64" i="3"/>
  <c r="F56" i="3"/>
  <c r="L48" i="3"/>
  <c r="N46" i="3"/>
  <c r="I42" i="3"/>
  <c r="F36" i="3"/>
  <c r="G32" i="3"/>
  <c r="N20" i="3"/>
  <c r="Q12" i="3"/>
  <c r="D12" i="3"/>
  <c r="L171" i="7"/>
  <c r="R191" i="2"/>
  <c r="Q173" i="2"/>
  <c r="L171" i="3"/>
  <c r="D171" i="3"/>
  <c r="G127" i="3"/>
  <c r="Q72" i="3"/>
  <c r="L189" i="7"/>
  <c r="K189" i="12" s="1"/>
  <c r="I171" i="7"/>
  <c r="G113" i="7"/>
  <c r="M112" i="7"/>
  <c r="I191" i="2"/>
  <c r="Q188" i="2"/>
  <c r="S181" i="2"/>
  <c r="C173" i="2"/>
  <c r="R167" i="2"/>
  <c r="D165" i="2"/>
  <c r="E140" i="2"/>
  <c r="M136" i="2"/>
  <c r="I133" i="2"/>
  <c r="B128" i="2"/>
  <c r="Q106" i="2"/>
  <c r="R104" i="2"/>
  <c r="H96" i="2"/>
  <c r="C87" i="2"/>
  <c r="B12" i="2"/>
  <c r="Q187" i="3"/>
  <c r="G187" i="3"/>
  <c r="O178" i="3"/>
  <c r="P171" i="3"/>
  <c r="J171" i="3"/>
  <c r="C171" i="3"/>
  <c r="L162" i="3"/>
  <c r="Q156" i="3"/>
  <c r="B127" i="3"/>
  <c r="I112" i="3"/>
  <c r="Q109" i="3"/>
  <c r="L108" i="3"/>
  <c r="Q104" i="3"/>
  <c r="L94" i="3"/>
  <c r="L92" i="3"/>
  <c r="G72" i="3"/>
  <c r="E72" i="5" s="1"/>
  <c r="P68" i="3"/>
  <c r="L67" i="3"/>
  <c r="Q64" i="3"/>
  <c r="G59" i="3"/>
  <c r="E59" i="5" s="1"/>
  <c r="P47" i="3"/>
  <c r="J28" i="3"/>
  <c r="H189" i="7"/>
  <c r="H189" i="12" s="1"/>
  <c r="E171" i="7"/>
  <c r="E113" i="7"/>
  <c r="S75" i="2"/>
  <c r="G72" i="7"/>
  <c r="C72" i="7"/>
  <c r="O72" i="7"/>
  <c r="D72" i="7"/>
  <c r="I72" i="7"/>
  <c r="I12" i="10"/>
  <c r="L18" i="7"/>
  <c r="I183" i="6"/>
  <c r="K169" i="6"/>
  <c r="L52" i="6"/>
  <c r="M187" i="10"/>
  <c r="L133" i="10"/>
  <c r="H133" i="10"/>
  <c r="D133" i="10"/>
  <c r="O132" i="10"/>
  <c r="J132" i="10"/>
  <c r="E132" i="10"/>
  <c r="J125" i="10"/>
  <c r="N69" i="10"/>
  <c r="O68" i="10"/>
  <c r="L57" i="10"/>
  <c r="M49" i="10"/>
  <c r="F18" i="7"/>
  <c r="E183" i="6"/>
  <c r="I169" i="6"/>
  <c r="O130" i="6"/>
  <c r="J97" i="6"/>
  <c r="I77" i="6"/>
  <c r="K52" i="6"/>
  <c r="D48" i="6"/>
  <c r="L45" i="6"/>
  <c r="N43" i="6"/>
  <c r="O24" i="6"/>
  <c r="D23" i="6"/>
  <c r="H187" i="10"/>
  <c r="N157" i="10"/>
  <c r="F157" i="10"/>
  <c r="O133" i="10"/>
  <c r="K133" i="10"/>
  <c r="G133" i="10"/>
  <c r="C133" i="10"/>
  <c r="N132" i="10"/>
  <c r="I132" i="10"/>
  <c r="C132" i="10"/>
  <c r="I125" i="10"/>
  <c r="M104" i="10"/>
  <c r="O93" i="10"/>
  <c r="O85" i="10"/>
  <c r="G72" i="10"/>
  <c r="L69" i="10"/>
  <c r="M68" i="10"/>
  <c r="I57" i="10"/>
  <c r="M50" i="10"/>
  <c r="G49" i="10"/>
  <c r="N44" i="10"/>
  <c r="M25" i="10"/>
  <c r="F25" i="10"/>
  <c r="K24" i="10"/>
  <c r="I11" i="10"/>
  <c r="L9" i="10"/>
  <c r="I64" i="7"/>
  <c r="I21" i="7"/>
  <c r="B18" i="7"/>
  <c r="L183" i="6"/>
  <c r="D183" i="6"/>
  <c r="I181" i="6"/>
  <c r="N177" i="6"/>
  <c r="K176" i="6"/>
  <c r="I170" i="6"/>
  <c r="C169" i="6"/>
  <c r="L131" i="6"/>
  <c r="K130" i="6"/>
  <c r="N122" i="6"/>
  <c r="H109" i="6"/>
  <c r="P109" i="12" s="1"/>
  <c r="I108" i="6"/>
  <c r="Q108" i="12" s="1"/>
  <c r="M103" i="6"/>
  <c r="L99" i="6"/>
  <c r="H97" i="6"/>
  <c r="G52" i="6"/>
  <c r="M49" i="6"/>
  <c r="K43" i="6"/>
  <c r="M29" i="6"/>
  <c r="G24" i="6"/>
  <c r="H17" i="6"/>
  <c r="J171" i="10"/>
  <c r="I161" i="10"/>
  <c r="M157" i="10"/>
  <c r="E157" i="10"/>
  <c r="N153" i="10"/>
  <c r="K141" i="10"/>
  <c r="N133" i="10"/>
  <c r="J133" i="10"/>
  <c r="F133" i="10"/>
  <c r="M132" i="10"/>
  <c r="G132" i="10"/>
  <c r="B132" i="10"/>
  <c r="O129" i="10"/>
  <c r="D125" i="10"/>
  <c r="K104" i="10"/>
  <c r="N96" i="10"/>
  <c r="I93" i="10"/>
  <c r="O88" i="10"/>
  <c r="M86" i="10"/>
  <c r="I85" i="10"/>
  <c r="O72" i="10"/>
  <c r="F72" i="10"/>
  <c r="I70" i="10"/>
  <c r="F69" i="10"/>
  <c r="G68" i="10"/>
  <c r="G65" i="10"/>
  <c r="L62" i="10"/>
  <c r="K61" i="10"/>
  <c r="D57" i="10"/>
  <c r="J56" i="10"/>
  <c r="I55" i="10"/>
  <c r="K52" i="10"/>
  <c r="F49" i="10"/>
  <c r="E46" i="10"/>
  <c r="F44" i="10"/>
  <c r="M33" i="10"/>
  <c r="L25" i="10"/>
  <c r="D25" i="10"/>
  <c r="L12" i="10"/>
  <c r="F11" i="10"/>
  <c r="G34" i="8"/>
  <c r="G35" i="8"/>
  <c r="O153" i="5"/>
  <c r="I145" i="5"/>
  <c r="N141" i="5"/>
  <c r="O125" i="5"/>
  <c r="I113" i="5"/>
  <c r="N109" i="5"/>
  <c r="O105" i="5"/>
  <c r="K103" i="5"/>
  <c r="C101" i="5"/>
  <c r="N97" i="5"/>
  <c r="K95" i="5"/>
  <c r="C93" i="5"/>
  <c r="N89" i="5"/>
  <c r="O85" i="5"/>
  <c r="K83" i="5"/>
  <c r="C81" i="5"/>
  <c r="C77" i="5"/>
  <c r="N73" i="5"/>
  <c r="O69" i="5"/>
  <c r="K67" i="5"/>
  <c r="C65" i="5"/>
  <c r="I45" i="5"/>
  <c r="I44" i="5"/>
  <c r="N39" i="5"/>
  <c r="N31" i="5"/>
  <c r="I28" i="5"/>
  <c r="O143" i="5"/>
  <c r="K141" i="5"/>
  <c r="O111" i="5"/>
  <c r="K109" i="5"/>
  <c r="N105" i="5"/>
  <c r="P105" i="5" s="1"/>
  <c r="O99" i="5"/>
  <c r="K97" i="5"/>
  <c r="O91" i="5"/>
  <c r="K89" i="5"/>
  <c r="O166" i="5"/>
  <c r="I161" i="5"/>
  <c r="O149" i="5"/>
  <c r="K143" i="5"/>
  <c r="C141" i="5"/>
  <c r="N131" i="5"/>
  <c r="N123" i="5"/>
  <c r="N122" i="5"/>
  <c r="K117" i="5"/>
  <c r="K111" i="5"/>
  <c r="C109" i="5"/>
  <c r="C105" i="5"/>
  <c r="N101" i="5"/>
  <c r="K99" i="5"/>
  <c r="C97" i="5"/>
  <c r="N93" i="5"/>
  <c r="K91" i="5"/>
  <c r="C89" i="5"/>
  <c r="C85" i="5"/>
  <c r="N81" i="5"/>
  <c r="O77" i="5"/>
  <c r="K75" i="5"/>
  <c r="C73" i="5"/>
  <c r="C69" i="5"/>
  <c r="N65" i="5"/>
  <c r="I20" i="5"/>
  <c r="N15" i="5"/>
  <c r="D7" i="5"/>
  <c r="N7" i="5"/>
  <c r="D12" i="5"/>
  <c r="I12" i="5"/>
  <c r="F186" i="13"/>
  <c r="F138" i="13"/>
  <c r="E94" i="13"/>
  <c r="E92" i="13"/>
  <c r="E62" i="13"/>
  <c r="E40" i="13"/>
  <c r="E183" i="14"/>
  <c r="E107" i="14"/>
  <c r="E105" i="14"/>
  <c r="C93" i="14"/>
  <c r="M166" i="11"/>
  <c r="C166" i="11"/>
  <c r="F165" i="11"/>
  <c r="M141" i="11"/>
  <c r="E135" i="11"/>
  <c r="E121" i="11"/>
  <c r="H118" i="11"/>
  <c r="H106" i="11"/>
  <c r="G103" i="11"/>
  <c r="G94" i="11"/>
  <c r="E83" i="11"/>
  <c r="E76" i="11"/>
  <c r="G70" i="11"/>
  <c r="L34" i="11"/>
  <c r="F32" i="11"/>
  <c r="F18" i="11"/>
  <c r="J12" i="11"/>
  <c r="F107" i="12"/>
  <c r="G90" i="12"/>
  <c r="D87" i="12"/>
  <c r="D78" i="12"/>
  <c r="E74" i="12"/>
  <c r="E15" i="12"/>
  <c r="F129" i="13"/>
  <c r="F112" i="13"/>
  <c r="E108" i="13"/>
  <c r="F81" i="13"/>
  <c r="E70" i="13"/>
  <c r="E65" i="13"/>
  <c r="F51" i="13"/>
  <c r="F37" i="13"/>
  <c r="E180" i="14"/>
  <c r="F177" i="14"/>
  <c r="F156" i="14"/>
  <c r="F139" i="14"/>
  <c r="F137" i="14"/>
  <c r="F136" i="14"/>
  <c r="C109" i="14"/>
  <c r="B107" i="14"/>
  <c r="C105" i="14"/>
  <c r="F95" i="14"/>
  <c r="B93" i="14"/>
  <c r="B87" i="14"/>
  <c r="E84" i="14"/>
  <c r="F79" i="14"/>
  <c r="F75" i="14"/>
  <c r="F71" i="14"/>
  <c r="F67" i="14"/>
  <c r="F63" i="14"/>
  <c r="C60" i="14"/>
  <c r="E57" i="14"/>
  <c r="B55" i="14"/>
  <c r="F33" i="14"/>
  <c r="F23" i="14"/>
  <c r="C21" i="14"/>
  <c r="B15" i="14"/>
  <c r="F13" i="14"/>
  <c r="B13" i="14"/>
  <c r="F7" i="14"/>
  <c r="M167" i="11"/>
  <c r="M42" i="11"/>
  <c r="F151" i="12"/>
  <c r="D167" i="11"/>
  <c r="I164" i="11"/>
  <c r="I147" i="11"/>
  <c r="K142" i="11"/>
  <c r="H140" i="11"/>
  <c r="M130" i="11"/>
  <c r="N117" i="11"/>
  <c r="K98" i="11"/>
  <c r="H84" i="11"/>
  <c r="M82" i="11"/>
  <c r="L76" i="11"/>
  <c r="L60" i="11"/>
  <c r="L58" i="11"/>
  <c r="E42" i="11"/>
  <c r="I17" i="11"/>
  <c r="B151" i="12"/>
  <c r="F129" i="12"/>
  <c r="D91" i="12"/>
  <c r="E57" i="12"/>
  <c r="G185" i="13"/>
  <c r="F156" i="13"/>
  <c r="F134" i="13"/>
  <c r="F94" i="13"/>
  <c r="F84" i="13"/>
  <c r="G82" i="13"/>
  <c r="E64" i="13"/>
  <c r="G62" i="13"/>
  <c r="G54" i="13"/>
  <c r="F40" i="13"/>
  <c r="E11" i="13"/>
  <c r="E6" i="13"/>
  <c r="D157" i="14"/>
  <c r="E149" i="14"/>
  <c r="B137" i="14"/>
  <c r="C129" i="14"/>
  <c r="E126" i="14"/>
  <c r="E123" i="14"/>
  <c r="B95" i="14"/>
  <c r="E93" i="14"/>
  <c r="E17" i="14"/>
  <c r="E15" i="14"/>
  <c r="E14" i="14"/>
  <c r="E12" i="14"/>
  <c r="G12" i="14" s="1"/>
  <c r="C165" i="6"/>
  <c r="E165" i="6"/>
  <c r="B138" i="6"/>
  <c r="K138" i="6"/>
  <c r="P120" i="2"/>
  <c r="E120" i="2"/>
  <c r="G120" i="2" s="1"/>
  <c r="P48" i="2"/>
  <c r="E48" i="2"/>
  <c r="Q34" i="2"/>
  <c r="L182" i="3"/>
  <c r="M166" i="3"/>
  <c r="M157" i="3"/>
  <c r="N147" i="3"/>
  <c r="Q133" i="3"/>
  <c r="O104" i="3"/>
  <c r="I94" i="3"/>
  <c r="Q93" i="3"/>
  <c r="G93" i="3"/>
  <c r="E93" i="5" s="1"/>
  <c r="Q92" i="3"/>
  <c r="G92" i="3"/>
  <c r="E92" i="5" s="1"/>
  <c r="O85" i="3"/>
  <c r="G85" i="3"/>
  <c r="L47" i="3"/>
  <c r="P40" i="3"/>
  <c r="Q39" i="3"/>
  <c r="L165" i="6"/>
  <c r="F165" i="6"/>
  <c r="C161" i="6"/>
  <c r="I161" i="6"/>
  <c r="F161" i="6"/>
  <c r="E112" i="6"/>
  <c r="L112" i="6"/>
  <c r="I112" i="6"/>
  <c r="C95" i="6"/>
  <c r="L95" i="6"/>
  <c r="E73" i="6"/>
  <c r="H73" i="6"/>
  <c r="L73" i="12" s="1"/>
  <c r="B73" i="6"/>
  <c r="L73" i="6"/>
  <c r="I12" i="6"/>
  <c r="Q12" i="12" s="1"/>
  <c r="N12" i="6"/>
  <c r="L146" i="10"/>
  <c r="D146" i="10"/>
  <c r="R175" i="2"/>
  <c r="M173" i="2"/>
  <c r="Q184" i="2"/>
  <c r="Q182" i="2"/>
  <c r="M175" i="2"/>
  <c r="R143" i="2"/>
  <c r="S128" i="2"/>
  <c r="H128" i="2"/>
  <c r="M120" i="2"/>
  <c r="C120" i="2"/>
  <c r="M104" i="2"/>
  <c r="L81" i="2"/>
  <c r="M48" i="2"/>
  <c r="C48" i="2"/>
  <c r="L34" i="2"/>
  <c r="S28" i="2"/>
  <c r="L20" i="2"/>
  <c r="I182" i="3"/>
  <c r="I178" i="3"/>
  <c r="I166" i="3"/>
  <c r="L157" i="3"/>
  <c r="Q152" i="3"/>
  <c r="I147" i="3"/>
  <c r="L133" i="3"/>
  <c r="O131" i="3"/>
  <c r="I104" i="3"/>
  <c r="Q96" i="3"/>
  <c r="Q94" i="3"/>
  <c r="F94" i="3"/>
  <c r="O93" i="3"/>
  <c r="F93" i="3"/>
  <c r="P92" i="3"/>
  <c r="F92" i="3"/>
  <c r="N85" i="3"/>
  <c r="C85" i="3"/>
  <c r="P72" i="3"/>
  <c r="L66" i="3"/>
  <c r="I47" i="3"/>
  <c r="L40" i="3"/>
  <c r="M39" i="3"/>
  <c r="Q24" i="3"/>
  <c r="I93" i="7"/>
  <c r="N27" i="7"/>
  <c r="F27" i="7"/>
  <c r="M181" i="6"/>
  <c r="G181" i="6"/>
  <c r="M180" i="6"/>
  <c r="O169" i="6"/>
  <c r="G169" i="6"/>
  <c r="M168" i="6"/>
  <c r="F167" i="6"/>
  <c r="J165" i="6"/>
  <c r="D165" i="6"/>
  <c r="E128" i="6"/>
  <c r="H128" i="6"/>
  <c r="G128" i="6"/>
  <c r="B101" i="6"/>
  <c r="F101" i="6"/>
  <c r="I101" i="6"/>
  <c r="E101" i="6"/>
  <c r="N101" i="6"/>
  <c r="I72" i="6"/>
  <c r="M72" i="12" s="1"/>
  <c r="K72" i="6"/>
  <c r="S72" i="12" s="1"/>
  <c r="G72" i="6"/>
  <c r="C44" i="6"/>
  <c r="G44" i="6"/>
  <c r="H44" i="6"/>
  <c r="E44" i="6"/>
  <c r="M44" i="6"/>
  <c r="I31" i="6"/>
  <c r="O31" i="6"/>
  <c r="G31" i="6"/>
  <c r="I177" i="10"/>
  <c r="H177" i="10"/>
  <c r="B149" i="10"/>
  <c r="K149" i="10"/>
  <c r="F149" i="10"/>
  <c r="I173" i="2"/>
  <c r="M147" i="2"/>
  <c r="L144" i="2"/>
  <c r="I184" i="2"/>
  <c r="I182" i="2"/>
  <c r="D175" i="2"/>
  <c r="F175" i="2" s="1"/>
  <c r="S173" i="2"/>
  <c r="E173" i="2"/>
  <c r="H147" i="2"/>
  <c r="L145" i="2"/>
  <c r="L143" i="2"/>
  <c r="H140" i="2"/>
  <c r="R128" i="2"/>
  <c r="E128" i="2"/>
  <c r="G128" i="2" s="1"/>
  <c r="L126" i="2"/>
  <c r="S120" i="2"/>
  <c r="I120" i="2"/>
  <c r="B120" i="2"/>
  <c r="L117" i="2"/>
  <c r="E104" i="2"/>
  <c r="G104" i="2" s="1"/>
  <c r="R96" i="2"/>
  <c r="M88" i="2"/>
  <c r="D81" i="2"/>
  <c r="I59" i="2"/>
  <c r="P52" i="2"/>
  <c r="L50" i="2"/>
  <c r="S48" i="2"/>
  <c r="I48" i="2"/>
  <c r="D34" i="2"/>
  <c r="Q32" i="2"/>
  <c r="P28" i="2"/>
  <c r="H20" i="2"/>
  <c r="P12" i="2"/>
  <c r="N183" i="3"/>
  <c r="F183" i="3"/>
  <c r="Q182" i="3"/>
  <c r="G182" i="3"/>
  <c r="P178" i="3"/>
  <c r="G178" i="3"/>
  <c r="D166" i="3"/>
  <c r="O163" i="3"/>
  <c r="D157" i="3"/>
  <c r="N152" i="3"/>
  <c r="O143" i="3"/>
  <c r="M135" i="3"/>
  <c r="F135" i="3"/>
  <c r="D133" i="3"/>
  <c r="I131" i="3"/>
  <c r="L127" i="3"/>
  <c r="O122" i="3"/>
  <c r="N117" i="3"/>
  <c r="L112" i="3"/>
  <c r="G104" i="3"/>
  <c r="M98" i="3"/>
  <c r="I96" i="3"/>
  <c r="N94" i="3"/>
  <c r="M93" i="3"/>
  <c r="M92" i="3"/>
  <c r="B92" i="3"/>
  <c r="J85" i="3"/>
  <c r="B85" i="3"/>
  <c r="M82" i="3"/>
  <c r="I72" i="3"/>
  <c r="B66" i="3"/>
  <c r="P64" i="3"/>
  <c r="Q57" i="3"/>
  <c r="J56" i="3"/>
  <c r="Q47" i="3"/>
  <c r="C47" i="3"/>
  <c r="E47" i="3" s="1"/>
  <c r="F40" i="3"/>
  <c r="C39" i="3"/>
  <c r="J36" i="3"/>
  <c r="Q35" i="3"/>
  <c r="Q28" i="3"/>
  <c r="I24" i="3"/>
  <c r="N21" i="3"/>
  <c r="H113" i="7"/>
  <c r="J94" i="7"/>
  <c r="D93" i="7"/>
  <c r="H72" i="7"/>
  <c r="N71" i="7"/>
  <c r="K27" i="7"/>
  <c r="E27" i="7"/>
  <c r="L181" i="6"/>
  <c r="D181" i="6"/>
  <c r="I180" i="6"/>
  <c r="M169" i="6"/>
  <c r="E169" i="6"/>
  <c r="I168" i="6"/>
  <c r="Q168" i="12" s="1"/>
  <c r="L167" i="6"/>
  <c r="E167" i="6"/>
  <c r="N165" i="6"/>
  <c r="I165" i="6"/>
  <c r="B165" i="6"/>
  <c r="B114" i="6"/>
  <c r="G114" i="6"/>
  <c r="E114" i="6"/>
  <c r="C71" i="6"/>
  <c r="K71" i="6"/>
  <c r="S71" i="12" s="1"/>
  <c r="O71" i="6"/>
  <c r="G71" i="6"/>
  <c r="D69" i="6"/>
  <c r="I69" i="6"/>
  <c r="Q69" i="12" s="1"/>
  <c r="N69" i="6"/>
  <c r="E69" i="6"/>
  <c r="J69" i="6"/>
  <c r="B69" i="6"/>
  <c r="H69" i="6"/>
  <c r="L69" i="12" s="1"/>
  <c r="M69" i="6"/>
  <c r="B41" i="6"/>
  <c r="I41" i="6"/>
  <c r="N41" i="6"/>
  <c r="H41" i="6"/>
  <c r="E27" i="6"/>
  <c r="I27" i="6"/>
  <c r="M27" i="12" s="1"/>
  <c r="K27" i="6"/>
  <c r="N27" i="12" s="1"/>
  <c r="G27" i="6"/>
  <c r="C166" i="10"/>
  <c r="G166" i="10"/>
  <c r="K166" i="10"/>
  <c r="E166" i="10"/>
  <c r="B148" i="10"/>
  <c r="G148" i="10"/>
  <c r="N148" i="10"/>
  <c r="C148" i="10"/>
  <c r="I122" i="6"/>
  <c r="I111" i="6"/>
  <c r="Q111" i="12" s="1"/>
  <c r="N109" i="6"/>
  <c r="I109" i="6"/>
  <c r="D109" i="6"/>
  <c r="K108" i="6"/>
  <c r="G103" i="6"/>
  <c r="L39" i="6"/>
  <c r="N23" i="6"/>
  <c r="I17" i="6"/>
  <c r="M16" i="6"/>
  <c r="F16" i="6"/>
  <c r="F176" i="10"/>
  <c r="O157" i="10"/>
  <c r="K157" i="10"/>
  <c r="G157" i="10"/>
  <c r="C157" i="10"/>
  <c r="K156" i="10"/>
  <c r="M155" i="10"/>
  <c r="J136" i="10"/>
  <c r="G129" i="10"/>
  <c r="L125" i="10"/>
  <c r="E125" i="10"/>
  <c r="N121" i="10"/>
  <c r="J121" i="10"/>
  <c r="F121" i="10"/>
  <c r="B121" i="10"/>
  <c r="M120" i="10"/>
  <c r="G120" i="10"/>
  <c r="B120" i="10"/>
  <c r="E119" i="10"/>
  <c r="I113" i="10"/>
  <c r="I109" i="10"/>
  <c r="N89" i="10"/>
  <c r="I89" i="10"/>
  <c r="D89" i="10"/>
  <c r="G88" i="10"/>
  <c r="I65" i="10"/>
  <c r="N60" i="10"/>
  <c r="M57" i="10"/>
  <c r="E57" i="10"/>
  <c r="M53" i="10"/>
  <c r="I46" i="10"/>
  <c r="I45" i="10"/>
  <c r="G44" i="10"/>
  <c r="L42" i="10"/>
  <c r="M37" i="10"/>
  <c r="M24" i="10"/>
  <c r="E24" i="10"/>
  <c r="L121" i="10"/>
  <c r="H121" i="10"/>
  <c r="D121" i="10"/>
  <c r="O120" i="10"/>
  <c r="J120" i="10"/>
  <c r="E120" i="10"/>
  <c r="M119" i="10"/>
  <c r="L89" i="10"/>
  <c r="F89" i="10"/>
  <c r="G24" i="10"/>
  <c r="I19" i="10"/>
  <c r="J111" i="6"/>
  <c r="J109" i="6"/>
  <c r="O108" i="6"/>
  <c r="H103" i="6"/>
  <c r="O39" i="6"/>
  <c r="N17" i="6"/>
  <c r="K176" i="10"/>
  <c r="L171" i="10"/>
  <c r="B171" i="10"/>
  <c r="L157" i="10"/>
  <c r="H157" i="10"/>
  <c r="N156" i="10"/>
  <c r="N155" i="10"/>
  <c r="I145" i="10"/>
  <c r="M134" i="10"/>
  <c r="K129" i="10"/>
  <c r="N125" i="10"/>
  <c r="F125" i="10"/>
  <c r="O121" i="10"/>
  <c r="K121" i="10"/>
  <c r="G121" i="10"/>
  <c r="N120" i="10"/>
  <c r="I120" i="10"/>
  <c r="C120" i="10"/>
  <c r="I119" i="10"/>
  <c r="O104" i="10"/>
  <c r="C96" i="10"/>
  <c r="I94" i="10"/>
  <c r="G93" i="10"/>
  <c r="J89" i="10"/>
  <c r="E89" i="10"/>
  <c r="M88" i="10"/>
  <c r="I87" i="10"/>
  <c r="E86" i="10"/>
  <c r="G85" i="10"/>
  <c r="J72" i="10"/>
  <c r="B72" i="10"/>
  <c r="F68" i="10"/>
  <c r="K65" i="10"/>
  <c r="H57" i="10"/>
  <c r="M46" i="10"/>
  <c r="K45" i="10"/>
  <c r="I44" i="10"/>
  <c r="K40" i="10"/>
  <c r="D34" i="10"/>
  <c r="J25" i="10"/>
  <c r="E25" i="10"/>
  <c r="O24" i="10"/>
  <c r="F24" i="10"/>
  <c r="O14" i="10"/>
  <c r="N11" i="10"/>
  <c r="M10" i="10"/>
  <c r="M8" i="10"/>
  <c r="E34" i="8"/>
  <c r="H35" i="8"/>
  <c r="J34" i="8"/>
  <c r="B34" i="8"/>
  <c r="H31" i="8"/>
  <c r="C35" i="8"/>
  <c r="F34" i="8"/>
  <c r="F22" i="8"/>
  <c r="C151" i="5"/>
  <c r="C149" i="5"/>
  <c r="C139" i="5"/>
  <c r="N133" i="5"/>
  <c r="K127" i="5"/>
  <c r="I119" i="5"/>
  <c r="O119" i="5"/>
  <c r="K166" i="5"/>
  <c r="N161" i="5"/>
  <c r="N158" i="5"/>
  <c r="I157" i="5"/>
  <c r="I152" i="5"/>
  <c r="N151" i="5"/>
  <c r="N149" i="5"/>
  <c r="N145" i="5"/>
  <c r="O139" i="5"/>
  <c r="O135" i="5"/>
  <c r="C133" i="5"/>
  <c r="I130" i="5"/>
  <c r="I129" i="5"/>
  <c r="I117" i="5"/>
  <c r="N117" i="5"/>
  <c r="P117" i="5" s="1"/>
  <c r="C117" i="5"/>
  <c r="K151" i="5"/>
  <c r="K149" i="5"/>
  <c r="N139" i="5"/>
  <c r="O127" i="5"/>
  <c r="I125" i="5"/>
  <c r="C125" i="5"/>
  <c r="N125" i="5"/>
  <c r="P125" i="5" s="1"/>
  <c r="O87" i="5"/>
  <c r="K85" i="5"/>
  <c r="O79" i="5"/>
  <c r="K77" i="5"/>
  <c r="O71" i="5"/>
  <c r="K69" i="5"/>
  <c r="O63" i="5"/>
  <c r="N46" i="5"/>
  <c r="O42" i="5"/>
  <c r="N32" i="5"/>
  <c r="N28" i="5"/>
  <c r="C26" i="5"/>
  <c r="I21" i="5"/>
  <c r="O18" i="5"/>
  <c r="N14" i="5"/>
  <c r="O10" i="5"/>
  <c r="L187" i="11"/>
  <c r="K153" i="11"/>
  <c r="E146" i="11"/>
  <c r="L144" i="11"/>
  <c r="H136" i="11"/>
  <c r="O123" i="11"/>
  <c r="D123" i="11"/>
  <c r="E113" i="11"/>
  <c r="D108" i="11"/>
  <c r="L106" i="11"/>
  <c r="L80" i="11"/>
  <c r="J76" i="11"/>
  <c r="B76" i="11"/>
  <c r="G74" i="11"/>
  <c r="J64" i="11"/>
  <c r="I62" i="11"/>
  <c r="B62" i="11"/>
  <c r="G61" i="11"/>
  <c r="F60" i="11"/>
  <c r="G57" i="11"/>
  <c r="L54" i="11"/>
  <c r="I51" i="11"/>
  <c r="F48" i="11"/>
  <c r="I34" i="11"/>
  <c r="J32" i="11"/>
  <c r="E32" i="11"/>
  <c r="F21" i="11"/>
  <c r="L19" i="11"/>
  <c r="C165" i="12"/>
  <c r="B127" i="12"/>
  <c r="B109" i="12"/>
  <c r="E107" i="12"/>
  <c r="B99" i="12"/>
  <c r="C90" i="12"/>
  <c r="F87" i="12"/>
  <c r="G64" i="12"/>
  <c r="B63" i="12"/>
  <c r="B40" i="12"/>
  <c r="E21" i="12"/>
  <c r="B19" i="12"/>
  <c r="C10" i="12"/>
  <c r="F7" i="12"/>
  <c r="E185" i="13"/>
  <c r="F182" i="13"/>
  <c r="F178" i="13"/>
  <c r="E138" i="13"/>
  <c r="G126" i="13"/>
  <c r="F118" i="13"/>
  <c r="E102" i="13"/>
  <c r="G102" i="13"/>
  <c r="L183" i="11"/>
  <c r="L163" i="11"/>
  <c r="M154" i="11"/>
  <c r="H144" i="11"/>
  <c r="O134" i="11"/>
  <c r="K129" i="11"/>
  <c r="L127" i="11"/>
  <c r="H64" i="11"/>
  <c r="F34" i="11"/>
  <c r="N32" i="11"/>
  <c r="I32" i="11"/>
  <c r="D32" i="11"/>
  <c r="E178" i="13"/>
  <c r="G130" i="13"/>
  <c r="E118" i="13"/>
  <c r="F114" i="13"/>
  <c r="N113" i="5"/>
  <c r="O107" i="5"/>
  <c r="K105" i="5"/>
  <c r="N48" i="5"/>
  <c r="C42" i="5"/>
  <c r="I37" i="5"/>
  <c r="N30" i="5"/>
  <c r="O26" i="5"/>
  <c r="N16" i="5"/>
  <c r="C10" i="5"/>
  <c r="F188" i="11"/>
  <c r="L167" i="11"/>
  <c r="I155" i="11"/>
  <c r="E154" i="11"/>
  <c r="I150" i="11"/>
  <c r="K145" i="11"/>
  <c r="E144" i="11"/>
  <c r="M140" i="11"/>
  <c r="I134" i="11"/>
  <c r="F129" i="11"/>
  <c r="G127" i="11"/>
  <c r="H124" i="11"/>
  <c r="I123" i="11"/>
  <c r="N122" i="11"/>
  <c r="K121" i="11"/>
  <c r="O113" i="11"/>
  <c r="N108" i="11"/>
  <c r="O107" i="11"/>
  <c r="E106" i="11"/>
  <c r="L103" i="11"/>
  <c r="G98" i="11"/>
  <c r="M94" i="11"/>
  <c r="E94" i="11"/>
  <c r="I86" i="11"/>
  <c r="M76" i="11"/>
  <c r="F76" i="11"/>
  <c r="F72" i="11"/>
  <c r="K70" i="11"/>
  <c r="H68" i="11"/>
  <c r="M62" i="11"/>
  <c r="L43" i="11"/>
  <c r="E43" i="11"/>
  <c r="I42" i="11"/>
  <c r="H40" i="11"/>
  <c r="N34" i="11"/>
  <c r="D34" i="11"/>
  <c r="M32" i="11"/>
  <c r="H32" i="11"/>
  <c r="F20" i="11"/>
  <c r="D157" i="12"/>
  <c r="D151" i="12"/>
  <c r="E149" i="12"/>
  <c r="D135" i="12"/>
  <c r="D132" i="12"/>
  <c r="F127" i="12"/>
  <c r="D117" i="12"/>
  <c r="F99" i="12"/>
  <c r="B87" i="12"/>
  <c r="E65" i="12"/>
  <c r="F59" i="12"/>
  <c r="E49" i="12"/>
  <c r="B47" i="12"/>
  <c r="G40" i="12"/>
  <c r="F39" i="12"/>
  <c r="F36" i="12"/>
  <c r="D15" i="12"/>
  <c r="E171" i="13"/>
  <c r="E146" i="13"/>
  <c r="G146" i="13"/>
  <c r="F130" i="13"/>
  <c r="G125" i="13"/>
  <c r="E106" i="13"/>
  <c r="N26" i="5"/>
  <c r="E127" i="12"/>
  <c r="E109" i="12"/>
  <c r="D99" i="12"/>
  <c r="E63" i="12"/>
  <c r="F40" i="12"/>
  <c r="D19" i="12"/>
  <c r="E130" i="13"/>
  <c r="G118" i="13"/>
  <c r="F104" i="13"/>
  <c r="F100" i="13"/>
  <c r="E96" i="13"/>
  <c r="G56" i="13"/>
  <c r="E38" i="13"/>
  <c r="G34" i="13"/>
  <c r="G25" i="13"/>
  <c r="C156" i="14"/>
  <c r="C149" i="14"/>
  <c r="E148" i="14"/>
  <c r="E127" i="14"/>
  <c r="G125" i="14"/>
  <c r="D115" i="14"/>
  <c r="C113" i="14"/>
  <c r="E55" i="14"/>
  <c r="F52" i="14"/>
  <c r="E39" i="14"/>
  <c r="E37" i="14"/>
  <c r="D33" i="14"/>
  <c r="F31" i="14"/>
  <c r="D29" i="14"/>
  <c r="F11" i="14"/>
  <c r="E9" i="14"/>
  <c r="G9" i="14" s="1"/>
  <c r="F116" i="13"/>
  <c r="E112" i="13"/>
  <c r="E100" i="13"/>
  <c r="G94" i="13"/>
  <c r="F92" i="13"/>
  <c r="G86" i="13"/>
  <c r="E83" i="13"/>
  <c r="G80" i="13"/>
  <c r="F73" i="13"/>
  <c r="G69" i="13"/>
  <c r="E56" i="13"/>
  <c r="G50" i="13"/>
  <c r="E29" i="13"/>
  <c r="F23" i="13"/>
  <c r="F187" i="14"/>
  <c r="F160" i="14"/>
  <c r="B156" i="14"/>
  <c r="D153" i="14"/>
  <c r="F149" i="14"/>
  <c r="B149" i="14"/>
  <c r="B148" i="14"/>
  <c r="B127" i="14"/>
  <c r="B115" i="14"/>
  <c r="F113" i="14"/>
  <c r="B113" i="14"/>
  <c r="G113" i="14" s="1"/>
  <c r="F111" i="14"/>
  <c r="E109" i="14"/>
  <c r="G109" i="14" s="1"/>
  <c r="F107" i="14"/>
  <c r="E97" i="14"/>
  <c r="E95" i="14"/>
  <c r="E94" i="14"/>
  <c r="D59" i="14"/>
  <c r="D55" i="14"/>
  <c r="E53" i="14"/>
  <c r="E52" i="14"/>
  <c r="B39" i="14"/>
  <c r="C37" i="14"/>
  <c r="B33" i="14"/>
  <c r="G4" i="21" s="1"/>
  <c r="E31" i="14"/>
  <c r="B29" i="14"/>
  <c r="F27" i="14"/>
  <c r="E20" i="14"/>
  <c r="D11" i="14"/>
  <c r="C9" i="14"/>
  <c r="E7" i="14"/>
  <c r="E80" i="13"/>
  <c r="G38" i="13"/>
  <c r="E156" i="14"/>
  <c r="F148" i="14"/>
  <c r="F127" i="14"/>
  <c r="E115" i="14"/>
  <c r="F39" i="14"/>
  <c r="E33" i="14"/>
  <c r="F4" i="21" s="1"/>
  <c r="E29" i="14"/>
  <c r="P191" i="2"/>
  <c r="H191" i="2"/>
  <c r="Q190" i="2"/>
  <c r="S189" i="2"/>
  <c r="C184" i="2"/>
  <c r="M182" i="2"/>
  <c r="S177" i="2"/>
  <c r="C177" i="2"/>
  <c r="F177" i="2" s="1"/>
  <c r="R173" i="2"/>
  <c r="L173" i="2"/>
  <c r="D173" i="2"/>
  <c r="Q172" i="2"/>
  <c r="I158" i="2"/>
  <c r="C158" i="2"/>
  <c r="S158" i="2"/>
  <c r="L155" i="2"/>
  <c r="D134" i="2"/>
  <c r="L134" i="2"/>
  <c r="I131" i="2"/>
  <c r="C127" i="2"/>
  <c r="I119" i="2"/>
  <c r="Q119" i="2"/>
  <c r="C112" i="2"/>
  <c r="L112" i="2"/>
  <c r="R112" i="2"/>
  <c r="R92" i="2"/>
  <c r="Q88" i="2"/>
  <c r="I65" i="2"/>
  <c r="L65" i="2"/>
  <c r="Q65" i="2"/>
  <c r="R36" i="2"/>
  <c r="I33" i="2"/>
  <c r="Q33" i="2"/>
  <c r="I27" i="2"/>
  <c r="Q181" i="3"/>
  <c r="I154" i="3"/>
  <c r="M154" i="3"/>
  <c r="P154" i="3"/>
  <c r="D145" i="3"/>
  <c r="I145" i="3"/>
  <c r="Q145" i="3"/>
  <c r="B144" i="3"/>
  <c r="M144" i="3"/>
  <c r="F144" i="3"/>
  <c r="N144" i="3"/>
  <c r="L141" i="3"/>
  <c r="I141" i="3"/>
  <c r="P141" i="3"/>
  <c r="I134" i="3"/>
  <c r="C134" i="3"/>
  <c r="P134" i="3"/>
  <c r="G134" i="3"/>
  <c r="L134" i="3"/>
  <c r="C121" i="3"/>
  <c r="D121" i="3"/>
  <c r="J121" i="3"/>
  <c r="N121" i="3"/>
  <c r="F106" i="3"/>
  <c r="D106" i="3"/>
  <c r="Q106" i="3"/>
  <c r="I106" i="3"/>
  <c r="L106" i="3"/>
  <c r="L84" i="3"/>
  <c r="P84" i="3"/>
  <c r="D76" i="3"/>
  <c r="J76" i="3"/>
  <c r="L76" i="3"/>
  <c r="I138" i="2"/>
  <c r="D138" i="2"/>
  <c r="L138" i="2"/>
  <c r="L90" i="2"/>
  <c r="D90" i="2"/>
  <c r="Q90" i="2"/>
  <c r="C72" i="2"/>
  <c r="F72" i="2" s="1"/>
  <c r="I72" i="2"/>
  <c r="Q72" i="2"/>
  <c r="I39" i="2"/>
  <c r="Q39" i="2"/>
  <c r="C36" i="2"/>
  <c r="D36" i="2"/>
  <c r="M36" i="2"/>
  <c r="E36" i="2"/>
  <c r="P36" i="2"/>
  <c r="C188" i="3"/>
  <c r="M188" i="3"/>
  <c r="F188" i="3"/>
  <c r="H188" i="3" s="1"/>
  <c r="N188" i="3"/>
  <c r="C125" i="3"/>
  <c r="B125" i="3"/>
  <c r="M125" i="3"/>
  <c r="F125" i="3"/>
  <c r="N125" i="3"/>
  <c r="I125" i="3"/>
  <c r="K125" i="3" s="1"/>
  <c r="P125" i="3"/>
  <c r="D78" i="3"/>
  <c r="L78" i="3"/>
  <c r="M191" i="2"/>
  <c r="D191" i="2"/>
  <c r="F191" i="2" s="1"/>
  <c r="M190" i="2"/>
  <c r="M189" i="2"/>
  <c r="Q178" i="2"/>
  <c r="Q177" i="2"/>
  <c r="L191" i="2"/>
  <c r="B191" i="2"/>
  <c r="C190" i="2"/>
  <c r="E189" i="2"/>
  <c r="G189" i="2" s="1"/>
  <c r="M184" i="2"/>
  <c r="C182" i="2"/>
  <c r="I178" i="2"/>
  <c r="M177" i="2"/>
  <c r="C176" i="2"/>
  <c r="I175" i="2"/>
  <c r="P173" i="2"/>
  <c r="H173" i="2"/>
  <c r="D163" i="2"/>
  <c r="E163" i="2"/>
  <c r="D142" i="2"/>
  <c r="L142" i="2"/>
  <c r="D116" i="2"/>
  <c r="C116" i="2"/>
  <c r="H116" i="2"/>
  <c r="I113" i="2"/>
  <c r="L113" i="2"/>
  <c r="C108" i="2"/>
  <c r="L108" i="2"/>
  <c r="Q108" i="2"/>
  <c r="C99" i="2"/>
  <c r="S99" i="2"/>
  <c r="B84" i="2"/>
  <c r="Q84" i="2"/>
  <c r="L74" i="2"/>
  <c r="D74" i="2"/>
  <c r="I66" i="2"/>
  <c r="L66" i="2"/>
  <c r="B44" i="2"/>
  <c r="L44" i="2"/>
  <c r="L36" i="2"/>
  <c r="I23" i="2"/>
  <c r="Q23" i="2"/>
  <c r="S23" i="2"/>
  <c r="Q188" i="3"/>
  <c r="F184" i="3"/>
  <c r="F179" i="3"/>
  <c r="G179" i="3"/>
  <c r="Q179" i="3"/>
  <c r="J179" i="3"/>
  <c r="D155" i="3"/>
  <c r="Q155" i="3"/>
  <c r="L149" i="3"/>
  <c r="D149" i="3"/>
  <c r="J144" i="3"/>
  <c r="I142" i="3"/>
  <c r="F86" i="3"/>
  <c r="L86" i="3"/>
  <c r="B74" i="3"/>
  <c r="Q74" i="3"/>
  <c r="I177" i="2"/>
  <c r="D153" i="2"/>
  <c r="I153" i="2"/>
  <c r="C107" i="2"/>
  <c r="I107" i="2"/>
  <c r="S107" i="2"/>
  <c r="D93" i="2"/>
  <c r="I93" i="2"/>
  <c r="L93" i="2"/>
  <c r="D92" i="2"/>
  <c r="B92" i="2"/>
  <c r="M92" i="2"/>
  <c r="E92" i="2"/>
  <c r="Q92" i="2"/>
  <c r="B88" i="2"/>
  <c r="E88" i="2"/>
  <c r="S88" i="2"/>
  <c r="I88" i="2"/>
  <c r="I79" i="2"/>
  <c r="Q79" i="2"/>
  <c r="D60" i="2"/>
  <c r="C60" i="2"/>
  <c r="I60" i="2"/>
  <c r="Q49" i="2"/>
  <c r="D49" i="2"/>
  <c r="H36" i="2"/>
  <c r="L10" i="2"/>
  <c r="P10" i="2"/>
  <c r="M126" i="3"/>
  <c r="I126" i="3"/>
  <c r="Q126" i="3"/>
  <c r="D119" i="3"/>
  <c r="C119" i="3"/>
  <c r="N119" i="3"/>
  <c r="F119" i="3"/>
  <c r="P119" i="3"/>
  <c r="I119" i="3"/>
  <c r="B101" i="3"/>
  <c r="I101" i="3"/>
  <c r="J101" i="3"/>
  <c r="C157" i="7"/>
  <c r="L157" i="7"/>
  <c r="D152" i="7"/>
  <c r="E152" i="7"/>
  <c r="J152" i="7"/>
  <c r="O152" i="7"/>
  <c r="C145" i="7"/>
  <c r="G145" i="7"/>
  <c r="C136" i="7"/>
  <c r="C109" i="7"/>
  <c r="B107" i="7"/>
  <c r="B187" i="6"/>
  <c r="M187" i="6"/>
  <c r="F187" i="6"/>
  <c r="H187" i="6"/>
  <c r="M172" i="6"/>
  <c r="I172" i="7"/>
  <c r="I164" i="6"/>
  <c r="Q164" i="12" s="1"/>
  <c r="K164" i="6"/>
  <c r="E164" i="7"/>
  <c r="B147" i="6"/>
  <c r="F147" i="6"/>
  <c r="I147" i="6"/>
  <c r="L147" i="6"/>
  <c r="B135" i="6"/>
  <c r="F135" i="6"/>
  <c r="J135" i="6"/>
  <c r="N135" i="6"/>
  <c r="C135" i="6"/>
  <c r="G135" i="6"/>
  <c r="K135" i="6"/>
  <c r="S135" i="12" s="1"/>
  <c r="O135" i="6"/>
  <c r="D135" i="6"/>
  <c r="H135" i="6"/>
  <c r="P135" i="12" s="1"/>
  <c r="L135" i="6"/>
  <c r="B125" i="6"/>
  <c r="E125" i="6"/>
  <c r="H125" i="6"/>
  <c r="J125" i="6"/>
  <c r="E54" i="6"/>
  <c r="J54" i="6"/>
  <c r="I54" i="7"/>
  <c r="D173" i="10"/>
  <c r="C173" i="10"/>
  <c r="I173" i="10"/>
  <c r="N173" i="10"/>
  <c r="E173" i="10"/>
  <c r="J173" i="10"/>
  <c r="O173" i="10"/>
  <c r="B173" i="10"/>
  <c r="M173" i="10"/>
  <c r="F173" i="10"/>
  <c r="G173" i="10"/>
  <c r="D170" i="10"/>
  <c r="L170" i="10"/>
  <c r="B160" i="10"/>
  <c r="K160" i="10"/>
  <c r="I160" i="10"/>
  <c r="B78" i="10"/>
  <c r="D78" i="10"/>
  <c r="H78" i="10"/>
  <c r="I78" i="10"/>
  <c r="L78" i="10"/>
  <c r="D168" i="2"/>
  <c r="R140" i="2"/>
  <c r="L140" i="2"/>
  <c r="B140" i="2"/>
  <c r="H68" i="2"/>
  <c r="R56" i="2"/>
  <c r="I53" i="2"/>
  <c r="S32" i="2"/>
  <c r="B32" i="2"/>
  <c r="D21" i="2"/>
  <c r="P20" i="2"/>
  <c r="B20" i="2"/>
  <c r="L17" i="2"/>
  <c r="D13" i="2"/>
  <c r="P187" i="3"/>
  <c r="J187" i="3"/>
  <c r="B187" i="3"/>
  <c r="Q183" i="3"/>
  <c r="M183" i="3"/>
  <c r="G183" i="3"/>
  <c r="O182" i="3"/>
  <c r="Q178" i="3"/>
  <c r="L178" i="3"/>
  <c r="C178" i="3"/>
  <c r="Q171" i="3"/>
  <c r="M171" i="3"/>
  <c r="G171" i="3"/>
  <c r="C170" i="3"/>
  <c r="F168" i="3"/>
  <c r="I122" i="3"/>
  <c r="G117" i="3"/>
  <c r="L115" i="3"/>
  <c r="L114" i="3"/>
  <c r="P112" i="3"/>
  <c r="F112" i="3"/>
  <c r="L110" i="3"/>
  <c r="J109" i="3"/>
  <c r="C105" i="3"/>
  <c r="N104" i="3"/>
  <c r="F104" i="3"/>
  <c r="F98" i="3"/>
  <c r="O83" i="3"/>
  <c r="J77" i="3"/>
  <c r="N73" i="3"/>
  <c r="N72" i="3"/>
  <c r="C72" i="3"/>
  <c r="E72" i="3" s="1"/>
  <c r="C71" i="3"/>
  <c r="G69" i="3"/>
  <c r="H69" i="3" s="1"/>
  <c r="N68" i="3"/>
  <c r="C68" i="3"/>
  <c r="E68" i="3" s="1"/>
  <c r="D67" i="3"/>
  <c r="N64" i="3"/>
  <c r="C64" i="3"/>
  <c r="E64" i="3" s="1"/>
  <c r="F57" i="3"/>
  <c r="M53" i="3"/>
  <c r="Q48" i="3"/>
  <c r="G48" i="3"/>
  <c r="L46" i="3"/>
  <c r="O45" i="3"/>
  <c r="O40" i="3"/>
  <c r="J40" i="3"/>
  <c r="D40" i="3"/>
  <c r="N36" i="3"/>
  <c r="I36" i="3"/>
  <c r="C36" i="3"/>
  <c r="O35" i="3"/>
  <c r="P34" i="3"/>
  <c r="M32" i="3"/>
  <c r="F32" i="3"/>
  <c r="O31" i="3"/>
  <c r="P28" i="3"/>
  <c r="G28" i="3"/>
  <c r="I25" i="3"/>
  <c r="P24" i="3"/>
  <c r="G24" i="3"/>
  <c r="I20" i="3"/>
  <c r="O19" i="3"/>
  <c r="N16" i="3"/>
  <c r="L14" i="3"/>
  <c r="O13" i="3"/>
  <c r="L7" i="3"/>
  <c r="F189" i="7"/>
  <c r="C187" i="7"/>
  <c r="E180" i="7"/>
  <c r="M171" i="7"/>
  <c r="I161" i="7"/>
  <c r="M152" i="7"/>
  <c r="F152" i="7"/>
  <c r="J148" i="7"/>
  <c r="F136" i="7"/>
  <c r="B135" i="7"/>
  <c r="F114" i="7"/>
  <c r="E112" i="7"/>
  <c r="C112" i="7"/>
  <c r="I112" i="7"/>
  <c r="D112" i="7"/>
  <c r="L112" i="7"/>
  <c r="J83" i="7"/>
  <c r="B83" i="7"/>
  <c r="C81" i="7"/>
  <c r="H81" i="7"/>
  <c r="M81" i="7"/>
  <c r="D81" i="7"/>
  <c r="I81" i="7"/>
  <c r="O81" i="7"/>
  <c r="E81" i="7"/>
  <c r="K81" i="7"/>
  <c r="B63" i="7"/>
  <c r="F63" i="7"/>
  <c r="K63" i="7"/>
  <c r="E46" i="7"/>
  <c r="B46" i="7"/>
  <c r="M46" i="7"/>
  <c r="F46" i="7"/>
  <c r="H46" i="7"/>
  <c r="E150" i="6"/>
  <c r="I150" i="7"/>
  <c r="M135" i="6"/>
  <c r="I66" i="6"/>
  <c r="M66" i="12" s="1"/>
  <c r="M66" i="7"/>
  <c r="C62" i="6"/>
  <c r="K62" i="7"/>
  <c r="B13" i="6"/>
  <c r="F13" i="6"/>
  <c r="J13" i="6"/>
  <c r="N13" i="6"/>
  <c r="C13" i="6"/>
  <c r="G13" i="6"/>
  <c r="K13" i="6"/>
  <c r="S13" i="12" s="1"/>
  <c r="O13" i="6"/>
  <c r="D13" i="6"/>
  <c r="L13" i="6"/>
  <c r="O13" i="12" s="1"/>
  <c r="E13" i="6"/>
  <c r="M13" i="6"/>
  <c r="H13" i="6"/>
  <c r="P13" i="12" s="1"/>
  <c r="D175" i="10"/>
  <c r="N175" i="10"/>
  <c r="I175" i="10"/>
  <c r="G162" i="10"/>
  <c r="D162" i="10"/>
  <c r="I162" i="10"/>
  <c r="O162" i="10"/>
  <c r="C105" i="10"/>
  <c r="B105" i="10"/>
  <c r="H105" i="10"/>
  <c r="M105" i="10"/>
  <c r="D105" i="10"/>
  <c r="I105" i="10"/>
  <c r="N105" i="10"/>
  <c r="E105" i="10"/>
  <c r="F105" i="10"/>
  <c r="J105" i="10"/>
  <c r="L105" i="10"/>
  <c r="M102" i="10"/>
  <c r="E102" i="10"/>
  <c r="R120" i="2"/>
  <c r="L120" i="2"/>
  <c r="L104" i="2"/>
  <c r="R80" i="2"/>
  <c r="L143" i="3"/>
  <c r="N136" i="3"/>
  <c r="P133" i="3"/>
  <c r="L130" i="3"/>
  <c r="J127" i="3"/>
  <c r="C122" i="3"/>
  <c r="Q117" i="3"/>
  <c r="C117" i="3"/>
  <c r="N112" i="3"/>
  <c r="C112" i="3"/>
  <c r="E112" i="3" s="1"/>
  <c r="M104" i="3"/>
  <c r="O99" i="3"/>
  <c r="B77" i="3"/>
  <c r="L72" i="3"/>
  <c r="B72" i="3"/>
  <c r="L68" i="3"/>
  <c r="B68" i="3"/>
  <c r="L64" i="3"/>
  <c r="B64" i="3"/>
  <c r="C57" i="3"/>
  <c r="Q49" i="3"/>
  <c r="P48" i="3"/>
  <c r="F48" i="3"/>
  <c r="F46" i="3"/>
  <c r="M45" i="3"/>
  <c r="J42" i="3"/>
  <c r="N40" i="3"/>
  <c r="I40" i="3"/>
  <c r="C40" i="3"/>
  <c r="Q36" i="3"/>
  <c r="M36" i="3"/>
  <c r="G36" i="3"/>
  <c r="L35" i="3"/>
  <c r="Q32" i="3"/>
  <c r="L32" i="3"/>
  <c r="D32" i="3"/>
  <c r="O29" i="3"/>
  <c r="O28" i="3"/>
  <c r="D28" i="3"/>
  <c r="F25" i="3"/>
  <c r="N24" i="3"/>
  <c r="C24" i="3"/>
  <c r="Q22" i="3"/>
  <c r="G20" i="3"/>
  <c r="I19" i="3"/>
  <c r="I16" i="3"/>
  <c r="F14" i="3"/>
  <c r="M13" i="3"/>
  <c r="P12" i="3"/>
  <c r="Q9" i="3"/>
  <c r="Q7" i="3"/>
  <c r="G7" i="3"/>
  <c r="M189" i="7"/>
  <c r="E189" i="7"/>
  <c r="B171" i="7"/>
  <c r="H171" i="7"/>
  <c r="K152" i="7"/>
  <c r="C152" i="7"/>
  <c r="B151" i="7"/>
  <c r="K151" i="7"/>
  <c r="L147" i="7"/>
  <c r="E136" i="7"/>
  <c r="C77" i="7"/>
  <c r="D77" i="7"/>
  <c r="O77" i="7"/>
  <c r="G77" i="7"/>
  <c r="I77" i="7"/>
  <c r="E185" i="6"/>
  <c r="I185" i="6"/>
  <c r="M185" i="6"/>
  <c r="B141" i="6"/>
  <c r="L141" i="6"/>
  <c r="I135" i="6"/>
  <c r="C76" i="6"/>
  <c r="L76" i="5" s="1"/>
  <c r="O76" i="6"/>
  <c r="I76" i="7"/>
  <c r="F15" i="6"/>
  <c r="L15" i="6"/>
  <c r="C15" i="7"/>
  <c r="C168" i="10"/>
  <c r="B168" i="10"/>
  <c r="K168" i="10"/>
  <c r="E168" i="10"/>
  <c r="O168" i="10"/>
  <c r="G168" i="10"/>
  <c r="J168" i="10"/>
  <c r="L51" i="3"/>
  <c r="F49" i="3"/>
  <c r="M48" i="3"/>
  <c r="B48" i="3"/>
  <c r="Q46" i="3"/>
  <c r="D46" i="3"/>
  <c r="B45" i="3"/>
  <c r="Q40" i="3"/>
  <c r="M40" i="3"/>
  <c r="G40" i="3"/>
  <c r="P32" i="3"/>
  <c r="J32" i="3"/>
  <c r="L28" i="3"/>
  <c r="L26" i="3"/>
  <c r="L24" i="3"/>
  <c r="P20" i="3"/>
  <c r="B20" i="3"/>
  <c r="Q14" i="3"/>
  <c r="D14" i="3"/>
  <c r="P7" i="3"/>
  <c r="B180" i="7"/>
  <c r="K180" i="7"/>
  <c r="I152" i="7"/>
  <c r="B152" i="7"/>
  <c r="E148" i="7"/>
  <c r="B148" i="7"/>
  <c r="L145" i="7"/>
  <c r="D144" i="7"/>
  <c r="F132" i="7"/>
  <c r="B14" i="7"/>
  <c r="H14" i="7"/>
  <c r="L187" i="6"/>
  <c r="K160" i="6"/>
  <c r="I160" i="7"/>
  <c r="B152" i="6"/>
  <c r="I152" i="6"/>
  <c r="E135" i="6"/>
  <c r="F110" i="6"/>
  <c r="I110" i="6"/>
  <c r="K110" i="6"/>
  <c r="C110" i="7"/>
  <c r="I102" i="6"/>
  <c r="C87" i="6"/>
  <c r="H87" i="6"/>
  <c r="M87" i="6"/>
  <c r="D87" i="6"/>
  <c r="I87" i="6"/>
  <c r="Q87" i="12" s="1"/>
  <c r="O87" i="6"/>
  <c r="E87" i="6"/>
  <c r="G87" i="6"/>
  <c r="F87" i="7"/>
  <c r="K87" i="6"/>
  <c r="R87" i="12" s="1"/>
  <c r="E83" i="6"/>
  <c r="G83" i="6"/>
  <c r="I83" i="6"/>
  <c r="Q83" i="12" s="1"/>
  <c r="C83" i="6"/>
  <c r="L83" i="5" s="1"/>
  <c r="K83" i="6"/>
  <c r="R83" i="12" s="1"/>
  <c r="O83" i="6"/>
  <c r="B51" i="6"/>
  <c r="G51" i="6"/>
  <c r="M51" i="6"/>
  <c r="C51" i="6"/>
  <c r="I51" i="6"/>
  <c r="N51" i="6"/>
  <c r="E51" i="6"/>
  <c r="O51" i="6"/>
  <c r="F51" i="6"/>
  <c r="J51" i="6"/>
  <c r="E28" i="6"/>
  <c r="K173" i="10"/>
  <c r="E94" i="7"/>
  <c r="F42" i="7"/>
  <c r="K31" i="7"/>
  <c r="M27" i="7"/>
  <c r="G27" i="7"/>
  <c r="O21" i="7"/>
  <c r="C21" i="7"/>
  <c r="M12" i="7"/>
  <c r="N10" i="7"/>
  <c r="K7" i="7"/>
  <c r="G180" i="6"/>
  <c r="M177" i="6"/>
  <c r="E177" i="6"/>
  <c r="I176" i="6"/>
  <c r="I175" i="6"/>
  <c r="O173" i="6"/>
  <c r="H171" i="6"/>
  <c r="L163" i="6"/>
  <c r="L161" i="6"/>
  <c r="E161" i="6"/>
  <c r="N155" i="6"/>
  <c r="I155" i="6"/>
  <c r="D155" i="6"/>
  <c r="M153" i="6"/>
  <c r="L151" i="6"/>
  <c r="M149" i="6"/>
  <c r="I138" i="6"/>
  <c r="G132" i="6"/>
  <c r="E130" i="6"/>
  <c r="M128" i="6"/>
  <c r="C128" i="6"/>
  <c r="M122" i="6"/>
  <c r="B122" i="6"/>
  <c r="H120" i="6"/>
  <c r="N119" i="6"/>
  <c r="I119" i="6"/>
  <c r="C119" i="6"/>
  <c r="G112" i="6"/>
  <c r="N111" i="6"/>
  <c r="C96" i="6"/>
  <c r="O96" i="6"/>
  <c r="G96" i="6"/>
  <c r="G80" i="6"/>
  <c r="K80" i="6"/>
  <c r="E59" i="6"/>
  <c r="J59" i="6"/>
  <c r="L59" i="6"/>
  <c r="O59" i="12" s="1"/>
  <c r="L56" i="6"/>
  <c r="D56" i="6"/>
  <c r="I56" i="6"/>
  <c r="Q56" i="12" s="1"/>
  <c r="F42" i="6"/>
  <c r="I42" i="6"/>
  <c r="H36" i="6"/>
  <c r="C31" i="6"/>
  <c r="K31" i="6"/>
  <c r="E31" i="6"/>
  <c r="M31" i="6"/>
  <c r="H29" i="6"/>
  <c r="G18" i="6"/>
  <c r="L18" i="6"/>
  <c r="C9" i="6"/>
  <c r="L9" i="5" s="1"/>
  <c r="I9" i="6"/>
  <c r="Q9" i="12" s="1"/>
  <c r="M9" i="6"/>
  <c r="F188" i="10"/>
  <c r="K188" i="10"/>
  <c r="D187" i="10"/>
  <c r="B187" i="10"/>
  <c r="J187" i="10"/>
  <c r="E187" i="10"/>
  <c r="L187" i="10"/>
  <c r="O184" i="10"/>
  <c r="D179" i="10"/>
  <c r="F179" i="10"/>
  <c r="H179" i="10"/>
  <c r="B177" i="10"/>
  <c r="D177" i="10"/>
  <c r="L177" i="10"/>
  <c r="E177" i="10"/>
  <c r="M177" i="10"/>
  <c r="F144" i="10"/>
  <c r="O144" i="10"/>
  <c r="I144" i="10"/>
  <c r="J144" i="10"/>
  <c r="N144" i="10"/>
  <c r="E130" i="10"/>
  <c r="L130" i="10"/>
  <c r="B97" i="10"/>
  <c r="C97" i="10"/>
  <c r="K97" i="10"/>
  <c r="E97" i="10"/>
  <c r="M97" i="10"/>
  <c r="G97" i="10"/>
  <c r="O97" i="10"/>
  <c r="L94" i="7"/>
  <c r="B94" i="7"/>
  <c r="L49" i="7"/>
  <c r="I31" i="7"/>
  <c r="I12" i="7"/>
  <c r="N183" i="6"/>
  <c r="F183" i="6"/>
  <c r="K181" i="6"/>
  <c r="E181" i="6"/>
  <c r="O180" i="6"/>
  <c r="E180" i="6"/>
  <c r="J177" i="6"/>
  <c r="F175" i="6"/>
  <c r="J161" i="6"/>
  <c r="D161" i="6"/>
  <c r="M155" i="6"/>
  <c r="H155" i="6"/>
  <c r="I139" i="6"/>
  <c r="F138" i="6"/>
  <c r="L133" i="6"/>
  <c r="O133" i="12" s="1"/>
  <c r="K123" i="6"/>
  <c r="G120" i="6"/>
  <c r="M119" i="6"/>
  <c r="G119" i="6"/>
  <c r="O112" i="6"/>
  <c r="B111" i="6"/>
  <c r="E111" i="6"/>
  <c r="K111" i="6"/>
  <c r="S111" i="12" s="1"/>
  <c r="C99" i="6"/>
  <c r="G99" i="6"/>
  <c r="K99" i="6"/>
  <c r="B93" i="6"/>
  <c r="F93" i="6"/>
  <c r="L93" i="6"/>
  <c r="E81" i="6"/>
  <c r="L81" i="6"/>
  <c r="I68" i="6"/>
  <c r="O68" i="6"/>
  <c r="C52" i="6"/>
  <c r="H52" i="6"/>
  <c r="M52" i="6"/>
  <c r="D52" i="6"/>
  <c r="I52" i="6"/>
  <c r="O52" i="6"/>
  <c r="F50" i="6"/>
  <c r="I50" i="6"/>
  <c r="E41" i="6"/>
  <c r="D41" i="6"/>
  <c r="L41" i="6"/>
  <c r="F41" i="6"/>
  <c r="M41" i="6"/>
  <c r="F34" i="6"/>
  <c r="C17" i="6"/>
  <c r="D17" i="6"/>
  <c r="L17" i="6"/>
  <c r="O17" i="12" s="1"/>
  <c r="F17" i="6"/>
  <c r="M17" i="6"/>
  <c r="D174" i="10"/>
  <c r="H174" i="10"/>
  <c r="L174" i="10"/>
  <c r="D163" i="10"/>
  <c r="H163" i="10"/>
  <c r="E135" i="10"/>
  <c r="M135" i="10"/>
  <c r="L118" i="10"/>
  <c r="H118" i="10"/>
  <c r="C112" i="10"/>
  <c r="F112" i="10"/>
  <c r="K112" i="10"/>
  <c r="D64" i="10"/>
  <c r="C64" i="10"/>
  <c r="N64" i="10"/>
  <c r="F64" i="10"/>
  <c r="I64" i="10"/>
  <c r="K64" i="10"/>
  <c r="E58" i="10"/>
  <c r="M58" i="10"/>
  <c r="D36" i="10"/>
  <c r="K36" i="10"/>
  <c r="D119" i="6"/>
  <c r="H119" i="6"/>
  <c r="L119" i="6"/>
  <c r="C112" i="6"/>
  <c r="D112" i="6"/>
  <c r="K112" i="6"/>
  <c r="S112" i="12" s="1"/>
  <c r="D85" i="6"/>
  <c r="I85" i="6"/>
  <c r="N85" i="6"/>
  <c r="I63" i="6"/>
  <c r="Q63" i="12" s="1"/>
  <c r="M63" i="6"/>
  <c r="H60" i="6"/>
  <c r="L60" i="6"/>
  <c r="O60" i="12" s="1"/>
  <c r="E36" i="6"/>
  <c r="C36" i="6"/>
  <c r="I36" i="6"/>
  <c r="D36" i="6"/>
  <c r="L36" i="6"/>
  <c r="E30" i="6"/>
  <c r="I30" i="6"/>
  <c r="C29" i="6"/>
  <c r="B29" i="6"/>
  <c r="J29" i="6"/>
  <c r="E29" i="6"/>
  <c r="L29" i="6"/>
  <c r="I20" i="6"/>
  <c r="Q20" i="12" s="1"/>
  <c r="N20" i="6"/>
  <c r="C184" i="10"/>
  <c r="F184" i="10"/>
  <c r="G184" i="10"/>
  <c r="C165" i="10"/>
  <c r="M165" i="10"/>
  <c r="B152" i="10"/>
  <c r="J152" i="10"/>
  <c r="C140" i="10"/>
  <c r="O140" i="10"/>
  <c r="K140" i="10"/>
  <c r="B137" i="10"/>
  <c r="D137" i="10"/>
  <c r="F137" i="10"/>
  <c r="N137" i="10"/>
  <c r="D124" i="10"/>
  <c r="F124" i="10"/>
  <c r="G124" i="10"/>
  <c r="M124" i="10"/>
  <c r="O124" i="10"/>
  <c r="D92" i="10"/>
  <c r="C92" i="10"/>
  <c r="I92" i="10"/>
  <c r="K92" i="10"/>
  <c r="N92" i="10"/>
  <c r="B18" i="10"/>
  <c r="G18" i="10"/>
  <c r="M18" i="10"/>
  <c r="C18" i="10"/>
  <c r="I18" i="10"/>
  <c r="N18" i="10"/>
  <c r="E18" i="10"/>
  <c r="J18" i="10"/>
  <c r="O18" i="10"/>
  <c r="J101" i="6"/>
  <c r="D101" i="6"/>
  <c r="I95" i="6"/>
  <c r="M95" i="12" s="1"/>
  <c r="O84" i="6"/>
  <c r="F77" i="6"/>
  <c r="M75" i="6"/>
  <c r="M67" i="6"/>
  <c r="F45" i="6"/>
  <c r="K44" i="6"/>
  <c r="D39" i="6"/>
  <c r="K35" i="6"/>
  <c r="O27" i="6"/>
  <c r="C27" i="6"/>
  <c r="H25" i="6"/>
  <c r="P25" i="12" s="1"/>
  <c r="F11" i="6"/>
  <c r="O8" i="6"/>
  <c r="B8" i="6"/>
  <c r="B117" i="10"/>
  <c r="I117" i="10"/>
  <c r="M117" i="10"/>
  <c r="D101" i="10"/>
  <c r="J101" i="10"/>
  <c r="E101" i="10"/>
  <c r="L101" i="10"/>
  <c r="F101" i="10"/>
  <c r="N101" i="10"/>
  <c r="B74" i="10"/>
  <c r="I74" i="10"/>
  <c r="B66" i="10"/>
  <c r="D66" i="10"/>
  <c r="I66" i="10"/>
  <c r="L66" i="10"/>
  <c r="D48" i="10"/>
  <c r="C48" i="10"/>
  <c r="G48" i="10"/>
  <c r="K48" i="10"/>
  <c r="F28" i="10"/>
  <c r="K28" i="10"/>
  <c r="B19" i="10"/>
  <c r="F19" i="10"/>
  <c r="J19" i="10"/>
  <c r="N19" i="10"/>
  <c r="C19" i="10"/>
  <c r="G19" i="10"/>
  <c r="K19" i="10"/>
  <c r="O19" i="10"/>
  <c r="D19" i="10"/>
  <c r="H19" i="10"/>
  <c r="L19" i="10"/>
  <c r="J176" i="10"/>
  <c r="M171" i="10"/>
  <c r="F171" i="10"/>
  <c r="E155" i="10"/>
  <c r="B155" i="10"/>
  <c r="I155" i="10"/>
  <c r="D155" i="10"/>
  <c r="L155" i="10"/>
  <c r="C150" i="10"/>
  <c r="G150" i="10"/>
  <c r="L150" i="10"/>
  <c r="C128" i="10"/>
  <c r="K128" i="10"/>
  <c r="D116" i="10"/>
  <c r="F116" i="10"/>
  <c r="K116" i="10"/>
  <c r="B98" i="10"/>
  <c r="D98" i="10"/>
  <c r="H98" i="10"/>
  <c r="I98" i="10"/>
  <c r="D73" i="10"/>
  <c r="F73" i="10"/>
  <c r="I73" i="10"/>
  <c r="L73" i="10"/>
  <c r="E23" i="10"/>
  <c r="I23" i="10"/>
  <c r="M19" i="10"/>
  <c r="K18" i="10"/>
  <c r="I134" i="10"/>
  <c r="M125" i="10"/>
  <c r="H125" i="10"/>
  <c r="B125" i="10"/>
  <c r="I114" i="10"/>
  <c r="M110" i="10"/>
  <c r="D110" i="10"/>
  <c r="H94" i="10"/>
  <c r="M93" i="10"/>
  <c r="E93" i="10"/>
  <c r="B89" i="10"/>
  <c r="K88" i="10"/>
  <c r="E88" i="10"/>
  <c r="F84" i="10"/>
  <c r="M82" i="10"/>
  <c r="F80" i="10"/>
  <c r="M77" i="10"/>
  <c r="K68" i="10"/>
  <c r="E68" i="10"/>
  <c r="O65" i="10"/>
  <c r="C65" i="10"/>
  <c r="G61" i="10"/>
  <c r="O57" i="10"/>
  <c r="K57" i="10"/>
  <c r="G57" i="10"/>
  <c r="C57" i="10"/>
  <c r="N56" i="10"/>
  <c r="I56" i="10"/>
  <c r="C56" i="10"/>
  <c r="I53" i="10"/>
  <c r="F52" i="10"/>
  <c r="I50" i="10"/>
  <c r="K49" i="10"/>
  <c r="E49" i="10"/>
  <c r="F45" i="10"/>
  <c r="M44" i="10"/>
  <c r="B44" i="10"/>
  <c r="E42" i="10"/>
  <c r="F40" i="10"/>
  <c r="E38" i="10"/>
  <c r="E37" i="10"/>
  <c r="J24" i="10"/>
  <c r="B24" i="10"/>
  <c r="M22" i="10"/>
  <c r="N17" i="10"/>
  <c r="I15" i="10"/>
  <c r="F14" i="10"/>
  <c r="F13" i="10"/>
  <c r="H12" i="10"/>
  <c r="M11" i="10"/>
  <c r="E11" i="10"/>
  <c r="G10" i="10"/>
  <c r="I9" i="10"/>
  <c r="I8" i="10"/>
  <c r="L153" i="10"/>
  <c r="D94" i="10"/>
  <c r="K93" i="10"/>
  <c r="C93" i="10"/>
  <c r="J88" i="10"/>
  <c r="B88" i="10"/>
  <c r="N84" i="10"/>
  <c r="I82" i="10"/>
  <c r="E77" i="10"/>
  <c r="I71" i="10"/>
  <c r="J68" i="10"/>
  <c r="B68" i="10"/>
  <c r="O61" i="10"/>
  <c r="C61" i="10"/>
  <c r="N57" i="10"/>
  <c r="J57" i="10"/>
  <c r="F57" i="10"/>
  <c r="M56" i="10"/>
  <c r="G56" i="10"/>
  <c r="B56" i="10"/>
  <c r="M54" i="10"/>
  <c r="E53" i="10"/>
  <c r="J49" i="10"/>
  <c r="N45" i="10"/>
  <c r="C45" i="10"/>
  <c r="G22" i="10"/>
  <c r="E15" i="10"/>
  <c r="C12" i="10"/>
  <c r="J11" i="10"/>
  <c r="B11" i="10"/>
  <c r="F10" i="10"/>
  <c r="D9" i="10"/>
  <c r="E8" i="10"/>
  <c r="C166" i="5"/>
  <c r="O161" i="5"/>
  <c r="C161" i="5"/>
  <c r="O157" i="5"/>
  <c r="C157" i="5"/>
  <c r="N153" i="5"/>
  <c r="O147" i="5"/>
  <c r="K139" i="5"/>
  <c r="N138" i="5"/>
  <c r="N137" i="5"/>
  <c r="C131" i="5"/>
  <c r="N126" i="5"/>
  <c r="O115" i="5"/>
  <c r="I49" i="5"/>
  <c r="I48" i="5"/>
  <c r="C46" i="5"/>
  <c r="O38" i="5"/>
  <c r="N36" i="5"/>
  <c r="N35" i="5"/>
  <c r="N34" i="5"/>
  <c r="I33" i="5"/>
  <c r="I32" i="5"/>
  <c r="C30" i="5"/>
  <c r="O22" i="5"/>
  <c r="N20" i="5"/>
  <c r="N19" i="5"/>
  <c r="N18" i="5"/>
  <c r="I17" i="5"/>
  <c r="I16" i="5"/>
  <c r="C14" i="5"/>
  <c r="I56" i="8"/>
  <c r="C19" i="8"/>
  <c r="H19" i="8"/>
  <c r="E19" i="8"/>
  <c r="B18" i="8"/>
  <c r="G18" i="8"/>
  <c r="E18" i="8"/>
  <c r="J18" i="8"/>
  <c r="D11" i="8"/>
  <c r="G11" i="8"/>
  <c r="M178" i="11"/>
  <c r="E178" i="11"/>
  <c r="C162" i="11"/>
  <c r="M162" i="11"/>
  <c r="E162" i="11"/>
  <c r="D159" i="11"/>
  <c r="E159" i="11"/>
  <c r="O159" i="5"/>
  <c r="O155" i="5"/>
  <c r="K153" i="5"/>
  <c r="N147" i="5"/>
  <c r="N115" i="5"/>
  <c r="N40" i="5"/>
  <c r="N38" i="5"/>
  <c r="N24" i="5"/>
  <c r="N22" i="5"/>
  <c r="N8" i="5"/>
  <c r="C54" i="8"/>
  <c r="E54" i="8"/>
  <c r="C30" i="8"/>
  <c r="E30" i="8"/>
  <c r="C14" i="8"/>
  <c r="E14" i="8"/>
  <c r="G14" i="8"/>
  <c r="C10" i="8"/>
  <c r="F10" i="8"/>
  <c r="D181" i="11"/>
  <c r="F181" i="11"/>
  <c r="L171" i="11"/>
  <c r="C170" i="11"/>
  <c r="M170" i="11"/>
  <c r="E170" i="11"/>
  <c r="D161" i="11"/>
  <c r="F161" i="11"/>
  <c r="C158" i="11"/>
  <c r="K158" i="11"/>
  <c r="I149" i="11"/>
  <c r="K149" i="11"/>
  <c r="F149" i="11"/>
  <c r="N166" i="5"/>
  <c r="K159" i="5"/>
  <c r="K155" i="5"/>
  <c r="C153" i="5"/>
  <c r="C147" i="5"/>
  <c r="N142" i="5"/>
  <c r="O131" i="5"/>
  <c r="K123" i="5"/>
  <c r="N121" i="5"/>
  <c r="C115" i="5"/>
  <c r="N110" i="5"/>
  <c r="N106" i="5"/>
  <c r="N102" i="5"/>
  <c r="N98" i="5"/>
  <c r="N94" i="5"/>
  <c r="N90" i="5"/>
  <c r="N86" i="5"/>
  <c r="N82" i="5"/>
  <c r="N78" i="5"/>
  <c r="N74" i="5"/>
  <c r="N70" i="5"/>
  <c r="N66" i="5"/>
  <c r="H62" i="5"/>
  <c r="O46" i="5"/>
  <c r="N43" i="5"/>
  <c r="I41" i="5"/>
  <c r="I40" i="5"/>
  <c r="C38" i="5"/>
  <c r="O30" i="5"/>
  <c r="N27" i="5"/>
  <c r="I25" i="5"/>
  <c r="I24" i="5"/>
  <c r="C22" i="5"/>
  <c r="O14" i="5"/>
  <c r="N11" i="5"/>
  <c r="I9" i="5"/>
  <c r="I8" i="5"/>
  <c r="D47" i="8"/>
  <c r="H47" i="8"/>
  <c r="E47" i="8"/>
  <c r="C43" i="8"/>
  <c r="G43" i="8"/>
  <c r="D185" i="11"/>
  <c r="F185" i="11"/>
  <c r="B183" i="11"/>
  <c r="I183" i="11"/>
  <c r="D183" i="11"/>
  <c r="B163" i="11"/>
  <c r="I163" i="11"/>
  <c r="D163" i="11"/>
  <c r="C46" i="8"/>
  <c r="G46" i="8"/>
  <c r="B42" i="8"/>
  <c r="F42" i="8"/>
  <c r="D15" i="8"/>
  <c r="H15" i="8"/>
  <c r="B171" i="11"/>
  <c r="I171" i="11"/>
  <c r="D171" i="11"/>
  <c r="E151" i="11"/>
  <c r="I151" i="11"/>
  <c r="D151" i="11"/>
  <c r="M151" i="11"/>
  <c r="M144" i="11"/>
  <c r="F144" i="11"/>
  <c r="J140" i="11"/>
  <c r="L136" i="11"/>
  <c r="K134" i="11"/>
  <c r="M133" i="11"/>
  <c r="F126" i="11"/>
  <c r="K122" i="11"/>
  <c r="J116" i="11"/>
  <c r="C111" i="11"/>
  <c r="M106" i="11"/>
  <c r="G106" i="11"/>
  <c r="I103" i="11"/>
  <c r="K102" i="11"/>
  <c r="G99" i="11"/>
  <c r="I98" i="11"/>
  <c r="L94" i="11"/>
  <c r="H94" i="11"/>
  <c r="D94" i="11"/>
  <c r="H92" i="11"/>
  <c r="O91" i="11"/>
  <c r="D91" i="11"/>
  <c r="K90" i="11"/>
  <c r="C90" i="11"/>
  <c r="M86" i="11"/>
  <c r="J84" i="11"/>
  <c r="B84" i="11"/>
  <c r="G81" i="11"/>
  <c r="I80" i="11"/>
  <c r="E75" i="11"/>
  <c r="I74" i="11"/>
  <c r="J72" i="11"/>
  <c r="E72" i="11"/>
  <c r="I71" i="11"/>
  <c r="I70" i="11"/>
  <c r="M69" i="11"/>
  <c r="J68" i="11"/>
  <c r="B68" i="11"/>
  <c r="I66" i="11"/>
  <c r="C64" i="11"/>
  <c r="F64" i="11"/>
  <c r="M64" i="11"/>
  <c r="B59" i="11"/>
  <c r="I59" i="11"/>
  <c r="M45" i="11"/>
  <c r="C37" i="11"/>
  <c r="F37" i="11"/>
  <c r="K37" i="11"/>
  <c r="O31" i="11"/>
  <c r="J18" i="11"/>
  <c r="D14" i="11"/>
  <c r="H14" i="11"/>
  <c r="L14" i="11"/>
  <c r="F175" i="12"/>
  <c r="D175" i="12"/>
  <c r="G166" i="12"/>
  <c r="C150" i="12"/>
  <c r="E150" i="12"/>
  <c r="C131" i="12"/>
  <c r="E131" i="12"/>
  <c r="C101" i="12"/>
  <c r="B101" i="12"/>
  <c r="F101" i="12"/>
  <c r="G58" i="12"/>
  <c r="D58" i="12"/>
  <c r="B48" i="12"/>
  <c r="E48" i="12"/>
  <c r="C42" i="12"/>
  <c r="G42" i="12"/>
  <c r="C35" i="12"/>
  <c r="F35" i="12"/>
  <c r="C29" i="12"/>
  <c r="B29" i="12"/>
  <c r="D29" i="12"/>
  <c r="E29" i="12"/>
  <c r="D9" i="12"/>
  <c r="F9" i="12"/>
  <c r="E150" i="13"/>
  <c r="G150" i="13"/>
  <c r="C54" i="11"/>
  <c r="B54" i="11"/>
  <c r="H54" i="11"/>
  <c r="M54" i="11"/>
  <c r="D54" i="11"/>
  <c r="I54" i="11"/>
  <c r="N54" i="11"/>
  <c r="C52" i="11"/>
  <c r="D52" i="11"/>
  <c r="N52" i="11"/>
  <c r="F52" i="11"/>
  <c r="C50" i="11"/>
  <c r="L50" i="11"/>
  <c r="C47" i="11"/>
  <c r="K47" i="11"/>
  <c r="E35" i="11"/>
  <c r="H35" i="11"/>
  <c r="K35" i="11"/>
  <c r="C181" i="12"/>
  <c r="F181" i="12"/>
  <c r="C122" i="12"/>
  <c r="F122" i="12"/>
  <c r="G122" i="12"/>
  <c r="B86" i="12"/>
  <c r="G86" i="12"/>
  <c r="C73" i="12"/>
  <c r="B73" i="12"/>
  <c r="E73" i="12"/>
  <c r="C70" i="12"/>
  <c r="F70" i="12"/>
  <c r="F60" i="12"/>
  <c r="C60" i="12"/>
  <c r="B41" i="12"/>
  <c r="C41" i="12"/>
  <c r="E41" i="12"/>
  <c r="G41" i="12"/>
  <c r="C37" i="12"/>
  <c r="B37" i="12"/>
  <c r="E37" i="12"/>
  <c r="F37" i="12"/>
  <c r="C14" i="12"/>
  <c r="G14" i="12"/>
  <c r="F149" i="13"/>
  <c r="G149" i="13"/>
  <c r="E35" i="8"/>
  <c r="I167" i="11"/>
  <c r="H155" i="11"/>
  <c r="I154" i="11"/>
  <c r="I148" i="11"/>
  <c r="H147" i="11"/>
  <c r="I146" i="11"/>
  <c r="F145" i="11"/>
  <c r="J144" i="11"/>
  <c r="G142" i="11"/>
  <c r="B140" i="11"/>
  <c r="E136" i="11"/>
  <c r="C134" i="11"/>
  <c r="J132" i="11"/>
  <c r="C122" i="11"/>
  <c r="F117" i="11"/>
  <c r="I113" i="11"/>
  <c r="L111" i="11"/>
  <c r="I107" i="11"/>
  <c r="K106" i="11"/>
  <c r="C106" i="11"/>
  <c r="O103" i="11"/>
  <c r="O98" i="11"/>
  <c r="C98" i="11"/>
  <c r="N94" i="11"/>
  <c r="J94" i="11"/>
  <c r="F94" i="11"/>
  <c r="M92" i="11"/>
  <c r="B92" i="11"/>
  <c r="I91" i="11"/>
  <c r="O90" i="11"/>
  <c r="G90" i="11"/>
  <c r="K89" i="11"/>
  <c r="M84" i="11"/>
  <c r="F84" i="11"/>
  <c r="M83" i="11"/>
  <c r="E82" i="11"/>
  <c r="N80" i="11"/>
  <c r="D80" i="11"/>
  <c r="O74" i="11"/>
  <c r="C74" i="11"/>
  <c r="M72" i="11"/>
  <c r="H72" i="11"/>
  <c r="B72" i="11"/>
  <c r="O70" i="11"/>
  <c r="C70" i="11"/>
  <c r="M68" i="11"/>
  <c r="F68" i="11"/>
  <c r="I67" i="11"/>
  <c r="E64" i="11"/>
  <c r="C62" i="11"/>
  <c r="E62" i="11"/>
  <c r="J62" i="11"/>
  <c r="D61" i="11"/>
  <c r="C61" i="11"/>
  <c r="O61" i="11"/>
  <c r="J54" i="11"/>
  <c r="D49" i="11"/>
  <c r="G49" i="11"/>
  <c r="K49" i="11"/>
  <c r="K41" i="11"/>
  <c r="F36" i="11"/>
  <c r="D36" i="11"/>
  <c r="L36" i="11"/>
  <c r="D30" i="11"/>
  <c r="G30" i="11"/>
  <c r="L30" i="11"/>
  <c r="D27" i="11"/>
  <c r="L27" i="11"/>
  <c r="F24" i="11"/>
  <c r="L24" i="11"/>
  <c r="M24" i="11"/>
  <c r="D16" i="11"/>
  <c r="L16" i="11"/>
  <c r="E10" i="11"/>
  <c r="H10" i="11"/>
  <c r="C138" i="12"/>
  <c r="E138" i="12"/>
  <c r="F138" i="12"/>
  <c r="C130" i="12"/>
  <c r="B130" i="12"/>
  <c r="F130" i="12"/>
  <c r="F126" i="12"/>
  <c r="E123" i="12"/>
  <c r="D103" i="12"/>
  <c r="F103" i="12"/>
  <c r="F89" i="12"/>
  <c r="D89" i="12"/>
  <c r="E62" i="12"/>
  <c r="G62" i="12"/>
  <c r="B44" i="12"/>
  <c r="C44" i="12"/>
  <c r="F44" i="12"/>
  <c r="D23" i="12"/>
  <c r="B23" i="12"/>
  <c r="F23" i="12"/>
  <c r="E158" i="13"/>
  <c r="K126" i="11"/>
  <c r="K111" i="11"/>
  <c r="G91" i="11"/>
  <c r="M90" i="11"/>
  <c r="L84" i="11"/>
  <c r="E84" i="11"/>
  <c r="M75" i="11"/>
  <c r="L68" i="11"/>
  <c r="E68" i="11"/>
  <c r="C56" i="11"/>
  <c r="F56" i="11"/>
  <c r="F54" i="11"/>
  <c r="L52" i="11"/>
  <c r="E45" i="11"/>
  <c r="F45" i="11"/>
  <c r="O45" i="11"/>
  <c r="G45" i="11"/>
  <c r="L35" i="11"/>
  <c r="C26" i="11"/>
  <c r="F26" i="11"/>
  <c r="K26" i="11"/>
  <c r="C18" i="11"/>
  <c r="B18" i="11"/>
  <c r="H18" i="11"/>
  <c r="M18" i="11"/>
  <c r="D18" i="11"/>
  <c r="I18" i="11"/>
  <c r="N18" i="11"/>
  <c r="D183" i="12"/>
  <c r="F183" i="12"/>
  <c r="C161" i="12"/>
  <c r="E161" i="12"/>
  <c r="B156" i="12"/>
  <c r="G156" i="12"/>
  <c r="C139" i="12"/>
  <c r="E139" i="12"/>
  <c r="C81" i="12"/>
  <c r="F81" i="12"/>
  <c r="B56" i="12"/>
  <c r="F56" i="12"/>
  <c r="C33" i="12"/>
  <c r="E33" i="12"/>
  <c r="F176" i="13"/>
  <c r="F157" i="13"/>
  <c r="G157" i="13"/>
  <c r="C49" i="12"/>
  <c r="F43" i="12"/>
  <c r="E122" i="13"/>
  <c r="F108" i="13"/>
  <c r="E104" i="13"/>
  <c r="E90" i="13"/>
  <c r="F86" i="13"/>
  <c r="F83" i="13"/>
  <c r="I60" i="11"/>
  <c r="I53" i="11"/>
  <c r="E151" i="12"/>
  <c r="F109" i="12"/>
  <c r="E99" i="12"/>
  <c r="E87" i="12"/>
  <c r="F63" i="12"/>
  <c r="G49" i="12"/>
  <c r="E40" i="12"/>
  <c r="G183" i="14"/>
  <c r="Q189" i="2"/>
  <c r="I189" i="2"/>
  <c r="C189" i="2"/>
  <c r="F189" i="2" s="1"/>
  <c r="Q163" i="2"/>
  <c r="I152" i="2"/>
  <c r="S150" i="2"/>
  <c r="S139" i="2"/>
  <c r="S136" i="2"/>
  <c r="E136" i="2"/>
  <c r="G136" i="2" s="1"/>
  <c r="Q124" i="2"/>
  <c r="P189" i="2"/>
  <c r="H189" i="2"/>
  <c r="B189" i="2"/>
  <c r="I187" i="2"/>
  <c r="I186" i="2"/>
  <c r="S184" i="2"/>
  <c r="S182" i="2"/>
  <c r="M181" i="2"/>
  <c r="H177" i="2"/>
  <c r="Q176" i="2"/>
  <c r="P175" i="2"/>
  <c r="H175" i="2"/>
  <c r="Q174" i="2"/>
  <c r="R171" i="2"/>
  <c r="I169" i="2"/>
  <c r="S166" i="2"/>
  <c r="L163" i="2"/>
  <c r="D160" i="2"/>
  <c r="E159" i="2"/>
  <c r="R155" i="2"/>
  <c r="D152" i="2"/>
  <c r="C150" i="2"/>
  <c r="L148" i="2"/>
  <c r="Q147" i="2"/>
  <c r="E147" i="2"/>
  <c r="G147" i="2" s="1"/>
  <c r="S140" i="2"/>
  <c r="I140" i="2"/>
  <c r="I139" i="2"/>
  <c r="L137" i="2"/>
  <c r="R136" i="2"/>
  <c r="B136" i="2"/>
  <c r="S131" i="2"/>
  <c r="M128" i="2"/>
  <c r="C128" i="2"/>
  <c r="F128" i="2" s="1"/>
  <c r="I125" i="2"/>
  <c r="M124" i="2"/>
  <c r="B124" i="2"/>
  <c r="D122" i="2"/>
  <c r="S116" i="2"/>
  <c r="M116" i="2"/>
  <c r="N116" i="2" s="1"/>
  <c r="O116" i="2" s="1"/>
  <c r="E116" i="2"/>
  <c r="I115" i="2"/>
  <c r="D114" i="2"/>
  <c r="L110" i="2"/>
  <c r="R108" i="2"/>
  <c r="M108" i="2"/>
  <c r="H108" i="2"/>
  <c r="B108" i="2"/>
  <c r="D106" i="2"/>
  <c r="D105" i="2"/>
  <c r="I101" i="2"/>
  <c r="E100" i="2"/>
  <c r="S96" i="2"/>
  <c r="L96" i="2"/>
  <c r="B96" i="2"/>
  <c r="L94" i="2"/>
  <c r="R88" i="2"/>
  <c r="L88" i="2"/>
  <c r="D88" i="2"/>
  <c r="F88" i="2" s="1"/>
  <c r="Q87" i="2"/>
  <c r="L85" i="2"/>
  <c r="R84" i="2"/>
  <c r="L84" i="2"/>
  <c r="D78" i="2"/>
  <c r="L78" i="2"/>
  <c r="B76" i="2"/>
  <c r="H76" i="2"/>
  <c r="M76" i="2"/>
  <c r="R76" i="2"/>
  <c r="I74" i="2"/>
  <c r="R72" i="2"/>
  <c r="H72" i="2"/>
  <c r="S68" i="2"/>
  <c r="L68" i="2"/>
  <c r="Q64" i="2"/>
  <c r="S59" i="2"/>
  <c r="E56" i="2"/>
  <c r="H56" i="2"/>
  <c r="S56" i="2"/>
  <c r="D48" i="2"/>
  <c r="L48" i="2"/>
  <c r="R48" i="2"/>
  <c r="I44" i="2"/>
  <c r="J44" i="2" s="1"/>
  <c r="K44" i="2" s="1"/>
  <c r="D40" i="2"/>
  <c r="C40" i="2"/>
  <c r="R40" i="2"/>
  <c r="L38" i="2"/>
  <c r="E28" i="2"/>
  <c r="G28" i="2" s="1"/>
  <c r="Q28" i="2"/>
  <c r="C28" i="2"/>
  <c r="F28" i="2" s="1"/>
  <c r="L28" i="2"/>
  <c r="D26" i="2"/>
  <c r="I26" i="2"/>
  <c r="D16" i="2"/>
  <c r="G16" i="2" s="1"/>
  <c r="L16" i="2"/>
  <c r="R16" i="2"/>
  <c r="B16" i="2"/>
  <c r="H16" i="2"/>
  <c r="P16" i="2"/>
  <c r="D177" i="3"/>
  <c r="I177" i="3"/>
  <c r="L175" i="3"/>
  <c r="P174" i="3"/>
  <c r="D173" i="3"/>
  <c r="P173" i="3"/>
  <c r="Q165" i="3"/>
  <c r="B164" i="3"/>
  <c r="I164" i="3"/>
  <c r="J160" i="3"/>
  <c r="K160" i="3" s="1"/>
  <c r="Q160" i="3"/>
  <c r="F160" i="3"/>
  <c r="D158" i="3"/>
  <c r="M158" i="3"/>
  <c r="D153" i="3"/>
  <c r="I153" i="3"/>
  <c r="Q153" i="3"/>
  <c r="F147" i="3"/>
  <c r="B147" i="3"/>
  <c r="L147" i="3"/>
  <c r="G147" i="3"/>
  <c r="P147" i="3"/>
  <c r="D84" i="2"/>
  <c r="E84" i="2"/>
  <c r="L82" i="2"/>
  <c r="D82" i="2"/>
  <c r="I71" i="2"/>
  <c r="Q71" i="2"/>
  <c r="C68" i="2"/>
  <c r="I68" i="2"/>
  <c r="Q68" i="2"/>
  <c r="D45" i="2"/>
  <c r="L45" i="2"/>
  <c r="Q25" i="2"/>
  <c r="L25" i="2"/>
  <c r="B180" i="3"/>
  <c r="I180" i="3"/>
  <c r="I175" i="3"/>
  <c r="L174" i="3"/>
  <c r="M165" i="3"/>
  <c r="C163" i="3"/>
  <c r="E163" i="3" s="1"/>
  <c r="J163" i="3"/>
  <c r="P163" i="3"/>
  <c r="F163" i="3"/>
  <c r="N163" i="3"/>
  <c r="C162" i="3"/>
  <c r="E162" i="3" s="1"/>
  <c r="M162" i="3"/>
  <c r="I162" i="3"/>
  <c r="Q162" i="3"/>
  <c r="N159" i="3"/>
  <c r="F155" i="3"/>
  <c r="G155" i="3"/>
  <c r="P155" i="3"/>
  <c r="B155" i="3"/>
  <c r="L155" i="3"/>
  <c r="C192" i="2"/>
  <c r="R189" i="2"/>
  <c r="L189" i="2"/>
  <c r="P187" i="2"/>
  <c r="B187" i="2"/>
  <c r="L185" i="2"/>
  <c r="R177" i="2"/>
  <c r="L177" i="2"/>
  <c r="B177" i="2"/>
  <c r="L175" i="2"/>
  <c r="B175" i="2"/>
  <c r="C174" i="2"/>
  <c r="I172" i="2"/>
  <c r="M167" i="2"/>
  <c r="R163" i="2"/>
  <c r="B163" i="2"/>
  <c r="R159" i="2"/>
  <c r="B155" i="2"/>
  <c r="D149" i="2"/>
  <c r="S147" i="2"/>
  <c r="L147" i="2"/>
  <c r="B147" i="2"/>
  <c r="I145" i="2"/>
  <c r="L136" i="2"/>
  <c r="R124" i="2"/>
  <c r="H124" i="2"/>
  <c r="D121" i="2"/>
  <c r="C119" i="2"/>
  <c r="I117" i="2"/>
  <c r="Q116" i="2"/>
  <c r="I116" i="2"/>
  <c r="B116" i="2"/>
  <c r="Q114" i="2"/>
  <c r="C111" i="2"/>
  <c r="P108" i="2"/>
  <c r="D108" i="2"/>
  <c r="G108" i="2" s="1"/>
  <c r="L106" i="2"/>
  <c r="Q105" i="2"/>
  <c r="L102" i="2"/>
  <c r="Q100" i="2"/>
  <c r="P96" i="2"/>
  <c r="E96" i="2"/>
  <c r="G96" i="2" s="1"/>
  <c r="C95" i="2"/>
  <c r="P88" i="2"/>
  <c r="H88" i="2"/>
  <c r="H84" i="2"/>
  <c r="J84" i="2" s="1"/>
  <c r="K84" i="2" s="1"/>
  <c r="C83" i="2"/>
  <c r="I83" i="2"/>
  <c r="C79" i="2"/>
  <c r="L72" i="2"/>
  <c r="P68" i="2"/>
  <c r="E68" i="2"/>
  <c r="L54" i="2"/>
  <c r="I47" i="2"/>
  <c r="Q47" i="2"/>
  <c r="R44" i="2"/>
  <c r="D30" i="2"/>
  <c r="L30" i="2"/>
  <c r="B24" i="2"/>
  <c r="P24" i="2"/>
  <c r="B15" i="2"/>
  <c r="S15" i="2"/>
  <c r="C15" i="2"/>
  <c r="F176" i="3"/>
  <c r="N176" i="3"/>
  <c r="B176" i="3"/>
  <c r="B167" i="3"/>
  <c r="G167" i="3"/>
  <c r="L163" i="3"/>
  <c r="P162" i="3"/>
  <c r="O155" i="3"/>
  <c r="B154" i="3"/>
  <c r="C154" i="3"/>
  <c r="E154" i="3" s="1"/>
  <c r="L154" i="3"/>
  <c r="Q154" i="3"/>
  <c r="G154" i="3"/>
  <c r="O154" i="3"/>
  <c r="C151" i="3"/>
  <c r="I151" i="3"/>
  <c r="G146" i="3"/>
  <c r="D146" i="3"/>
  <c r="O146" i="3"/>
  <c r="B142" i="3"/>
  <c r="C142" i="3"/>
  <c r="L142" i="3"/>
  <c r="Q142" i="3"/>
  <c r="D142" i="3"/>
  <c r="M142" i="3"/>
  <c r="G142" i="3"/>
  <c r="O142" i="3"/>
  <c r="I160" i="2"/>
  <c r="M159" i="2"/>
  <c r="L125" i="2"/>
  <c r="E124" i="2"/>
  <c r="G124" i="2" s="1"/>
  <c r="Q122" i="2"/>
  <c r="I114" i="2"/>
  <c r="S108" i="2"/>
  <c r="I108" i="2"/>
  <c r="L105" i="2"/>
  <c r="L100" i="2"/>
  <c r="M96" i="2"/>
  <c r="C96" i="2"/>
  <c r="F96" i="2" s="1"/>
  <c r="S84" i="2"/>
  <c r="M84" i="2"/>
  <c r="C84" i="2"/>
  <c r="Q82" i="2"/>
  <c r="L73" i="2"/>
  <c r="D73" i="2"/>
  <c r="E72" i="2"/>
  <c r="G72" i="2" s="1"/>
  <c r="P72" i="2"/>
  <c r="M68" i="2"/>
  <c r="D68" i="2"/>
  <c r="E44" i="2"/>
  <c r="C44" i="2"/>
  <c r="Q44" i="2"/>
  <c r="C35" i="2"/>
  <c r="I35" i="2"/>
  <c r="B18" i="2"/>
  <c r="Q18" i="2"/>
  <c r="D18" i="2"/>
  <c r="C175" i="3"/>
  <c r="E175" i="3" s="1"/>
  <c r="J175" i="3"/>
  <c r="P175" i="3"/>
  <c r="F175" i="3"/>
  <c r="N175" i="3"/>
  <c r="C174" i="3"/>
  <c r="E174" i="3" s="1"/>
  <c r="M174" i="3"/>
  <c r="I174" i="3"/>
  <c r="Q174" i="3"/>
  <c r="D165" i="3"/>
  <c r="P165" i="3"/>
  <c r="L165" i="3"/>
  <c r="C159" i="3"/>
  <c r="B159" i="3"/>
  <c r="P159" i="3"/>
  <c r="I159" i="3"/>
  <c r="C150" i="3"/>
  <c r="L150" i="3"/>
  <c r="P143" i="3"/>
  <c r="J143" i="3"/>
  <c r="B143" i="3"/>
  <c r="Q141" i="3"/>
  <c r="D141" i="3"/>
  <c r="L138" i="3"/>
  <c r="P131" i="3"/>
  <c r="C131" i="3"/>
  <c r="E131" i="3" s="1"/>
  <c r="C130" i="3"/>
  <c r="E130" i="3" s="1"/>
  <c r="B129" i="3"/>
  <c r="G126" i="3"/>
  <c r="L123" i="3"/>
  <c r="L121" i="3"/>
  <c r="B121" i="3"/>
  <c r="Q119" i="3"/>
  <c r="M119" i="3"/>
  <c r="G119" i="3"/>
  <c r="B119" i="3"/>
  <c r="O117" i="3"/>
  <c r="I117" i="3"/>
  <c r="B117" i="3"/>
  <c r="Q112" i="3"/>
  <c r="M112" i="3"/>
  <c r="G112" i="3"/>
  <c r="B112" i="3"/>
  <c r="P108" i="3"/>
  <c r="I108" i="3"/>
  <c r="B108" i="3"/>
  <c r="P106" i="3"/>
  <c r="J106" i="3"/>
  <c r="B106" i="3"/>
  <c r="D104" i="3"/>
  <c r="J104" i="3"/>
  <c r="L103" i="3"/>
  <c r="C103" i="3"/>
  <c r="Q103" i="3"/>
  <c r="F101" i="3"/>
  <c r="G101" i="3"/>
  <c r="O101" i="3"/>
  <c r="L99" i="3"/>
  <c r="P98" i="3"/>
  <c r="P96" i="3"/>
  <c r="G96" i="3"/>
  <c r="I95" i="3"/>
  <c r="P95" i="3"/>
  <c r="G91" i="3"/>
  <c r="Q89" i="3"/>
  <c r="M87" i="3"/>
  <c r="L83" i="3"/>
  <c r="Q82" i="3"/>
  <c r="F80" i="3"/>
  <c r="L79" i="3"/>
  <c r="B76" i="3"/>
  <c r="G76" i="3"/>
  <c r="M76" i="3"/>
  <c r="Q76" i="3"/>
  <c r="C76" i="3"/>
  <c r="I76" i="3"/>
  <c r="N76" i="3"/>
  <c r="L74" i="3"/>
  <c r="G63" i="3"/>
  <c r="P63" i="3"/>
  <c r="Q61" i="3"/>
  <c r="Q60" i="3"/>
  <c r="B53" i="3"/>
  <c r="I53" i="3"/>
  <c r="O53" i="3"/>
  <c r="C53" i="3"/>
  <c r="J53" i="3"/>
  <c r="Q53" i="3"/>
  <c r="C52" i="3"/>
  <c r="B52" i="3"/>
  <c r="M52" i="3"/>
  <c r="F52" i="3"/>
  <c r="P52" i="3"/>
  <c r="F41" i="3"/>
  <c r="N41" i="3"/>
  <c r="C41" i="3"/>
  <c r="Q41" i="3"/>
  <c r="O139" i="3"/>
  <c r="Q132" i="3"/>
  <c r="Q124" i="3"/>
  <c r="G99" i="3"/>
  <c r="J98" i="3"/>
  <c r="Q98" i="3"/>
  <c r="N96" i="3"/>
  <c r="C96" i="3"/>
  <c r="N89" i="3"/>
  <c r="G87" i="3"/>
  <c r="I83" i="3"/>
  <c r="F82" i="3"/>
  <c r="P82" i="3"/>
  <c r="D79" i="3"/>
  <c r="E79" i="3" s="1"/>
  <c r="J74" i="3"/>
  <c r="L62" i="3"/>
  <c r="J61" i="3"/>
  <c r="L60" i="3"/>
  <c r="S36" i="2"/>
  <c r="I36" i="2"/>
  <c r="L33" i="2"/>
  <c r="R32" i="2"/>
  <c r="D32" i="2"/>
  <c r="G32" i="2" s="1"/>
  <c r="S27" i="2"/>
  <c r="M20" i="2"/>
  <c r="I12" i="2"/>
  <c r="N187" i="3"/>
  <c r="I187" i="3"/>
  <c r="L186" i="3"/>
  <c r="Q184" i="3"/>
  <c r="O179" i="3"/>
  <c r="D179" i="3"/>
  <c r="P166" i="3"/>
  <c r="Q157" i="3"/>
  <c r="M156" i="3"/>
  <c r="F152" i="3"/>
  <c r="P149" i="3"/>
  <c r="M143" i="3"/>
  <c r="M141" i="3"/>
  <c r="I139" i="3"/>
  <c r="N135" i="3"/>
  <c r="I135" i="3"/>
  <c r="I132" i="3"/>
  <c r="J131" i="3"/>
  <c r="M130" i="3"/>
  <c r="M129" i="3"/>
  <c r="O127" i="3"/>
  <c r="D127" i="3"/>
  <c r="Q125" i="3"/>
  <c r="L125" i="3"/>
  <c r="D125" i="3"/>
  <c r="Q122" i="3"/>
  <c r="G122" i="3"/>
  <c r="P121" i="3"/>
  <c r="I121" i="3"/>
  <c r="O119" i="3"/>
  <c r="J119" i="3"/>
  <c r="M117" i="3"/>
  <c r="L116" i="3"/>
  <c r="O112" i="3"/>
  <c r="J112" i="3"/>
  <c r="P111" i="3"/>
  <c r="M108" i="3"/>
  <c r="F108" i="3"/>
  <c r="H108" i="3" s="1"/>
  <c r="M106" i="3"/>
  <c r="N105" i="3"/>
  <c r="P104" i="3"/>
  <c r="L104" i="3"/>
  <c r="C104" i="3"/>
  <c r="M103" i="3"/>
  <c r="Q101" i="3"/>
  <c r="C101" i="3"/>
  <c r="Q99" i="3"/>
  <c r="D99" i="3"/>
  <c r="L98" i="3"/>
  <c r="L96" i="3"/>
  <c r="N90" i="3"/>
  <c r="Q87" i="3"/>
  <c r="C87" i="3"/>
  <c r="B86" i="3"/>
  <c r="Q86" i="3"/>
  <c r="L82" i="3"/>
  <c r="P79" i="3"/>
  <c r="F78" i="3"/>
  <c r="N78" i="3"/>
  <c r="P76" i="3"/>
  <c r="F76" i="3"/>
  <c r="C75" i="3"/>
  <c r="G75" i="3"/>
  <c r="L75" i="3"/>
  <c r="B70" i="3"/>
  <c r="F70" i="3"/>
  <c r="L55" i="3"/>
  <c r="M55" i="3"/>
  <c r="G53" i="3"/>
  <c r="L52" i="3"/>
  <c r="D96" i="3"/>
  <c r="F96" i="3"/>
  <c r="M96" i="3"/>
  <c r="I89" i="3"/>
  <c r="F89" i="3"/>
  <c r="G83" i="3"/>
  <c r="Q83" i="3"/>
  <c r="B81" i="3"/>
  <c r="F81" i="3"/>
  <c r="G79" i="3"/>
  <c r="I79" i="3"/>
  <c r="Q79" i="3"/>
  <c r="F74" i="3"/>
  <c r="D74" i="3"/>
  <c r="N74" i="3"/>
  <c r="I74" i="3"/>
  <c r="P74" i="3"/>
  <c r="D62" i="3"/>
  <c r="N62" i="3"/>
  <c r="F62" i="3"/>
  <c r="Q62" i="3"/>
  <c r="B61" i="3"/>
  <c r="M61" i="3"/>
  <c r="F61" i="3"/>
  <c r="H61" i="3" s="1"/>
  <c r="O61" i="3"/>
  <c r="C60" i="3"/>
  <c r="B60" i="3"/>
  <c r="M60" i="3"/>
  <c r="F60" i="3"/>
  <c r="H60" i="3" s="1"/>
  <c r="P60" i="3"/>
  <c r="F58" i="3"/>
  <c r="N58" i="3"/>
  <c r="J50" i="3"/>
  <c r="L50" i="3"/>
  <c r="B38" i="3"/>
  <c r="F38" i="3"/>
  <c r="J37" i="3"/>
  <c r="C27" i="3"/>
  <c r="L27" i="3"/>
  <c r="J26" i="3"/>
  <c r="P23" i="3"/>
  <c r="M21" i="3"/>
  <c r="G13" i="3"/>
  <c r="Q13" i="3"/>
  <c r="J189" i="7"/>
  <c r="I162" i="7"/>
  <c r="M162" i="7"/>
  <c r="N148" i="7"/>
  <c r="F148" i="7"/>
  <c r="O47" i="3"/>
  <c r="G47" i="3"/>
  <c r="E47" i="5" s="1"/>
  <c r="F47" i="5" s="1"/>
  <c r="G47" i="5" s="1"/>
  <c r="J45" i="3"/>
  <c r="P44" i="3"/>
  <c r="M42" i="3"/>
  <c r="F42" i="3"/>
  <c r="Q37" i="3"/>
  <c r="G37" i="3"/>
  <c r="F34" i="3"/>
  <c r="M34" i="3"/>
  <c r="G31" i="3"/>
  <c r="E31" i="5" s="1"/>
  <c r="F31" i="5" s="1"/>
  <c r="G31" i="5" s="1"/>
  <c r="L31" i="3"/>
  <c r="C28" i="3"/>
  <c r="I28" i="3"/>
  <c r="N28" i="3"/>
  <c r="Q26" i="3"/>
  <c r="D26" i="3"/>
  <c r="M23" i="3"/>
  <c r="J21" i="3"/>
  <c r="J13" i="3"/>
  <c r="I9" i="3"/>
  <c r="F9" i="3"/>
  <c r="C189" i="7"/>
  <c r="D189" i="7"/>
  <c r="I189" i="7"/>
  <c r="I189" i="12" s="1"/>
  <c r="N189" i="7"/>
  <c r="M148" i="7"/>
  <c r="M77" i="3"/>
  <c r="M72" i="3"/>
  <c r="F72" i="3"/>
  <c r="P71" i="3"/>
  <c r="M68" i="3"/>
  <c r="F68" i="3"/>
  <c r="O67" i="3"/>
  <c r="M66" i="3"/>
  <c r="M64" i="3"/>
  <c r="F64" i="3"/>
  <c r="N57" i="3"/>
  <c r="P56" i="3"/>
  <c r="G56" i="3"/>
  <c r="E56" i="5" s="1"/>
  <c r="M47" i="3"/>
  <c r="F45" i="3"/>
  <c r="H45" i="3" s="1"/>
  <c r="L44" i="3"/>
  <c r="Q42" i="3"/>
  <c r="L42" i="3"/>
  <c r="L39" i="3"/>
  <c r="G39" i="3"/>
  <c r="E39" i="5" s="1"/>
  <c r="F39" i="5" s="1"/>
  <c r="G39" i="5" s="1"/>
  <c r="O37" i="3"/>
  <c r="I35" i="3"/>
  <c r="G35" i="3"/>
  <c r="C32" i="3"/>
  <c r="I32" i="3"/>
  <c r="N32" i="3"/>
  <c r="Q30" i="3"/>
  <c r="M28" i="3"/>
  <c r="F28" i="3"/>
  <c r="Q27" i="3"/>
  <c r="N26" i="3"/>
  <c r="L23" i="3"/>
  <c r="C21" i="3"/>
  <c r="M18" i="3"/>
  <c r="C16" i="3"/>
  <c r="G16" i="3"/>
  <c r="F13" i="3"/>
  <c r="G11" i="3"/>
  <c r="F10" i="3"/>
  <c r="L10" i="3"/>
  <c r="D167" i="7"/>
  <c r="F37" i="3"/>
  <c r="N37" i="3"/>
  <c r="I26" i="3"/>
  <c r="P26" i="3"/>
  <c r="C8" i="3"/>
  <c r="I8" i="3"/>
  <c r="C148" i="7"/>
  <c r="G148" i="7"/>
  <c r="K148" i="7"/>
  <c r="O148" i="7"/>
  <c r="D148" i="7"/>
  <c r="H148" i="7"/>
  <c r="L148" i="7"/>
  <c r="H144" i="7"/>
  <c r="N132" i="7"/>
  <c r="I132" i="7"/>
  <c r="C132" i="7"/>
  <c r="N114" i="7"/>
  <c r="I107" i="7"/>
  <c r="G67" i="7"/>
  <c r="E67" i="7"/>
  <c r="L45" i="7"/>
  <c r="E30" i="7"/>
  <c r="F30" i="7"/>
  <c r="H30" i="7"/>
  <c r="E25" i="7"/>
  <c r="H22" i="7"/>
  <c r="C14" i="7"/>
  <c r="E14" i="7"/>
  <c r="L14" i="7"/>
  <c r="F14" i="7"/>
  <c r="M14" i="7"/>
  <c r="B7" i="7"/>
  <c r="G7" i="7"/>
  <c r="I7" i="7"/>
  <c r="C179" i="6"/>
  <c r="F179" i="6"/>
  <c r="I179" i="6"/>
  <c r="M179" i="12" s="1"/>
  <c r="I173" i="6"/>
  <c r="B172" i="6"/>
  <c r="E172" i="6"/>
  <c r="I172" i="6"/>
  <c r="Q172" i="12" s="1"/>
  <c r="D171" i="6"/>
  <c r="B171" i="6"/>
  <c r="J171" i="6"/>
  <c r="E171" i="6"/>
  <c r="L171" i="6"/>
  <c r="O171" i="12" s="1"/>
  <c r="I149" i="6"/>
  <c r="B148" i="6"/>
  <c r="C148" i="6"/>
  <c r="K148" i="6"/>
  <c r="E148" i="6"/>
  <c r="M148" i="6"/>
  <c r="G148" i="6"/>
  <c r="O148" i="6"/>
  <c r="D144" i="6"/>
  <c r="C144" i="6"/>
  <c r="K144" i="6"/>
  <c r="E144" i="6"/>
  <c r="L144" i="6"/>
  <c r="G144" i="6"/>
  <c r="M144" i="6"/>
  <c r="I180" i="7"/>
  <c r="M144" i="7"/>
  <c r="E144" i="7"/>
  <c r="L136" i="7"/>
  <c r="H136" i="7"/>
  <c r="M132" i="7"/>
  <c r="G132" i="7"/>
  <c r="B132" i="7"/>
  <c r="L114" i="7"/>
  <c r="K112" i="7"/>
  <c r="K111" i="7"/>
  <c r="G107" i="7"/>
  <c r="M105" i="7"/>
  <c r="M94" i="7"/>
  <c r="L92" i="7"/>
  <c r="M72" i="7"/>
  <c r="K41" i="7"/>
  <c r="M30" i="7"/>
  <c r="C18" i="7"/>
  <c r="D18" i="7"/>
  <c r="I18" i="7"/>
  <c r="N18" i="7"/>
  <c r="E18" i="7"/>
  <c r="J18" i="7"/>
  <c r="J14" i="7"/>
  <c r="O7" i="7"/>
  <c r="C187" i="6"/>
  <c r="D187" i="6"/>
  <c r="I187" i="6"/>
  <c r="M187" i="12" s="1"/>
  <c r="N187" i="6"/>
  <c r="E187" i="6"/>
  <c r="J187" i="6"/>
  <c r="N179" i="6"/>
  <c r="C177" i="6"/>
  <c r="G177" i="6"/>
  <c r="K177" i="6"/>
  <c r="O177" i="6"/>
  <c r="D177" i="6"/>
  <c r="H177" i="6"/>
  <c r="L177" i="6"/>
  <c r="D176" i="6"/>
  <c r="E176" i="6"/>
  <c r="M176" i="6"/>
  <c r="G176" i="6"/>
  <c r="O176" i="6"/>
  <c r="M171" i="6"/>
  <c r="B164" i="6"/>
  <c r="C164" i="6"/>
  <c r="O164" i="6"/>
  <c r="G164" i="6"/>
  <c r="C157" i="6"/>
  <c r="E157" i="6"/>
  <c r="I157" i="6"/>
  <c r="M157" i="6"/>
  <c r="B151" i="6"/>
  <c r="H151" i="6"/>
  <c r="M151" i="6"/>
  <c r="D151" i="6"/>
  <c r="I151" i="6"/>
  <c r="M151" i="12" s="1"/>
  <c r="N151" i="6"/>
  <c r="E151" i="6"/>
  <c r="J151" i="6"/>
  <c r="C143" i="6"/>
  <c r="E143" i="6"/>
  <c r="I143" i="6"/>
  <c r="M143" i="6"/>
  <c r="C45" i="7"/>
  <c r="D45" i="7"/>
  <c r="O45" i="7"/>
  <c r="G45" i="7"/>
  <c r="C22" i="7"/>
  <c r="B22" i="7"/>
  <c r="J22" i="7"/>
  <c r="E22" i="7"/>
  <c r="L22" i="7"/>
  <c r="E20" i="7"/>
  <c r="M20" i="7"/>
  <c r="B173" i="6"/>
  <c r="C173" i="6"/>
  <c r="K173" i="6"/>
  <c r="E173" i="6"/>
  <c r="M173" i="6"/>
  <c r="B160" i="6"/>
  <c r="C160" i="6"/>
  <c r="O160" i="6"/>
  <c r="G160" i="6"/>
  <c r="I160" i="6"/>
  <c r="B149" i="6"/>
  <c r="F149" i="6"/>
  <c r="J149" i="6"/>
  <c r="N149" i="6"/>
  <c r="C149" i="6"/>
  <c r="G149" i="6"/>
  <c r="K149" i="6"/>
  <c r="O149" i="6"/>
  <c r="D149" i="6"/>
  <c r="H149" i="6"/>
  <c r="P149" i="12" s="1"/>
  <c r="L149" i="6"/>
  <c r="B58" i="7"/>
  <c r="F58" i="7"/>
  <c r="L58" i="7"/>
  <c r="E41" i="7"/>
  <c r="C41" i="7"/>
  <c r="M41" i="7"/>
  <c r="G41" i="7"/>
  <c r="M22" i="7"/>
  <c r="C31" i="7"/>
  <c r="C13" i="7"/>
  <c r="I186" i="6"/>
  <c r="M186" i="12" s="1"/>
  <c r="M183" i="6"/>
  <c r="H183" i="6"/>
  <c r="B183" i="6"/>
  <c r="N181" i="6"/>
  <c r="J181" i="6"/>
  <c r="F181" i="6"/>
  <c r="K180" i="6"/>
  <c r="C180" i="6"/>
  <c r="N175" i="6"/>
  <c r="D175" i="6"/>
  <c r="F163" i="6"/>
  <c r="M161" i="6"/>
  <c r="H161" i="6"/>
  <c r="B161" i="6"/>
  <c r="L159" i="6"/>
  <c r="I156" i="6"/>
  <c r="Q156" i="12" s="1"/>
  <c r="I153" i="6"/>
  <c r="Q153" i="12" s="1"/>
  <c r="N147" i="6"/>
  <c r="D147" i="6"/>
  <c r="K142" i="6"/>
  <c r="R142" i="12" s="1"/>
  <c r="H141" i="6"/>
  <c r="O139" i="6"/>
  <c r="G139" i="6"/>
  <c r="N138" i="6"/>
  <c r="C138" i="6"/>
  <c r="H136" i="6"/>
  <c r="F133" i="6"/>
  <c r="J131" i="6"/>
  <c r="E131" i="6"/>
  <c r="N126" i="6"/>
  <c r="L125" i="6"/>
  <c r="F123" i="6"/>
  <c r="M120" i="6"/>
  <c r="O116" i="6"/>
  <c r="L115" i="6"/>
  <c r="K114" i="6"/>
  <c r="M112" i="6"/>
  <c r="H112" i="6"/>
  <c r="M111" i="6"/>
  <c r="G111" i="6"/>
  <c r="C108" i="6"/>
  <c r="I107" i="6"/>
  <c r="M107" i="12" s="1"/>
  <c r="G104" i="6"/>
  <c r="K103" i="6"/>
  <c r="C103" i="6"/>
  <c r="M101" i="6"/>
  <c r="H101" i="6"/>
  <c r="P101" i="12" s="1"/>
  <c r="O99" i="6"/>
  <c r="I99" i="6"/>
  <c r="D99" i="6"/>
  <c r="F97" i="6"/>
  <c r="G95" i="6"/>
  <c r="J93" i="6"/>
  <c r="E93" i="6"/>
  <c r="O92" i="6"/>
  <c r="L91" i="6"/>
  <c r="L89" i="6"/>
  <c r="K88" i="6"/>
  <c r="S88" i="12" s="1"/>
  <c r="L85" i="6"/>
  <c r="E85" i="6"/>
  <c r="K84" i="6"/>
  <c r="R84" i="12" s="1"/>
  <c r="H81" i="6"/>
  <c r="E80" i="6"/>
  <c r="I80" i="6"/>
  <c r="M80" i="12" s="1"/>
  <c r="L77" i="6"/>
  <c r="O77" i="12" s="1"/>
  <c r="E77" i="6"/>
  <c r="K76" i="6"/>
  <c r="D73" i="6"/>
  <c r="F73" i="6"/>
  <c r="M73" i="6"/>
  <c r="E72" i="6"/>
  <c r="C72" i="6"/>
  <c r="L72" i="5" s="1"/>
  <c r="O72" i="6"/>
  <c r="I67" i="6"/>
  <c r="F61" i="6"/>
  <c r="I55" i="6"/>
  <c r="M55" i="12" s="1"/>
  <c r="F49" i="6"/>
  <c r="E49" i="6"/>
  <c r="H49" i="6"/>
  <c r="O47" i="6"/>
  <c r="J46" i="6"/>
  <c r="J38" i="6"/>
  <c r="M33" i="6"/>
  <c r="M25" i="6"/>
  <c r="E25" i="6"/>
  <c r="M21" i="6"/>
  <c r="E21" i="6"/>
  <c r="M11" i="6"/>
  <c r="F159" i="6"/>
  <c r="I154" i="6"/>
  <c r="Q154" i="12" s="1"/>
  <c r="E153" i="6"/>
  <c r="F142" i="6"/>
  <c r="E141" i="6"/>
  <c r="M139" i="6"/>
  <c r="E139" i="6"/>
  <c r="F134" i="6"/>
  <c r="N131" i="6"/>
  <c r="I131" i="6"/>
  <c r="D131" i="6"/>
  <c r="L127" i="6"/>
  <c r="K126" i="6"/>
  <c r="S126" i="12" s="1"/>
  <c r="L121" i="6"/>
  <c r="L116" i="6"/>
  <c r="F115" i="6"/>
  <c r="G107" i="6"/>
  <c r="H105" i="6"/>
  <c r="M99" i="6"/>
  <c r="H99" i="6"/>
  <c r="M97" i="6"/>
  <c r="B97" i="6"/>
  <c r="O95" i="6"/>
  <c r="D95" i="6"/>
  <c r="N93" i="6"/>
  <c r="I93" i="6"/>
  <c r="D93" i="6"/>
  <c r="K92" i="6"/>
  <c r="S92" i="12" s="1"/>
  <c r="G91" i="6"/>
  <c r="H89" i="6"/>
  <c r="J85" i="6"/>
  <c r="F81" i="6"/>
  <c r="C79" i="6"/>
  <c r="I79" i="6"/>
  <c r="J77" i="6"/>
  <c r="C75" i="6"/>
  <c r="L75" i="5" s="1"/>
  <c r="I75" i="6"/>
  <c r="Q75" i="12" s="1"/>
  <c r="E71" i="6"/>
  <c r="I71" i="6"/>
  <c r="G68" i="6"/>
  <c r="C68" i="6"/>
  <c r="L68" i="5" s="1"/>
  <c r="G67" i="6"/>
  <c r="C63" i="6"/>
  <c r="E63" i="6"/>
  <c r="C59" i="6"/>
  <c r="B59" i="6"/>
  <c r="H59" i="6"/>
  <c r="M59" i="6"/>
  <c r="D59" i="6"/>
  <c r="I59" i="6"/>
  <c r="Q59" i="12" s="1"/>
  <c r="N59" i="6"/>
  <c r="D57" i="6"/>
  <c r="L57" i="6"/>
  <c r="O57" i="12" s="1"/>
  <c r="G55" i="6"/>
  <c r="L47" i="6"/>
  <c r="B43" i="6"/>
  <c r="F43" i="6"/>
  <c r="I43" i="6"/>
  <c r="E35" i="6"/>
  <c r="G35" i="6"/>
  <c r="O35" i="6"/>
  <c r="I35" i="6"/>
  <c r="J33" i="6"/>
  <c r="L25" i="6"/>
  <c r="L21" i="6"/>
  <c r="E19" i="6"/>
  <c r="H19" i="6"/>
  <c r="P19" i="12" s="1"/>
  <c r="H14" i="6"/>
  <c r="L14" i="12" s="1"/>
  <c r="E14" i="6"/>
  <c r="L14" i="6"/>
  <c r="D11" i="6"/>
  <c r="I11" i="6"/>
  <c r="N11" i="6"/>
  <c r="E11" i="6"/>
  <c r="J11" i="6"/>
  <c r="B181" i="10"/>
  <c r="C181" i="10"/>
  <c r="K181" i="10"/>
  <c r="E181" i="10"/>
  <c r="M181" i="10"/>
  <c r="G181" i="10"/>
  <c r="O181" i="10"/>
  <c r="K139" i="6"/>
  <c r="C139" i="6"/>
  <c r="L137" i="6"/>
  <c r="M131" i="6"/>
  <c r="H131" i="6"/>
  <c r="B131" i="6"/>
  <c r="G127" i="6"/>
  <c r="C126" i="6"/>
  <c r="F121" i="6"/>
  <c r="I117" i="6"/>
  <c r="D116" i="6"/>
  <c r="O107" i="6"/>
  <c r="D107" i="6"/>
  <c r="O100" i="6"/>
  <c r="M93" i="6"/>
  <c r="H93" i="6"/>
  <c r="P93" i="12" s="1"/>
  <c r="C92" i="6"/>
  <c r="L92" i="5" s="1"/>
  <c r="E89" i="6"/>
  <c r="B85" i="6"/>
  <c r="H85" i="6"/>
  <c r="P85" i="12" s="1"/>
  <c r="M85" i="6"/>
  <c r="G84" i="6"/>
  <c r="I84" i="6"/>
  <c r="Q84" i="12" s="1"/>
  <c r="M81" i="6"/>
  <c r="B77" i="6"/>
  <c r="H77" i="6"/>
  <c r="L77" i="12" s="1"/>
  <c r="M77" i="6"/>
  <c r="G76" i="6"/>
  <c r="I76" i="6"/>
  <c r="O67" i="6"/>
  <c r="D64" i="6"/>
  <c r="G64" i="6"/>
  <c r="K62" i="6"/>
  <c r="S62" i="12" s="1"/>
  <c r="N55" i="6"/>
  <c r="E46" i="6"/>
  <c r="C46" i="6"/>
  <c r="N46" i="6"/>
  <c r="F46" i="6"/>
  <c r="O46" i="6"/>
  <c r="F38" i="6"/>
  <c r="O38" i="6"/>
  <c r="G38" i="6"/>
  <c r="I28" i="6"/>
  <c r="L26" i="6"/>
  <c r="B25" i="6"/>
  <c r="F25" i="6"/>
  <c r="J25" i="6"/>
  <c r="N25" i="6"/>
  <c r="C25" i="6"/>
  <c r="G25" i="6"/>
  <c r="K25" i="6"/>
  <c r="S25" i="12" s="1"/>
  <c r="O25" i="6"/>
  <c r="L22" i="6"/>
  <c r="B21" i="6"/>
  <c r="F21" i="6"/>
  <c r="J21" i="6"/>
  <c r="N21" i="6"/>
  <c r="C21" i="6"/>
  <c r="G21" i="6"/>
  <c r="K21" i="6"/>
  <c r="S21" i="12" s="1"/>
  <c r="O21" i="6"/>
  <c r="C189" i="10"/>
  <c r="K189" i="10"/>
  <c r="E189" i="10"/>
  <c r="M189" i="10"/>
  <c r="G189" i="10"/>
  <c r="O189" i="10"/>
  <c r="D81" i="6"/>
  <c r="B81" i="6"/>
  <c r="J81" i="6"/>
  <c r="C67" i="6"/>
  <c r="L67" i="5" s="1"/>
  <c r="K67" i="6"/>
  <c r="N67" i="12" s="1"/>
  <c r="C55" i="6"/>
  <c r="E55" i="6"/>
  <c r="J55" i="6"/>
  <c r="O55" i="6"/>
  <c r="F55" i="6"/>
  <c r="K55" i="6"/>
  <c r="R55" i="12" s="1"/>
  <c r="C47" i="6"/>
  <c r="G47" i="6"/>
  <c r="I47" i="6"/>
  <c r="Q47" i="12" s="1"/>
  <c r="E33" i="6"/>
  <c r="F33" i="6"/>
  <c r="H33" i="6"/>
  <c r="D182" i="10"/>
  <c r="C182" i="10"/>
  <c r="K182" i="10"/>
  <c r="E182" i="10"/>
  <c r="L182" i="10"/>
  <c r="G182" i="10"/>
  <c r="M182" i="10"/>
  <c r="K184" i="10"/>
  <c r="E184" i="10"/>
  <c r="K180" i="10"/>
  <c r="L179" i="10"/>
  <c r="E179" i="10"/>
  <c r="O177" i="10"/>
  <c r="K177" i="10"/>
  <c r="G177" i="10"/>
  <c r="C177" i="10"/>
  <c r="N176" i="10"/>
  <c r="I176" i="10"/>
  <c r="C176" i="10"/>
  <c r="I170" i="10"/>
  <c r="M169" i="10"/>
  <c r="O166" i="10"/>
  <c r="I166" i="10"/>
  <c r="D166" i="10"/>
  <c r="I165" i="10"/>
  <c r="K164" i="10"/>
  <c r="M163" i="10"/>
  <c r="F163" i="10"/>
  <c r="F160" i="10"/>
  <c r="L158" i="10"/>
  <c r="G152" i="10"/>
  <c r="K150" i="10"/>
  <c r="E150" i="10"/>
  <c r="O149" i="10"/>
  <c r="J149" i="10"/>
  <c r="E149" i="10"/>
  <c r="G145" i="10"/>
  <c r="L142" i="10"/>
  <c r="I140" i="10"/>
  <c r="L138" i="10"/>
  <c r="G136" i="10"/>
  <c r="H134" i="10"/>
  <c r="I130" i="10"/>
  <c r="F128" i="10"/>
  <c r="K124" i="10"/>
  <c r="E124" i="10"/>
  <c r="L117" i="10"/>
  <c r="H117" i="10"/>
  <c r="D117" i="10"/>
  <c r="O116" i="10"/>
  <c r="J116" i="10"/>
  <c r="E116" i="10"/>
  <c r="H114" i="10"/>
  <c r="M106" i="10"/>
  <c r="D104" i="10"/>
  <c r="B104" i="10"/>
  <c r="J104" i="10"/>
  <c r="C101" i="10"/>
  <c r="B101" i="10"/>
  <c r="H101" i="10"/>
  <c r="M101" i="10"/>
  <c r="G100" i="10"/>
  <c r="B90" i="10"/>
  <c r="E90" i="10"/>
  <c r="M90" i="10"/>
  <c r="M85" i="10"/>
  <c r="E85" i="10"/>
  <c r="D84" i="10"/>
  <c r="B84" i="10"/>
  <c r="G84" i="10"/>
  <c r="M84" i="10"/>
  <c r="E84" i="10"/>
  <c r="J84" i="10"/>
  <c r="O84" i="10"/>
  <c r="D76" i="10"/>
  <c r="F76" i="10"/>
  <c r="N73" i="10"/>
  <c r="C69" i="10"/>
  <c r="B69" i="10"/>
  <c r="H69" i="10"/>
  <c r="M69" i="10"/>
  <c r="E69" i="10"/>
  <c r="J69" i="10"/>
  <c r="J41" i="6"/>
  <c r="I39" i="6"/>
  <c r="K36" i="6"/>
  <c r="J17" i="6"/>
  <c r="E17" i="6"/>
  <c r="G8" i="6"/>
  <c r="J184" i="10"/>
  <c r="B184" i="10"/>
  <c r="F180" i="10"/>
  <c r="J179" i="10"/>
  <c r="B179" i="10"/>
  <c r="N177" i="10"/>
  <c r="J177" i="10"/>
  <c r="F177" i="10"/>
  <c r="M176" i="10"/>
  <c r="G176" i="10"/>
  <c r="L173" i="10"/>
  <c r="H173" i="10"/>
  <c r="G170" i="10"/>
  <c r="I169" i="10"/>
  <c r="M168" i="10"/>
  <c r="F168" i="10"/>
  <c r="N167" i="10"/>
  <c r="M166" i="10"/>
  <c r="H166" i="10"/>
  <c r="E165" i="10"/>
  <c r="I164" i="10"/>
  <c r="L163" i="10"/>
  <c r="E163" i="10"/>
  <c r="L162" i="10"/>
  <c r="O161" i="10"/>
  <c r="G161" i="10"/>
  <c r="N160" i="10"/>
  <c r="C160" i="10"/>
  <c r="G158" i="10"/>
  <c r="J155" i="10"/>
  <c r="G154" i="10"/>
  <c r="I153" i="10"/>
  <c r="O152" i="10"/>
  <c r="E152" i="10"/>
  <c r="O150" i="10"/>
  <c r="I150" i="10"/>
  <c r="D150" i="10"/>
  <c r="N149" i="10"/>
  <c r="I149" i="10"/>
  <c r="C149" i="10"/>
  <c r="K148" i="10"/>
  <c r="O145" i="10"/>
  <c r="D145" i="10"/>
  <c r="H142" i="10"/>
  <c r="E140" i="10"/>
  <c r="I137" i="10"/>
  <c r="O136" i="10"/>
  <c r="F136" i="10"/>
  <c r="D130" i="10"/>
  <c r="N128" i="10"/>
  <c r="L126" i="10"/>
  <c r="J124" i="10"/>
  <c r="B124" i="10"/>
  <c r="O117" i="10"/>
  <c r="K117" i="10"/>
  <c r="G117" i="10"/>
  <c r="C117" i="10"/>
  <c r="N116" i="10"/>
  <c r="I116" i="10"/>
  <c r="C116" i="10"/>
  <c r="M114" i="10"/>
  <c r="E114" i="10"/>
  <c r="H110" i="10"/>
  <c r="M109" i="10"/>
  <c r="K108" i="10"/>
  <c r="I106" i="10"/>
  <c r="G104" i="10"/>
  <c r="I103" i="10"/>
  <c r="O100" i="10"/>
  <c r="F100" i="10"/>
  <c r="K85" i="10"/>
  <c r="B82" i="10"/>
  <c r="D82" i="10"/>
  <c r="L82" i="10"/>
  <c r="H82" i="10"/>
  <c r="C73" i="10"/>
  <c r="B73" i="10"/>
  <c r="H73" i="10"/>
  <c r="M73" i="10"/>
  <c r="E73" i="10"/>
  <c r="J73" i="10"/>
  <c r="I69" i="10"/>
  <c r="O170" i="10"/>
  <c r="E169" i="10"/>
  <c r="I167" i="10"/>
  <c r="J163" i="10"/>
  <c r="B163" i="10"/>
  <c r="K152" i="10"/>
  <c r="M150" i="10"/>
  <c r="H150" i="10"/>
  <c r="M149" i="10"/>
  <c r="G149" i="10"/>
  <c r="I143" i="10"/>
  <c r="M136" i="10"/>
  <c r="N117" i="10"/>
  <c r="J117" i="10"/>
  <c r="F117" i="10"/>
  <c r="M116" i="10"/>
  <c r="G116" i="10"/>
  <c r="B116" i="10"/>
  <c r="L114" i="10"/>
  <c r="D114" i="10"/>
  <c r="M100" i="10"/>
  <c r="B85" i="10"/>
  <c r="F85" i="10"/>
  <c r="J85" i="10"/>
  <c r="N85" i="10"/>
  <c r="D85" i="10"/>
  <c r="H85" i="10"/>
  <c r="L85" i="10"/>
  <c r="D100" i="10"/>
  <c r="E100" i="10"/>
  <c r="K100" i="10"/>
  <c r="C81" i="10"/>
  <c r="E81" i="10"/>
  <c r="M81" i="10"/>
  <c r="K7" i="10"/>
  <c r="F96" i="10"/>
  <c r="F92" i="10"/>
  <c r="O89" i="10"/>
  <c r="K89" i="10"/>
  <c r="G89" i="10"/>
  <c r="N88" i="10"/>
  <c r="I88" i="10"/>
  <c r="C88" i="10"/>
  <c r="K80" i="10"/>
  <c r="M78" i="10"/>
  <c r="E78" i="10"/>
  <c r="I77" i="10"/>
  <c r="H66" i="10"/>
  <c r="M65" i="10"/>
  <c r="E65" i="10"/>
  <c r="H62" i="10"/>
  <c r="M61" i="10"/>
  <c r="E61" i="10"/>
  <c r="I60" i="10"/>
  <c r="H58" i="10"/>
  <c r="L53" i="10"/>
  <c r="H53" i="10"/>
  <c r="D53" i="10"/>
  <c r="O52" i="10"/>
  <c r="J52" i="10"/>
  <c r="E52" i="10"/>
  <c r="H50" i="10"/>
  <c r="I48" i="10"/>
  <c r="B48" i="10"/>
  <c r="L46" i="10"/>
  <c r="D46" i="10"/>
  <c r="M45" i="10"/>
  <c r="G45" i="10"/>
  <c r="B45" i="10"/>
  <c r="K44" i="10"/>
  <c r="C44" i="10"/>
  <c r="M42" i="10"/>
  <c r="D42" i="10"/>
  <c r="M40" i="10"/>
  <c r="B40" i="10"/>
  <c r="M38" i="10"/>
  <c r="D38" i="10"/>
  <c r="J37" i="10"/>
  <c r="B37" i="10"/>
  <c r="G36" i="10"/>
  <c r="L30" i="10"/>
  <c r="I29" i="10"/>
  <c r="O25" i="10"/>
  <c r="K25" i="10"/>
  <c r="G25" i="10"/>
  <c r="N24" i="10"/>
  <c r="I24" i="10"/>
  <c r="C24" i="10"/>
  <c r="L20" i="10"/>
  <c r="E14" i="10"/>
  <c r="H13" i="10"/>
  <c r="O12" i="10"/>
  <c r="D12" i="10"/>
  <c r="F7" i="10"/>
  <c r="O53" i="10"/>
  <c r="K53" i="10"/>
  <c r="G53" i="10"/>
  <c r="C53" i="10"/>
  <c r="N52" i="10"/>
  <c r="I52" i="10"/>
  <c r="C52" i="10"/>
  <c r="E50" i="10"/>
  <c r="F36" i="10"/>
  <c r="I30" i="10"/>
  <c r="L21" i="10"/>
  <c r="N53" i="10"/>
  <c r="J53" i="10"/>
  <c r="F53" i="10"/>
  <c r="M52" i="10"/>
  <c r="G52" i="10"/>
  <c r="B52" i="10"/>
  <c r="L50" i="10"/>
  <c r="D50" i="10"/>
  <c r="M48" i="10"/>
  <c r="F48" i="10"/>
  <c r="H46" i="10"/>
  <c r="O45" i="10"/>
  <c r="J45" i="10"/>
  <c r="E45" i="10"/>
  <c r="I42" i="10"/>
  <c r="I41" i="10"/>
  <c r="G40" i="10"/>
  <c r="I39" i="10"/>
  <c r="I38" i="10"/>
  <c r="N37" i="10"/>
  <c r="F37" i="10"/>
  <c r="M36" i="10"/>
  <c r="B36" i="10"/>
  <c r="I31" i="10"/>
  <c r="D30" i="10"/>
  <c r="I26" i="10"/>
  <c r="H17" i="10"/>
  <c r="K14" i="10"/>
  <c r="B13" i="10"/>
  <c r="H246" i="2"/>
  <c r="F248" i="2"/>
  <c r="F54" i="8"/>
  <c r="J50" i="8"/>
  <c r="I49" i="8"/>
  <c r="E43" i="8"/>
  <c r="J42" i="8"/>
  <c r="E42" i="8"/>
  <c r="I41" i="8"/>
  <c r="I40" i="8"/>
  <c r="H39" i="8"/>
  <c r="G38" i="8"/>
  <c r="I35" i="8"/>
  <c r="I34" i="8"/>
  <c r="F30" i="8"/>
  <c r="J26" i="8"/>
  <c r="I25" i="8"/>
  <c r="H23" i="8"/>
  <c r="E22" i="8"/>
  <c r="J10" i="8"/>
  <c r="I9" i="8"/>
  <c r="H7" i="8"/>
  <c r="G51" i="8"/>
  <c r="F50" i="8"/>
  <c r="I43" i="8"/>
  <c r="D43" i="8"/>
  <c r="I42" i="8"/>
  <c r="C42" i="8"/>
  <c r="G41" i="8"/>
  <c r="F40" i="8"/>
  <c r="G39" i="8"/>
  <c r="G27" i="8"/>
  <c r="F26" i="8"/>
  <c r="E51" i="8"/>
  <c r="E50" i="8"/>
  <c r="H43" i="8"/>
  <c r="G42" i="8"/>
  <c r="E39" i="8"/>
  <c r="E27" i="8"/>
  <c r="E26" i="8"/>
  <c r="I24" i="8"/>
  <c r="G22" i="8"/>
  <c r="E11" i="8"/>
  <c r="E10" i="8"/>
  <c r="I8" i="8"/>
  <c r="K163" i="5"/>
  <c r="C159" i="5"/>
  <c r="C155" i="5"/>
  <c r="K147" i="5"/>
  <c r="N146" i="5"/>
  <c r="O145" i="5"/>
  <c r="C145" i="5"/>
  <c r="C143" i="5"/>
  <c r="I142" i="5"/>
  <c r="K137" i="5"/>
  <c r="N135" i="5"/>
  <c r="K131" i="5"/>
  <c r="N130" i="5"/>
  <c r="O129" i="5"/>
  <c r="C129" i="5"/>
  <c r="C127" i="5"/>
  <c r="I126" i="5"/>
  <c r="K121" i="5"/>
  <c r="N119" i="5"/>
  <c r="K115" i="5"/>
  <c r="N114" i="5"/>
  <c r="O113" i="5"/>
  <c r="C113" i="5"/>
  <c r="C111" i="5"/>
  <c r="I110" i="5"/>
  <c r="C107" i="5"/>
  <c r="I106" i="5"/>
  <c r="C103" i="5"/>
  <c r="I102" i="5"/>
  <c r="C99" i="5"/>
  <c r="I98" i="5"/>
  <c r="C95" i="5"/>
  <c r="I94" i="5"/>
  <c r="C91" i="5"/>
  <c r="I90" i="5"/>
  <c r="C87" i="5"/>
  <c r="I86" i="5"/>
  <c r="C83" i="5"/>
  <c r="I82" i="5"/>
  <c r="C79" i="5"/>
  <c r="I78" i="5"/>
  <c r="C75" i="5"/>
  <c r="I74" i="5"/>
  <c r="C71" i="5"/>
  <c r="I70" i="5"/>
  <c r="C67" i="5"/>
  <c r="I66" i="5"/>
  <c r="C63" i="5"/>
  <c r="N49" i="5"/>
  <c r="O48" i="5"/>
  <c r="C48" i="5"/>
  <c r="K46" i="5"/>
  <c r="N45" i="5"/>
  <c r="O44" i="5"/>
  <c r="C44" i="5"/>
  <c r="K42" i="5"/>
  <c r="N41" i="5"/>
  <c r="O40" i="5"/>
  <c r="C40" i="5"/>
  <c r="K38" i="5"/>
  <c r="N37" i="5"/>
  <c r="O36" i="5"/>
  <c r="C36" i="5"/>
  <c r="K34" i="5"/>
  <c r="N33" i="5"/>
  <c r="O32" i="5"/>
  <c r="P32" i="5" s="1"/>
  <c r="C32" i="5"/>
  <c r="K30" i="5"/>
  <c r="N29" i="5"/>
  <c r="O28" i="5"/>
  <c r="C28" i="5"/>
  <c r="K26" i="5"/>
  <c r="N25" i="5"/>
  <c r="O24" i="5"/>
  <c r="C24" i="5"/>
  <c r="K22" i="5"/>
  <c r="N21" i="5"/>
  <c r="O20" i="5"/>
  <c r="P20" i="5" s="1"/>
  <c r="C20" i="5"/>
  <c r="K18" i="5"/>
  <c r="N17" i="5"/>
  <c r="O16" i="5"/>
  <c r="C16" i="5"/>
  <c r="K14" i="5"/>
  <c r="N13" i="5"/>
  <c r="O12" i="5"/>
  <c r="P12" i="5" s="1"/>
  <c r="C12" i="5"/>
  <c r="K10" i="5"/>
  <c r="N9" i="5"/>
  <c r="O8" i="5"/>
  <c r="P8" i="5" s="1"/>
  <c r="C8" i="5"/>
  <c r="M188" i="11"/>
  <c r="I187" i="11"/>
  <c r="M186" i="11"/>
  <c r="K185" i="11"/>
  <c r="L179" i="11"/>
  <c r="D177" i="11"/>
  <c r="F177" i="11"/>
  <c r="C174" i="11"/>
  <c r="M174" i="11"/>
  <c r="B166" i="11"/>
  <c r="G166" i="11"/>
  <c r="O166" i="11"/>
  <c r="D165" i="11"/>
  <c r="C165" i="11"/>
  <c r="N165" i="11"/>
  <c r="K161" i="11"/>
  <c r="M159" i="11"/>
  <c r="I158" i="11"/>
  <c r="K157" i="11"/>
  <c r="I156" i="11"/>
  <c r="F153" i="11"/>
  <c r="B151" i="11"/>
  <c r="H151" i="11"/>
  <c r="C144" i="11"/>
  <c r="D144" i="11"/>
  <c r="I144" i="11"/>
  <c r="N144" i="11"/>
  <c r="O142" i="11"/>
  <c r="D141" i="11"/>
  <c r="I141" i="11"/>
  <c r="B139" i="11"/>
  <c r="E139" i="11"/>
  <c r="I137" i="11"/>
  <c r="J136" i="11"/>
  <c r="B135" i="11"/>
  <c r="I135" i="11"/>
  <c r="H132" i="11"/>
  <c r="C130" i="11"/>
  <c r="E130" i="11"/>
  <c r="O126" i="11"/>
  <c r="J126" i="11"/>
  <c r="E126" i="11"/>
  <c r="L114" i="11"/>
  <c r="E108" i="11"/>
  <c r="J108" i="11"/>
  <c r="B108" i="11"/>
  <c r="H108" i="11"/>
  <c r="M108" i="11"/>
  <c r="O105" i="11"/>
  <c r="N88" i="11"/>
  <c r="E85" i="11"/>
  <c r="M85" i="11"/>
  <c r="C78" i="11"/>
  <c r="I78" i="11"/>
  <c r="M78" i="11"/>
  <c r="E78" i="11"/>
  <c r="I137" i="5"/>
  <c r="K135" i="5"/>
  <c r="N134" i="5"/>
  <c r="I121" i="5"/>
  <c r="K119" i="5"/>
  <c r="N118" i="5"/>
  <c r="H187" i="11"/>
  <c r="I186" i="11"/>
  <c r="M182" i="11"/>
  <c r="I179" i="11"/>
  <c r="B175" i="11"/>
  <c r="I175" i="11"/>
  <c r="K169" i="11"/>
  <c r="B159" i="11"/>
  <c r="H159" i="11"/>
  <c r="E158" i="11"/>
  <c r="I157" i="11"/>
  <c r="M143" i="11"/>
  <c r="B142" i="11"/>
  <c r="E142" i="11"/>
  <c r="M142" i="11"/>
  <c r="M138" i="11"/>
  <c r="C136" i="11"/>
  <c r="D136" i="11"/>
  <c r="I136" i="11"/>
  <c r="N136" i="11"/>
  <c r="D133" i="11"/>
  <c r="I133" i="11"/>
  <c r="F132" i="11"/>
  <c r="B131" i="11"/>
  <c r="E131" i="11"/>
  <c r="N126" i="11"/>
  <c r="I126" i="11"/>
  <c r="C126" i="11"/>
  <c r="C119" i="11"/>
  <c r="L119" i="11"/>
  <c r="E119" i="11"/>
  <c r="D118" i="11"/>
  <c r="G118" i="11"/>
  <c r="M118" i="11"/>
  <c r="C118" i="11"/>
  <c r="K118" i="11"/>
  <c r="H114" i="11"/>
  <c r="N112" i="11"/>
  <c r="B110" i="11"/>
  <c r="F110" i="11"/>
  <c r="J105" i="11"/>
  <c r="E102" i="11"/>
  <c r="I102" i="11"/>
  <c r="C102" i="11"/>
  <c r="O102" i="11"/>
  <c r="C88" i="11"/>
  <c r="E88" i="11"/>
  <c r="J88" i="11"/>
  <c r="B88" i="11"/>
  <c r="H88" i="11"/>
  <c r="M88" i="11"/>
  <c r="I160" i="5"/>
  <c r="N159" i="5"/>
  <c r="N155" i="5"/>
  <c r="I150" i="5"/>
  <c r="N143" i="5"/>
  <c r="O137" i="5"/>
  <c r="P137" i="5" s="1"/>
  <c r="C135" i="5"/>
  <c r="I134" i="5"/>
  <c r="N127" i="5"/>
  <c r="O121" i="5"/>
  <c r="C119" i="5"/>
  <c r="I118" i="5"/>
  <c r="N111" i="5"/>
  <c r="N108" i="5"/>
  <c r="N107" i="5"/>
  <c r="P107" i="5" s="1"/>
  <c r="N104" i="5"/>
  <c r="N103" i="5"/>
  <c r="N100" i="5"/>
  <c r="N99" i="5"/>
  <c r="N96" i="5"/>
  <c r="N95" i="5"/>
  <c r="N92" i="5"/>
  <c r="N91" i="5"/>
  <c r="N88" i="5"/>
  <c r="N87" i="5"/>
  <c r="N84" i="5"/>
  <c r="N83" i="5"/>
  <c r="P83" i="5" s="1"/>
  <c r="N80" i="5"/>
  <c r="N79" i="5"/>
  <c r="N76" i="5"/>
  <c r="N75" i="5"/>
  <c r="N72" i="5"/>
  <c r="N71" i="5"/>
  <c r="N68" i="5"/>
  <c r="N67" i="5"/>
  <c r="P67" i="5" s="1"/>
  <c r="N64" i="5"/>
  <c r="N63" i="5"/>
  <c r="K48" i="5"/>
  <c r="K44" i="5"/>
  <c r="K40" i="5"/>
  <c r="K36" i="5"/>
  <c r="K32" i="5"/>
  <c r="K28" i="5"/>
  <c r="K24" i="5"/>
  <c r="K20" i="5"/>
  <c r="K16" i="5"/>
  <c r="K12" i="5"/>
  <c r="K8" i="5"/>
  <c r="D187" i="11"/>
  <c r="E186" i="11"/>
  <c r="C178" i="11"/>
  <c r="I178" i="11"/>
  <c r="L175" i="11"/>
  <c r="D173" i="11"/>
  <c r="K173" i="11"/>
  <c r="F169" i="11"/>
  <c r="B167" i="11"/>
  <c r="H167" i="11"/>
  <c r="I159" i="11"/>
  <c r="M158" i="11"/>
  <c r="B150" i="11"/>
  <c r="G150" i="11"/>
  <c r="O150" i="11"/>
  <c r="D149" i="11"/>
  <c r="C149" i="11"/>
  <c r="N149" i="11"/>
  <c r="I142" i="11"/>
  <c r="C140" i="11"/>
  <c r="E140" i="11"/>
  <c r="L140" i="11"/>
  <c r="M136" i="11"/>
  <c r="F136" i="11"/>
  <c r="B134" i="11"/>
  <c r="E134" i="11"/>
  <c r="M134" i="11"/>
  <c r="M132" i="11"/>
  <c r="M126" i="11"/>
  <c r="G126" i="11"/>
  <c r="B121" i="11"/>
  <c r="J121" i="11"/>
  <c r="F121" i="11"/>
  <c r="M121" i="11"/>
  <c r="L118" i="11"/>
  <c r="F108" i="11"/>
  <c r="C103" i="11"/>
  <c r="H103" i="11"/>
  <c r="M103" i="11"/>
  <c r="E103" i="11"/>
  <c r="K103" i="11"/>
  <c r="F97" i="11"/>
  <c r="C97" i="11"/>
  <c r="K97" i="11"/>
  <c r="I88" i="11"/>
  <c r="C87" i="11"/>
  <c r="I87" i="11"/>
  <c r="C86" i="11"/>
  <c r="K86" i="11"/>
  <c r="G86" i="11"/>
  <c r="O86" i="11"/>
  <c r="C182" i="11"/>
  <c r="E182" i="11"/>
  <c r="B179" i="11"/>
  <c r="H179" i="11"/>
  <c r="B158" i="11"/>
  <c r="G158" i="11"/>
  <c r="O158" i="11"/>
  <c r="D157" i="11"/>
  <c r="C157" i="11"/>
  <c r="N157" i="11"/>
  <c r="B143" i="11"/>
  <c r="I143" i="11"/>
  <c r="C138" i="11"/>
  <c r="E138" i="11"/>
  <c r="C132" i="11"/>
  <c r="E132" i="11"/>
  <c r="L132" i="11"/>
  <c r="D126" i="11"/>
  <c r="H126" i="11"/>
  <c r="L126" i="11"/>
  <c r="B120" i="11"/>
  <c r="L120" i="11"/>
  <c r="D114" i="11"/>
  <c r="C114" i="11"/>
  <c r="K114" i="11"/>
  <c r="G114" i="11"/>
  <c r="M114" i="11"/>
  <c r="L112" i="11"/>
  <c r="D112" i="11"/>
  <c r="E105" i="11"/>
  <c r="B105" i="11"/>
  <c r="M105" i="11"/>
  <c r="G105" i="11"/>
  <c r="C79" i="11"/>
  <c r="I79" i="11"/>
  <c r="F122" i="11"/>
  <c r="H111" i="11"/>
  <c r="L99" i="11"/>
  <c r="M98" i="11"/>
  <c r="L92" i="11"/>
  <c r="E92" i="11"/>
  <c r="N84" i="11"/>
  <c r="I84" i="11"/>
  <c r="D84" i="11"/>
  <c r="I83" i="11"/>
  <c r="I82" i="11"/>
  <c r="J80" i="11"/>
  <c r="E80" i="11"/>
  <c r="N76" i="11"/>
  <c r="I76" i="11"/>
  <c r="D76" i="11"/>
  <c r="I75" i="11"/>
  <c r="N68" i="11"/>
  <c r="I68" i="11"/>
  <c r="D68" i="11"/>
  <c r="N64" i="11"/>
  <c r="I64" i="11"/>
  <c r="D64" i="11"/>
  <c r="O62" i="11"/>
  <c r="K62" i="11"/>
  <c r="G62" i="11"/>
  <c r="M61" i="11"/>
  <c r="E61" i="11"/>
  <c r="M58" i="11"/>
  <c r="H58" i="11"/>
  <c r="B58" i="11"/>
  <c r="I57" i="11"/>
  <c r="L56" i="11"/>
  <c r="O54" i="11"/>
  <c r="K54" i="11"/>
  <c r="G54" i="11"/>
  <c r="M53" i="11"/>
  <c r="E53" i="11"/>
  <c r="M50" i="11"/>
  <c r="H50" i="11"/>
  <c r="B50" i="11"/>
  <c r="I49" i="11"/>
  <c r="L48" i="11"/>
  <c r="M47" i="11"/>
  <c r="D47" i="11"/>
  <c r="K46" i="11"/>
  <c r="C46" i="11"/>
  <c r="K45" i="11"/>
  <c r="L40" i="11"/>
  <c r="G39" i="11"/>
  <c r="E38" i="11"/>
  <c r="M30" i="11"/>
  <c r="H30" i="11"/>
  <c r="C30" i="11"/>
  <c r="F29" i="11"/>
  <c r="M27" i="11"/>
  <c r="H27" i="11"/>
  <c r="C27" i="11"/>
  <c r="M26" i="11"/>
  <c r="G26" i="11"/>
  <c r="B26" i="11"/>
  <c r="F25" i="11"/>
  <c r="H24" i="11"/>
  <c r="G23" i="11"/>
  <c r="K21" i="11"/>
  <c r="O18" i="11"/>
  <c r="K18" i="11"/>
  <c r="G18" i="11"/>
  <c r="I15" i="11"/>
  <c r="J14" i="11"/>
  <c r="M13" i="11"/>
  <c r="E13" i="11"/>
  <c r="G11" i="11"/>
  <c r="O11" i="11"/>
  <c r="D10" i="11"/>
  <c r="B10" i="11"/>
  <c r="J10" i="11"/>
  <c r="F10" i="11"/>
  <c r="M10" i="11"/>
  <c r="D181" i="12"/>
  <c r="B181" i="12"/>
  <c r="G181" i="12"/>
  <c r="E181" i="12"/>
  <c r="G174" i="12"/>
  <c r="C174" i="12"/>
  <c r="F163" i="12"/>
  <c r="D163" i="12"/>
  <c r="C145" i="12"/>
  <c r="E145" i="12"/>
  <c r="C143" i="12"/>
  <c r="B143" i="12"/>
  <c r="E143" i="12"/>
  <c r="G139" i="12"/>
  <c r="G123" i="12"/>
  <c r="G115" i="12"/>
  <c r="G95" i="12"/>
  <c r="C83" i="12"/>
  <c r="D83" i="12"/>
  <c r="E83" i="12"/>
  <c r="B83" i="12"/>
  <c r="F80" i="12"/>
  <c r="D80" i="12"/>
  <c r="C9" i="11"/>
  <c r="I9" i="11"/>
  <c r="G182" i="12"/>
  <c r="C182" i="12"/>
  <c r="E178" i="12"/>
  <c r="C178" i="12"/>
  <c r="E153" i="12"/>
  <c r="C153" i="12"/>
  <c r="B142" i="12"/>
  <c r="F142" i="12"/>
  <c r="E115" i="12"/>
  <c r="C114" i="12"/>
  <c r="G114" i="12"/>
  <c r="C105" i="12"/>
  <c r="B105" i="12"/>
  <c r="F105" i="12"/>
  <c r="C103" i="12"/>
  <c r="E103" i="12"/>
  <c r="B103" i="12"/>
  <c r="B98" i="12"/>
  <c r="C98" i="12"/>
  <c r="E95" i="12"/>
  <c r="B94" i="12"/>
  <c r="G94" i="12"/>
  <c r="C94" i="12"/>
  <c r="M80" i="11"/>
  <c r="H80" i="11"/>
  <c r="B80" i="11"/>
  <c r="I77" i="11"/>
  <c r="E69" i="11"/>
  <c r="J58" i="11"/>
  <c r="E58" i="11"/>
  <c r="O57" i="11"/>
  <c r="C57" i="11"/>
  <c r="J50" i="11"/>
  <c r="E50" i="11"/>
  <c r="O49" i="11"/>
  <c r="C49" i="11"/>
  <c r="I47" i="11"/>
  <c r="O46" i="11"/>
  <c r="G46" i="11"/>
  <c r="F41" i="11"/>
  <c r="E40" i="11"/>
  <c r="M38" i="11"/>
  <c r="K30" i="11"/>
  <c r="E30" i="11"/>
  <c r="O29" i="11"/>
  <c r="K27" i="11"/>
  <c r="E27" i="11"/>
  <c r="O26" i="11"/>
  <c r="J26" i="11"/>
  <c r="E26" i="11"/>
  <c r="K25" i="11"/>
  <c r="I22" i="11"/>
  <c r="E19" i="11"/>
  <c r="F16" i="11"/>
  <c r="N14" i="11"/>
  <c r="F14" i="11"/>
  <c r="E186" i="12"/>
  <c r="C186" i="12"/>
  <c r="C175" i="12"/>
  <c r="E175" i="12"/>
  <c r="B175" i="12"/>
  <c r="C159" i="12"/>
  <c r="B159" i="12"/>
  <c r="F159" i="12"/>
  <c r="C157" i="12"/>
  <c r="E157" i="12"/>
  <c r="B157" i="12"/>
  <c r="C147" i="12"/>
  <c r="F147" i="12"/>
  <c r="B147" i="12"/>
  <c r="D137" i="12"/>
  <c r="B137" i="12"/>
  <c r="C135" i="12"/>
  <c r="E135" i="12"/>
  <c r="B135" i="12"/>
  <c r="C117" i="12"/>
  <c r="B117" i="12"/>
  <c r="E117" i="12"/>
  <c r="D97" i="12"/>
  <c r="F97" i="12"/>
  <c r="F93" i="12"/>
  <c r="D93" i="12"/>
  <c r="C91" i="12"/>
  <c r="E91" i="12"/>
  <c r="B91" i="12"/>
  <c r="N58" i="11"/>
  <c r="I58" i="11"/>
  <c r="D58" i="11"/>
  <c r="N50" i="11"/>
  <c r="I50" i="11"/>
  <c r="D50" i="11"/>
  <c r="O47" i="11"/>
  <c r="G47" i="11"/>
  <c r="M46" i="11"/>
  <c r="E46" i="11"/>
  <c r="I38" i="11"/>
  <c r="O30" i="11"/>
  <c r="I30" i="11"/>
  <c r="J29" i="11"/>
  <c r="O27" i="11"/>
  <c r="I27" i="11"/>
  <c r="N26" i="11"/>
  <c r="I26" i="11"/>
  <c r="L23" i="11"/>
  <c r="E12" i="11"/>
  <c r="I12" i="11"/>
  <c r="D12" i="11"/>
  <c r="N12" i="11"/>
  <c r="H8" i="11"/>
  <c r="N8" i="11"/>
  <c r="D8" i="11"/>
  <c r="D185" i="12"/>
  <c r="G185" i="12"/>
  <c r="C183" i="12"/>
  <c r="E183" i="12"/>
  <c r="B183" i="12"/>
  <c r="C169" i="12"/>
  <c r="E169" i="12"/>
  <c r="C146" i="12"/>
  <c r="E146" i="12"/>
  <c r="B139" i="12"/>
  <c r="F139" i="12"/>
  <c r="D139" i="12"/>
  <c r="D123" i="12"/>
  <c r="B123" i="12"/>
  <c r="F123" i="12"/>
  <c r="B115" i="12"/>
  <c r="F115" i="12"/>
  <c r="D115" i="12"/>
  <c r="D95" i="12"/>
  <c r="B95" i="12"/>
  <c r="F95" i="12"/>
  <c r="D127" i="12"/>
  <c r="E122" i="12"/>
  <c r="D107" i="12"/>
  <c r="E101" i="12"/>
  <c r="G87" i="12"/>
  <c r="E86" i="12"/>
  <c r="G81" i="12"/>
  <c r="D74" i="12"/>
  <c r="E70" i="12"/>
  <c r="E69" i="12"/>
  <c r="D67" i="12"/>
  <c r="F65" i="12"/>
  <c r="B65" i="12"/>
  <c r="G61" i="12"/>
  <c r="E55" i="12"/>
  <c r="C54" i="12"/>
  <c r="C53" i="12"/>
  <c r="D49" i="12"/>
  <c r="G48" i="12"/>
  <c r="E47" i="12"/>
  <c r="C46" i="12"/>
  <c r="C45" i="12"/>
  <c r="D41" i="12"/>
  <c r="G38" i="12"/>
  <c r="D37" i="12"/>
  <c r="B31" i="12"/>
  <c r="G29" i="12"/>
  <c r="F27" i="12"/>
  <c r="F21" i="12"/>
  <c r="E20" i="12"/>
  <c r="C15" i="12"/>
  <c r="B15" i="12"/>
  <c r="B13" i="12"/>
  <c r="E11" i="12"/>
  <c r="E179" i="13"/>
  <c r="E168" i="13"/>
  <c r="G154" i="13"/>
  <c r="B25" i="12"/>
  <c r="C25" i="12"/>
  <c r="G18" i="12"/>
  <c r="C18" i="12"/>
  <c r="E181" i="13"/>
  <c r="G181" i="13"/>
  <c r="F166" i="13"/>
  <c r="F162" i="13"/>
  <c r="G141" i="13"/>
  <c r="F133" i="13"/>
  <c r="G165" i="12"/>
  <c r="E82" i="12"/>
  <c r="B81" i="12"/>
  <c r="F74" i="12"/>
  <c r="B70" i="12"/>
  <c r="F68" i="12"/>
  <c r="D65" i="12"/>
  <c r="C62" i="12"/>
  <c r="C61" i="12"/>
  <c r="C56" i="12"/>
  <c r="G54" i="12"/>
  <c r="G53" i="12"/>
  <c r="F49" i="12"/>
  <c r="G45" i="12"/>
  <c r="F41" i="12"/>
  <c r="B39" i="12"/>
  <c r="D35" i="12"/>
  <c r="F31" i="12"/>
  <c r="G30" i="12"/>
  <c r="G26" i="12"/>
  <c r="C26" i="12"/>
  <c r="C23" i="12"/>
  <c r="E23" i="12"/>
  <c r="G17" i="12"/>
  <c r="C12" i="12"/>
  <c r="E12" i="12"/>
  <c r="C9" i="12"/>
  <c r="G174" i="13"/>
  <c r="F170" i="13"/>
  <c r="G166" i="13"/>
  <c r="G162" i="13"/>
  <c r="F161" i="13"/>
  <c r="F150" i="13"/>
  <c r="F146" i="13"/>
  <c r="F140" i="13"/>
  <c r="F132" i="13"/>
  <c r="E123" i="13"/>
  <c r="G65" i="12"/>
  <c r="E54" i="12"/>
  <c r="E53" i="12"/>
  <c r="G46" i="12"/>
  <c r="E45" i="12"/>
  <c r="E31" i="12"/>
  <c r="C28" i="12"/>
  <c r="E28" i="12"/>
  <c r="G25" i="12"/>
  <c r="C21" i="12"/>
  <c r="B21" i="12"/>
  <c r="E13" i="12"/>
  <c r="F11" i="12"/>
  <c r="G180" i="13"/>
  <c r="E166" i="13"/>
  <c r="G165" i="13"/>
  <c r="E162" i="13"/>
  <c r="F154" i="13"/>
  <c r="F145" i="13"/>
  <c r="G142" i="13"/>
  <c r="G139" i="13"/>
  <c r="G133" i="13"/>
  <c r="E131" i="13"/>
  <c r="E149" i="13"/>
  <c r="G138" i="13"/>
  <c r="E126" i="13"/>
  <c r="F125" i="13"/>
  <c r="G122" i="13"/>
  <c r="G114" i="13"/>
  <c r="G106" i="13"/>
  <c r="G98" i="13"/>
  <c r="G90" i="13"/>
  <c r="F67" i="13"/>
  <c r="E51" i="13"/>
  <c r="F48" i="13"/>
  <c r="F47" i="13"/>
  <c r="E45" i="13"/>
  <c r="E43" i="13"/>
  <c r="F41" i="13"/>
  <c r="F27" i="13"/>
  <c r="E25" i="13"/>
  <c r="E8" i="13"/>
  <c r="G8" i="13"/>
  <c r="E184" i="14"/>
  <c r="C183" i="14"/>
  <c r="F183" i="14"/>
  <c r="B176" i="14"/>
  <c r="G176" i="14" s="1"/>
  <c r="C176" i="14"/>
  <c r="B167" i="14"/>
  <c r="F167" i="14"/>
  <c r="C151" i="14"/>
  <c r="E151" i="14"/>
  <c r="B151" i="14"/>
  <c r="D144" i="14"/>
  <c r="C144" i="14"/>
  <c r="C110" i="14"/>
  <c r="E110" i="14"/>
  <c r="F68" i="13"/>
  <c r="E67" i="13"/>
  <c r="G65" i="13"/>
  <c r="F61" i="13"/>
  <c r="F49" i="13"/>
  <c r="E48" i="13"/>
  <c r="E41" i="13"/>
  <c r="E35" i="13"/>
  <c r="E27" i="13"/>
  <c r="E23" i="13"/>
  <c r="F7" i="13"/>
  <c r="C187" i="14"/>
  <c r="E187" i="14"/>
  <c r="G187" i="14" s="1"/>
  <c r="D172" i="14"/>
  <c r="B172" i="14"/>
  <c r="G172" i="14" s="1"/>
  <c r="B169" i="14"/>
  <c r="D169" i="14"/>
  <c r="E154" i="14"/>
  <c r="C154" i="14"/>
  <c r="D146" i="14"/>
  <c r="E146" i="14"/>
  <c r="C131" i="14"/>
  <c r="B131" i="14"/>
  <c r="E131" i="14"/>
  <c r="C122" i="14"/>
  <c r="E122" i="14"/>
  <c r="E81" i="13"/>
  <c r="E75" i="13"/>
  <c r="F65" i="13"/>
  <c r="F56" i="13"/>
  <c r="F44" i="13"/>
  <c r="G42" i="13"/>
  <c r="E24" i="13"/>
  <c r="G24" i="13"/>
  <c r="F11" i="13"/>
  <c r="E9" i="13"/>
  <c r="C177" i="14"/>
  <c r="D177" i="14"/>
  <c r="F172" i="14"/>
  <c r="D171" i="14"/>
  <c r="F169" i="14"/>
  <c r="C143" i="14"/>
  <c r="B143" i="14"/>
  <c r="G143" i="14" s="1"/>
  <c r="F143" i="14"/>
  <c r="F140" i="14"/>
  <c r="C128" i="14"/>
  <c r="E128" i="14"/>
  <c r="E7" i="13"/>
  <c r="D165" i="14"/>
  <c r="F165" i="14"/>
  <c r="F131" i="14"/>
  <c r="E103" i="14"/>
  <c r="D99" i="14"/>
  <c r="C97" i="14"/>
  <c r="E91" i="14"/>
  <c r="E89" i="14"/>
  <c r="D77" i="14"/>
  <c r="D73" i="14"/>
  <c r="D69" i="14"/>
  <c r="D65" i="14"/>
  <c r="D61" i="14"/>
  <c r="C57" i="14"/>
  <c r="D49" i="14"/>
  <c r="E35" i="14"/>
  <c r="D27" i="14"/>
  <c r="C25" i="14"/>
  <c r="D19" i="14"/>
  <c r="C17" i="14"/>
  <c r="E157" i="14"/>
  <c r="E153" i="14"/>
  <c r="D137" i="14"/>
  <c r="D129" i="14"/>
  <c r="D127" i="14"/>
  <c r="F123" i="14"/>
  <c r="F119" i="14"/>
  <c r="E111" i="14"/>
  <c r="D109" i="14"/>
  <c r="B103" i="14"/>
  <c r="B99" i="14"/>
  <c r="F97" i="14"/>
  <c r="B97" i="14"/>
  <c r="G97" i="14" s="1"/>
  <c r="B91" i="14"/>
  <c r="C89" i="14"/>
  <c r="E87" i="14"/>
  <c r="G87" i="14" s="1"/>
  <c r="E79" i="14"/>
  <c r="G79" i="14" s="1"/>
  <c r="B77" i="14"/>
  <c r="E75" i="14"/>
  <c r="B73" i="14"/>
  <c r="E71" i="14"/>
  <c r="B69" i="14"/>
  <c r="E67" i="14"/>
  <c r="B65" i="14"/>
  <c r="E63" i="14"/>
  <c r="B61" i="14"/>
  <c r="F57" i="14"/>
  <c r="B57" i="14"/>
  <c r="B49" i="14"/>
  <c r="D41" i="14"/>
  <c r="B35" i="14"/>
  <c r="D31" i="14"/>
  <c r="B27" i="14"/>
  <c r="F25" i="14"/>
  <c r="B25" i="14"/>
  <c r="E23" i="14"/>
  <c r="E21" i="14"/>
  <c r="B19" i="14"/>
  <c r="F17" i="14"/>
  <c r="B17" i="14"/>
  <c r="G17" i="14" s="1"/>
  <c r="E11" i="14"/>
  <c r="E10" i="14"/>
  <c r="D9" i="14"/>
  <c r="E8" i="14"/>
  <c r="G8" i="14" s="1"/>
  <c r="D7" i="14"/>
  <c r="F129" i="14"/>
  <c r="B123" i="14"/>
  <c r="B119" i="14"/>
  <c r="B111" i="14"/>
  <c r="F109" i="14"/>
  <c r="F103" i="14"/>
  <c r="E99" i="14"/>
  <c r="E96" i="14"/>
  <c r="F91" i="14"/>
  <c r="E77" i="14"/>
  <c r="E73" i="14"/>
  <c r="E69" i="14"/>
  <c r="E65" i="14"/>
  <c r="E61" i="14"/>
  <c r="F56" i="14"/>
  <c r="E49" i="14"/>
  <c r="F48" i="14"/>
  <c r="F41" i="14"/>
  <c r="F35" i="14"/>
  <c r="E34" i="14"/>
  <c r="E27" i="14"/>
  <c r="E26" i="14"/>
  <c r="E19" i="14"/>
  <c r="E18" i="14"/>
  <c r="E16" i="14"/>
  <c r="G16" i="14" s="1"/>
  <c r="B11" i="14"/>
  <c r="F9" i="14"/>
  <c r="C183" i="2"/>
  <c r="I183" i="2"/>
  <c r="E183" i="2"/>
  <c r="Q183" i="2"/>
  <c r="B183" i="2"/>
  <c r="H183" i="2"/>
  <c r="M183" i="2"/>
  <c r="D183" i="2"/>
  <c r="P183" i="2"/>
  <c r="C179" i="2"/>
  <c r="D179" i="2"/>
  <c r="L179" i="2"/>
  <c r="Q179" i="2"/>
  <c r="E179" i="2"/>
  <c r="M179" i="2"/>
  <c r="R179" i="2"/>
  <c r="B179" i="2"/>
  <c r="I179" i="2"/>
  <c r="J179" i="2" s="1"/>
  <c r="K179" i="2" s="1"/>
  <c r="P179" i="2"/>
  <c r="C185" i="2"/>
  <c r="D185" i="2"/>
  <c r="G185" i="2" s="1"/>
  <c r="P185" i="2"/>
  <c r="B185" i="2"/>
  <c r="H185" i="2"/>
  <c r="M185" i="2"/>
  <c r="R185" i="2"/>
  <c r="I185" i="2"/>
  <c r="S185" i="2"/>
  <c r="D193" i="2"/>
  <c r="P193" i="2"/>
  <c r="B193" i="2"/>
  <c r="H193" i="2"/>
  <c r="M193" i="2"/>
  <c r="R193" i="2"/>
  <c r="C193" i="2"/>
  <c r="I193" i="2"/>
  <c r="S193" i="2"/>
  <c r="R183" i="2"/>
  <c r="C180" i="2"/>
  <c r="Q180" i="2"/>
  <c r="I180" i="2"/>
  <c r="L193" i="2"/>
  <c r="Q185" i="2"/>
  <c r="L183" i="2"/>
  <c r="E167" i="2"/>
  <c r="R181" i="2"/>
  <c r="Q171" i="2"/>
  <c r="L171" i="2"/>
  <c r="E171" i="2"/>
  <c r="Q167" i="2"/>
  <c r="L167" i="2"/>
  <c r="D167" i="2"/>
  <c r="L159" i="2"/>
  <c r="D159" i="2"/>
  <c r="M192" i="2"/>
  <c r="E177" i="2"/>
  <c r="G177" i="2" s="1"/>
  <c r="I174" i="2"/>
  <c r="P171" i="2"/>
  <c r="D171" i="2"/>
  <c r="F171" i="2" s="1"/>
  <c r="C167" i="2"/>
  <c r="P159" i="2"/>
  <c r="C159" i="2"/>
  <c r="Q158" i="2"/>
  <c r="Q157" i="2"/>
  <c r="P155" i="2"/>
  <c r="I155" i="2"/>
  <c r="D155" i="2"/>
  <c r="P151" i="2"/>
  <c r="C151" i="2"/>
  <c r="Q150" i="2"/>
  <c r="Q149" i="2"/>
  <c r="L141" i="2"/>
  <c r="Q191" i="2"/>
  <c r="E191" i="2"/>
  <c r="S190" i="2"/>
  <c r="E190" i="2"/>
  <c r="R187" i="2"/>
  <c r="M187" i="2"/>
  <c r="E187" i="2"/>
  <c r="Q186" i="2"/>
  <c r="P181" i="2"/>
  <c r="H181" i="2"/>
  <c r="C181" i="2"/>
  <c r="F181" i="2" s="1"/>
  <c r="P177" i="2"/>
  <c r="S176" i="2"/>
  <c r="E176" i="2"/>
  <c r="Q175" i="2"/>
  <c r="E175" i="2"/>
  <c r="S174" i="2"/>
  <c r="S171" i="2"/>
  <c r="I171" i="2"/>
  <c r="B171" i="2"/>
  <c r="L169" i="2"/>
  <c r="L168" i="2"/>
  <c r="S167" i="2"/>
  <c r="H167" i="2"/>
  <c r="B167" i="2"/>
  <c r="I166" i="2"/>
  <c r="L165" i="2"/>
  <c r="S163" i="2"/>
  <c r="M163" i="2"/>
  <c r="H163" i="2"/>
  <c r="C163" i="2"/>
  <c r="L161" i="2"/>
  <c r="L160" i="2"/>
  <c r="S159" i="2"/>
  <c r="H159" i="2"/>
  <c r="B159" i="2"/>
  <c r="L157" i="2"/>
  <c r="S155" i="2"/>
  <c r="M155" i="2"/>
  <c r="H155" i="2"/>
  <c r="C155" i="2"/>
  <c r="L153" i="2"/>
  <c r="L152" i="2"/>
  <c r="S151" i="2"/>
  <c r="H151" i="2"/>
  <c r="J151" i="2" s="1"/>
  <c r="K151" i="2" s="1"/>
  <c r="B151" i="2"/>
  <c r="L149" i="2"/>
  <c r="P147" i="2"/>
  <c r="I147" i="2"/>
  <c r="I141" i="2"/>
  <c r="P136" i="2"/>
  <c r="H136" i="2"/>
  <c r="C136" i="2"/>
  <c r="F136" i="2" s="1"/>
  <c r="C135" i="2"/>
  <c r="L133" i="2"/>
  <c r="R132" i="2"/>
  <c r="M132" i="2"/>
  <c r="H132" i="2"/>
  <c r="B132" i="2"/>
  <c r="D130" i="2"/>
  <c r="D129" i="2"/>
  <c r="Q128" i="2"/>
  <c r="I128" i="2"/>
  <c r="Q127" i="2"/>
  <c r="S124" i="2"/>
  <c r="I124" i="2"/>
  <c r="C124" i="2"/>
  <c r="I123" i="2"/>
  <c r="I122" i="2"/>
  <c r="L121" i="2"/>
  <c r="L118" i="2"/>
  <c r="P116" i="2"/>
  <c r="S115" i="2"/>
  <c r="Q113" i="2"/>
  <c r="S112" i="2"/>
  <c r="M112" i="2"/>
  <c r="B112" i="2"/>
  <c r="I109" i="2"/>
  <c r="P104" i="2"/>
  <c r="H104" i="2"/>
  <c r="C104" i="2"/>
  <c r="F104" i="2" s="1"/>
  <c r="C103" i="2"/>
  <c r="L101" i="2"/>
  <c r="R100" i="2"/>
  <c r="M100" i="2"/>
  <c r="H100" i="2"/>
  <c r="B100" i="2"/>
  <c r="D98" i="2"/>
  <c r="D97" i="2"/>
  <c r="Q96" i="2"/>
  <c r="I96" i="2"/>
  <c r="J96" i="2" s="1"/>
  <c r="K96" i="2" s="1"/>
  <c r="Q95" i="2"/>
  <c r="S92" i="2"/>
  <c r="I92" i="2"/>
  <c r="J92" i="2" s="1"/>
  <c r="K92" i="2" s="1"/>
  <c r="C92" i="2"/>
  <c r="I91" i="2"/>
  <c r="I90" i="2"/>
  <c r="L89" i="2"/>
  <c r="L86" i="2"/>
  <c r="P84" i="2"/>
  <c r="S83" i="2"/>
  <c r="Q81" i="2"/>
  <c r="S80" i="2"/>
  <c r="M80" i="2"/>
  <c r="N80" i="2" s="1"/>
  <c r="O80" i="2" s="1"/>
  <c r="B80" i="2"/>
  <c r="I77" i="2"/>
  <c r="Q74" i="2"/>
  <c r="B72" i="2"/>
  <c r="M72" i="2"/>
  <c r="S72" i="2"/>
  <c r="L70" i="2"/>
  <c r="I67" i="2"/>
  <c r="R64" i="2"/>
  <c r="I64" i="2"/>
  <c r="L62" i="2"/>
  <c r="S60" i="2"/>
  <c r="L60" i="2"/>
  <c r="I58" i="2"/>
  <c r="I57" i="2"/>
  <c r="D57" i="2"/>
  <c r="M56" i="2"/>
  <c r="L53" i="2"/>
  <c r="Q52" i="2"/>
  <c r="Q50" i="2"/>
  <c r="D46" i="2"/>
  <c r="L46" i="2"/>
  <c r="S44" i="2"/>
  <c r="M44" i="2"/>
  <c r="D42" i="2"/>
  <c r="I41" i="2"/>
  <c r="Q41" i="2"/>
  <c r="L40" i="2"/>
  <c r="M32" i="2"/>
  <c r="N32" i="2" s="1"/>
  <c r="O32" i="2" s="1"/>
  <c r="B28" i="2"/>
  <c r="H28" i="2"/>
  <c r="M28" i="2"/>
  <c r="R28" i="2"/>
  <c r="Q26" i="2"/>
  <c r="R24" i="2"/>
  <c r="H24" i="2"/>
  <c r="D20" i="2"/>
  <c r="I20" i="2"/>
  <c r="S20" i="2"/>
  <c r="Q12" i="2"/>
  <c r="C6" i="3"/>
  <c r="O6" i="3" s="1"/>
  <c r="H10" i="2"/>
  <c r="B188" i="3"/>
  <c r="I188" i="3"/>
  <c r="O188" i="3"/>
  <c r="P186" i="3"/>
  <c r="B182" i="3"/>
  <c r="D182" i="3"/>
  <c r="E182" i="3" s="1"/>
  <c r="M182" i="3"/>
  <c r="M179" i="3"/>
  <c r="B175" i="3"/>
  <c r="G175" i="3"/>
  <c r="M175" i="3"/>
  <c r="Q175" i="3"/>
  <c r="B174" i="3"/>
  <c r="G174" i="3"/>
  <c r="O174" i="3"/>
  <c r="B172" i="3"/>
  <c r="M172" i="3"/>
  <c r="P170" i="3"/>
  <c r="P167" i="3"/>
  <c r="I167" i="3"/>
  <c r="B166" i="3"/>
  <c r="C166" i="3"/>
  <c r="L166" i="3"/>
  <c r="Q166" i="3"/>
  <c r="Q164" i="3"/>
  <c r="B163" i="3"/>
  <c r="G163" i="3"/>
  <c r="M163" i="3"/>
  <c r="Q163" i="3"/>
  <c r="B162" i="3"/>
  <c r="G162" i="3"/>
  <c r="E162" i="5" s="1"/>
  <c r="O162" i="3"/>
  <c r="Q159" i="3"/>
  <c r="L159" i="3"/>
  <c r="O158" i="3"/>
  <c r="M155" i="3"/>
  <c r="J152" i="3"/>
  <c r="K152" i="3" s="1"/>
  <c r="P151" i="3"/>
  <c r="J151" i="3"/>
  <c r="M150" i="3"/>
  <c r="B148" i="3"/>
  <c r="I148" i="3"/>
  <c r="M147" i="3"/>
  <c r="P146" i="3"/>
  <c r="C143" i="3"/>
  <c r="I143" i="3"/>
  <c r="N143" i="3"/>
  <c r="P139" i="3"/>
  <c r="J139" i="3"/>
  <c r="M138" i="3"/>
  <c r="D137" i="3"/>
  <c r="Q137" i="3"/>
  <c r="Q134" i="3"/>
  <c r="L131" i="3"/>
  <c r="P130" i="3"/>
  <c r="N129" i="3"/>
  <c r="M127" i="3"/>
  <c r="B126" i="3"/>
  <c r="C126" i="3"/>
  <c r="O126" i="3"/>
  <c r="O123" i="3"/>
  <c r="M116" i="3"/>
  <c r="D115" i="3"/>
  <c r="O115" i="3"/>
  <c r="G115" i="3"/>
  <c r="Q115" i="3"/>
  <c r="B114" i="3"/>
  <c r="M114" i="3"/>
  <c r="F114" i="3"/>
  <c r="P114" i="3"/>
  <c r="Q111" i="3"/>
  <c r="D110" i="3"/>
  <c r="N110" i="3"/>
  <c r="F110" i="3"/>
  <c r="Q110" i="3"/>
  <c r="B109" i="3"/>
  <c r="M109" i="3"/>
  <c r="F109" i="3"/>
  <c r="H109" i="3" s="1"/>
  <c r="O109" i="3"/>
  <c r="G107" i="3"/>
  <c r="L107" i="3"/>
  <c r="D88" i="3"/>
  <c r="J88" i="3"/>
  <c r="O88" i="3"/>
  <c r="B88" i="3"/>
  <c r="G88" i="3"/>
  <c r="E88" i="5" s="1"/>
  <c r="M88" i="3"/>
  <c r="Q88" i="3"/>
  <c r="C88" i="3"/>
  <c r="I88" i="3"/>
  <c r="N88" i="3"/>
  <c r="D84" i="3"/>
  <c r="J84" i="3"/>
  <c r="O84" i="3"/>
  <c r="B84" i="3"/>
  <c r="G84" i="3"/>
  <c r="M84" i="3"/>
  <c r="Q84" i="3"/>
  <c r="C84" i="3"/>
  <c r="I84" i="3"/>
  <c r="N84" i="3"/>
  <c r="H171" i="2"/>
  <c r="Q132" i="2"/>
  <c r="L132" i="2"/>
  <c r="E132" i="2"/>
  <c r="Q130" i="2"/>
  <c r="C64" i="2"/>
  <c r="H64" i="2"/>
  <c r="P64" i="2"/>
  <c r="I55" i="2"/>
  <c r="Q55" i="2"/>
  <c r="C52" i="2"/>
  <c r="I52" i="2"/>
  <c r="S52" i="2"/>
  <c r="C43" i="2"/>
  <c r="S43" i="2"/>
  <c r="D37" i="2"/>
  <c r="I4" i="21" s="1"/>
  <c r="I37" i="2"/>
  <c r="I31" i="2"/>
  <c r="C31" i="2"/>
  <c r="D29" i="2"/>
  <c r="L29" i="2"/>
  <c r="D24" i="2"/>
  <c r="I24" i="2"/>
  <c r="Q24" i="2"/>
  <c r="D185" i="3"/>
  <c r="M185" i="3"/>
  <c r="D181" i="3"/>
  <c r="P181" i="3"/>
  <c r="I173" i="3"/>
  <c r="Q173" i="3"/>
  <c r="D169" i="3"/>
  <c r="M169" i="3"/>
  <c r="D167" i="3"/>
  <c r="J167" i="3"/>
  <c r="O167" i="3"/>
  <c r="B158" i="3"/>
  <c r="C158" i="3"/>
  <c r="L158" i="3"/>
  <c r="Q158" i="3"/>
  <c r="B151" i="3"/>
  <c r="G151" i="3"/>
  <c r="E151" i="5" s="1"/>
  <c r="M151" i="3"/>
  <c r="Q151" i="3"/>
  <c r="B150" i="3"/>
  <c r="G150" i="3"/>
  <c r="O150" i="3"/>
  <c r="B139" i="3"/>
  <c r="G139" i="3"/>
  <c r="M139" i="3"/>
  <c r="Q139" i="3"/>
  <c r="B138" i="3"/>
  <c r="G138" i="3"/>
  <c r="O138" i="3"/>
  <c r="F136" i="3"/>
  <c r="Q136" i="3"/>
  <c r="B123" i="3"/>
  <c r="G123" i="3"/>
  <c r="E123" i="5" s="1"/>
  <c r="M123" i="3"/>
  <c r="Q123" i="3"/>
  <c r="C123" i="3"/>
  <c r="E123" i="3" s="1"/>
  <c r="I123" i="3"/>
  <c r="N123" i="3"/>
  <c r="C116" i="3"/>
  <c r="I116" i="3"/>
  <c r="N116" i="3"/>
  <c r="D116" i="3"/>
  <c r="J116" i="3"/>
  <c r="O116" i="3"/>
  <c r="D111" i="3"/>
  <c r="E111" i="3" s="1"/>
  <c r="M111" i="3"/>
  <c r="G111" i="3"/>
  <c r="O111" i="3"/>
  <c r="D100" i="3"/>
  <c r="J100" i="3"/>
  <c r="O100" i="3"/>
  <c r="B100" i="3"/>
  <c r="G100" i="3"/>
  <c r="H100" i="3" s="1"/>
  <c r="M100" i="3"/>
  <c r="Q100" i="3"/>
  <c r="C100" i="3"/>
  <c r="I100" i="3"/>
  <c r="N100" i="3"/>
  <c r="M176" i="2"/>
  <c r="Q159" i="2"/>
  <c r="Q151" i="2"/>
  <c r="L151" i="2"/>
  <c r="D151" i="2"/>
  <c r="P132" i="2"/>
  <c r="D132" i="2"/>
  <c r="F132" i="2" s="1"/>
  <c r="L130" i="2"/>
  <c r="Q129" i="2"/>
  <c r="Q112" i="2"/>
  <c r="I112" i="2"/>
  <c r="D112" i="2"/>
  <c r="P100" i="2"/>
  <c r="D100" i="2"/>
  <c r="L98" i="2"/>
  <c r="Q97" i="2"/>
  <c r="Q80" i="2"/>
  <c r="I80" i="2"/>
  <c r="D80" i="2"/>
  <c r="I73" i="2"/>
  <c r="Q73" i="2"/>
  <c r="M64" i="2"/>
  <c r="E64" i="2"/>
  <c r="B60" i="2"/>
  <c r="H60" i="2"/>
  <c r="M60" i="2"/>
  <c r="R60" i="2"/>
  <c r="Q58" i="2"/>
  <c r="M52" i="2"/>
  <c r="E52" i="2"/>
  <c r="I49" i="2"/>
  <c r="L49" i="2"/>
  <c r="Q42" i="2"/>
  <c r="B40" i="2"/>
  <c r="M40" i="2"/>
  <c r="S40" i="2"/>
  <c r="I25" i="2"/>
  <c r="D25" i="2"/>
  <c r="M24" i="2"/>
  <c r="E24" i="2"/>
  <c r="C13" i="2"/>
  <c r="I13" i="2"/>
  <c r="C12" i="2"/>
  <c r="F12" i="2" s="1"/>
  <c r="H12" i="2"/>
  <c r="M12" i="2"/>
  <c r="R12" i="2"/>
  <c r="B186" i="3"/>
  <c r="D186" i="3"/>
  <c r="M186" i="3"/>
  <c r="B184" i="3"/>
  <c r="N184" i="3"/>
  <c r="M181" i="3"/>
  <c r="I176" i="3"/>
  <c r="Q176" i="3"/>
  <c r="M173" i="3"/>
  <c r="B170" i="3"/>
  <c r="D170" i="3"/>
  <c r="M170" i="3"/>
  <c r="B168" i="3"/>
  <c r="N168" i="3"/>
  <c r="M167" i="3"/>
  <c r="F167" i="3"/>
  <c r="D161" i="3"/>
  <c r="Q161" i="3"/>
  <c r="D159" i="3"/>
  <c r="J159" i="3"/>
  <c r="O159" i="3"/>
  <c r="I158" i="3"/>
  <c r="N151" i="3"/>
  <c r="F151" i="3"/>
  <c r="Q150" i="3"/>
  <c r="I150" i="3"/>
  <c r="I149" i="3"/>
  <c r="Q149" i="3"/>
  <c r="B146" i="3"/>
  <c r="C146" i="3"/>
  <c r="L146" i="3"/>
  <c r="Q146" i="3"/>
  <c r="N139" i="3"/>
  <c r="F139" i="3"/>
  <c r="Q138" i="3"/>
  <c r="I138" i="3"/>
  <c r="J136" i="3"/>
  <c r="B131" i="3"/>
  <c r="G131" i="3"/>
  <c r="M131" i="3"/>
  <c r="Q131" i="3"/>
  <c r="B130" i="3"/>
  <c r="G130" i="3"/>
  <c r="O130" i="3"/>
  <c r="C129" i="3"/>
  <c r="D129" i="3"/>
  <c r="L129" i="3"/>
  <c r="Q129" i="3"/>
  <c r="J123" i="3"/>
  <c r="Q116" i="3"/>
  <c r="G116" i="3"/>
  <c r="E116" i="5" s="1"/>
  <c r="L111" i="3"/>
  <c r="P100" i="3"/>
  <c r="L88" i="3"/>
  <c r="D80" i="3"/>
  <c r="J80" i="3"/>
  <c r="O80" i="3"/>
  <c r="B80" i="3"/>
  <c r="G80" i="3"/>
  <c r="M80" i="3"/>
  <c r="Q80" i="3"/>
  <c r="C80" i="3"/>
  <c r="I80" i="3"/>
  <c r="N80" i="3"/>
  <c r="M171" i="2"/>
  <c r="R151" i="2"/>
  <c r="M151" i="2"/>
  <c r="E151" i="2"/>
  <c r="L181" i="2"/>
  <c r="E181" i="2"/>
  <c r="G181" i="2" s="1"/>
  <c r="Q155" i="2"/>
  <c r="H187" i="2"/>
  <c r="Q181" i="2"/>
  <c r="I181" i="2"/>
  <c r="P167" i="2"/>
  <c r="Q165" i="2"/>
  <c r="P163" i="2"/>
  <c r="I163" i="2"/>
  <c r="Q136" i="2"/>
  <c r="I136" i="2"/>
  <c r="Q135" i="2"/>
  <c r="S132" i="2"/>
  <c r="I132" i="2"/>
  <c r="L129" i="2"/>
  <c r="P124" i="2"/>
  <c r="S123" i="2"/>
  <c r="Q121" i="2"/>
  <c r="F120" i="2"/>
  <c r="P112" i="2"/>
  <c r="H112" i="2"/>
  <c r="L109" i="2"/>
  <c r="Q104" i="2"/>
  <c r="I104" i="2"/>
  <c r="Q103" i="2"/>
  <c r="S100" i="2"/>
  <c r="I100" i="2"/>
  <c r="L97" i="2"/>
  <c r="P92" i="2"/>
  <c r="S91" i="2"/>
  <c r="Q89" i="2"/>
  <c r="P80" i="2"/>
  <c r="H80" i="2"/>
  <c r="L77" i="2"/>
  <c r="D69" i="2"/>
  <c r="I69" i="2"/>
  <c r="S67" i="2"/>
  <c r="S64" i="2"/>
  <c r="L64" i="2"/>
  <c r="D64" i="2"/>
  <c r="I63" i="2"/>
  <c r="C63" i="2"/>
  <c r="D61" i="2"/>
  <c r="L61" i="2"/>
  <c r="E60" i="2"/>
  <c r="L58" i="2"/>
  <c r="D56" i="2"/>
  <c r="I56" i="2"/>
  <c r="Q56" i="2"/>
  <c r="R52" i="2"/>
  <c r="L52" i="2"/>
  <c r="D52" i="2"/>
  <c r="C51" i="2"/>
  <c r="I51" i="2"/>
  <c r="D44" i="2"/>
  <c r="P44" i="2"/>
  <c r="I42" i="2"/>
  <c r="P40" i="2"/>
  <c r="E40" i="2"/>
  <c r="C32" i="2"/>
  <c r="H32" i="2"/>
  <c r="P32" i="2"/>
  <c r="S24" i="2"/>
  <c r="L24" i="2"/>
  <c r="C24" i="2"/>
  <c r="Q13" i="2"/>
  <c r="S12" i="2"/>
  <c r="L12" i="2"/>
  <c r="E12" i="2"/>
  <c r="G12" i="2" s="1"/>
  <c r="Q186" i="3"/>
  <c r="I186" i="3"/>
  <c r="Q185" i="3"/>
  <c r="J184" i="3"/>
  <c r="K184" i="3" s="1"/>
  <c r="L181" i="3"/>
  <c r="C179" i="3"/>
  <c r="I179" i="3"/>
  <c r="N179" i="3"/>
  <c r="J176" i="3"/>
  <c r="L173" i="3"/>
  <c r="Q170" i="3"/>
  <c r="I170" i="3"/>
  <c r="Q169" i="3"/>
  <c r="J168" i="3"/>
  <c r="K168" i="3" s="1"/>
  <c r="Q167" i="3"/>
  <c r="L167" i="3"/>
  <c r="C167" i="3"/>
  <c r="M160" i="3"/>
  <c r="B160" i="3"/>
  <c r="N160" i="3"/>
  <c r="M159" i="3"/>
  <c r="F159" i="3"/>
  <c r="H159" i="3" s="1"/>
  <c r="P158" i="3"/>
  <c r="G158" i="3"/>
  <c r="C155" i="3"/>
  <c r="I155" i="3"/>
  <c r="K155" i="3" s="1"/>
  <c r="N155" i="3"/>
  <c r="L151" i="3"/>
  <c r="D151" i="3"/>
  <c r="P150" i="3"/>
  <c r="D150" i="3"/>
  <c r="M149" i="3"/>
  <c r="D147" i="3"/>
  <c r="E147" i="3" s="1"/>
  <c r="J147" i="3"/>
  <c r="O147" i="3"/>
  <c r="I146" i="3"/>
  <c r="B140" i="3"/>
  <c r="Q140" i="3"/>
  <c r="L139" i="3"/>
  <c r="D139" i="3"/>
  <c r="E139" i="3" s="1"/>
  <c r="P138" i="3"/>
  <c r="D138" i="3"/>
  <c r="E138" i="3" s="1"/>
  <c r="I136" i="3"/>
  <c r="B134" i="3"/>
  <c r="D134" i="3"/>
  <c r="M134" i="3"/>
  <c r="N131" i="3"/>
  <c r="F131" i="3"/>
  <c r="Q130" i="3"/>
  <c r="I130" i="3"/>
  <c r="P129" i="3"/>
  <c r="I129" i="3"/>
  <c r="C127" i="3"/>
  <c r="I127" i="3"/>
  <c r="N127" i="3"/>
  <c r="P123" i="3"/>
  <c r="F123" i="3"/>
  <c r="M120" i="3"/>
  <c r="Q120" i="3"/>
  <c r="P116" i="3"/>
  <c r="F116" i="3"/>
  <c r="I111" i="3"/>
  <c r="F105" i="3"/>
  <c r="I105" i="3"/>
  <c r="L100" i="3"/>
  <c r="G95" i="3"/>
  <c r="O95" i="3"/>
  <c r="C95" i="3"/>
  <c r="L95" i="3"/>
  <c r="Q95" i="3"/>
  <c r="D95" i="3"/>
  <c r="M95" i="3"/>
  <c r="F90" i="3"/>
  <c r="M90" i="3"/>
  <c r="B90" i="3"/>
  <c r="J90" i="3"/>
  <c r="K90" i="3" s="1"/>
  <c r="P90" i="3"/>
  <c r="D90" i="3"/>
  <c r="L90" i="3"/>
  <c r="Q90" i="3"/>
  <c r="F88" i="3"/>
  <c r="F84" i="3"/>
  <c r="P80" i="3"/>
  <c r="O92" i="3"/>
  <c r="J92" i="3"/>
  <c r="D92" i="3"/>
  <c r="E92" i="3" s="1"/>
  <c r="Q91" i="3"/>
  <c r="I78" i="3"/>
  <c r="Q77" i="3"/>
  <c r="G77" i="3"/>
  <c r="E77" i="5" s="1"/>
  <c r="F73" i="3"/>
  <c r="L71" i="3"/>
  <c r="Q70" i="3"/>
  <c r="Q69" i="3"/>
  <c r="J69" i="3"/>
  <c r="C69" i="3"/>
  <c r="I67" i="3"/>
  <c r="Q66" i="3"/>
  <c r="J66" i="3"/>
  <c r="Q65" i="3"/>
  <c r="M63" i="3"/>
  <c r="D63" i="3"/>
  <c r="O60" i="3"/>
  <c r="J60" i="3"/>
  <c r="D60" i="3"/>
  <c r="Q59" i="3"/>
  <c r="Q58" i="3"/>
  <c r="L58" i="3"/>
  <c r="D58" i="3"/>
  <c r="N56" i="3"/>
  <c r="I56" i="3"/>
  <c r="D56" i="3"/>
  <c r="E56" i="3" s="1"/>
  <c r="Q55" i="3"/>
  <c r="G55" i="3"/>
  <c r="E55" i="5" s="1"/>
  <c r="L54" i="3"/>
  <c r="O52" i="3"/>
  <c r="J52" i="3"/>
  <c r="D52" i="3"/>
  <c r="Q51" i="3"/>
  <c r="G51" i="3"/>
  <c r="P50" i="3"/>
  <c r="F50" i="3"/>
  <c r="O48" i="3"/>
  <c r="J48" i="3"/>
  <c r="D48" i="3"/>
  <c r="E48" i="3" s="1"/>
  <c r="N44" i="3"/>
  <c r="I44" i="3"/>
  <c r="C44" i="3"/>
  <c r="E44" i="3" s="1"/>
  <c r="L43" i="3"/>
  <c r="I41" i="3"/>
  <c r="L34" i="3"/>
  <c r="Q31" i="3"/>
  <c r="I31" i="3"/>
  <c r="D30" i="3"/>
  <c r="N30" i="3"/>
  <c r="G29" i="3"/>
  <c r="H29" i="3" s="1"/>
  <c r="D24" i="3"/>
  <c r="J24" i="3"/>
  <c r="O24" i="3"/>
  <c r="B22" i="3"/>
  <c r="L22" i="3"/>
  <c r="B21" i="3"/>
  <c r="I21" i="3"/>
  <c r="O21" i="3"/>
  <c r="M20" i="3"/>
  <c r="F20" i="3"/>
  <c r="G19" i="3"/>
  <c r="Q19" i="3"/>
  <c r="J18" i="3"/>
  <c r="B17" i="3"/>
  <c r="F17" i="3"/>
  <c r="M16" i="3"/>
  <c r="F16" i="3"/>
  <c r="P15" i="3"/>
  <c r="G15" i="3"/>
  <c r="E15" i="5" s="1"/>
  <c r="F15" i="5" s="1"/>
  <c r="G15" i="5" s="1"/>
  <c r="C12" i="3"/>
  <c r="I12" i="3"/>
  <c r="K12" i="3" s="1"/>
  <c r="N12" i="3"/>
  <c r="Q10" i="3"/>
  <c r="I10" i="3"/>
  <c r="L8" i="3"/>
  <c r="D8" i="3"/>
  <c r="L185" i="7"/>
  <c r="B184" i="7"/>
  <c r="C184" i="7"/>
  <c r="K184" i="7"/>
  <c r="E184" i="7"/>
  <c r="M184" i="7"/>
  <c r="G184" i="7"/>
  <c r="O184" i="7"/>
  <c r="C173" i="7"/>
  <c r="B173" i="7"/>
  <c r="H173" i="7"/>
  <c r="M173" i="7"/>
  <c r="D173" i="7"/>
  <c r="I173" i="7"/>
  <c r="N173" i="7"/>
  <c r="E173" i="7"/>
  <c r="J173" i="7"/>
  <c r="M121" i="3"/>
  <c r="F121" i="3"/>
  <c r="O108" i="3"/>
  <c r="J108" i="3"/>
  <c r="M101" i="3"/>
  <c r="O96" i="3"/>
  <c r="J96" i="3"/>
  <c r="N92" i="3"/>
  <c r="I92" i="3"/>
  <c r="L91" i="3"/>
  <c r="M85" i="3"/>
  <c r="O79" i="3"/>
  <c r="Q78" i="3"/>
  <c r="O77" i="3"/>
  <c r="M74" i="3"/>
  <c r="Q73" i="3"/>
  <c r="C73" i="3"/>
  <c r="O72" i="3"/>
  <c r="J72" i="3"/>
  <c r="Q71" i="3"/>
  <c r="L70" i="3"/>
  <c r="O69" i="3"/>
  <c r="I69" i="3"/>
  <c r="B69" i="3"/>
  <c r="O68" i="3"/>
  <c r="J68" i="3"/>
  <c r="K68" i="3" s="1"/>
  <c r="Q67" i="3"/>
  <c r="P66" i="3"/>
  <c r="F65" i="3"/>
  <c r="O64" i="3"/>
  <c r="J64" i="3"/>
  <c r="Q63" i="3"/>
  <c r="L63" i="3"/>
  <c r="C63" i="3"/>
  <c r="N60" i="3"/>
  <c r="I60" i="3"/>
  <c r="L59" i="3"/>
  <c r="P58" i="3"/>
  <c r="J58" i="3"/>
  <c r="K58" i="3" s="1"/>
  <c r="B58" i="3"/>
  <c r="Q56" i="3"/>
  <c r="M56" i="3"/>
  <c r="P55" i="3"/>
  <c r="C55" i="3"/>
  <c r="F54" i="3"/>
  <c r="N52" i="3"/>
  <c r="I52" i="3"/>
  <c r="O51" i="3"/>
  <c r="D51" i="3"/>
  <c r="M50" i="3"/>
  <c r="B50" i="3"/>
  <c r="N48" i="3"/>
  <c r="I48" i="3"/>
  <c r="Q45" i="3"/>
  <c r="Q44" i="3"/>
  <c r="M44" i="3"/>
  <c r="G44" i="3"/>
  <c r="B44" i="3"/>
  <c r="G43" i="3"/>
  <c r="Q38" i="3"/>
  <c r="B37" i="3"/>
  <c r="I37" i="3"/>
  <c r="B33" i="3"/>
  <c r="Q33" i="3"/>
  <c r="P31" i="3"/>
  <c r="L30" i="3"/>
  <c r="Q29" i="3"/>
  <c r="F26" i="3"/>
  <c r="M26" i="3"/>
  <c r="C25" i="3"/>
  <c r="Q25" i="3"/>
  <c r="M24" i="3"/>
  <c r="F24" i="3"/>
  <c r="G23" i="3"/>
  <c r="E23" i="5" s="1"/>
  <c r="F23" i="5" s="1"/>
  <c r="G23" i="5" s="1"/>
  <c r="Q23" i="3"/>
  <c r="Q21" i="3"/>
  <c r="G21" i="3"/>
  <c r="Q20" i="3"/>
  <c r="L20" i="3"/>
  <c r="L19" i="3"/>
  <c r="Q18" i="3"/>
  <c r="Q16" i="3"/>
  <c r="L16" i="3"/>
  <c r="O15" i="3"/>
  <c r="M12" i="3"/>
  <c r="F12" i="3"/>
  <c r="H12" i="3" s="1"/>
  <c r="N10" i="3"/>
  <c r="N9" i="3"/>
  <c r="P8" i="3"/>
  <c r="J8" i="3"/>
  <c r="G179" i="7"/>
  <c r="B29" i="3"/>
  <c r="M29" i="3"/>
  <c r="F18" i="3"/>
  <c r="P18" i="3"/>
  <c r="C15" i="3"/>
  <c r="E15" i="3" s="1"/>
  <c r="L15" i="3"/>
  <c r="Q15" i="3"/>
  <c r="B8" i="3"/>
  <c r="G8" i="3"/>
  <c r="E8" i="5" s="1"/>
  <c r="F8" i="5" s="1"/>
  <c r="G8" i="5" s="1"/>
  <c r="M8" i="3"/>
  <c r="Q8" i="3"/>
  <c r="C185" i="7"/>
  <c r="B185" i="7"/>
  <c r="H185" i="7"/>
  <c r="M185" i="7"/>
  <c r="D185" i="7"/>
  <c r="I185" i="7"/>
  <c r="N185" i="7"/>
  <c r="E185" i="7"/>
  <c r="J185" i="7"/>
  <c r="M69" i="3"/>
  <c r="O63" i="3"/>
  <c r="M58" i="3"/>
  <c r="Q54" i="3"/>
  <c r="Q50" i="3"/>
  <c r="O44" i="3"/>
  <c r="J44" i="3"/>
  <c r="Q43" i="3"/>
  <c r="J34" i="3"/>
  <c r="Q34" i="3"/>
  <c r="D31" i="3"/>
  <c r="E31" i="3" s="1"/>
  <c r="M31" i="3"/>
  <c r="J29" i="3"/>
  <c r="D20" i="3"/>
  <c r="E20" i="3" s="1"/>
  <c r="J20" i="3"/>
  <c r="O20" i="3"/>
  <c r="L18" i="3"/>
  <c r="D16" i="3"/>
  <c r="J16" i="3"/>
  <c r="O16" i="3"/>
  <c r="I15" i="3"/>
  <c r="C11" i="3"/>
  <c r="L11" i="3"/>
  <c r="B10" i="3"/>
  <c r="J10" i="3"/>
  <c r="P10" i="3"/>
  <c r="N8" i="3"/>
  <c r="F8" i="3"/>
  <c r="I184" i="7"/>
  <c r="I179" i="7"/>
  <c r="F173" i="7"/>
  <c r="O171" i="7"/>
  <c r="K171" i="7"/>
  <c r="G171" i="7"/>
  <c r="C171" i="7"/>
  <c r="I157" i="7"/>
  <c r="F151" i="7"/>
  <c r="K145" i="7"/>
  <c r="E145" i="7"/>
  <c r="O144" i="7"/>
  <c r="K144" i="7"/>
  <c r="G144" i="7"/>
  <c r="C144" i="7"/>
  <c r="I135" i="7"/>
  <c r="N134" i="7"/>
  <c r="I119" i="7"/>
  <c r="D118" i="7"/>
  <c r="N118" i="7"/>
  <c r="K113" i="7"/>
  <c r="B112" i="7"/>
  <c r="F112" i="7"/>
  <c r="J112" i="7"/>
  <c r="N112" i="7"/>
  <c r="K107" i="7"/>
  <c r="K105" i="7"/>
  <c r="N103" i="7"/>
  <c r="G92" i="7"/>
  <c r="K83" i="7"/>
  <c r="O180" i="7"/>
  <c r="G180" i="7"/>
  <c r="N171" i="7"/>
  <c r="J171" i="7"/>
  <c r="F171" i="7"/>
  <c r="H167" i="7"/>
  <c r="M166" i="7"/>
  <c r="K164" i="7"/>
  <c r="G157" i="7"/>
  <c r="L152" i="7"/>
  <c r="H152" i="7"/>
  <c r="N151" i="7"/>
  <c r="C151" i="7"/>
  <c r="O145" i="7"/>
  <c r="I145" i="7"/>
  <c r="D145" i="7"/>
  <c r="N144" i="7"/>
  <c r="J144" i="7"/>
  <c r="F144" i="7"/>
  <c r="F135" i="7"/>
  <c r="L132" i="7"/>
  <c r="H132" i="7"/>
  <c r="K119" i="7"/>
  <c r="B114" i="7"/>
  <c r="I114" i="7"/>
  <c r="D113" i="7"/>
  <c r="I113" i="7"/>
  <c r="O113" i="7"/>
  <c r="E107" i="7"/>
  <c r="J107" i="7"/>
  <c r="O107" i="7"/>
  <c r="F107" i="7"/>
  <c r="M107" i="7"/>
  <c r="G105" i="7"/>
  <c r="F103" i="7"/>
  <c r="M92" i="7"/>
  <c r="D82" i="7"/>
  <c r="E166" i="7"/>
  <c r="O157" i="7"/>
  <c r="D157" i="7"/>
  <c r="M145" i="7"/>
  <c r="H145" i="7"/>
  <c r="N135" i="7"/>
  <c r="C135" i="7"/>
  <c r="N130" i="7"/>
  <c r="C101" i="7"/>
  <c r="G101" i="7"/>
  <c r="L101" i="7"/>
  <c r="B92" i="7"/>
  <c r="F92" i="7"/>
  <c r="J92" i="7"/>
  <c r="N92" i="7"/>
  <c r="D92" i="7"/>
  <c r="I92" i="7"/>
  <c r="O92" i="7"/>
  <c r="E92" i="7"/>
  <c r="K92" i="7"/>
  <c r="D88" i="7"/>
  <c r="E105" i="7"/>
  <c r="L105" i="7"/>
  <c r="H105" i="7"/>
  <c r="B103" i="7"/>
  <c r="I103" i="7"/>
  <c r="K103" i="7"/>
  <c r="H92" i="7"/>
  <c r="F83" i="7"/>
  <c r="M83" i="7"/>
  <c r="E83" i="7"/>
  <c r="O83" i="7"/>
  <c r="G83" i="7"/>
  <c r="C93" i="7"/>
  <c r="G93" i="7"/>
  <c r="K84" i="7"/>
  <c r="B79" i="7"/>
  <c r="K79" i="7"/>
  <c r="B72" i="7"/>
  <c r="F72" i="7"/>
  <c r="J72" i="7"/>
  <c r="N72" i="7"/>
  <c r="K67" i="7"/>
  <c r="M64" i="7"/>
  <c r="E64" i="7"/>
  <c r="M60" i="7"/>
  <c r="E59" i="7"/>
  <c r="O59" i="7"/>
  <c r="C29" i="7"/>
  <c r="G29" i="7"/>
  <c r="C185" i="6"/>
  <c r="G185" i="6"/>
  <c r="K185" i="6"/>
  <c r="O185" i="6"/>
  <c r="D185" i="6"/>
  <c r="H185" i="6"/>
  <c r="L185" i="6"/>
  <c r="B185" i="6"/>
  <c r="F185" i="6"/>
  <c r="J185" i="6"/>
  <c r="N185" i="6"/>
  <c r="B98" i="7"/>
  <c r="D97" i="7"/>
  <c r="L93" i="7"/>
  <c r="K72" i="7"/>
  <c r="E72" i="7"/>
  <c r="B71" i="7"/>
  <c r="I71" i="7"/>
  <c r="K64" i="7"/>
  <c r="C20" i="7"/>
  <c r="G20" i="7"/>
  <c r="K20" i="7"/>
  <c r="O20" i="7"/>
  <c r="D20" i="7"/>
  <c r="H20" i="7"/>
  <c r="L20" i="7"/>
  <c r="B20" i="7"/>
  <c r="F20" i="7"/>
  <c r="J20" i="7"/>
  <c r="N20" i="7"/>
  <c r="C12" i="7"/>
  <c r="G12" i="7"/>
  <c r="K12" i="7"/>
  <c r="O12" i="7"/>
  <c r="D12" i="7"/>
  <c r="H12" i="7"/>
  <c r="L12" i="7"/>
  <c r="B12" i="7"/>
  <c r="F12" i="7"/>
  <c r="J12" i="7"/>
  <c r="N12" i="7"/>
  <c r="L166" i="5"/>
  <c r="D64" i="7"/>
  <c r="H64" i="7"/>
  <c r="L64" i="7"/>
  <c r="B64" i="7"/>
  <c r="F64" i="7"/>
  <c r="J64" i="7"/>
  <c r="N64" i="7"/>
  <c r="B60" i="7"/>
  <c r="C19" i="7"/>
  <c r="I19" i="7"/>
  <c r="M19" i="7"/>
  <c r="E19" i="7"/>
  <c r="D184" i="6"/>
  <c r="E184" i="6"/>
  <c r="M184" i="6"/>
  <c r="G184" i="6"/>
  <c r="O184" i="6"/>
  <c r="C184" i="6"/>
  <c r="K184" i="6"/>
  <c r="B74" i="7"/>
  <c r="L74" i="7"/>
  <c r="F67" i="7"/>
  <c r="M67" i="7"/>
  <c r="B67" i="7"/>
  <c r="J67" i="7"/>
  <c r="O64" i="7"/>
  <c r="G64" i="7"/>
  <c r="G11" i="7"/>
  <c r="I65" i="7"/>
  <c r="L46" i="7"/>
  <c r="L42" i="7"/>
  <c r="L41" i="7"/>
  <c r="F31" i="7"/>
  <c r="L30" i="7"/>
  <c r="N22" i="7"/>
  <c r="I22" i="7"/>
  <c r="D22" i="7"/>
  <c r="M21" i="7"/>
  <c r="N14" i="7"/>
  <c r="I14" i="7"/>
  <c r="D14" i="7"/>
  <c r="K8" i="7"/>
  <c r="M7" i="7"/>
  <c r="E7" i="7"/>
  <c r="J179" i="6"/>
  <c r="E179" i="6"/>
  <c r="I178" i="6"/>
  <c r="M178" i="12" s="1"/>
  <c r="J175" i="6"/>
  <c r="E175" i="6"/>
  <c r="L173" i="6"/>
  <c r="O173" i="12" s="1"/>
  <c r="H173" i="6"/>
  <c r="D173" i="6"/>
  <c r="O172" i="6"/>
  <c r="G172" i="6"/>
  <c r="N171" i="6"/>
  <c r="I171" i="6"/>
  <c r="Q171" i="12" s="1"/>
  <c r="L169" i="6"/>
  <c r="H169" i="6"/>
  <c r="L169" i="12" s="1"/>
  <c r="D169" i="6"/>
  <c r="O168" i="6"/>
  <c r="G168" i="6"/>
  <c r="N167" i="6"/>
  <c r="I167" i="6"/>
  <c r="O165" i="6"/>
  <c r="K165" i="6"/>
  <c r="G165" i="6"/>
  <c r="M164" i="6"/>
  <c r="E164" i="6"/>
  <c r="M163" i="6"/>
  <c r="H163" i="6"/>
  <c r="B163" i="6"/>
  <c r="O161" i="6"/>
  <c r="K161" i="6"/>
  <c r="G161" i="6"/>
  <c r="M160" i="6"/>
  <c r="E160" i="6"/>
  <c r="M159" i="6"/>
  <c r="H159" i="6"/>
  <c r="B159" i="6"/>
  <c r="N157" i="6"/>
  <c r="J157" i="6"/>
  <c r="F157" i="6"/>
  <c r="B157" i="6"/>
  <c r="K156" i="6"/>
  <c r="S156" i="12" s="1"/>
  <c r="C156" i="6"/>
  <c r="N153" i="6"/>
  <c r="J153" i="6"/>
  <c r="F153" i="6"/>
  <c r="B153" i="6"/>
  <c r="K152" i="6"/>
  <c r="C152" i="6"/>
  <c r="J147" i="6"/>
  <c r="E147" i="6"/>
  <c r="I146" i="6"/>
  <c r="Q146" i="12" s="1"/>
  <c r="O144" i="6"/>
  <c r="I144" i="6"/>
  <c r="M144" i="12" s="1"/>
  <c r="N143" i="6"/>
  <c r="J143" i="6"/>
  <c r="F143" i="6"/>
  <c r="B143" i="6"/>
  <c r="I142" i="6"/>
  <c r="M141" i="6"/>
  <c r="F141" i="6"/>
  <c r="L139" i="6"/>
  <c r="H139" i="6"/>
  <c r="D139" i="6"/>
  <c r="O138" i="6"/>
  <c r="J138" i="6"/>
  <c r="E138" i="6"/>
  <c r="N137" i="6"/>
  <c r="D137" i="6"/>
  <c r="K136" i="6"/>
  <c r="C136" i="6"/>
  <c r="M133" i="6"/>
  <c r="H133" i="6"/>
  <c r="B133" i="6"/>
  <c r="I132" i="6"/>
  <c r="Q132" i="12" s="1"/>
  <c r="O131" i="6"/>
  <c r="K131" i="6"/>
  <c r="G131" i="6"/>
  <c r="M130" i="6"/>
  <c r="F130" i="6"/>
  <c r="F129" i="6"/>
  <c r="L128" i="6"/>
  <c r="O128" i="12" s="1"/>
  <c r="M127" i="6"/>
  <c r="H127" i="6"/>
  <c r="P127" i="12" s="1"/>
  <c r="F125" i="6"/>
  <c r="M125" i="6"/>
  <c r="M123" i="6"/>
  <c r="G123" i="6"/>
  <c r="K122" i="6"/>
  <c r="R122" i="12" s="1"/>
  <c r="C120" i="6"/>
  <c r="K120" i="6"/>
  <c r="J117" i="6"/>
  <c r="M115" i="6"/>
  <c r="H115" i="6"/>
  <c r="F114" i="6"/>
  <c r="M114" i="6"/>
  <c r="D111" i="6"/>
  <c r="H111" i="6"/>
  <c r="P111" i="12" s="1"/>
  <c r="L111" i="6"/>
  <c r="B110" i="6"/>
  <c r="C110" i="6"/>
  <c r="N110" i="6"/>
  <c r="K107" i="6"/>
  <c r="S107" i="12" s="1"/>
  <c r="E107" i="6"/>
  <c r="J105" i="6"/>
  <c r="I104" i="6"/>
  <c r="O103" i="6"/>
  <c r="I103" i="6"/>
  <c r="M103" i="12" s="1"/>
  <c r="C100" i="6"/>
  <c r="B99" i="6"/>
  <c r="F99" i="6"/>
  <c r="J99" i="6"/>
  <c r="N99" i="6"/>
  <c r="L97" i="6"/>
  <c r="E96" i="6"/>
  <c r="M96" i="6"/>
  <c r="K95" i="6"/>
  <c r="E95" i="6"/>
  <c r="I92" i="6"/>
  <c r="M91" i="6"/>
  <c r="H91" i="6"/>
  <c r="P91" i="12" s="1"/>
  <c r="M89" i="6"/>
  <c r="F89" i="6"/>
  <c r="O88" i="6"/>
  <c r="B87" i="6"/>
  <c r="F87" i="6"/>
  <c r="J87" i="6"/>
  <c r="N87" i="6"/>
  <c r="M83" i="6"/>
  <c r="K79" i="6"/>
  <c r="S79" i="12" s="1"/>
  <c r="O75" i="6"/>
  <c r="G75" i="6"/>
  <c r="M71" i="6"/>
  <c r="C70" i="6"/>
  <c r="M70" i="6"/>
  <c r="E70" i="6"/>
  <c r="D67" i="6"/>
  <c r="H67" i="6"/>
  <c r="P67" i="12" s="1"/>
  <c r="L67" i="6"/>
  <c r="O67" i="12" s="1"/>
  <c r="B67" i="6"/>
  <c r="F67" i="6"/>
  <c r="J67" i="6"/>
  <c r="N67" i="6"/>
  <c r="O63" i="6"/>
  <c r="G63" i="6"/>
  <c r="N62" i="6"/>
  <c r="D61" i="6"/>
  <c r="N61" i="6"/>
  <c r="I61" i="6"/>
  <c r="Q61" i="12" s="1"/>
  <c r="C60" i="6"/>
  <c r="L60" i="5" s="1"/>
  <c r="K60" i="6"/>
  <c r="S60" i="12" s="1"/>
  <c r="G60" i="6"/>
  <c r="M60" i="6"/>
  <c r="I57" i="6"/>
  <c r="M57" i="12" s="1"/>
  <c r="O54" i="6"/>
  <c r="B127" i="6"/>
  <c r="F127" i="6"/>
  <c r="J127" i="6"/>
  <c r="N127" i="6"/>
  <c r="D123" i="6"/>
  <c r="H123" i="6"/>
  <c r="L123" i="6"/>
  <c r="B117" i="6"/>
  <c r="H117" i="6"/>
  <c r="P117" i="12" s="1"/>
  <c r="M117" i="6"/>
  <c r="C115" i="6"/>
  <c r="G115" i="6"/>
  <c r="K115" i="6"/>
  <c r="O115" i="6"/>
  <c r="D105" i="6"/>
  <c r="I105" i="6"/>
  <c r="M105" i="12" s="1"/>
  <c r="N105" i="6"/>
  <c r="C102" i="6"/>
  <c r="E102" i="6"/>
  <c r="B91" i="6"/>
  <c r="F91" i="6"/>
  <c r="J91" i="6"/>
  <c r="N91" i="6"/>
  <c r="E88" i="6"/>
  <c r="M88" i="6"/>
  <c r="D79" i="6"/>
  <c r="H79" i="6"/>
  <c r="L79" i="12" s="1"/>
  <c r="L79" i="6"/>
  <c r="B79" i="6"/>
  <c r="F79" i="6"/>
  <c r="J79" i="6"/>
  <c r="N79" i="6"/>
  <c r="B65" i="6"/>
  <c r="J65" i="6"/>
  <c r="F65" i="6"/>
  <c r="M65" i="6"/>
  <c r="E62" i="6"/>
  <c r="J62" i="6"/>
  <c r="O62" i="6"/>
  <c r="B62" i="6"/>
  <c r="G62" i="6"/>
  <c r="M62" i="6"/>
  <c r="D53" i="6"/>
  <c r="N53" i="6"/>
  <c r="L53" i="6"/>
  <c r="F53" i="6"/>
  <c r="I23" i="7"/>
  <c r="M179" i="6"/>
  <c r="H179" i="6"/>
  <c r="B179" i="6"/>
  <c r="M175" i="6"/>
  <c r="H175" i="6"/>
  <c r="B175" i="6"/>
  <c r="N173" i="6"/>
  <c r="J173" i="6"/>
  <c r="F173" i="6"/>
  <c r="K172" i="6"/>
  <c r="C172" i="6"/>
  <c r="N169" i="6"/>
  <c r="J169" i="6"/>
  <c r="F169" i="6"/>
  <c r="K168" i="6"/>
  <c r="C168" i="6"/>
  <c r="J163" i="6"/>
  <c r="E163" i="6"/>
  <c r="I162" i="6"/>
  <c r="J159" i="6"/>
  <c r="E159" i="6"/>
  <c r="L157" i="6"/>
  <c r="H157" i="6"/>
  <c r="D157" i="6"/>
  <c r="O156" i="6"/>
  <c r="G156" i="6"/>
  <c r="L153" i="6"/>
  <c r="H153" i="6"/>
  <c r="D153" i="6"/>
  <c r="O152" i="6"/>
  <c r="G152" i="6"/>
  <c r="M147" i="6"/>
  <c r="H147" i="6"/>
  <c r="L143" i="6"/>
  <c r="H143" i="6"/>
  <c r="P143" i="12" s="1"/>
  <c r="D143" i="6"/>
  <c r="N142" i="6"/>
  <c r="C142" i="6"/>
  <c r="J141" i="6"/>
  <c r="N139" i="6"/>
  <c r="J139" i="6"/>
  <c r="F139" i="6"/>
  <c r="M138" i="6"/>
  <c r="G138" i="6"/>
  <c r="I137" i="6"/>
  <c r="M136" i="6"/>
  <c r="G136" i="6"/>
  <c r="J133" i="6"/>
  <c r="E133" i="6"/>
  <c r="O132" i="6"/>
  <c r="D132" i="6"/>
  <c r="J130" i="6"/>
  <c r="D128" i="6"/>
  <c r="I128" i="6"/>
  <c r="K127" i="6"/>
  <c r="E127" i="6"/>
  <c r="B126" i="6"/>
  <c r="I126" i="6"/>
  <c r="O123" i="6"/>
  <c r="J123" i="6"/>
  <c r="E123" i="6"/>
  <c r="E122" i="6"/>
  <c r="J122" i="6"/>
  <c r="O122" i="6"/>
  <c r="B121" i="6"/>
  <c r="D121" i="6"/>
  <c r="N121" i="6"/>
  <c r="N117" i="6"/>
  <c r="F117" i="6"/>
  <c r="C116" i="6"/>
  <c r="I116" i="6"/>
  <c r="Q116" i="12" s="1"/>
  <c r="J115" i="6"/>
  <c r="E115" i="6"/>
  <c r="M107" i="6"/>
  <c r="H107" i="6"/>
  <c r="M105" i="6"/>
  <c r="F105" i="6"/>
  <c r="O104" i="6"/>
  <c r="B103" i="6"/>
  <c r="F103" i="6"/>
  <c r="J103" i="6"/>
  <c r="N103" i="6"/>
  <c r="K100" i="6"/>
  <c r="D97" i="6"/>
  <c r="I97" i="6"/>
  <c r="M97" i="12" s="1"/>
  <c r="N97" i="6"/>
  <c r="M95" i="6"/>
  <c r="H95" i="6"/>
  <c r="P95" i="12" s="1"/>
  <c r="C94" i="6"/>
  <c r="E94" i="6"/>
  <c r="K91" i="6"/>
  <c r="E91" i="6"/>
  <c r="J89" i="6"/>
  <c r="I88" i="6"/>
  <c r="Q88" i="12" s="1"/>
  <c r="C86" i="6"/>
  <c r="M86" i="6"/>
  <c r="E86" i="6"/>
  <c r="D83" i="6"/>
  <c r="H83" i="6"/>
  <c r="L83" i="6"/>
  <c r="B83" i="6"/>
  <c r="F83" i="6"/>
  <c r="J83" i="6"/>
  <c r="N83" i="6"/>
  <c r="O79" i="6"/>
  <c r="G79" i="6"/>
  <c r="K75" i="6"/>
  <c r="S75" i="12" s="1"/>
  <c r="D71" i="6"/>
  <c r="H71" i="6"/>
  <c r="L71" i="12" s="1"/>
  <c r="L71" i="6"/>
  <c r="O71" i="12" s="1"/>
  <c r="B71" i="6"/>
  <c r="F71" i="6"/>
  <c r="J71" i="6"/>
  <c r="N71" i="6"/>
  <c r="L65" i="6"/>
  <c r="K63" i="6"/>
  <c r="S63" i="12" s="1"/>
  <c r="I62" i="6"/>
  <c r="M62" i="12" s="1"/>
  <c r="N57" i="6"/>
  <c r="N163" i="6"/>
  <c r="I163" i="6"/>
  <c r="Q163" i="12" s="1"/>
  <c r="N159" i="6"/>
  <c r="I159" i="6"/>
  <c r="O157" i="6"/>
  <c r="K157" i="6"/>
  <c r="S157" i="12" s="1"/>
  <c r="G157" i="6"/>
  <c r="M156" i="6"/>
  <c r="E156" i="6"/>
  <c r="O153" i="6"/>
  <c r="K153" i="6"/>
  <c r="G153" i="6"/>
  <c r="M152" i="6"/>
  <c r="E152" i="6"/>
  <c r="O143" i="6"/>
  <c r="K143" i="6"/>
  <c r="R143" i="12" s="1"/>
  <c r="G143" i="6"/>
  <c r="F137" i="6"/>
  <c r="L136" i="6"/>
  <c r="N133" i="6"/>
  <c r="I133" i="6"/>
  <c r="O127" i="6"/>
  <c r="I127" i="6"/>
  <c r="D127" i="6"/>
  <c r="N123" i="6"/>
  <c r="I123" i="6"/>
  <c r="C123" i="6"/>
  <c r="L117" i="6"/>
  <c r="E117" i="6"/>
  <c r="N115" i="6"/>
  <c r="I115" i="6"/>
  <c r="Q115" i="12" s="1"/>
  <c r="D115" i="6"/>
  <c r="B107" i="6"/>
  <c r="F107" i="6"/>
  <c r="J107" i="6"/>
  <c r="N107" i="6"/>
  <c r="L105" i="6"/>
  <c r="E105" i="6"/>
  <c r="E104" i="6"/>
  <c r="M104" i="6"/>
  <c r="M102" i="6"/>
  <c r="I100" i="6"/>
  <c r="B95" i="6"/>
  <c r="F95" i="6"/>
  <c r="J95" i="6"/>
  <c r="N95" i="6"/>
  <c r="O91" i="6"/>
  <c r="I91" i="6"/>
  <c r="M91" i="12" s="1"/>
  <c r="D91" i="6"/>
  <c r="D89" i="6"/>
  <c r="I89" i="6"/>
  <c r="Q89" i="12" s="1"/>
  <c r="N89" i="6"/>
  <c r="G88" i="6"/>
  <c r="M79" i="6"/>
  <c r="E79" i="6"/>
  <c r="C78" i="6"/>
  <c r="M78" i="6"/>
  <c r="E78" i="6"/>
  <c r="D75" i="6"/>
  <c r="H75" i="6"/>
  <c r="P75" i="12" s="1"/>
  <c r="L75" i="6"/>
  <c r="O75" i="12" s="1"/>
  <c r="B75" i="6"/>
  <c r="F75" i="6"/>
  <c r="J75" i="6"/>
  <c r="N75" i="6"/>
  <c r="H65" i="6"/>
  <c r="P65" i="12" s="1"/>
  <c r="D63" i="6"/>
  <c r="H63" i="6"/>
  <c r="L63" i="12" s="1"/>
  <c r="L63" i="6"/>
  <c r="B63" i="6"/>
  <c r="F63" i="6"/>
  <c r="J63" i="6"/>
  <c r="N63" i="6"/>
  <c r="F62" i="6"/>
  <c r="B57" i="6"/>
  <c r="H57" i="6"/>
  <c r="L57" i="12" s="1"/>
  <c r="M57" i="6"/>
  <c r="E57" i="6"/>
  <c r="J57" i="6"/>
  <c r="F54" i="6"/>
  <c r="M54" i="6"/>
  <c r="G54" i="6"/>
  <c r="B54" i="6"/>
  <c r="K54" i="6"/>
  <c r="S54" i="12" s="1"/>
  <c r="N81" i="6"/>
  <c r="I81" i="6"/>
  <c r="M80" i="6"/>
  <c r="N73" i="6"/>
  <c r="I73" i="6"/>
  <c r="M73" i="12" s="1"/>
  <c r="M72" i="6"/>
  <c r="L64" i="6"/>
  <c r="O64" i="12" s="1"/>
  <c r="O59" i="6"/>
  <c r="K59" i="6"/>
  <c r="G59" i="6"/>
  <c r="L55" i="6"/>
  <c r="H55" i="6"/>
  <c r="D55" i="6"/>
  <c r="D51" i="6"/>
  <c r="H51" i="6"/>
  <c r="P51" i="12" s="1"/>
  <c r="L51" i="6"/>
  <c r="O51" i="12" s="1"/>
  <c r="C50" i="6"/>
  <c r="L50" i="5" s="1"/>
  <c r="N50" i="6"/>
  <c r="L48" i="6"/>
  <c r="O48" i="12" s="1"/>
  <c r="M47" i="6"/>
  <c r="H47" i="6"/>
  <c r="K46" i="6"/>
  <c r="M43" i="6"/>
  <c r="G43" i="6"/>
  <c r="M39" i="6"/>
  <c r="H39" i="6"/>
  <c r="E38" i="6"/>
  <c r="K38" i="6"/>
  <c r="M35" i="6"/>
  <c r="D31" i="6"/>
  <c r="H31" i="6"/>
  <c r="P31" i="12" s="1"/>
  <c r="L31" i="6"/>
  <c r="O31" i="12" s="1"/>
  <c r="B31" i="6"/>
  <c r="F31" i="6"/>
  <c r="J31" i="6"/>
  <c r="N31" i="6"/>
  <c r="G30" i="6"/>
  <c r="O30" i="6"/>
  <c r="C30" i="6"/>
  <c r="K30" i="6"/>
  <c r="M27" i="6"/>
  <c r="I22" i="6"/>
  <c r="Q22" i="12" s="1"/>
  <c r="I18" i="6"/>
  <c r="Q18" i="12" s="1"/>
  <c r="D18" i="6"/>
  <c r="O18" i="6"/>
  <c r="C12" i="6"/>
  <c r="L12" i="5" s="1"/>
  <c r="K12" i="6"/>
  <c r="S12" i="12" s="1"/>
  <c r="K9" i="6"/>
  <c r="R9" i="12" s="1"/>
  <c r="B189" i="10"/>
  <c r="F189" i="10"/>
  <c r="J189" i="10"/>
  <c r="N189" i="10"/>
  <c r="D189" i="10"/>
  <c r="H189" i="10"/>
  <c r="L189" i="10"/>
  <c r="K185" i="10"/>
  <c r="B47" i="6"/>
  <c r="F47" i="6"/>
  <c r="J47" i="6"/>
  <c r="N47" i="6"/>
  <c r="D43" i="6"/>
  <c r="H43" i="6"/>
  <c r="P43" i="12" s="1"/>
  <c r="L43" i="6"/>
  <c r="O43" i="12" s="1"/>
  <c r="C42" i="6"/>
  <c r="L42" i="5" s="1"/>
  <c r="N42" i="6"/>
  <c r="B39" i="6"/>
  <c r="F39" i="6"/>
  <c r="J39" i="6"/>
  <c r="N39" i="6"/>
  <c r="D26" i="6"/>
  <c r="O26" i="6"/>
  <c r="I26" i="6"/>
  <c r="Q26" i="12" s="1"/>
  <c r="C24" i="6"/>
  <c r="B24" i="6"/>
  <c r="J24" i="6"/>
  <c r="F24" i="6"/>
  <c r="M24" i="6"/>
  <c r="G22" i="6"/>
  <c r="C20" i="6"/>
  <c r="K20" i="6"/>
  <c r="S20" i="12" s="1"/>
  <c r="D19" i="6"/>
  <c r="B19" i="6"/>
  <c r="J19" i="6"/>
  <c r="F19" i="6"/>
  <c r="M19" i="6"/>
  <c r="B9" i="6"/>
  <c r="F9" i="6"/>
  <c r="J9" i="6"/>
  <c r="N9" i="6"/>
  <c r="D9" i="6"/>
  <c r="H9" i="6"/>
  <c r="L9" i="6"/>
  <c r="D185" i="10"/>
  <c r="H185" i="10"/>
  <c r="L185" i="10"/>
  <c r="B185" i="10"/>
  <c r="F185" i="10"/>
  <c r="J185" i="10"/>
  <c r="N185" i="10"/>
  <c r="B49" i="6"/>
  <c r="J49" i="6"/>
  <c r="K47" i="6"/>
  <c r="E47" i="6"/>
  <c r="B46" i="6"/>
  <c r="G46" i="6"/>
  <c r="M46" i="6"/>
  <c r="O43" i="6"/>
  <c r="J43" i="6"/>
  <c r="E43" i="6"/>
  <c r="K42" i="6"/>
  <c r="N42" i="12" s="1"/>
  <c r="K39" i="6"/>
  <c r="E39" i="6"/>
  <c r="D37" i="6"/>
  <c r="F37" i="6"/>
  <c r="D35" i="6"/>
  <c r="H35" i="6"/>
  <c r="L35" i="12" s="1"/>
  <c r="L35" i="6"/>
  <c r="B35" i="6"/>
  <c r="F35" i="6"/>
  <c r="J35" i="6"/>
  <c r="D27" i="6"/>
  <c r="H27" i="6"/>
  <c r="L27" i="6"/>
  <c r="O27" i="12" s="1"/>
  <c r="B27" i="6"/>
  <c r="F27" i="6"/>
  <c r="J27" i="6"/>
  <c r="N27" i="6"/>
  <c r="K24" i="6"/>
  <c r="S24" i="12" s="1"/>
  <c r="O22" i="6"/>
  <c r="L19" i="6"/>
  <c r="O19" i="12" s="1"/>
  <c r="D14" i="6"/>
  <c r="C14" i="6"/>
  <c r="K14" i="6"/>
  <c r="S14" i="12" s="1"/>
  <c r="G14" i="6"/>
  <c r="M14" i="6"/>
  <c r="O9" i="6"/>
  <c r="G9" i="6"/>
  <c r="O185" i="10"/>
  <c r="G185" i="10"/>
  <c r="C22" i="6"/>
  <c r="L22" i="5" s="1"/>
  <c r="H22" i="6"/>
  <c r="M22" i="6"/>
  <c r="E22" i="6"/>
  <c r="K22" i="6"/>
  <c r="S22" i="12" s="1"/>
  <c r="I188" i="10"/>
  <c r="C188" i="10"/>
  <c r="N188" i="10"/>
  <c r="M185" i="10"/>
  <c r="E185" i="10"/>
  <c r="D183" i="10"/>
  <c r="L183" i="10"/>
  <c r="F183" i="10"/>
  <c r="L181" i="10"/>
  <c r="H181" i="10"/>
  <c r="D181" i="10"/>
  <c r="L175" i="10"/>
  <c r="M174" i="10"/>
  <c r="G174" i="10"/>
  <c r="F172" i="10"/>
  <c r="N169" i="10"/>
  <c r="J169" i="10"/>
  <c r="F169" i="10"/>
  <c r="B169" i="10"/>
  <c r="L167" i="10"/>
  <c r="N165" i="10"/>
  <c r="J165" i="10"/>
  <c r="F165" i="10"/>
  <c r="B165" i="10"/>
  <c r="L161" i="10"/>
  <c r="H161" i="10"/>
  <c r="D161" i="10"/>
  <c r="O160" i="10"/>
  <c r="J160" i="10"/>
  <c r="E160" i="10"/>
  <c r="H158" i="10"/>
  <c r="J153" i="10"/>
  <c r="E153" i="10"/>
  <c r="M148" i="10"/>
  <c r="F148" i="10"/>
  <c r="E147" i="10"/>
  <c r="I147" i="10"/>
  <c r="E146" i="10"/>
  <c r="H146" i="10"/>
  <c r="K145" i="10"/>
  <c r="E145" i="10"/>
  <c r="D144" i="10"/>
  <c r="B144" i="10"/>
  <c r="G144" i="10"/>
  <c r="M144" i="10"/>
  <c r="I142" i="10"/>
  <c r="N140" i="10"/>
  <c r="F140" i="10"/>
  <c r="E138" i="10"/>
  <c r="I138" i="10"/>
  <c r="J137" i="10"/>
  <c r="E137" i="10"/>
  <c r="D136" i="10"/>
  <c r="C136" i="10"/>
  <c r="I136" i="10"/>
  <c r="N136" i="10"/>
  <c r="D134" i="10"/>
  <c r="L134" i="10"/>
  <c r="B129" i="10"/>
  <c r="F129" i="10"/>
  <c r="J129" i="10"/>
  <c r="N129" i="10"/>
  <c r="D129" i="10"/>
  <c r="H129" i="10"/>
  <c r="L129" i="10"/>
  <c r="B127" i="10"/>
  <c r="E127" i="10"/>
  <c r="M127" i="10"/>
  <c r="E122" i="10"/>
  <c r="D122" i="10"/>
  <c r="I122" i="10"/>
  <c r="K113" i="10"/>
  <c r="I112" i="10"/>
  <c r="E111" i="10"/>
  <c r="I111" i="10"/>
  <c r="O109" i="10"/>
  <c r="G109" i="10"/>
  <c r="N108" i="10"/>
  <c r="B102" i="10"/>
  <c r="H102" i="10"/>
  <c r="D102" i="10"/>
  <c r="L102" i="10"/>
  <c r="D113" i="10"/>
  <c r="H113" i="10"/>
  <c r="L113" i="10"/>
  <c r="B113" i="10"/>
  <c r="F113" i="10"/>
  <c r="J113" i="10"/>
  <c r="N113" i="10"/>
  <c r="D108" i="10"/>
  <c r="E108" i="10"/>
  <c r="J108" i="10"/>
  <c r="O108" i="10"/>
  <c r="B108" i="10"/>
  <c r="G108" i="10"/>
  <c r="M108" i="10"/>
  <c r="E95" i="10"/>
  <c r="I95" i="10"/>
  <c r="K34" i="6"/>
  <c r="N34" i="12" s="1"/>
  <c r="L33" i="6"/>
  <c r="N29" i="6"/>
  <c r="I29" i="6"/>
  <c r="M29" i="12" s="1"/>
  <c r="D29" i="6"/>
  <c r="O17" i="6"/>
  <c r="K17" i="6"/>
  <c r="G17" i="6"/>
  <c r="N16" i="6"/>
  <c r="I16" i="6"/>
  <c r="Q16" i="12" s="1"/>
  <c r="K8" i="6"/>
  <c r="R8" i="12" s="1"/>
  <c r="E8" i="6"/>
  <c r="N187" i="10"/>
  <c r="I187" i="10"/>
  <c r="O182" i="10"/>
  <c r="I182" i="10"/>
  <c r="N181" i="10"/>
  <c r="J181" i="10"/>
  <c r="F181" i="10"/>
  <c r="K174" i="10"/>
  <c r="C174" i="10"/>
  <c r="N171" i="10"/>
  <c r="I171" i="10"/>
  <c r="L169" i="10"/>
  <c r="H169" i="10"/>
  <c r="D169" i="10"/>
  <c r="L165" i="10"/>
  <c r="H165" i="10"/>
  <c r="D165" i="10"/>
  <c r="N161" i="10"/>
  <c r="J161" i="10"/>
  <c r="F161" i="10"/>
  <c r="M160" i="10"/>
  <c r="G160" i="10"/>
  <c r="M158" i="10"/>
  <c r="L154" i="10"/>
  <c r="M153" i="10"/>
  <c r="H153" i="10"/>
  <c r="C152" i="10"/>
  <c r="F152" i="10"/>
  <c r="M152" i="10"/>
  <c r="D149" i="10"/>
  <c r="H149" i="10"/>
  <c r="L149" i="10"/>
  <c r="I148" i="10"/>
  <c r="I146" i="10"/>
  <c r="M145" i="10"/>
  <c r="H145" i="10"/>
  <c r="K144" i="10"/>
  <c r="E144" i="10"/>
  <c r="B141" i="10"/>
  <c r="F141" i="10"/>
  <c r="J141" i="10"/>
  <c r="N141" i="10"/>
  <c r="J140" i="10"/>
  <c r="H138" i="10"/>
  <c r="M137" i="10"/>
  <c r="H137" i="10"/>
  <c r="K136" i="10"/>
  <c r="E136" i="10"/>
  <c r="M129" i="10"/>
  <c r="E129" i="10"/>
  <c r="D128" i="10"/>
  <c r="B128" i="10"/>
  <c r="G128" i="10"/>
  <c r="M128" i="10"/>
  <c r="E128" i="10"/>
  <c r="J128" i="10"/>
  <c r="O128" i="10"/>
  <c r="L122" i="10"/>
  <c r="D118" i="10"/>
  <c r="I118" i="10"/>
  <c r="O113" i="10"/>
  <c r="G113" i="10"/>
  <c r="N112" i="10"/>
  <c r="K109" i="10"/>
  <c r="I108" i="10"/>
  <c r="B106" i="10"/>
  <c r="H106" i="10"/>
  <c r="D106" i="10"/>
  <c r="L106" i="10"/>
  <c r="I102" i="10"/>
  <c r="K172" i="10"/>
  <c r="O169" i="10"/>
  <c r="K169" i="10"/>
  <c r="G169" i="10"/>
  <c r="O165" i="10"/>
  <c r="K165" i="10"/>
  <c r="G165" i="10"/>
  <c r="D158" i="10"/>
  <c r="C158" i="10"/>
  <c r="K158" i="10"/>
  <c r="C153" i="10"/>
  <c r="G153" i="10"/>
  <c r="K153" i="10"/>
  <c r="O153" i="10"/>
  <c r="D148" i="10"/>
  <c r="E148" i="10"/>
  <c r="J148" i="10"/>
  <c r="O148" i="10"/>
  <c r="B145" i="10"/>
  <c r="F145" i="10"/>
  <c r="J145" i="10"/>
  <c r="N145" i="10"/>
  <c r="E142" i="10"/>
  <c r="M142" i="10"/>
  <c r="D140" i="10"/>
  <c r="B140" i="10"/>
  <c r="G140" i="10"/>
  <c r="M140" i="10"/>
  <c r="C137" i="10"/>
  <c r="G137" i="10"/>
  <c r="K137" i="10"/>
  <c r="O137" i="10"/>
  <c r="B135" i="10"/>
  <c r="I135" i="10"/>
  <c r="I126" i="10"/>
  <c r="D126" i="10"/>
  <c r="M126" i="10"/>
  <c r="M113" i="10"/>
  <c r="E113" i="10"/>
  <c r="D112" i="10"/>
  <c r="E112" i="10"/>
  <c r="J112" i="10"/>
  <c r="O112" i="10"/>
  <c r="B112" i="10"/>
  <c r="G112" i="10"/>
  <c r="M112" i="10"/>
  <c r="D109" i="10"/>
  <c r="H109" i="10"/>
  <c r="L109" i="10"/>
  <c r="B109" i="10"/>
  <c r="F109" i="10"/>
  <c r="J109" i="10"/>
  <c r="N109" i="10"/>
  <c r="F108" i="10"/>
  <c r="L97" i="10"/>
  <c r="H97" i="10"/>
  <c r="D97" i="10"/>
  <c r="O96" i="10"/>
  <c r="J96" i="10"/>
  <c r="E96" i="10"/>
  <c r="L93" i="10"/>
  <c r="H93" i="10"/>
  <c r="D93" i="10"/>
  <c r="O92" i="10"/>
  <c r="J92" i="10"/>
  <c r="E92" i="10"/>
  <c r="H90" i="10"/>
  <c r="H86" i="10"/>
  <c r="N81" i="10"/>
  <c r="J81" i="10"/>
  <c r="F81" i="10"/>
  <c r="B81" i="10"/>
  <c r="M80" i="10"/>
  <c r="G80" i="10"/>
  <c r="B80" i="10"/>
  <c r="N77" i="10"/>
  <c r="J77" i="10"/>
  <c r="F77" i="10"/>
  <c r="B77" i="10"/>
  <c r="M76" i="10"/>
  <c r="G76" i="10"/>
  <c r="B76" i="10"/>
  <c r="L74" i="10"/>
  <c r="D74" i="10"/>
  <c r="L70" i="10"/>
  <c r="D70" i="10"/>
  <c r="L65" i="10"/>
  <c r="H65" i="10"/>
  <c r="D65" i="10"/>
  <c r="O64" i="10"/>
  <c r="J64" i="10"/>
  <c r="E64" i="10"/>
  <c r="I63" i="10"/>
  <c r="L61" i="10"/>
  <c r="H61" i="10"/>
  <c r="D61" i="10"/>
  <c r="O60" i="10"/>
  <c r="J60" i="10"/>
  <c r="I58" i="10"/>
  <c r="D49" i="10"/>
  <c r="H49" i="10"/>
  <c r="L49" i="10"/>
  <c r="J41" i="10"/>
  <c r="M29" i="10"/>
  <c r="D60" i="10"/>
  <c r="B60" i="10"/>
  <c r="G60" i="10"/>
  <c r="B54" i="10"/>
  <c r="D54" i="10"/>
  <c r="L54" i="10"/>
  <c r="C41" i="10"/>
  <c r="G41" i="10"/>
  <c r="K41" i="10"/>
  <c r="O41" i="10"/>
  <c r="D41" i="10"/>
  <c r="H41" i="10"/>
  <c r="L41" i="10"/>
  <c r="D32" i="10"/>
  <c r="B32" i="10"/>
  <c r="G32" i="10"/>
  <c r="M32" i="10"/>
  <c r="C32" i="10"/>
  <c r="I32" i="10"/>
  <c r="N32" i="10"/>
  <c r="E32" i="10"/>
  <c r="J32" i="10"/>
  <c r="O32" i="10"/>
  <c r="H130" i="10"/>
  <c r="O125" i="10"/>
  <c r="K125" i="10"/>
  <c r="G125" i="10"/>
  <c r="N124" i="10"/>
  <c r="I124" i="10"/>
  <c r="C124" i="10"/>
  <c r="O105" i="10"/>
  <c r="K105" i="10"/>
  <c r="G105" i="10"/>
  <c r="N104" i="10"/>
  <c r="I104" i="10"/>
  <c r="C104" i="10"/>
  <c r="O101" i="10"/>
  <c r="K101" i="10"/>
  <c r="G101" i="10"/>
  <c r="N100" i="10"/>
  <c r="I100" i="10"/>
  <c r="C100" i="10"/>
  <c r="M98" i="10"/>
  <c r="E98" i="10"/>
  <c r="N97" i="10"/>
  <c r="J97" i="10"/>
  <c r="F97" i="10"/>
  <c r="M96" i="10"/>
  <c r="G96" i="10"/>
  <c r="B96" i="10"/>
  <c r="M94" i="10"/>
  <c r="E94" i="10"/>
  <c r="N93" i="10"/>
  <c r="J93" i="10"/>
  <c r="F93" i="10"/>
  <c r="M92" i="10"/>
  <c r="G92" i="10"/>
  <c r="B92" i="10"/>
  <c r="L90" i="10"/>
  <c r="D90" i="10"/>
  <c r="L86" i="10"/>
  <c r="D86" i="10"/>
  <c r="L81" i="10"/>
  <c r="H81" i="10"/>
  <c r="D81" i="10"/>
  <c r="O80" i="10"/>
  <c r="J80" i="10"/>
  <c r="E80" i="10"/>
  <c r="I79" i="10"/>
  <c r="L77" i="10"/>
  <c r="H77" i="10"/>
  <c r="D77" i="10"/>
  <c r="O76" i="10"/>
  <c r="J76" i="10"/>
  <c r="E76" i="10"/>
  <c r="H74" i="10"/>
  <c r="O73" i="10"/>
  <c r="K73" i="10"/>
  <c r="G73" i="10"/>
  <c r="N72" i="10"/>
  <c r="I72" i="10"/>
  <c r="C72" i="10"/>
  <c r="H70" i="10"/>
  <c r="O69" i="10"/>
  <c r="K69" i="10"/>
  <c r="G69" i="10"/>
  <c r="N68" i="10"/>
  <c r="I68" i="10"/>
  <c r="C68" i="10"/>
  <c r="M66" i="10"/>
  <c r="E66" i="10"/>
  <c r="N65" i="10"/>
  <c r="J65" i="10"/>
  <c r="F65" i="10"/>
  <c r="M64" i="10"/>
  <c r="G64" i="10"/>
  <c r="B64" i="10"/>
  <c r="M62" i="10"/>
  <c r="E62" i="10"/>
  <c r="N61" i="10"/>
  <c r="J61" i="10"/>
  <c r="F61" i="10"/>
  <c r="M60" i="10"/>
  <c r="F60" i="10"/>
  <c r="I54" i="10"/>
  <c r="N49" i="10"/>
  <c r="I49" i="10"/>
  <c r="C49" i="10"/>
  <c r="E47" i="10"/>
  <c r="I47" i="10"/>
  <c r="N41" i="10"/>
  <c r="F41" i="10"/>
  <c r="B33" i="10"/>
  <c r="F33" i="10"/>
  <c r="J33" i="10"/>
  <c r="N33" i="10"/>
  <c r="C33" i="10"/>
  <c r="G33" i="10"/>
  <c r="K33" i="10"/>
  <c r="O33" i="10"/>
  <c r="D33" i="10"/>
  <c r="H33" i="10"/>
  <c r="L33" i="10"/>
  <c r="D28" i="10"/>
  <c r="B28" i="10"/>
  <c r="G28" i="10"/>
  <c r="M28" i="10"/>
  <c r="C28" i="10"/>
  <c r="I28" i="10"/>
  <c r="N28" i="10"/>
  <c r="E28" i="10"/>
  <c r="J28" i="10"/>
  <c r="O28" i="10"/>
  <c r="O81" i="10"/>
  <c r="K81" i="10"/>
  <c r="G81" i="10"/>
  <c r="N80" i="10"/>
  <c r="I80" i="10"/>
  <c r="C80" i="10"/>
  <c r="O77" i="10"/>
  <c r="K77" i="10"/>
  <c r="G77" i="10"/>
  <c r="N76" i="10"/>
  <c r="I76" i="10"/>
  <c r="C76" i="10"/>
  <c r="M74" i="10"/>
  <c r="E74" i="10"/>
  <c r="M70" i="10"/>
  <c r="E70" i="10"/>
  <c r="K60" i="10"/>
  <c r="E60" i="10"/>
  <c r="B58" i="10"/>
  <c r="D58" i="10"/>
  <c r="L58" i="10"/>
  <c r="H54" i="10"/>
  <c r="M41" i="10"/>
  <c r="E41" i="10"/>
  <c r="K32" i="10"/>
  <c r="B29" i="10"/>
  <c r="F29" i="10"/>
  <c r="J29" i="10"/>
  <c r="N29" i="10"/>
  <c r="C29" i="10"/>
  <c r="G29" i="10"/>
  <c r="K29" i="10"/>
  <c r="O29" i="10"/>
  <c r="D29" i="10"/>
  <c r="H29" i="10"/>
  <c r="L29" i="10"/>
  <c r="H26" i="10"/>
  <c r="L22" i="10"/>
  <c r="F22" i="10"/>
  <c r="K20" i="10"/>
  <c r="M17" i="10"/>
  <c r="F17" i="10"/>
  <c r="L15" i="10"/>
  <c r="H15" i="10"/>
  <c r="D15" i="10"/>
  <c r="L8" i="10"/>
  <c r="H8" i="10"/>
  <c r="D8" i="10"/>
  <c r="O7" i="10"/>
  <c r="J7" i="10"/>
  <c r="E7" i="10"/>
  <c r="O40" i="10"/>
  <c r="J40" i="10"/>
  <c r="E40" i="10"/>
  <c r="L37" i="10"/>
  <c r="H37" i="10"/>
  <c r="D37" i="10"/>
  <c r="O36" i="10"/>
  <c r="J36" i="10"/>
  <c r="E36" i="10"/>
  <c r="H34" i="10"/>
  <c r="H30" i="10"/>
  <c r="M26" i="10"/>
  <c r="E26" i="10"/>
  <c r="K22" i="10"/>
  <c r="C22" i="10"/>
  <c r="G20" i="10"/>
  <c r="L17" i="10"/>
  <c r="D17" i="10"/>
  <c r="O15" i="10"/>
  <c r="K15" i="10"/>
  <c r="G15" i="10"/>
  <c r="C15" i="10"/>
  <c r="J13" i="10"/>
  <c r="E13" i="10"/>
  <c r="L11" i="10"/>
  <c r="H11" i="10"/>
  <c r="D11" i="10"/>
  <c r="H9" i="10"/>
  <c r="O8" i="10"/>
  <c r="K8" i="10"/>
  <c r="G8" i="10"/>
  <c r="C8" i="10"/>
  <c r="N7" i="10"/>
  <c r="I7" i="10"/>
  <c r="C7" i="10"/>
  <c r="O48" i="10"/>
  <c r="J48" i="10"/>
  <c r="E48" i="10"/>
  <c r="L45" i="10"/>
  <c r="H45" i="10"/>
  <c r="O44" i="10"/>
  <c r="J44" i="10"/>
  <c r="E44" i="10"/>
  <c r="H42" i="10"/>
  <c r="N40" i="10"/>
  <c r="I40" i="10"/>
  <c r="C40" i="10"/>
  <c r="H38" i="10"/>
  <c r="O37" i="10"/>
  <c r="K37" i="10"/>
  <c r="G37" i="10"/>
  <c r="N36" i="10"/>
  <c r="I36" i="10"/>
  <c r="C36" i="10"/>
  <c r="M34" i="10"/>
  <c r="E34" i="10"/>
  <c r="M30" i="10"/>
  <c r="E30" i="10"/>
  <c r="L26" i="10"/>
  <c r="D26" i="10"/>
  <c r="O22" i="10"/>
  <c r="I22" i="10"/>
  <c r="E20" i="10"/>
  <c r="I17" i="10"/>
  <c r="N15" i="10"/>
  <c r="J15" i="10"/>
  <c r="F15" i="10"/>
  <c r="J14" i="10"/>
  <c r="N13" i="10"/>
  <c r="I13" i="10"/>
  <c r="M12" i="10"/>
  <c r="O11" i="10"/>
  <c r="K11" i="10"/>
  <c r="G11" i="10"/>
  <c r="K10" i="10"/>
  <c r="M9" i="10"/>
  <c r="N8" i="10"/>
  <c r="J8" i="10"/>
  <c r="F8" i="10"/>
  <c r="M7" i="10"/>
  <c r="G7" i="10"/>
  <c r="B7" i="10"/>
  <c r="E244" i="2"/>
  <c r="G248" i="2"/>
  <c r="C56" i="8"/>
  <c r="E55" i="8"/>
  <c r="H51" i="8"/>
  <c r="C51" i="8"/>
  <c r="G50" i="8"/>
  <c r="B50" i="8"/>
  <c r="E46" i="8"/>
  <c r="E38" i="8"/>
  <c r="I33" i="8"/>
  <c r="C32" i="8"/>
  <c r="E31" i="8"/>
  <c r="H27" i="8"/>
  <c r="C27" i="8"/>
  <c r="G26" i="8"/>
  <c r="B26" i="8"/>
  <c r="D25" i="8"/>
  <c r="C24" i="8"/>
  <c r="E23" i="8"/>
  <c r="I17" i="8"/>
  <c r="C16" i="8"/>
  <c r="E15" i="8"/>
  <c r="H11" i="8"/>
  <c r="C11" i="8"/>
  <c r="G10" i="8"/>
  <c r="B10" i="8"/>
  <c r="D9" i="8"/>
  <c r="C8" i="8"/>
  <c r="E7" i="8"/>
  <c r="C55" i="8"/>
  <c r="J46" i="8"/>
  <c r="B46" i="8"/>
  <c r="J38" i="8"/>
  <c r="B38" i="8"/>
  <c r="C31" i="8"/>
  <c r="C23" i="8"/>
  <c r="G21" i="8"/>
  <c r="C15" i="8"/>
  <c r="C7" i="8"/>
  <c r="G55" i="8"/>
  <c r="J54" i="8"/>
  <c r="B54" i="8"/>
  <c r="I51" i="8"/>
  <c r="I50" i="8"/>
  <c r="C47" i="8"/>
  <c r="F46" i="8"/>
  <c r="C39" i="8"/>
  <c r="F38" i="8"/>
  <c r="G31" i="8"/>
  <c r="J30" i="8"/>
  <c r="B30" i="8"/>
  <c r="I27" i="8"/>
  <c r="I26" i="8"/>
  <c r="G23" i="8"/>
  <c r="J22" i="8"/>
  <c r="B22" i="8"/>
  <c r="F20" i="8"/>
  <c r="G15" i="8"/>
  <c r="J14" i="8"/>
  <c r="B14" i="8"/>
  <c r="I11" i="8"/>
  <c r="I10" i="8"/>
  <c r="G7" i="8"/>
  <c r="N164" i="5"/>
  <c r="C162" i="5"/>
  <c r="O162" i="5"/>
  <c r="P162" i="5" s="1"/>
  <c r="K162" i="5"/>
  <c r="K156" i="5"/>
  <c r="C156" i="5"/>
  <c r="O156" i="5"/>
  <c r="P156" i="5" s="1"/>
  <c r="N154" i="5"/>
  <c r="N148" i="5"/>
  <c r="C158" i="5"/>
  <c r="O158" i="5"/>
  <c r="K158" i="5"/>
  <c r="K152" i="5"/>
  <c r="C152" i="5"/>
  <c r="O152" i="5"/>
  <c r="P152" i="5" s="1"/>
  <c r="K164" i="5"/>
  <c r="C164" i="5"/>
  <c r="O164" i="5"/>
  <c r="C154" i="5"/>
  <c r="O154" i="5"/>
  <c r="K154" i="5"/>
  <c r="K148" i="5"/>
  <c r="C148" i="5"/>
  <c r="O148" i="5"/>
  <c r="I144" i="5"/>
  <c r="K144" i="5"/>
  <c r="C144" i="5"/>
  <c r="O144" i="5"/>
  <c r="P144" i="5" s="1"/>
  <c r="I140" i="5"/>
  <c r="K140" i="5"/>
  <c r="C140" i="5"/>
  <c r="O140" i="5"/>
  <c r="P140" i="5" s="1"/>
  <c r="I136" i="5"/>
  <c r="K136" i="5"/>
  <c r="C136" i="5"/>
  <c r="O136" i="5"/>
  <c r="P136" i="5" s="1"/>
  <c r="I132" i="5"/>
  <c r="K132" i="5"/>
  <c r="C132" i="5"/>
  <c r="O132" i="5"/>
  <c r="P132" i="5" s="1"/>
  <c r="I128" i="5"/>
  <c r="K128" i="5"/>
  <c r="C128" i="5"/>
  <c r="O128" i="5"/>
  <c r="P128" i="5" s="1"/>
  <c r="I124" i="5"/>
  <c r="K124" i="5"/>
  <c r="C124" i="5"/>
  <c r="O124" i="5"/>
  <c r="P124" i="5" s="1"/>
  <c r="I120" i="5"/>
  <c r="K120" i="5"/>
  <c r="C120" i="5"/>
  <c r="O120" i="5"/>
  <c r="P120" i="5" s="1"/>
  <c r="I116" i="5"/>
  <c r="K116" i="5"/>
  <c r="C116" i="5"/>
  <c r="O116" i="5"/>
  <c r="P116" i="5" s="1"/>
  <c r="I112" i="5"/>
  <c r="K112" i="5"/>
  <c r="C112" i="5"/>
  <c r="O112" i="5"/>
  <c r="P112" i="5" s="1"/>
  <c r="I162" i="5"/>
  <c r="K160" i="5"/>
  <c r="C160" i="5"/>
  <c r="O160" i="5"/>
  <c r="P160" i="5" s="1"/>
  <c r="I156" i="5"/>
  <c r="C150" i="5"/>
  <c r="O150" i="5"/>
  <c r="P150" i="5" s="1"/>
  <c r="K150" i="5"/>
  <c r="K146" i="5"/>
  <c r="K142" i="5"/>
  <c r="K138" i="5"/>
  <c r="K134" i="5"/>
  <c r="K130" i="5"/>
  <c r="K126" i="5"/>
  <c r="K122" i="5"/>
  <c r="K118" i="5"/>
  <c r="K114" i="5"/>
  <c r="K110" i="5"/>
  <c r="O108" i="5"/>
  <c r="C108" i="5"/>
  <c r="K106" i="5"/>
  <c r="O104" i="5"/>
  <c r="C104" i="5"/>
  <c r="K102" i="5"/>
  <c r="O100" i="5"/>
  <c r="C100" i="5"/>
  <c r="K98" i="5"/>
  <c r="O96" i="5"/>
  <c r="C96" i="5"/>
  <c r="K94" i="5"/>
  <c r="O92" i="5"/>
  <c r="C92" i="5"/>
  <c r="K90" i="5"/>
  <c r="O88" i="5"/>
  <c r="C88" i="5"/>
  <c r="K86" i="5"/>
  <c r="O84" i="5"/>
  <c r="C84" i="5"/>
  <c r="K82" i="5"/>
  <c r="O80" i="5"/>
  <c r="C80" i="5"/>
  <c r="K78" i="5"/>
  <c r="O76" i="5"/>
  <c r="C76" i="5"/>
  <c r="K74" i="5"/>
  <c r="O72" i="5"/>
  <c r="C72" i="5"/>
  <c r="K70" i="5"/>
  <c r="O68" i="5"/>
  <c r="C68" i="5"/>
  <c r="K66" i="5"/>
  <c r="O64" i="5"/>
  <c r="C64" i="5"/>
  <c r="K49" i="5"/>
  <c r="O47" i="5"/>
  <c r="C47" i="5"/>
  <c r="K45" i="5"/>
  <c r="O43" i="5"/>
  <c r="C43" i="5"/>
  <c r="K41" i="5"/>
  <c r="O39" i="5"/>
  <c r="C39" i="5"/>
  <c r="K37" i="5"/>
  <c r="O35" i="5"/>
  <c r="C35" i="5"/>
  <c r="K33" i="5"/>
  <c r="O31" i="5"/>
  <c r="C31" i="5"/>
  <c r="K29" i="5"/>
  <c r="O27" i="5"/>
  <c r="C27" i="5"/>
  <c r="K25" i="5"/>
  <c r="O23" i="5"/>
  <c r="C23" i="5"/>
  <c r="K21" i="5"/>
  <c r="O19" i="5"/>
  <c r="C19" i="5"/>
  <c r="K17" i="5"/>
  <c r="O15" i="5"/>
  <c r="P15" i="5" s="1"/>
  <c r="C15" i="5"/>
  <c r="K13" i="5"/>
  <c r="O11" i="5"/>
  <c r="C11" i="5"/>
  <c r="K9" i="5"/>
  <c r="O7" i="5"/>
  <c r="P7" i="5" s="1"/>
  <c r="C7" i="5"/>
  <c r="I188" i="11"/>
  <c r="M187" i="11"/>
  <c r="N186" i="11"/>
  <c r="J186" i="11"/>
  <c r="F186" i="11"/>
  <c r="B186" i="11"/>
  <c r="M185" i="11"/>
  <c r="G185" i="11"/>
  <c r="B185" i="11"/>
  <c r="M183" i="11"/>
  <c r="E183" i="11"/>
  <c r="N182" i="11"/>
  <c r="J182" i="11"/>
  <c r="F182" i="11"/>
  <c r="B182" i="11"/>
  <c r="M181" i="11"/>
  <c r="G181" i="11"/>
  <c r="B181" i="11"/>
  <c r="M179" i="11"/>
  <c r="E179" i="11"/>
  <c r="N178" i="11"/>
  <c r="J178" i="11"/>
  <c r="F178" i="11"/>
  <c r="B178" i="11"/>
  <c r="M177" i="11"/>
  <c r="G177" i="11"/>
  <c r="B177" i="11"/>
  <c r="M175" i="11"/>
  <c r="E175" i="11"/>
  <c r="N174" i="11"/>
  <c r="J174" i="11"/>
  <c r="F174" i="11"/>
  <c r="B174" i="11"/>
  <c r="M173" i="11"/>
  <c r="G173" i="11"/>
  <c r="B173" i="11"/>
  <c r="M171" i="11"/>
  <c r="E171" i="11"/>
  <c r="N170" i="11"/>
  <c r="J170" i="11"/>
  <c r="F170" i="11"/>
  <c r="B170" i="11"/>
  <c r="M169" i="11"/>
  <c r="G169" i="11"/>
  <c r="B169" i="11"/>
  <c r="E168" i="11"/>
  <c r="L166" i="11"/>
  <c r="H166" i="11"/>
  <c r="D166" i="11"/>
  <c r="O165" i="11"/>
  <c r="J165" i="11"/>
  <c r="E165" i="11"/>
  <c r="M164" i="11"/>
  <c r="M163" i="11"/>
  <c r="E163" i="11"/>
  <c r="N162" i="11"/>
  <c r="J162" i="11"/>
  <c r="F162" i="11"/>
  <c r="B162" i="11"/>
  <c r="M161" i="11"/>
  <c r="G161" i="11"/>
  <c r="B161" i="11"/>
  <c r="E160" i="11"/>
  <c r="L158" i="11"/>
  <c r="H158" i="11"/>
  <c r="D158" i="11"/>
  <c r="O157" i="11"/>
  <c r="J157" i="11"/>
  <c r="E157" i="11"/>
  <c r="M156" i="11"/>
  <c r="M155" i="11"/>
  <c r="E155" i="11"/>
  <c r="N154" i="11"/>
  <c r="J154" i="11"/>
  <c r="F154" i="11"/>
  <c r="B154" i="11"/>
  <c r="M153" i="11"/>
  <c r="G153" i="11"/>
  <c r="B153" i="11"/>
  <c r="E152" i="11"/>
  <c r="L150" i="11"/>
  <c r="H150" i="11"/>
  <c r="D150" i="11"/>
  <c r="O149" i="11"/>
  <c r="J149" i="11"/>
  <c r="E149" i="11"/>
  <c r="M148" i="11"/>
  <c r="M147" i="11"/>
  <c r="E147" i="11"/>
  <c r="N146" i="11"/>
  <c r="J146" i="11"/>
  <c r="F146" i="11"/>
  <c r="B146" i="11"/>
  <c r="M145" i="11"/>
  <c r="G145" i="11"/>
  <c r="B145" i="11"/>
  <c r="L142" i="11"/>
  <c r="H142" i="11"/>
  <c r="D142" i="11"/>
  <c r="O141" i="11"/>
  <c r="G141" i="11"/>
  <c r="N140" i="11"/>
  <c r="I140" i="11"/>
  <c r="D140" i="11"/>
  <c r="I139" i="11"/>
  <c r="N138" i="11"/>
  <c r="J138" i="11"/>
  <c r="F138" i="11"/>
  <c r="B138" i="11"/>
  <c r="K137" i="11"/>
  <c r="C137" i="11"/>
  <c r="L134" i="11"/>
  <c r="H134" i="11"/>
  <c r="D134" i="11"/>
  <c r="O133" i="11"/>
  <c r="G133" i="11"/>
  <c r="N132" i="11"/>
  <c r="I132" i="11"/>
  <c r="D132" i="11"/>
  <c r="I131" i="11"/>
  <c r="N130" i="11"/>
  <c r="J130" i="11"/>
  <c r="F130" i="11"/>
  <c r="B130" i="11"/>
  <c r="M129" i="11"/>
  <c r="G129" i="11"/>
  <c r="B129" i="11"/>
  <c r="H127" i="11"/>
  <c r="F125" i="11"/>
  <c r="J124" i="11"/>
  <c r="O122" i="11"/>
  <c r="J122" i="11"/>
  <c r="E122" i="11"/>
  <c r="M119" i="11"/>
  <c r="G119" i="11"/>
  <c r="O118" i="11"/>
  <c r="I118" i="11"/>
  <c r="K117" i="11"/>
  <c r="L116" i="11"/>
  <c r="O114" i="11"/>
  <c r="I114" i="11"/>
  <c r="N113" i="11"/>
  <c r="F113" i="11"/>
  <c r="B112" i="11"/>
  <c r="I112" i="11"/>
  <c r="M110" i="11"/>
  <c r="H110" i="11"/>
  <c r="L107" i="11"/>
  <c r="O106" i="11"/>
  <c r="I106" i="11"/>
  <c r="M102" i="11"/>
  <c r="B98" i="11"/>
  <c r="F98" i="11"/>
  <c r="J98" i="11"/>
  <c r="N98" i="11"/>
  <c r="D98" i="11"/>
  <c r="H98" i="11"/>
  <c r="L98" i="11"/>
  <c r="B90" i="11"/>
  <c r="F90" i="11"/>
  <c r="J90" i="11"/>
  <c r="N90" i="11"/>
  <c r="D90" i="11"/>
  <c r="H90" i="11"/>
  <c r="L90" i="11"/>
  <c r="D86" i="11"/>
  <c r="H86" i="11"/>
  <c r="L86" i="11"/>
  <c r="B86" i="11"/>
  <c r="F86" i="11"/>
  <c r="J86" i="11"/>
  <c r="N86" i="11"/>
  <c r="G85" i="11"/>
  <c r="O85" i="11"/>
  <c r="C85" i="11"/>
  <c r="K85" i="11"/>
  <c r="O82" i="11"/>
  <c r="G82" i="11"/>
  <c r="O78" i="11"/>
  <c r="G78" i="11"/>
  <c r="M77" i="11"/>
  <c r="M74" i="11"/>
  <c r="M70" i="11"/>
  <c r="M66" i="11"/>
  <c r="B128" i="11"/>
  <c r="D128" i="11"/>
  <c r="N128" i="11"/>
  <c r="D124" i="11"/>
  <c r="I124" i="11"/>
  <c r="N124" i="11"/>
  <c r="F116" i="11"/>
  <c r="M116" i="11"/>
  <c r="C110" i="11"/>
  <c r="G110" i="11"/>
  <c r="K110" i="11"/>
  <c r="O110" i="11"/>
  <c r="B101" i="11"/>
  <c r="I101" i="11"/>
  <c r="C101" i="11"/>
  <c r="N101" i="11"/>
  <c r="F100" i="11"/>
  <c r="M100" i="11"/>
  <c r="B100" i="11"/>
  <c r="J100" i="11"/>
  <c r="B96" i="11"/>
  <c r="I96" i="11"/>
  <c r="D96" i="11"/>
  <c r="N96" i="11"/>
  <c r="G95" i="11"/>
  <c r="M95" i="11"/>
  <c r="C95" i="11"/>
  <c r="K95" i="11"/>
  <c r="I73" i="11"/>
  <c r="C73" i="11"/>
  <c r="O73" i="11"/>
  <c r="D65" i="11"/>
  <c r="E65" i="11"/>
  <c r="M65" i="11"/>
  <c r="G65" i="11"/>
  <c r="O65" i="11"/>
  <c r="C65" i="11"/>
  <c r="K65" i="11"/>
  <c r="O146" i="5"/>
  <c r="O142" i="5"/>
  <c r="O138" i="5"/>
  <c r="O134" i="5"/>
  <c r="O130" i="5"/>
  <c r="O126" i="5"/>
  <c r="O122" i="5"/>
  <c r="O118" i="5"/>
  <c r="O114" i="5"/>
  <c r="O110" i="5"/>
  <c r="K108" i="5"/>
  <c r="O106" i="5"/>
  <c r="K104" i="5"/>
  <c r="O102" i="5"/>
  <c r="K100" i="5"/>
  <c r="O98" i="5"/>
  <c r="P98" i="5" s="1"/>
  <c r="K96" i="5"/>
  <c r="O94" i="5"/>
  <c r="P93" i="5"/>
  <c r="K92" i="5"/>
  <c r="O90" i="5"/>
  <c r="P90" i="5" s="1"/>
  <c r="K88" i="5"/>
  <c r="O86" i="5"/>
  <c r="P85" i="5"/>
  <c r="K84" i="5"/>
  <c r="O82" i="5"/>
  <c r="K80" i="5"/>
  <c r="O78" i="5"/>
  <c r="K76" i="5"/>
  <c r="O74" i="5"/>
  <c r="K72" i="5"/>
  <c r="O70" i="5"/>
  <c r="K68" i="5"/>
  <c r="O66" i="5"/>
  <c r="K64" i="5"/>
  <c r="O49" i="5"/>
  <c r="C49" i="5"/>
  <c r="K47" i="5"/>
  <c r="I46" i="5"/>
  <c r="O45" i="5"/>
  <c r="C45" i="5"/>
  <c r="K43" i="5"/>
  <c r="I42" i="5"/>
  <c r="O41" i="5"/>
  <c r="C41" i="5"/>
  <c r="K39" i="5"/>
  <c r="I38" i="5"/>
  <c r="O37" i="5"/>
  <c r="C37" i="5"/>
  <c r="K35" i="5"/>
  <c r="I34" i="5"/>
  <c r="O33" i="5"/>
  <c r="C33" i="5"/>
  <c r="K31" i="5"/>
  <c r="I30" i="5"/>
  <c r="O29" i="5"/>
  <c r="C29" i="5"/>
  <c r="K27" i="5"/>
  <c r="I26" i="5"/>
  <c r="O25" i="5"/>
  <c r="C25" i="5"/>
  <c r="K23" i="5"/>
  <c r="I22" i="5"/>
  <c r="O21" i="5"/>
  <c r="C21" i="5"/>
  <c r="K19" i="5"/>
  <c r="I18" i="5"/>
  <c r="O17" i="5"/>
  <c r="C17" i="5"/>
  <c r="K15" i="5"/>
  <c r="I14" i="5"/>
  <c r="O13" i="5"/>
  <c r="C13" i="5"/>
  <c r="K11" i="5"/>
  <c r="I10" i="5"/>
  <c r="O9" i="5"/>
  <c r="C9" i="5"/>
  <c r="K7" i="5"/>
  <c r="N188" i="11"/>
  <c r="E188" i="11"/>
  <c r="L186" i="11"/>
  <c r="H186" i="11"/>
  <c r="D186" i="11"/>
  <c r="O185" i="11"/>
  <c r="J185" i="11"/>
  <c r="E185" i="11"/>
  <c r="L182" i="11"/>
  <c r="H182" i="11"/>
  <c r="D182" i="11"/>
  <c r="O181" i="11"/>
  <c r="J181" i="11"/>
  <c r="E181" i="11"/>
  <c r="M180" i="11"/>
  <c r="L178" i="11"/>
  <c r="H178" i="11"/>
  <c r="D178" i="11"/>
  <c r="O177" i="11"/>
  <c r="J177" i="11"/>
  <c r="E177" i="11"/>
  <c r="L174" i="11"/>
  <c r="H174" i="11"/>
  <c r="D174" i="11"/>
  <c r="O173" i="11"/>
  <c r="J173" i="11"/>
  <c r="E173" i="11"/>
  <c r="M172" i="11"/>
  <c r="L170" i="11"/>
  <c r="H170" i="11"/>
  <c r="D170" i="11"/>
  <c r="O169" i="11"/>
  <c r="J169" i="11"/>
  <c r="E169" i="11"/>
  <c r="M168" i="11"/>
  <c r="N166" i="11"/>
  <c r="J166" i="11"/>
  <c r="F166" i="11"/>
  <c r="M165" i="11"/>
  <c r="G165" i="11"/>
  <c r="B165" i="11"/>
  <c r="E164" i="11"/>
  <c r="L162" i="11"/>
  <c r="H162" i="11"/>
  <c r="D162" i="11"/>
  <c r="O161" i="11"/>
  <c r="J161" i="11"/>
  <c r="E161" i="11"/>
  <c r="M160" i="11"/>
  <c r="N158" i="11"/>
  <c r="J158" i="11"/>
  <c r="F158" i="11"/>
  <c r="M157" i="11"/>
  <c r="G157" i="11"/>
  <c r="B157" i="11"/>
  <c r="E156" i="11"/>
  <c r="L154" i="11"/>
  <c r="H154" i="11"/>
  <c r="D154" i="11"/>
  <c r="O153" i="11"/>
  <c r="J153" i="11"/>
  <c r="E153" i="11"/>
  <c r="M152" i="11"/>
  <c r="N150" i="11"/>
  <c r="J150" i="11"/>
  <c r="F150" i="11"/>
  <c r="M149" i="11"/>
  <c r="G149" i="11"/>
  <c r="B149" i="11"/>
  <c r="E148" i="11"/>
  <c r="L146" i="11"/>
  <c r="H146" i="11"/>
  <c r="D146" i="11"/>
  <c r="O145" i="11"/>
  <c r="J145" i="11"/>
  <c r="E145" i="11"/>
  <c r="N142" i="11"/>
  <c r="J142" i="11"/>
  <c r="F142" i="11"/>
  <c r="K141" i="11"/>
  <c r="C141" i="11"/>
  <c r="L138" i="11"/>
  <c r="H138" i="11"/>
  <c r="D138" i="11"/>
  <c r="O137" i="11"/>
  <c r="G137" i="11"/>
  <c r="N134" i="11"/>
  <c r="J134" i="11"/>
  <c r="F134" i="11"/>
  <c r="K133" i="11"/>
  <c r="C133" i="11"/>
  <c r="L130" i="11"/>
  <c r="H130" i="11"/>
  <c r="D130" i="11"/>
  <c r="O129" i="11"/>
  <c r="J129" i="11"/>
  <c r="E129" i="11"/>
  <c r="L128" i="11"/>
  <c r="M127" i="11"/>
  <c r="M124" i="11"/>
  <c r="F124" i="11"/>
  <c r="M122" i="11"/>
  <c r="G122" i="11"/>
  <c r="F120" i="11"/>
  <c r="K119" i="11"/>
  <c r="B118" i="11"/>
  <c r="F118" i="11"/>
  <c r="J118" i="11"/>
  <c r="N118" i="11"/>
  <c r="H116" i="11"/>
  <c r="B114" i="11"/>
  <c r="F114" i="11"/>
  <c r="J114" i="11"/>
  <c r="N114" i="11"/>
  <c r="J113" i="11"/>
  <c r="G111" i="11"/>
  <c r="M111" i="11"/>
  <c r="J110" i="11"/>
  <c r="E110" i="11"/>
  <c r="B106" i="11"/>
  <c r="F106" i="11"/>
  <c r="J106" i="11"/>
  <c r="N106" i="11"/>
  <c r="B102" i="11"/>
  <c r="F102" i="11"/>
  <c r="J102" i="11"/>
  <c r="N102" i="11"/>
  <c r="D102" i="11"/>
  <c r="H102" i="11"/>
  <c r="L102" i="11"/>
  <c r="L100" i="11"/>
  <c r="B97" i="11"/>
  <c r="G97" i="11"/>
  <c r="M97" i="11"/>
  <c r="E97" i="11"/>
  <c r="J97" i="11"/>
  <c r="O97" i="11"/>
  <c r="L95" i="11"/>
  <c r="B93" i="11"/>
  <c r="F93" i="11"/>
  <c r="K82" i="11"/>
  <c r="I81" i="11"/>
  <c r="C81" i="11"/>
  <c r="O81" i="11"/>
  <c r="K78" i="11"/>
  <c r="B74" i="11"/>
  <c r="F74" i="11"/>
  <c r="J74" i="11"/>
  <c r="N74" i="11"/>
  <c r="D74" i="11"/>
  <c r="H74" i="11"/>
  <c r="L74" i="11"/>
  <c r="D70" i="11"/>
  <c r="H70" i="11"/>
  <c r="L70" i="11"/>
  <c r="B70" i="11"/>
  <c r="F70" i="11"/>
  <c r="J70" i="11"/>
  <c r="N70" i="11"/>
  <c r="D69" i="11"/>
  <c r="G69" i="11"/>
  <c r="O69" i="11"/>
  <c r="C69" i="11"/>
  <c r="K69" i="11"/>
  <c r="I47" i="5"/>
  <c r="I43" i="5"/>
  <c r="I39" i="5"/>
  <c r="I35" i="5"/>
  <c r="I31" i="5"/>
  <c r="I27" i="5"/>
  <c r="I23" i="5"/>
  <c r="I19" i="5"/>
  <c r="I15" i="5"/>
  <c r="I11" i="5"/>
  <c r="I7" i="5"/>
  <c r="O186" i="11"/>
  <c r="K186" i="11"/>
  <c r="G186" i="11"/>
  <c r="N185" i="11"/>
  <c r="I185" i="11"/>
  <c r="C185" i="11"/>
  <c r="O182" i="11"/>
  <c r="K182" i="11"/>
  <c r="G182" i="11"/>
  <c r="N181" i="11"/>
  <c r="I181" i="11"/>
  <c r="C181" i="11"/>
  <c r="O178" i="11"/>
  <c r="K178" i="11"/>
  <c r="G178" i="11"/>
  <c r="N177" i="11"/>
  <c r="I177" i="11"/>
  <c r="C177" i="11"/>
  <c r="O174" i="11"/>
  <c r="K174" i="11"/>
  <c r="G174" i="11"/>
  <c r="N173" i="11"/>
  <c r="I173" i="11"/>
  <c r="C173" i="11"/>
  <c r="O170" i="11"/>
  <c r="K170" i="11"/>
  <c r="G170" i="11"/>
  <c r="N169" i="11"/>
  <c r="I169" i="11"/>
  <c r="C169" i="11"/>
  <c r="I168" i="11"/>
  <c r="O162" i="11"/>
  <c r="K162" i="11"/>
  <c r="G162" i="11"/>
  <c r="N161" i="11"/>
  <c r="I161" i="11"/>
  <c r="C161" i="11"/>
  <c r="I160" i="11"/>
  <c r="O154" i="11"/>
  <c r="K154" i="11"/>
  <c r="G154" i="11"/>
  <c r="N153" i="11"/>
  <c r="I153" i="11"/>
  <c r="C153" i="11"/>
  <c r="I152" i="11"/>
  <c r="O146" i="11"/>
  <c r="K146" i="11"/>
  <c r="G146" i="11"/>
  <c r="N145" i="11"/>
  <c r="I145" i="11"/>
  <c r="C145" i="11"/>
  <c r="O138" i="11"/>
  <c r="K138" i="11"/>
  <c r="G138" i="11"/>
  <c r="M137" i="11"/>
  <c r="E137" i="11"/>
  <c r="O130" i="11"/>
  <c r="K130" i="11"/>
  <c r="G130" i="11"/>
  <c r="N129" i="11"/>
  <c r="I129" i="11"/>
  <c r="I128" i="11"/>
  <c r="C127" i="11"/>
  <c r="K127" i="11"/>
  <c r="K125" i="11"/>
  <c r="L124" i="11"/>
  <c r="E124" i="11"/>
  <c r="D122" i="11"/>
  <c r="H122" i="11"/>
  <c r="L122" i="11"/>
  <c r="D119" i="11"/>
  <c r="I119" i="11"/>
  <c r="O119" i="11"/>
  <c r="B117" i="11"/>
  <c r="I117" i="11"/>
  <c r="E116" i="11"/>
  <c r="C115" i="11"/>
  <c r="L115" i="11"/>
  <c r="B113" i="11"/>
  <c r="G113" i="11"/>
  <c r="M113" i="11"/>
  <c r="N110" i="11"/>
  <c r="I110" i="11"/>
  <c r="D110" i="11"/>
  <c r="B109" i="11"/>
  <c r="F109" i="11"/>
  <c r="C107" i="11"/>
  <c r="G107" i="11"/>
  <c r="B104" i="11"/>
  <c r="F104" i="11"/>
  <c r="K101" i="11"/>
  <c r="H100" i="11"/>
  <c r="L96" i="11"/>
  <c r="H95" i="11"/>
  <c r="I89" i="11"/>
  <c r="C89" i="11"/>
  <c r="O89" i="11"/>
  <c r="B82" i="11"/>
  <c r="F82" i="11"/>
  <c r="J82" i="11"/>
  <c r="N82" i="11"/>
  <c r="D82" i="11"/>
  <c r="H82" i="11"/>
  <c r="L82" i="11"/>
  <c r="D78" i="11"/>
  <c r="H78" i="11"/>
  <c r="L78" i="11"/>
  <c r="B78" i="11"/>
  <c r="F78" i="11"/>
  <c r="J78" i="11"/>
  <c r="N78" i="11"/>
  <c r="G77" i="11"/>
  <c r="O77" i="11"/>
  <c r="C77" i="11"/>
  <c r="K77" i="11"/>
  <c r="K73" i="11"/>
  <c r="C66" i="11"/>
  <c r="G66" i="11"/>
  <c r="K66" i="11"/>
  <c r="O66" i="11"/>
  <c r="D66" i="11"/>
  <c r="H66" i="11"/>
  <c r="L66" i="11"/>
  <c r="B66" i="11"/>
  <c r="F66" i="11"/>
  <c r="J66" i="11"/>
  <c r="N66" i="11"/>
  <c r="K105" i="11"/>
  <c r="N92" i="11"/>
  <c r="I92" i="11"/>
  <c r="J60" i="11"/>
  <c r="E60" i="11"/>
  <c r="M59" i="11"/>
  <c r="O58" i="11"/>
  <c r="K58" i="11"/>
  <c r="G58" i="11"/>
  <c r="M57" i="11"/>
  <c r="E57" i="11"/>
  <c r="M56" i="11"/>
  <c r="H56" i="11"/>
  <c r="B56" i="11"/>
  <c r="E55" i="11"/>
  <c r="J52" i="11"/>
  <c r="E52" i="11"/>
  <c r="M51" i="11"/>
  <c r="O50" i="11"/>
  <c r="K50" i="11"/>
  <c r="G50" i="11"/>
  <c r="M49" i="11"/>
  <c r="E49" i="11"/>
  <c r="M48" i="11"/>
  <c r="H48" i="11"/>
  <c r="B48" i="11"/>
  <c r="L46" i="11"/>
  <c r="H46" i="11"/>
  <c r="D46" i="11"/>
  <c r="O43" i="11"/>
  <c r="I43" i="11"/>
  <c r="N42" i="11"/>
  <c r="J42" i="11"/>
  <c r="F42" i="11"/>
  <c r="B42" i="11"/>
  <c r="I41" i="11"/>
  <c r="M40" i="11"/>
  <c r="F40" i="11"/>
  <c r="L39" i="11"/>
  <c r="N38" i="11"/>
  <c r="J38" i="11"/>
  <c r="F38" i="11"/>
  <c r="B38" i="11"/>
  <c r="M37" i="11"/>
  <c r="G37" i="11"/>
  <c r="B37" i="11"/>
  <c r="G35" i="11"/>
  <c r="M35" i="11"/>
  <c r="J34" i="11"/>
  <c r="E34" i="11"/>
  <c r="B30" i="11"/>
  <c r="F30" i="11"/>
  <c r="J30" i="11"/>
  <c r="N30" i="11"/>
  <c r="G29" i="11"/>
  <c r="D26" i="11"/>
  <c r="H26" i="11"/>
  <c r="L26" i="11"/>
  <c r="B25" i="11"/>
  <c r="C25" i="11"/>
  <c r="N25" i="11"/>
  <c r="K22" i="11"/>
  <c r="I21" i="11"/>
  <c r="N16" i="11"/>
  <c r="C14" i="11"/>
  <c r="B14" i="11"/>
  <c r="G14" i="11"/>
  <c r="K14" i="11"/>
  <c r="O14" i="11"/>
  <c r="E14" i="11"/>
  <c r="I14" i="11"/>
  <c r="M14" i="11"/>
  <c r="C184" i="12"/>
  <c r="E184" i="12"/>
  <c r="C180" i="12"/>
  <c r="E180" i="12"/>
  <c r="B177" i="12"/>
  <c r="F177" i="12"/>
  <c r="E177" i="12"/>
  <c r="C177" i="12"/>
  <c r="B160" i="12"/>
  <c r="C160" i="12"/>
  <c r="G160" i="12"/>
  <c r="E160" i="12"/>
  <c r="B33" i="11"/>
  <c r="F33" i="11"/>
  <c r="C31" i="11"/>
  <c r="G31" i="11"/>
  <c r="B28" i="11"/>
  <c r="F28" i="11"/>
  <c r="B22" i="11"/>
  <c r="F22" i="11"/>
  <c r="J22" i="11"/>
  <c r="N22" i="11"/>
  <c r="D22" i="11"/>
  <c r="H22" i="11"/>
  <c r="L22" i="11"/>
  <c r="C16" i="11"/>
  <c r="E16" i="11"/>
  <c r="J16" i="11"/>
  <c r="B16" i="11"/>
  <c r="H16" i="11"/>
  <c r="M16" i="11"/>
  <c r="G15" i="11"/>
  <c r="O15" i="11"/>
  <c r="C15" i="11"/>
  <c r="K15" i="11"/>
  <c r="G7" i="11"/>
  <c r="O7" i="11"/>
  <c r="C7" i="11"/>
  <c r="M7" i="11"/>
  <c r="I7" i="11"/>
  <c r="C176" i="12"/>
  <c r="E176" i="12"/>
  <c r="M60" i="11"/>
  <c r="H60" i="11"/>
  <c r="B60" i="11"/>
  <c r="E59" i="11"/>
  <c r="J56" i="11"/>
  <c r="E56" i="11"/>
  <c r="M55" i="11"/>
  <c r="M52" i="11"/>
  <c r="H52" i="11"/>
  <c r="B52" i="11"/>
  <c r="E51" i="11"/>
  <c r="J48" i="11"/>
  <c r="E48" i="11"/>
  <c r="N46" i="11"/>
  <c r="J46" i="11"/>
  <c r="F46" i="11"/>
  <c r="F44" i="11"/>
  <c r="L42" i="11"/>
  <c r="H42" i="11"/>
  <c r="D42" i="11"/>
  <c r="N41" i="11"/>
  <c r="C41" i="11"/>
  <c r="J40" i="11"/>
  <c r="L38" i="11"/>
  <c r="H38" i="11"/>
  <c r="D38" i="11"/>
  <c r="O37" i="11"/>
  <c r="J37" i="11"/>
  <c r="E37" i="11"/>
  <c r="B36" i="11"/>
  <c r="I36" i="11"/>
  <c r="M34" i="11"/>
  <c r="H34" i="11"/>
  <c r="L31" i="11"/>
  <c r="M29" i="11"/>
  <c r="B24" i="11"/>
  <c r="J24" i="11"/>
  <c r="O22" i="11"/>
  <c r="G22" i="11"/>
  <c r="N21" i="11"/>
  <c r="B20" i="11"/>
  <c r="I20" i="11"/>
  <c r="D20" i="11"/>
  <c r="N20" i="11"/>
  <c r="G19" i="11"/>
  <c r="M19" i="11"/>
  <c r="C19" i="11"/>
  <c r="K19" i="11"/>
  <c r="I16" i="11"/>
  <c r="M15" i="11"/>
  <c r="C8" i="11"/>
  <c r="E8" i="11"/>
  <c r="J8" i="11"/>
  <c r="F8" i="11"/>
  <c r="M8" i="11"/>
  <c r="B8" i="11"/>
  <c r="I8" i="11"/>
  <c r="C187" i="12"/>
  <c r="D187" i="12"/>
  <c r="B187" i="12"/>
  <c r="F187" i="12"/>
  <c r="C179" i="12"/>
  <c r="D179" i="12"/>
  <c r="F179" i="12"/>
  <c r="B179" i="12"/>
  <c r="G177" i="12"/>
  <c r="C171" i="12"/>
  <c r="B171" i="12"/>
  <c r="D171" i="12"/>
  <c r="F171" i="12"/>
  <c r="C155" i="12"/>
  <c r="E155" i="12"/>
  <c r="B155" i="12"/>
  <c r="F155" i="12"/>
  <c r="D155" i="12"/>
  <c r="N56" i="11"/>
  <c r="I56" i="11"/>
  <c r="D56" i="11"/>
  <c r="I55" i="11"/>
  <c r="N48" i="11"/>
  <c r="I48" i="11"/>
  <c r="D48" i="11"/>
  <c r="O42" i="11"/>
  <c r="K42" i="11"/>
  <c r="G42" i="11"/>
  <c r="O38" i="11"/>
  <c r="K38" i="11"/>
  <c r="G38" i="11"/>
  <c r="N37" i="11"/>
  <c r="I37" i="11"/>
  <c r="C34" i="11"/>
  <c r="G34" i="11"/>
  <c r="K34" i="11"/>
  <c r="O34" i="11"/>
  <c r="I31" i="11"/>
  <c r="E29" i="11"/>
  <c r="K29" i="11"/>
  <c r="M22" i="11"/>
  <c r="E22" i="11"/>
  <c r="B21" i="11"/>
  <c r="G21" i="11"/>
  <c r="M21" i="11"/>
  <c r="E21" i="11"/>
  <c r="J21" i="11"/>
  <c r="O21" i="11"/>
  <c r="I11" i="11"/>
  <c r="C11" i="11"/>
  <c r="K11" i="11"/>
  <c r="K7" i="11"/>
  <c r="B185" i="12"/>
  <c r="F185" i="12"/>
  <c r="C185" i="12"/>
  <c r="E185" i="12"/>
  <c r="L12" i="11"/>
  <c r="N10" i="11"/>
  <c r="I10" i="11"/>
  <c r="G186" i="12"/>
  <c r="C173" i="12"/>
  <c r="F169" i="12"/>
  <c r="G161" i="12"/>
  <c r="B152" i="12"/>
  <c r="G152" i="12"/>
  <c r="C152" i="12"/>
  <c r="G149" i="12"/>
  <c r="G145" i="12"/>
  <c r="B134" i="12"/>
  <c r="C134" i="12"/>
  <c r="G131" i="12"/>
  <c r="D128" i="12"/>
  <c r="G128" i="12"/>
  <c r="C128" i="12"/>
  <c r="G118" i="12"/>
  <c r="C118" i="12"/>
  <c r="C113" i="12"/>
  <c r="B113" i="12"/>
  <c r="E113" i="12"/>
  <c r="G82" i="12"/>
  <c r="D79" i="12"/>
  <c r="G79" i="12"/>
  <c r="C79" i="12"/>
  <c r="B148" i="12"/>
  <c r="C148" i="12"/>
  <c r="G148" i="12"/>
  <c r="B144" i="12"/>
  <c r="G144" i="12"/>
  <c r="C144" i="12"/>
  <c r="E136" i="12"/>
  <c r="C136" i="12"/>
  <c r="B133" i="12"/>
  <c r="F133" i="12"/>
  <c r="B125" i="12"/>
  <c r="D125" i="12"/>
  <c r="C121" i="12"/>
  <c r="E121" i="12"/>
  <c r="B121" i="12"/>
  <c r="B111" i="12"/>
  <c r="F111" i="12"/>
  <c r="D111" i="12"/>
  <c r="C85" i="12"/>
  <c r="B85" i="12"/>
  <c r="E85" i="12"/>
  <c r="B76" i="12"/>
  <c r="D76" i="12"/>
  <c r="C72" i="12"/>
  <c r="E72" i="12"/>
  <c r="B72" i="12"/>
  <c r="C13" i="11"/>
  <c r="I13" i="11"/>
  <c r="C12" i="11"/>
  <c r="B12" i="11"/>
  <c r="H12" i="11"/>
  <c r="M12" i="11"/>
  <c r="C10" i="11"/>
  <c r="G10" i="11"/>
  <c r="K10" i="11"/>
  <c r="O10" i="11"/>
  <c r="D165" i="12"/>
  <c r="B165" i="12"/>
  <c r="F165" i="12"/>
  <c r="C163" i="12"/>
  <c r="B163" i="12"/>
  <c r="E163" i="12"/>
  <c r="D153" i="12"/>
  <c r="B153" i="12"/>
  <c r="F153" i="12"/>
  <c r="B141" i="12"/>
  <c r="D141" i="12"/>
  <c r="E129" i="12"/>
  <c r="B129" i="12"/>
  <c r="C124" i="12"/>
  <c r="G124" i="12"/>
  <c r="D119" i="12"/>
  <c r="B119" i="12"/>
  <c r="F119" i="12"/>
  <c r="F113" i="12"/>
  <c r="G111" i="12"/>
  <c r="G106" i="12"/>
  <c r="G102" i="12"/>
  <c r="C93" i="12"/>
  <c r="B93" i="12"/>
  <c r="E93" i="12"/>
  <c r="C89" i="12"/>
  <c r="E89" i="12"/>
  <c r="B89" i="12"/>
  <c r="C84" i="12"/>
  <c r="E84" i="12"/>
  <c r="E80" i="12"/>
  <c r="B80" i="12"/>
  <c r="C75" i="12"/>
  <c r="G75" i="12"/>
  <c r="D169" i="12"/>
  <c r="B169" i="12"/>
  <c r="C167" i="12"/>
  <c r="B167" i="12"/>
  <c r="E167" i="12"/>
  <c r="B161" i="12"/>
  <c r="F161" i="12"/>
  <c r="D161" i="12"/>
  <c r="B149" i="12"/>
  <c r="F149" i="12"/>
  <c r="D149" i="12"/>
  <c r="D145" i="12"/>
  <c r="B145" i="12"/>
  <c r="F145" i="12"/>
  <c r="C140" i="12"/>
  <c r="G140" i="12"/>
  <c r="G136" i="12"/>
  <c r="B131" i="12"/>
  <c r="F131" i="12"/>
  <c r="D131" i="12"/>
  <c r="F121" i="12"/>
  <c r="E111" i="12"/>
  <c r="C110" i="12"/>
  <c r="G110" i="12"/>
  <c r="C97" i="12"/>
  <c r="E97" i="12"/>
  <c r="B97" i="12"/>
  <c r="C92" i="12"/>
  <c r="E92" i="12"/>
  <c r="C88" i="12"/>
  <c r="E88" i="12"/>
  <c r="F85" i="12"/>
  <c r="B82" i="12"/>
  <c r="F82" i="12"/>
  <c r="D82" i="12"/>
  <c r="F72" i="12"/>
  <c r="G71" i="12"/>
  <c r="C71" i="12"/>
  <c r="F64" i="12"/>
  <c r="D61" i="12"/>
  <c r="F57" i="12"/>
  <c r="B57" i="12"/>
  <c r="E56" i="12"/>
  <c r="F55" i="12"/>
  <c r="D53" i="12"/>
  <c r="C52" i="12"/>
  <c r="F48" i="12"/>
  <c r="D45" i="12"/>
  <c r="C38" i="12"/>
  <c r="E35" i="12"/>
  <c r="F33" i="12"/>
  <c r="B33" i="12"/>
  <c r="B27" i="12"/>
  <c r="D25" i="12"/>
  <c r="E24" i="12"/>
  <c r="C22" i="12"/>
  <c r="C13" i="12"/>
  <c r="G13" i="12"/>
  <c r="E9" i="12"/>
  <c r="C7" i="12"/>
  <c r="B7" i="12"/>
  <c r="E184" i="13"/>
  <c r="E183" i="13"/>
  <c r="F180" i="13"/>
  <c r="G176" i="13"/>
  <c r="F174" i="13"/>
  <c r="E173" i="13"/>
  <c r="G167" i="13"/>
  <c r="G158" i="13"/>
  <c r="E155" i="13"/>
  <c r="G151" i="13"/>
  <c r="G147" i="13"/>
  <c r="E144" i="13"/>
  <c r="E136" i="13"/>
  <c r="F136" i="13"/>
  <c r="E128" i="13"/>
  <c r="E120" i="13"/>
  <c r="F120" i="13"/>
  <c r="B17" i="12"/>
  <c r="F17" i="12"/>
  <c r="E160" i="13"/>
  <c r="E117" i="13"/>
  <c r="G117" i="13"/>
  <c r="E109" i="13"/>
  <c r="G109" i="13"/>
  <c r="E101" i="13"/>
  <c r="G101" i="13"/>
  <c r="D159" i="12"/>
  <c r="G157" i="12"/>
  <c r="E156" i="12"/>
  <c r="D147" i="12"/>
  <c r="G143" i="12"/>
  <c r="E137" i="12"/>
  <c r="G135" i="12"/>
  <c r="G132" i="12"/>
  <c r="E130" i="12"/>
  <c r="G127" i="12"/>
  <c r="D109" i="12"/>
  <c r="G107" i="12"/>
  <c r="D105" i="12"/>
  <c r="G103" i="12"/>
  <c r="D101" i="12"/>
  <c r="G99" i="12"/>
  <c r="E98" i="12"/>
  <c r="G91" i="12"/>
  <c r="E90" i="12"/>
  <c r="G83" i="12"/>
  <c r="E81" i="12"/>
  <c r="G78" i="12"/>
  <c r="G70" i="12"/>
  <c r="F61" i="12"/>
  <c r="D57" i="12"/>
  <c r="G56" i="12"/>
  <c r="F53" i="12"/>
  <c r="F45" i="12"/>
  <c r="D42" i="12"/>
  <c r="E38" i="12"/>
  <c r="G37" i="12"/>
  <c r="B35" i="12"/>
  <c r="D33" i="12"/>
  <c r="E32" i="12"/>
  <c r="D31" i="12"/>
  <c r="E27" i="12"/>
  <c r="F25" i="12"/>
  <c r="G21" i="12"/>
  <c r="C19" i="12"/>
  <c r="E19" i="12"/>
  <c r="E17" i="12"/>
  <c r="E16" i="12"/>
  <c r="D13" i="12"/>
  <c r="C11" i="12"/>
  <c r="B11" i="12"/>
  <c r="G9" i="12"/>
  <c r="B9" i="12"/>
  <c r="E7" i="12"/>
  <c r="G184" i="13"/>
  <c r="E182" i="13"/>
  <c r="E176" i="13"/>
  <c r="F173" i="13"/>
  <c r="F169" i="13"/>
  <c r="E165" i="13"/>
  <c r="G155" i="13"/>
  <c r="F144" i="13"/>
  <c r="F142" i="13"/>
  <c r="G57" i="12"/>
  <c r="G33" i="12"/>
  <c r="D27" i="12"/>
  <c r="D17" i="12"/>
  <c r="G175" i="13"/>
  <c r="F168" i="13"/>
  <c r="G163" i="13"/>
  <c r="F160" i="13"/>
  <c r="F158" i="13"/>
  <c r="F152" i="13"/>
  <c r="E139" i="13"/>
  <c r="F137" i="13"/>
  <c r="F121" i="13"/>
  <c r="E113" i="13"/>
  <c r="G113" i="13"/>
  <c r="E105" i="13"/>
  <c r="G105" i="13"/>
  <c r="E97" i="13"/>
  <c r="G97" i="13"/>
  <c r="E88" i="13"/>
  <c r="G77" i="13"/>
  <c r="F60" i="13"/>
  <c r="G57" i="13"/>
  <c r="G53" i="13"/>
  <c r="F39" i="13"/>
  <c r="G33" i="13"/>
  <c r="E31" i="13"/>
  <c r="E26" i="13"/>
  <c r="G17" i="13"/>
  <c r="E15" i="13"/>
  <c r="E10" i="13"/>
  <c r="C181" i="14"/>
  <c r="B181" i="14"/>
  <c r="D181" i="14"/>
  <c r="E181" i="14"/>
  <c r="B179" i="14"/>
  <c r="F179" i="14"/>
  <c r="C179" i="14"/>
  <c r="D179" i="14"/>
  <c r="C170" i="14"/>
  <c r="E170" i="14"/>
  <c r="B45" i="14"/>
  <c r="F45" i="14"/>
  <c r="C45" i="14"/>
  <c r="D45" i="14"/>
  <c r="E45" i="14"/>
  <c r="C22" i="14"/>
  <c r="E22" i="14"/>
  <c r="G159" i="13"/>
  <c r="E157" i="13"/>
  <c r="G143" i="13"/>
  <c r="E141" i="13"/>
  <c r="G135" i="13"/>
  <c r="G127" i="13"/>
  <c r="F126" i="13"/>
  <c r="E125" i="13"/>
  <c r="G119" i="13"/>
  <c r="F88" i="13"/>
  <c r="E85" i="13"/>
  <c r="G85" i="13"/>
  <c r="E77" i="13"/>
  <c r="G73" i="13"/>
  <c r="F72" i="13"/>
  <c r="G64" i="13"/>
  <c r="F57" i="13"/>
  <c r="F53" i="13"/>
  <c r="G41" i="13"/>
  <c r="G37" i="13"/>
  <c r="F33" i="13"/>
  <c r="E32" i="13"/>
  <c r="G32" i="13"/>
  <c r="E22" i="13"/>
  <c r="F21" i="13"/>
  <c r="G21" i="13"/>
  <c r="F17" i="13"/>
  <c r="E16" i="13"/>
  <c r="G16" i="13"/>
  <c r="C162" i="14"/>
  <c r="D162" i="14"/>
  <c r="E162" i="14"/>
  <c r="C155" i="14"/>
  <c r="D155" i="14"/>
  <c r="F155" i="14"/>
  <c r="C147" i="14"/>
  <c r="F147" i="14"/>
  <c r="B145" i="14"/>
  <c r="F145" i="14"/>
  <c r="C145" i="14"/>
  <c r="D145" i="14"/>
  <c r="E145" i="14"/>
  <c r="G93" i="13"/>
  <c r="G89" i="13"/>
  <c r="F79" i="13"/>
  <c r="F71" i="13"/>
  <c r="E57" i="13"/>
  <c r="E53" i="13"/>
  <c r="F45" i="13"/>
  <c r="G45" i="13"/>
  <c r="E33" i="13"/>
  <c r="F31" i="13"/>
  <c r="E28" i="13"/>
  <c r="G28" i="13"/>
  <c r="E17" i="13"/>
  <c r="F15" i="13"/>
  <c r="E12" i="13"/>
  <c r="G12" i="13"/>
  <c r="C150" i="14"/>
  <c r="D150" i="14"/>
  <c r="C106" i="14"/>
  <c r="E106" i="14"/>
  <c r="G131" i="13"/>
  <c r="G81" i="13"/>
  <c r="G78" i="13"/>
  <c r="F75" i="13"/>
  <c r="G70" i="13"/>
  <c r="F69" i="13"/>
  <c r="G61" i="13"/>
  <c r="E59" i="13"/>
  <c r="F55" i="13"/>
  <c r="G49" i="13"/>
  <c r="E46" i="13"/>
  <c r="G46" i="13"/>
  <c r="C185" i="14"/>
  <c r="B185" i="14"/>
  <c r="D185" i="14"/>
  <c r="E185" i="14"/>
  <c r="F181" i="14"/>
  <c r="E179" i="14"/>
  <c r="B175" i="14"/>
  <c r="G175" i="14" s="1"/>
  <c r="F175" i="14"/>
  <c r="C175" i="14"/>
  <c r="D175" i="14"/>
  <c r="B173" i="14"/>
  <c r="G173" i="14" s="1"/>
  <c r="F173" i="14"/>
  <c r="C173" i="14"/>
  <c r="D173" i="14"/>
  <c r="C166" i="14"/>
  <c r="D166" i="14"/>
  <c r="D164" i="14"/>
  <c r="F164" i="14"/>
  <c r="B164" i="14"/>
  <c r="E164" i="14"/>
  <c r="D121" i="14"/>
  <c r="B121" i="14"/>
  <c r="F121" i="14"/>
  <c r="C121" i="14"/>
  <c r="E121" i="14"/>
  <c r="C163" i="14"/>
  <c r="F163" i="14"/>
  <c r="C159" i="14"/>
  <c r="F159" i="14"/>
  <c r="C135" i="14"/>
  <c r="B135" i="14"/>
  <c r="E135" i="14"/>
  <c r="B133" i="14"/>
  <c r="F133" i="14"/>
  <c r="D133" i="14"/>
  <c r="B117" i="14"/>
  <c r="F117" i="14"/>
  <c r="D117" i="14"/>
  <c r="B85" i="14"/>
  <c r="G85" i="14" s="1"/>
  <c r="F85" i="14"/>
  <c r="C85" i="14"/>
  <c r="D85" i="14"/>
  <c r="B81" i="14"/>
  <c r="G81" i="14" s="1"/>
  <c r="F81" i="14"/>
  <c r="C81" i="14"/>
  <c r="D81" i="14"/>
  <c r="C47" i="14"/>
  <c r="B47" i="14"/>
  <c r="D47" i="14"/>
  <c r="E47" i="14"/>
  <c r="C43" i="14"/>
  <c r="B43" i="14"/>
  <c r="D43" i="14"/>
  <c r="E43" i="14"/>
  <c r="G20" i="14"/>
  <c r="F52" i="13"/>
  <c r="G48" i="13"/>
  <c r="F36" i="13"/>
  <c r="E30" i="13"/>
  <c r="F25" i="13"/>
  <c r="E14" i="13"/>
  <c r="F9" i="13"/>
  <c r="D187" i="14"/>
  <c r="E186" i="14"/>
  <c r="D183" i="14"/>
  <c r="C182" i="14"/>
  <c r="E165" i="14"/>
  <c r="G165" i="14" s="1"/>
  <c r="B157" i="14"/>
  <c r="C146" i="14"/>
  <c r="D140" i="14"/>
  <c r="B140" i="14"/>
  <c r="E140" i="14"/>
  <c r="E138" i="14"/>
  <c r="C134" i="14"/>
  <c r="D134" i="14"/>
  <c r="C132" i="14"/>
  <c r="E132" i="14"/>
  <c r="C116" i="14"/>
  <c r="E116" i="14"/>
  <c r="C90" i="14"/>
  <c r="E90" i="14"/>
  <c r="C83" i="14"/>
  <c r="B83" i="14"/>
  <c r="D83" i="14"/>
  <c r="E83" i="14"/>
  <c r="B80" i="14"/>
  <c r="C80" i="14"/>
  <c r="E80" i="14"/>
  <c r="B76" i="14"/>
  <c r="C76" i="14"/>
  <c r="E76" i="14"/>
  <c r="B72" i="14"/>
  <c r="C72" i="14"/>
  <c r="E72" i="14"/>
  <c r="B68" i="14"/>
  <c r="C68" i="14"/>
  <c r="E68" i="14"/>
  <c r="B64" i="14"/>
  <c r="C64" i="14"/>
  <c r="E64" i="14"/>
  <c r="C38" i="14"/>
  <c r="E38" i="14"/>
  <c r="E36" i="14"/>
  <c r="C36" i="14"/>
  <c r="F171" i="14"/>
  <c r="C167" i="14"/>
  <c r="E167" i="14"/>
  <c r="C165" i="14"/>
  <c r="E159" i="14"/>
  <c r="G159" i="14" s="1"/>
  <c r="B153" i="14"/>
  <c r="F153" i="14"/>
  <c r="D141" i="14"/>
  <c r="B141" i="14"/>
  <c r="F141" i="14"/>
  <c r="F135" i="14"/>
  <c r="E133" i="14"/>
  <c r="E117" i="14"/>
  <c r="B101" i="14"/>
  <c r="G101" i="14" s="1"/>
  <c r="F101" i="14"/>
  <c r="C101" i="14"/>
  <c r="D101" i="14"/>
  <c r="D58" i="14"/>
  <c r="C58" i="14"/>
  <c r="E58" i="14"/>
  <c r="F105" i="14"/>
  <c r="B105" i="14"/>
  <c r="G105" i="14" s="1"/>
  <c r="E100" i="14"/>
  <c r="F89" i="14"/>
  <c r="B89" i="14"/>
  <c r="B60" i="14"/>
  <c r="C56" i="14"/>
  <c r="F53" i="14"/>
  <c r="B53" i="14"/>
  <c r="D51" i="14"/>
  <c r="C50" i="14"/>
  <c r="C46" i="14"/>
  <c r="F37" i="14"/>
  <c r="B37" i="14"/>
  <c r="F21" i="14"/>
  <c r="B21" i="14"/>
  <c r="C20" i="14"/>
  <c r="C16" i="14"/>
  <c r="C12" i="14"/>
  <c r="C8" i="14"/>
  <c r="G95" i="14"/>
  <c r="D123" i="14"/>
  <c r="D119" i="14"/>
  <c r="D107" i="14"/>
  <c r="D103" i="14"/>
  <c r="D91" i="14"/>
  <c r="D87" i="14"/>
  <c r="G84" i="14"/>
  <c r="D79" i="14"/>
  <c r="D75" i="14"/>
  <c r="D71" i="14"/>
  <c r="D67" i="14"/>
  <c r="D63" i="14"/>
  <c r="E60" i="14"/>
  <c r="F59" i="14"/>
  <c r="D39" i="14"/>
  <c r="D35" i="14"/>
  <c r="D23" i="14"/>
  <c r="B23" i="28"/>
  <c r="D170" i="2"/>
  <c r="H170" i="2"/>
  <c r="L170" i="2"/>
  <c r="P170" i="2"/>
  <c r="B170" i="2"/>
  <c r="R170" i="2"/>
  <c r="B164" i="2"/>
  <c r="R164" i="2"/>
  <c r="C164" i="2"/>
  <c r="H164" i="2"/>
  <c r="M164" i="2"/>
  <c r="S164" i="2"/>
  <c r="E164" i="2"/>
  <c r="P164" i="2"/>
  <c r="B156" i="2"/>
  <c r="R156" i="2"/>
  <c r="C156" i="2"/>
  <c r="H156" i="2"/>
  <c r="M156" i="2"/>
  <c r="S156" i="2"/>
  <c r="E156" i="2"/>
  <c r="P156" i="2"/>
  <c r="D248" i="2"/>
  <c r="H244" i="2"/>
  <c r="B192" i="2"/>
  <c r="R192" i="2"/>
  <c r="D192" i="2"/>
  <c r="H192" i="2"/>
  <c r="L192" i="2"/>
  <c r="P192" i="2"/>
  <c r="E247" i="2"/>
  <c r="S188" i="2"/>
  <c r="S186" i="2"/>
  <c r="S180" i="2"/>
  <c r="S178" i="2"/>
  <c r="S172" i="2"/>
  <c r="M170" i="2"/>
  <c r="E170" i="2"/>
  <c r="B168" i="2"/>
  <c r="R168" i="2"/>
  <c r="E168" i="2"/>
  <c r="G168" i="2" s="1"/>
  <c r="P168" i="2"/>
  <c r="C168" i="2"/>
  <c r="F168" i="2" s="1"/>
  <c r="H168" i="2"/>
  <c r="M168" i="2"/>
  <c r="S168" i="2"/>
  <c r="D166" i="2"/>
  <c r="H166" i="2"/>
  <c r="L166" i="2"/>
  <c r="P166" i="2"/>
  <c r="B166" i="2"/>
  <c r="M166" i="2"/>
  <c r="R166" i="2"/>
  <c r="E166" i="2"/>
  <c r="Q164" i="2"/>
  <c r="Q162" i="2"/>
  <c r="B160" i="2"/>
  <c r="R160" i="2"/>
  <c r="E160" i="2"/>
  <c r="G160" i="2" s="1"/>
  <c r="P160" i="2"/>
  <c r="C160" i="2"/>
  <c r="F160" i="2" s="1"/>
  <c r="H160" i="2"/>
  <c r="M160" i="2"/>
  <c r="S160" i="2"/>
  <c r="D158" i="2"/>
  <c r="H158" i="2"/>
  <c r="J158" i="2" s="1"/>
  <c r="K158" i="2" s="1"/>
  <c r="L158" i="2"/>
  <c r="P158" i="2"/>
  <c r="B158" i="2"/>
  <c r="M158" i="2"/>
  <c r="R158" i="2"/>
  <c r="E158" i="2"/>
  <c r="Q156" i="2"/>
  <c r="Q154" i="2"/>
  <c r="B152" i="2"/>
  <c r="R152" i="2"/>
  <c r="E152" i="2"/>
  <c r="P152" i="2"/>
  <c r="C152" i="2"/>
  <c r="H152" i="2"/>
  <c r="M152" i="2"/>
  <c r="N152" i="2" s="1"/>
  <c r="O152" i="2" s="1"/>
  <c r="S152" i="2"/>
  <c r="D150" i="2"/>
  <c r="H150" i="2"/>
  <c r="L150" i="2"/>
  <c r="P150" i="2"/>
  <c r="B150" i="2"/>
  <c r="M150" i="2"/>
  <c r="R150" i="2"/>
  <c r="E150" i="2"/>
  <c r="Q148" i="2"/>
  <c r="Q146" i="2"/>
  <c r="B144" i="2"/>
  <c r="R144" i="2"/>
  <c r="E144" i="2"/>
  <c r="G144" i="2" s="1"/>
  <c r="P144" i="2"/>
  <c r="C144" i="2"/>
  <c r="F144" i="2" s="1"/>
  <c r="H144" i="2"/>
  <c r="J144" i="2" s="1"/>
  <c r="K144" i="2" s="1"/>
  <c r="M144" i="2"/>
  <c r="S144" i="2"/>
  <c r="Q142" i="2"/>
  <c r="F140" i="2"/>
  <c r="C138" i="2"/>
  <c r="S138" i="2"/>
  <c r="B138" i="2"/>
  <c r="H138" i="2"/>
  <c r="M138" i="2"/>
  <c r="R138" i="2"/>
  <c r="E138" i="2"/>
  <c r="P138" i="2"/>
  <c r="S135" i="2"/>
  <c r="Q134" i="2"/>
  <c r="C130" i="2"/>
  <c r="S130" i="2"/>
  <c r="B130" i="2"/>
  <c r="H130" i="2"/>
  <c r="J130" i="2" s="1"/>
  <c r="K130" i="2" s="1"/>
  <c r="M130" i="2"/>
  <c r="R130" i="2"/>
  <c r="E130" i="2"/>
  <c r="P130" i="2"/>
  <c r="S127" i="2"/>
  <c r="Q126" i="2"/>
  <c r="F124" i="2"/>
  <c r="C122" i="2"/>
  <c r="S122" i="2"/>
  <c r="B122" i="2"/>
  <c r="H122" i="2"/>
  <c r="M122" i="2"/>
  <c r="N122" i="2" s="1"/>
  <c r="O122" i="2" s="1"/>
  <c r="R122" i="2"/>
  <c r="E122" i="2"/>
  <c r="P122" i="2"/>
  <c r="S119" i="2"/>
  <c r="Q118" i="2"/>
  <c r="C114" i="2"/>
  <c r="S114" i="2"/>
  <c r="B114" i="2"/>
  <c r="H114" i="2"/>
  <c r="M114" i="2"/>
  <c r="N114" i="2" s="1"/>
  <c r="O114" i="2" s="1"/>
  <c r="R114" i="2"/>
  <c r="E114" i="2"/>
  <c r="P114" i="2"/>
  <c r="S111" i="2"/>
  <c r="Q110" i="2"/>
  <c r="C106" i="2"/>
  <c r="S106" i="2"/>
  <c r="B106" i="2"/>
  <c r="H106" i="2"/>
  <c r="J106" i="2" s="1"/>
  <c r="K106" i="2" s="1"/>
  <c r="M106" i="2"/>
  <c r="R106" i="2"/>
  <c r="E106" i="2"/>
  <c r="G106" i="2" s="1"/>
  <c r="P106" i="2"/>
  <c r="S103" i="2"/>
  <c r="Q102" i="2"/>
  <c r="C98" i="2"/>
  <c r="S98" i="2"/>
  <c r="B98" i="2"/>
  <c r="H98" i="2"/>
  <c r="J98" i="2" s="1"/>
  <c r="K98" i="2" s="1"/>
  <c r="M98" i="2"/>
  <c r="R98" i="2"/>
  <c r="E98" i="2"/>
  <c r="P98" i="2"/>
  <c r="S95" i="2"/>
  <c r="Q94" i="2"/>
  <c r="C90" i="2"/>
  <c r="S90" i="2"/>
  <c r="B90" i="2"/>
  <c r="H90" i="2"/>
  <c r="M90" i="2"/>
  <c r="N90" i="2" s="1"/>
  <c r="O90" i="2" s="1"/>
  <c r="R90" i="2"/>
  <c r="E90" i="2"/>
  <c r="P90" i="2"/>
  <c r="S87" i="2"/>
  <c r="Q86" i="2"/>
  <c r="C82" i="2"/>
  <c r="S82" i="2"/>
  <c r="B82" i="2"/>
  <c r="H82" i="2"/>
  <c r="J82" i="2" s="1"/>
  <c r="K82" i="2" s="1"/>
  <c r="M82" i="2"/>
  <c r="R82" i="2"/>
  <c r="E82" i="2"/>
  <c r="P82" i="2"/>
  <c r="S79" i="2"/>
  <c r="Q78" i="2"/>
  <c r="C74" i="2"/>
  <c r="S74" i="2"/>
  <c r="B74" i="2"/>
  <c r="H74" i="2"/>
  <c r="M74" i="2"/>
  <c r="R74" i="2"/>
  <c r="E74" i="2"/>
  <c r="P74" i="2"/>
  <c r="S71" i="2"/>
  <c r="Q70" i="2"/>
  <c r="C66" i="2"/>
  <c r="S66" i="2"/>
  <c r="B66" i="2"/>
  <c r="H66" i="2"/>
  <c r="M66" i="2"/>
  <c r="R66" i="2"/>
  <c r="E66" i="2"/>
  <c r="P66" i="2"/>
  <c r="S63" i="2"/>
  <c r="Q62" i="2"/>
  <c r="C58" i="2"/>
  <c r="F58" i="2" s="1"/>
  <c r="S58" i="2"/>
  <c r="B58" i="2"/>
  <c r="H58" i="2"/>
  <c r="M58" i="2"/>
  <c r="R58" i="2"/>
  <c r="E58" i="2"/>
  <c r="G58" i="2" s="1"/>
  <c r="P58" i="2"/>
  <c r="S55" i="2"/>
  <c r="Q54" i="2"/>
  <c r="C50" i="2"/>
  <c r="S50" i="2"/>
  <c r="B50" i="2"/>
  <c r="H50" i="2"/>
  <c r="J50" i="2" s="1"/>
  <c r="K50" i="2" s="1"/>
  <c r="M50" i="2"/>
  <c r="R50" i="2"/>
  <c r="E50" i="2"/>
  <c r="P50" i="2"/>
  <c r="S47" i="2"/>
  <c r="Q46" i="2"/>
  <c r="C42" i="2"/>
  <c r="S42" i="2"/>
  <c r="B42" i="2"/>
  <c r="H42" i="2"/>
  <c r="M42" i="2"/>
  <c r="N42" i="2" s="1"/>
  <c r="O42" i="2" s="1"/>
  <c r="R42" i="2"/>
  <c r="E42" i="2"/>
  <c r="P42" i="2"/>
  <c r="S39" i="2"/>
  <c r="Q38" i="2"/>
  <c r="C34" i="2"/>
  <c r="S34" i="2"/>
  <c r="B34" i="2"/>
  <c r="H34" i="2"/>
  <c r="J34" i="2" s="1"/>
  <c r="K34" i="2" s="1"/>
  <c r="M34" i="2"/>
  <c r="R34" i="2"/>
  <c r="E34" i="2"/>
  <c r="P34" i="2"/>
  <c r="S31" i="2"/>
  <c r="Q30" i="2"/>
  <c r="C26" i="2"/>
  <c r="S26" i="2"/>
  <c r="B26" i="2"/>
  <c r="H26" i="2"/>
  <c r="M26" i="2"/>
  <c r="N26" i="2" s="1"/>
  <c r="O26" i="2" s="1"/>
  <c r="R26" i="2"/>
  <c r="E26" i="2"/>
  <c r="P26" i="2"/>
  <c r="B17" i="2"/>
  <c r="R17" i="2"/>
  <c r="D17" i="2"/>
  <c r="I17" i="2"/>
  <c r="E17" i="2"/>
  <c r="P17" i="2"/>
  <c r="C17" i="2"/>
  <c r="H17" i="2"/>
  <c r="M17" i="2"/>
  <c r="N17" i="2" s="1"/>
  <c r="O17" i="2" s="1"/>
  <c r="S17" i="2"/>
  <c r="D11" i="2"/>
  <c r="H11" i="2"/>
  <c r="L11" i="2"/>
  <c r="P11" i="2"/>
  <c r="C11" i="2"/>
  <c r="I11" i="2"/>
  <c r="S11" i="2"/>
  <c r="E11" i="2"/>
  <c r="B11" i="2"/>
  <c r="M11" i="2"/>
  <c r="R11" i="2"/>
  <c r="B188" i="2"/>
  <c r="R188" i="2"/>
  <c r="D188" i="2"/>
  <c r="H188" i="2"/>
  <c r="J188" i="2" s="1"/>
  <c r="K188" i="2" s="1"/>
  <c r="L188" i="2"/>
  <c r="P188" i="2"/>
  <c r="D186" i="2"/>
  <c r="H186" i="2"/>
  <c r="L186" i="2"/>
  <c r="P186" i="2"/>
  <c r="B186" i="2"/>
  <c r="R186" i="2"/>
  <c r="B180" i="2"/>
  <c r="R180" i="2"/>
  <c r="D180" i="2"/>
  <c r="H180" i="2"/>
  <c r="L180" i="2"/>
  <c r="P180" i="2"/>
  <c r="D178" i="2"/>
  <c r="H178" i="2"/>
  <c r="L178" i="2"/>
  <c r="P178" i="2"/>
  <c r="B178" i="2"/>
  <c r="R178" i="2"/>
  <c r="B172" i="2"/>
  <c r="R172" i="2"/>
  <c r="D172" i="2"/>
  <c r="H172" i="2"/>
  <c r="L172" i="2"/>
  <c r="P172" i="2"/>
  <c r="S170" i="2"/>
  <c r="C170" i="2"/>
  <c r="C169" i="2"/>
  <c r="F169" i="2" s="1"/>
  <c r="S169" i="2"/>
  <c r="B169" i="2"/>
  <c r="H169" i="2"/>
  <c r="M169" i="2"/>
  <c r="R169" i="2"/>
  <c r="E169" i="2"/>
  <c r="G169" i="2" s="1"/>
  <c r="P169" i="2"/>
  <c r="D164" i="2"/>
  <c r="C161" i="2"/>
  <c r="F161" i="2" s="1"/>
  <c r="S161" i="2"/>
  <c r="B161" i="2"/>
  <c r="H161" i="2"/>
  <c r="M161" i="2"/>
  <c r="R161" i="2"/>
  <c r="E161" i="2"/>
  <c r="G161" i="2" s="1"/>
  <c r="P161" i="2"/>
  <c r="D156" i="2"/>
  <c r="C153" i="2"/>
  <c r="S153" i="2"/>
  <c r="B153" i="2"/>
  <c r="H153" i="2"/>
  <c r="M153" i="2"/>
  <c r="R153" i="2"/>
  <c r="E153" i="2"/>
  <c r="P153" i="2"/>
  <c r="C145" i="2"/>
  <c r="F145" i="2" s="1"/>
  <c r="S145" i="2"/>
  <c r="B145" i="2"/>
  <c r="H145" i="2"/>
  <c r="M145" i="2"/>
  <c r="R145" i="2"/>
  <c r="E145" i="2"/>
  <c r="G145" i="2" s="1"/>
  <c r="P145" i="2"/>
  <c r="B141" i="2"/>
  <c r="R141" i="2"/>
  <c r="C141" i="2"/>
  <c r="F141" i="2" s="1"/>
  <c r="H141" i="2"/>
  <c r="M141" i="2"/>
  <c r="S141" i="2"/>
  <c r="E141" i="2"/>
  <c r="G141" i="2" s="1"/>
  <c r="P141" i="2"/>
  <c r="D139" i="2"/>
  <c r="H139" i="2"/>
  <c r="L139" i="2"/>
  <c r="P139" i="2"/>
  <c r="E139" i="2"/>
  <c r="B139" i="2"/>
  <c r="M139" i="2"/>
  <c r="R139" i="2"/>
  <c r="B133" i="2"/>
  <c r="R133" i="2"/>
  <c r="C133" i="2"/>
  <c r="F133" i="2" s="1"/>
  <c r="H133" i="2"/>
  <c r="M133" i="2"/>
  <c r="N133" i="2" s="1"/>
  <c r="O133" i="2" s="1"/>
  <c r="S133" i="2"/>
  <c r="E133" i="2"/>
  <c r="G133" i="2" s="1"/>
  <c r="P133" i="2"/>
  <c r="D131" i="2"/>
  <c r="H131" i="2"/>
  <c r="L131" i="2"/>
  <c r="P131" i="2"/>
  <c r="E131" i="2"/>
  <c r="B131" i="2"/>
  <c r="M131" i="2"/>
  <c r="R131" i="2"/>
  <c r="B125" i="2"/>
  <c r="R125" i="2"/>
  <c r="C125" i="2"/>
  <c r="F125" i="2" s="1"/>
  <c r="H125" i="2"/>
  <c r="M125" i="2"/>
  <c r="S125" i="2"/>
  <c r="E125" i="2"/>
  <c r="G125" i="2" s="1"/>
  <c r="P125" i="2"/>
  <c r="D123" i="2"/>
  <c r="H123" i="2"/>
  <c r="L123" i="2"/>
  <c r="P123" i="2"/>
  <c r="E123" i="2"/>
  <c r="B123" i="2"/>
  <c r="M123" i="2"/>
  <c r="R123" i="2"/>
  <c r="B117" i="2"/>
  <c r="R117" i="2"/>
  <c r="C117" i="2"/>
  <c r="F117" i="2" s="1"/>
  <c r="H117" i="2"/>
  <c r="M117" i="2"/>
  <c r="S117" i="2"/>
  <c r="E117" i="2"/>
  <c r="G117" i="2" s="1"/>
  <c r="P117" i="2"/>
  <c r="D115" i="2"/>
  <c r="H115" i="2"/>
  <c r="J115" i="2" s="1"/>
  <c r="K115" i="2" s="1"/>
  <c r="L115" i="2"/>
  <c r="P115" i="2"/>
  <c r="E115" i="2"/>
  <c r="B115" i="2"/>
  <c r="M115" i="2"/>
  <c r="R115" i="2"/>
  <c r="B109" i="2"/>
  <c r="R109" i="2"/>
  <c r="C109" i="2"/>
  <c r="F109" i="2" s="1"/>
  <c r="H109" i="2"/>
  <c r="M109" i="2"/>
  <c r="S109" i="2"/>
  <c r="E109" i="2"/>
  <c r="G109" i="2" s="1"/>
  <c r="P109" i="2"/>
  <c r="D107" i="2"/>
  <c r="H107" i="2"/>
  <c r="L107" i="2"/>
  <c r="P107" i="2"/>
  <c r="E107" i="2"/>
  <c r="B107" i="2"/>
  <c r="M107" i="2"/>
  <c r="R107" i="2"/>
  <c r="B101" i="2"/>
  <c r="R101" i="2"/>
  <c r="C101" i="2"/>
  <c r="F101" i="2" s="1"/>
  <c r="H101" i="2"/>
  <c r="M101" i="2"/>
  <c r="S101" i="2"/>
  <c r="E101" i="2"/>
  <c r="G101" i="2" s="1"/>
  <c r="P101" i="2"/>
  <c r="D99" i="2"/>
  <c r="H99" i="2"/>
  <c r="J99" i="2" s="1"/>
  <c r="K99" i="2" s="1"/>
  <c r="L99" i="2"/>
  <c r="P99" i="2"/>
  <c r="E99" i="2"/>
  <c r="B99" i="2"/>
  <c r="M99" i="2"/>
  <c r="R99" i="2"/>
  <c r="B93" i="2"/>
  <c r="R93" i="2"/>
  <c r="C93" i="2"/>
  <c r="H93" i="2"/>
  <c r="J93" i="2" s="1"/>
  <c r="K93" i="2" s="1"/>
  <c r="M93" i="2"/>
  <c r="S93" i="2"/>
  <c r="E93" i="2"/>
  <c r="P93" i="2"/>
  <c r="D91" i="2"/>
  <c r="H91" i="2"/>
  <c r="L91" i="2"/>
  <c r="P91" i="2"/>
  <c r="E91" i="2"/>
  <c r="B91" i="2"/>
  <c r="M91" i="2"/>
  <c r="R91" i="2"/>
  <c r="B85" i="2"/>
  <c r="R85" i="2"/>
  <c r="C85" i="2"/>
  <c r="F85" i="2" s="1"/>
  <c r="H85" i="2"/>
  <c r="M85" i="2"/>
  <c r="S85" i="2"/>
  <c r="E85" i="2"/>
  <c r="G85" i="2" s="1"/>
  <c r="P85" i="2"/>
  <c r="D83" i="2"/>
  <c r="H83" i="2"/>
  <c r="L83" i="2"/>
  <c r="P83" i="2"/>
  <c r="E83" i="2"/>
  <c r="B83" i="2"/>
  <c r="M83" i="2"/>
  <c r="R83" i="2"/>
  <c r="B77" i="2"/>
  <c r="R77" i="2"/>
  <c r="C77" i="2"/>
  <c r="F77" i="2" s="1"/>
  <c r="H77" i="2"/>
  <c r="M77" i="2"/>
  <c r="S77" i="2"/>
  <c r="E77" i="2"/>
  <c r="G77" i="2" s="1"/>
  <c r="P77" i="2"/>
  <c r="D75" i="2"/>
  <c r="H75" i="2"/>
  <c r="L75" i="2"/>
  <c r="P75" i="2"/>
  <c r="E75" i="2"/>
  <c r="B75" i="2"/>
  <c r="M75" i="2"/>
  <c r="R75" i="2"/>
  <c r="B69" i="2"/>
  <c r="R69" i="2"/>
  <c r="C69" i="2"/>
  <c r="H69" i="2"/>
  <c r="M69" i="2"/>
  <c r="N69" i="2" s="1"/>
  <c r="O69" i="2" s="1"/>
  <c r="S69" i="2"/>
  <c r="E69" i="2"/>
  <c r="P69" i="2"/>
  <c r="D67" i="2"/>
  <c r="H67" i="2"/>
  <c r="L67" i="2"/>
  <c r="P67" i="2"/>
  <c r="E67" i="2"/>
  <c r="B67" i="2"/>
  <c r="M67" i="2"/>
  <c r="R67" i="2"/>
  <c r="B61" i="2"/>
  <c r="R61" i="2"/>
  <c r="C61" i="2"/>
  <c r="H61" i="2"/>
  <c r="J61" i="2" s="1"/>
  <c r="K61" i="2" s="1"/>
  <c r="M61" i="2"/>
  <c r="S61" i="2"/>
  <c r="E61" i="2"/>
  <c r="P61" i="2"/>
  <c r="D59" i="2"/>
  <c r="H59" i="2"/>
  <c r="L59" i="2"/>
  <c r="P59" i="2"/>
  <c r="E59" i="2"/>
  <c r="B59" i="2"/>
  <c r="M59" i="2"/>
  <c r="R59" i="2"/>
  <c r="B53" i="2"/>
  <c r="R53" i="2"/>
  <c r="C53" i="2"/>
  <c r="F53" i="2" s="1"/>
  <c r="H53" i="2"/>
  <c r="M53" i="2"/>
  <c r="S53" i="2"/>
  <c r="E53" i="2"/>
  <c r="G53" i="2" s="1"/>
  <c r="P53" i="2"/>
  <c r="D51" i="2"/>
  <c r="H51" i="2"/>
  <c r="L51" i="2"/>
  <c r="P51" i="2"/>
  <c r="E51" i="2"/>
  <c r="B51" i="2"/>
  <c r="M51" i="2"/>
  <c r="R51" i="2"/>
  <c r="B45" i="2"/>
  <c r="R45" i="2"/>
  <c r="C45" i="2"/>
  <c r="H45" i="2"/>
  <c r="J45" i="2" s="1"/>
  <c r="K45" i="2" s="1"/>
  <c r="M45" i="2"/>
  <c r="S45" i="2"/>
  <c r="E45" i="2"/>
  <c r="P45" i="2"/>
  <c r="D43" i="2"/>
  <c r="H43" i="2"/>
  <c r="J43" i="2" s="1"/>
  <c r="K43" i="2" s="1"/>
  <c r="L43" i="2"/>
  <c r="P43" i="2"/>
  <c r="E43" i="2"/>
  <c r="B43" i="2"/>
  <c r="M43" i="2"/>
  <c r="R43" i="2"/>
  <c r="B37" i="2"/>
  <c r="R37" i="2"/>
  <c r="E4" i="21" s="1"/>
  <c r="C37" i="2"/>
  <c r="H4" i="21" s="1"/>
  <c r="H37" i="2"/>
  <c r="B4" i="21" s="1"/>
  <c r="M37" i="2"/>
  <c r="N37" i="2" s="1"/>
  <c r="O37" i="2" s="1"/>
  <c r="S37" i="2"/>
  <c r="E37" i="2"/>
  <c r="J4" i="21" s="1"/>
  <c r="P37" i="2"/>
  <c r="D4" i="21" s="1"/>
  <c r="D35" i="2"/>
  <c r="H35" i="2"/>
  <c r="L35" i="2"/>
  <c r="P35" i="2"/>
  <c r="E35" i="2"/>
  <c r="B35" i="2"/>
  <c r="M35" i="2"/>
  <c r="R35" i="2"/>
  <c r="B29" i="2"/>
  <c r="R29" i="2"/>
  <c r="C29" i="2"/>
  <c r="H29" i="2"/>
  <c r="J29" i="2" s="1"/>
  <c r="K29" i="2" s="1"/>
  <c r="M29" i="2"/>
  <c r="S29" i="2"/>
  <c r="E29" i="2"/>
  <c r="P29" i="2"/>
  <c r="D27" i="2"/>
  <c r="H27" i="2"/>
  <c r="L27" i="2"/>
  <c r="P27" i="2"/>
  <c r="E27" i="2"/>
  <c r="B27" i="2"/>
  <c r="M27" i="2"/>
  <c r="R27" i="2"/>
  <c r="C22" i="2"/>
  <c r="S22" i="2"/>
  <c r="E22" i="2"/>
  <c r="P22" i="2"/>
  <c r="B22" i="2"/>
  <c r="H22" i="2"/>
  <c r="M22" i="2"/>
  <c r="R22" i="2"/>
  <c r="D22" i="2"/>
  <c r="I22" i="2"/>
  <c r="E245" i="2"/>
  <c r="L164" i="2"/>
  <c r="D162" i="2"/>
  <c r="H162" i="2"/>
  <c r="L162" i="2"/>
  <c r="P162" i="2"/>
  <c r="E162" i="2"/>
  <c r="B162" i="2"/>
  <c r="M162" i="2"/>
  <c r="R162" i="2"/>
  <c r="L156" i="2"/>
  <c r="D154" i="2"/>
  <c r="H154" i="2"/>
  <c r="L154" i="2"/>
  <c r="P154" i="2"/>
  <c r="E154" i="2"/>
  <c r="B154" i="2"/>
  <c r="M154" i="2"/>
  <c r="R154" i="2"/>
  <c r="B148" i="2"/>
  <c r="R148" i="2"/>
  <c r="C148" i="2"/>
  <c r="F148" i="2" s="1"/>
  <c r="H148" i="2"/>
  <c r="M148" i="2"/>
  <c r="S148" i="2"/>
  <c r="E148" i="2"/>
  <c r="G148" i="2" s="1"/>
  <c r="P148" i="2"/>
  <c r="D146" i="2"/>
  <c r="H146" i="2"/>
  <c r="L146" i="2"/>
  <c r="P146" i="2"/>
  <c r="E146" i="2"/>
  <c r="B146" i="2"/>
  <c r="M146" i="2"/>
  <c r="R146" i="2"/>
  <c r="C142" i="2"/>
  <c r="S142" i="2"/>
  <c r="E142" i="2"/>
  <c r="P142" i="2"/>
  <c r="B142" i="2"/>
  <c r="H142" i="2"/>
  <c r="M142" i="2"/>
  <c r="R142" i="2"/>
  <c r="C134" i="2"/>
  <c r="S134" i="2"/>
  <c r="E134" i="2"/>
  <c r="P134" i="2"/>
  <c r="B134" i="2"/>
  <c r="H134" i="2"/>
  <c r="M134" i="2"/>
  <c r="R134" i="2"/>
  <c r="C126" i="2"/>
  <c r="F126" i="2" s="1"/>
  <c r="S126" i="2"/>
  <c r="E126" i="2"/>
  <c r="G126" i="2" s="1"/>
  <c r="P126" i="2"/>
  <c r="B126" i="2"/>
  <c r="H126" i="2"/>
  <c r="M126" i="2"/>
  <c r="R126" i="2"/>
  <c r="C118" i="2"/>
  <c r="F118" i="2" s="1"/>
  <c r="S118" i="2"/>
  <c r="E118" i="2"/>
  <c r="G118" i="2" s="1"/>
  <c r="P118" i="2"/>
  <c r="B118" i="2"/>
  <c r="H118" i="2"/>
  <c r="M118" i="2"/>
  <c r="R118" i="2"/>
  <c r="C110" i="2"/>
  <c r="F110" i="2" s="1"/>
  <c r="S110" i="2"/>
  <c r="E110" i="2"/>
  <c r="G110" i="2" s="1"/>
  <c r="P110" i="2"/>
  <c r="B110" i="2"/>
  <c r="H110" i="2"/>
  <c r="M110" i="2"/>
  <c r="R110" i="2"/>
  <c r="C102" i="2"/>
  <c r="F102" i="2" s="1"/>
  <c r="S102" i="2"/>
  <c r="E102" i="2"/>
  <c r="G102" i="2" s="1"/>
  <c r="P102" i="2"/>
  <c r="B102" i="2"/>
  <c r="H102" i="2"/>
  <c r="M102" i="2"/>
  <c r="R102" i="2"/>
  <c r="C94" i="2"/>
  <c r="F94" i="2" s="1"/>
  <c r="S94" i="2"/>
  <c r="E94" i="2"/>
  <c r="G94" i="2" s="1"/>
  <c r="P94" i="2"/>
  <c r="B94" i="2"/>
  <c r="H94" i="2"/>
  <c r="M94" i="2"/>
  <c r="R94" i="2"/>
  <c r="C86" i="2"/>
  <c r="F86" i="2" s="1"/>
  <c r="S86" i="2"/>
  <c r="E86" i="2"/>
  <c r="G86" i="2" s="1"/>
  <c r="P86" i="2"/>
  <c r="B86" i="2"/>
  <c r="H86" i="2"/>
  <c r="M86" i="2"/>
  <c r="R86" i="2"/>
  <c r="C78" i="2"/>
  <c r="S78" i="2"/>
  <c r="E78" i="2"/>
  <c r="P78" i="2"/>
  <c r="B78" i="2"/>
  <c r="H78" i="2"/>
  <c r="M78" i="2"/>
  <c r="R78" i="2"/>
  <c r="C70" i="2"/>
  <c r="F70" i="2" s="1"/>
  <c r="S70" i="2"/>
  <c r="E70" i="2"/>
  <c r="G70" i="2" s="1"/>
  <c r="P70" i="2"/>
  <c r="B70" i="2"/>
  <c r="H70" i="2"/>
  <c r="M70" i="2"/>
  <c r="R70" i="2"/>
  <c r="C62" i="2"/>
  <c r="F62" i="2" s="1"/>
  <c r="S62" i="2"/>
  <c r="E62" i="2"/>
  <c r="G62" i="2" s="1"/>
  <c r="P62" i="2"/>
  <c r="B62" i="2"/>
  <c r="H62" i="2"/>
  <c r="M62" i="2"/>
  <c r="R62" i="2"/>
  <c r="C54" i="2"/>
  <c r="F54" i="2" s="1"/>
  <c r="S54" i="2"/>
  <c r="E54" i="2"/>
  <c r="G54" i="2" s="1"/>
  <c r="P54" i="2"/>
  <c r="B54" i="2"/>
  <c r="H54" i="2"/>
  <c r="M54" i="2"/>
  <c r="R54" i="2"/>
  <c r="C46" i="2"/>
  <c r="S46" i="2"/>
  <c r="E46" i="2"/>
  <c r="P46" i="2"/>
  <c r="B46" i="2"/>
  <c r="H46" i="2"/>
  <c r="M46" i="2"/>
  <c r="R46" i="2"/>
  <c r="C38" i="2"/>
  <c r="S38" i="2"/>
  <c r="E38" i="2"/>
  <c r="P38" i="2"/>
  <c r="B38" i="2"/>
  <c r="H38" i="2"/>
  <c r="M38" i="2"/>
  <c r="R38" i="2"/>
  <c r="C30" i="2"/>
  <c r="S30" i="2"/>
  <c r="E30" i="2"/>
  <c r="P30" i="2"/>
  <c r="B30" i="2"/>
  <c r="H30" i="2"/>
  <c r="M30" i="2"/>
  <c r="R30" i="2"/>
  <c r="C14" i="2"/>
  <c r="S14" i="2"/>
  <c r="D14" i="2"/>
  <c r="I14" i="2"/>
  <c r="E14" i="2"/>
  <c r="P14" i="2"/>
  <c r="B14" i="2"/>
  <c r="H14" i="2"/>
  <c r="M14" i="2"/>
  <c r="N14" i="2" s="1"/>
  <c r="O14" i="2" s="1"/>
  <c r="R14" i="2"/>
  <c r="I170" i="2"/>
  <c r="Q192" i="2"/>
  <c r="I192" i="2"/>
  <c r="D190" i="2"/>
  <c r="H190" i="2"/>
  <c r="J190" i="2" s="1"/>
  <c r="K190" i="2" s="1"/>
  <c r="L190" i="2"/>
  <c r="P190" i="2"/>
  <c r="B190" i="2"/>
  <c r="R190" i="2"/>
  <c r="M188" i="2"/>
  <c r="E188" i="2"/>
  <c r="M186" i="2"/>
  <c r="E186" i="2"/>
  <c r="B184" i="2"/>
  <c r="R184" i="2"/>
  <c r="D184" i="2"/>
  <c r="H184" i="2"/>
  <c r="L184" i="2"/>
  <c r="P184" i="2"/>
  <c r="D182" i="2"/>
  <c r="H182" i="2"/>
  <c r="L182" i="2"/>
  <c r="N182" i="2" s="1"/>
  <c r="O182" i="2" s="1"/>
  <c r="P182" i="2"/>
  <c r="B182" i="2"/>
  <c r="R182" i="2"/>
  <c r="M180" i="2"/>
  <c r="E180" i="2"/>
  <c r="M178" i="2"/>
  <c r="E178" i="2"/>
  <c r="B176" i="2"/>
  <c r="R176" i="2"/>
  <c r="D176" i="2"/>
  <c r="H176" i="2"/>
  <c r="J176" i="2" s="1"/>
  <c r="K176" i="2" s="1"/>
  <c r="L176" i="2"/>
  <c r="P176" i="2"/>
  <c r="D174" i="2"/>
  <c r="H174" i="2"/>
  <c r="L174" i="2"/>
  <c r="N174" i="2" s="1"/>
  <c r="O174" i="2" s="1"/>
  <c r="P174" i="2"/>
  <c r="B174" i="2"/>
  <c r="R174" i="2"/>
  <c r="M172" i="2"/>
  <c r="E172" i="2"/>
  <c r="Q169" i="2"/>
  <c r="C165" i="2"/>
  <c r="S165" i="2"/>
  <c r="E165" i="2"/>
  <c r="G165" i="2" s="1"/>
  <c r="P165" i="2"/>
  <c r="B165" i="2"/>
  <c r="H165" i="2"/>
  <c r="J165" i="2" s="1"/>
  <c r="K165" i="2" s="1"/>
  <c r="M165" i="2"/>
  <c r="R165" i="2"/>
  <c r="I164" i="2"/>
  <c r="S162" i="2"/>
  <c r="I162" i="2"/>
  <c r="Q161" i="2"/>
  <c r="C157" i="2"/>
  <c r="F157" i="2" s="1"/>
  <c r="S157" i="2"/>
  <c r="E157" i="2"/>
  <c r="G157" i="2" s="1"/>
  <c r="P157" i="2"/>
  <c r="B157" i="2"/>
  <c r="H157" i="2"/>
  <c r="J157" i="2" s="1"/>
  <c r="K157" i="2" s="1"/>
  <c r="M157" i="2"/>
  <c r="R157" i="2"/>
  <c r="I156" i="2"/>
  <c r="S154" i="2"/>
  <c r="I154" i="2"/>
  <c r="Q153" i="2"/>
  <c r="C149" i="2"/>
  <c r="S149" i="2"/>
  <c r="E149" i="2"/>
  <c r="P149" i="2"/>
  <c r="B149" i="2"/>
  <c r="H149" i="2"/>
  <c r="J149" i="2" s="1"/>
  <c r="K149" i="2" s="1"/>
  <c r="M149" i="2"/>
  <c r="R149" i="2"/>
  <c r="I148" i="2"/>
  <c r="S146" i="2"/>
  <c r="I146" i="2"/>
  <c r="Q145" i="2"/>
  <c r="D143" i="2"/>
  <c r="H143" i="2"/>
  <c r="J143" i="2" s="1"/>
  <c r="M143" i="2"/>
  <c r="Q143" i="2"/>
  <c r="B143" i="2"/>
  <c r="S143" i="2"/>
  <c r="E143" i="2"/>
  <c r="P143" i="2"/>
  <c r="I142" i="2"/>
  <c r="Q141" i="2"/>
  <c r="Q139" i="2"/>
  <c r="B137" i="2"/>
  <c r="R137" i="2"/>
  <c r="E137" i="2"/>
  <c r="P137" i="2"/>
  <c r="C137" i="2"/>
  <c r="H137" i="2"/>
  <c r="J137" i="2" s="1"/>
  <c r="K137" i="2" s="1"/>
  <c r="M137" i="2"/>
  <c r="S137" i="2"/>
  <c r="D135" i="2"/>
  <c r="H135" i="2"/>
  <c r="J135" i="2" s="1"/>
  <c r="K135" i="2" s="1"/>
  <c r="L135" i="2"/>
  <c r="P135" i="2"/>
  <c r="B135" i="2"/>
  <c r="M135" i="2"/>
  <c r="R135" i="2"/>
  <c r="E135" i="2"/>
  <c r="I134" i="2"/>
  <c r="Q133" i="2"/>
  <c r="Q131" i="2"/>
  <c r="B129" i="2"/>
  <c r="R129" i="2"/>
  <c r="E129" i="2"/>
  <c r="P129" i="2"/>
  <c r="C129" i="2"/>
  <c r="H129" i="2"/>
  <c r="J129" i="2" s="1"/>
  <c r="K129" i="2" s="1"/>
  <c r="M129" i="2"/>
  <c r="S129" i="2"/>
  <c r="D127" i="2"/>
  <c r="B6" i="28" s="1"/>
  <c r="H127" i="2"/>
  <c r="J127" i="2" s="1"/>
  <c r="K127" i="2" s="1"/>
  <c r="L127" i="2"/>
  <c r="P127" i="2"/>
  <c r="B127" i="2"/>
  <c r="M127" i="2"/>
  <c r="R127" i="2"/>
  <c r="E127" i="2"/>
  <c r="I126" i="2"/>
  <c r="Q125" i="2"/>
  <c r="Q123" i="2"/>
  <c r="B121" i="2"/>
  <c r="R121" i="2"/>
  <c r="E121" i="2"/>
  <c r="P121" i="2"/>
  <c r="C121" i="2"/>
  <c r="H121" i="2"/>
  <c r="J121" i="2" s="1"/>
  <c r="K121" i="2" s="1"/>
  <c r="M121" i="2"/>
  <c r="S121" i="2"/>
  <c r="D119" i="2"/>
  <c r="H119" i="2"/>
  <c r="L119" i="2"/>
  <c r="P119" i="2"/>
  <c r="B119" i="2"/>
  <c r="M119" i="2"/>
  <c r="R119" i="2"/>
  <c r="E119" i="2"/>
  <c r="I118" i="2"/>
  <c r="Q117" i="2"/>
  <c r="Q115" i="2"/>
  <c r="B113" i="2"/>
  <c r="R113" i="2"/>
  <c r="E113" i="2"/>
  <c r="G113" i="2" s="1"/>
  <c r="P113" i="2"/>
  <c r="C113" i="2"/>
  <c r="F113" i="2" s="1"/>
  <c r="H113" i="2"/>
  <c r="M113" i="2"/>
  <c r="S113" i="2"/>
  <c r="D111" i="2"/>
  <c r="H111" i="2"/>
  <c r="J111" i="2" s="1"/>
  <c r="K111" i="2" s="1"/>
  <c r="L111" i="2"/>
  <c r="P111" i="2"/>
  <c r="B111" i="2"/>
  <c r="M111" i="2"/>
  <c r="R111" i="2"/>
  <c r="E111" i="2"/>
  <c r="I110" i="2"/>
  <c r="Q109" i="2"/>
  <c r="Q107" i="2"/>
  <c r="B105" i="2"/>
  <c r="R105" i="2"/>
  <c r="E105" i="2"/>
  <c r="P105" i="2"/>
  <c r="C105" i="2"/>
  <c r="H105" i="2"/>
  <c r="J105" i="2" s="1"/>
  <c r="K105" i="2" s="1"/>
  <c r="M105" i="2"/>
  <c r="S105" i="2"/>
  <c r="D103" i="2"/>
  <c r="H103" i="2"/>
  <c r="J103" i="2" s="1"/>
  <c r="K103" i="2" s="1"/>
  <c r="L103" i="2"/>
  <c r="P103" i="2"/>
  <c r="B103" i="2"/>
  <c r="M103" i="2"/>
  <c r="R103" i="2"/>
  <c r="E103" i="2"/>
  <c r="I102" i="2"/>
  <c r="Q101" i="2"/>
  <c r="Q99" i="2"/>
  <c r="B97" i="2"/>
  <c r="R97" i="2"/>
  <c r="E97" i="2"/>
  <c r="P97" i="2"/>
  <c r="C97" i="2"/>
  <c r="H97" i="2"/>
  <c r="J97" i="2" s="1"/>
  <c r="K97" i="2" s="1"/>
  <c r="M97" i="2"/>
  <c r="N97" i="2" s="1"/>
  <c r="O97" i="2" s="1"/>
  <c r="S97" i="2"/>
  <c r="D95" i="2"/>
  <c r="H95" i="2"/>
  <c r="J95" i="2" s="1"/>
  <c r="K95" i="2" s="1"/>
  <c r="L95" i="2"/>
  <c r="P95" i="2"/>
  <c r="B95" i="2"/>
  <c r="M95" i="2"/>
  <c r="R95" i="2"/>
  <c r="E95" i="2"/>
  <c r="I94" i="2"/>
  <c r="Q93" i="2"/>
  <c r="Q91" i="2"/>
  <c r="B89" i="2"/>
  <c r="R89" i="2"/>
  <c r="E89" i="2"/>
  <c r="P89" i="2"/>
  <c r="C89" i="2"/>
  <c r="H89" i="2"/>
  <c r="J89" i="2" s="1"/>
  <c r="K89" i="2" s="1"/>
  <c r="M89" i="2"/>
  <c r="S89" i="2"/>
  <c r="D87" i="2"/>
  <c r="H87" i="2"/>
  <c r="J87" i="2" s="1"/>
  <c r="K87" i="2" s="1"/>
  <c r="L87" i="2"/>
  <c r="P87" i="2"/>
  <c r="B87" i="2"/>
  <c r="M87" i="2"/>
  <c r="R87" i="2"/>
  <c r="E87" i="2"/>
  <c r="I86" i="2"/>
  <c r="Q85" i="2"/>
  <c r="Q83" i="2"/>
  <c r="B81" i="2"/>
  <c r="R81" i="2"/>
  <c r="E81" i="2"/>
  <c r="P81" i="2"/>
  <c r="C81" i="2"/>
  <c r="H81" i="2"/>
  <c r="J81" i="2" s="1"/>
  <c r="K81" i="2" s="1"/>
  <c r="M81" i="2"/>
  <c r="S81" i="2"/>
  <c r="D79" i="2"/>
  <c r="H79" i="2"/>
  <c r="L79" i="2"/>
  <c r="P79" i="2"/>
  <c r="B79" i="2"/>
  <c r="M79" i="2"/>
  <c r="R79" i="2"/>
  <c r="E79" i="2"/>
  <c r="I78" i="2"/>
  <c r="Q77" i="2"/>
  <c r="Q75" i="2"/>
  <c r="B73" i="2"/>
  <c r="R73" i="2"/>
  <c r="E73" i="2"/>
  <c r="P73" i="2"/>
  <c r="C73" i="2"/>
  <c r="H73" i="2"/>
  <c r="M73" i="2"/>
  <c r="S73" i="2"/>
  <c r="D71" i="2"/>
  <c r="H71" i="2"/>
  <c r="L71" i="2"/>
  <c r="P71" i="2"/>
  <c r="B71" i="2"/>
  <c r="M71" i="2"/>
  <c r="R71" i="2"/>
  <c r="E71" i="2"/>
  <c r="I70" i="2"/>
  <c r="Q69" i="2"/>
  <c r="Q67" i="2"/>
  <c r="B65" i="2"/>
  <c r="R65" i="2"/>
  <c r="E65" i="2"/>
  <c r="G65" i="2" s="1"/>
  <c r="P65" i="2"/>
  <c r="C65" i="2"/>
  <c r="F65" i="2" s="1"/>
  <c r="H65" i="2"/>
  <c r="M65" i="2"/>
  <c r="S65" i="2"/>
  <c r="D63" i="2"/>
  <c r="H63" i="2"/>
  <c r="L63" i="2"/>
  <c r="P63" i="2"/>
  <c r="B63" i="2"/>
  <c r="M63" i="2"/>
  <c r="R63" i="2"/>
  <c r="E63" i="2"/>
  <c r="I62" i="2"/>
  <c r="Q61" i="2"/>
  <c r="Q59" i="2"/>
  <c r="B57" i="2"/>
  <c r="R57" i="2"/>
  <c r="E57" i="2"/>
  <c r="P57" i="2"/>
  <c r="C57" i="2"/>
  <c r="F57" i="2" s="1"/>
  <c r="H57" i="2"/>
  <c r="J57" i="2" s="1"/>
  <c r="K57" i="2" s="1"/>
  <c r="M57" i="2"/>
  <c r="S57" i="2"/>
  <c r="D55" i="2"/>
  <c r="H55" i="2"/>
  <c r="L55" i="2"/>
  <c r="P55" i="2"/>
  <c r="B55" i="2"/>
  <c r="M55" i="2"/>
  <c r="R55" i="2"/>
  <c r="E55" i="2"/>
  <c r="I54" i="2"/>
  <c r="Q53" i="2"/>
  <c r="Q51" i="2"/>
  <c r="B49" i="2"/>
  <c r="R49" i="2"/>
  <c r="E49" i="2"/>
  <c r="P49" i="2"/>
  <c r="C49" i="2"/>
  <c r="H49" i="2"/>
  <c r="M49" i="2"/>
  <c r="S49" i="2"/>
  <c r="D47" i="2"/>
  <c r="H47" i="2"/>
  <c r="J47" i="2" s="1"/>
  <c r="K47" i="2" s="1"/>
  <c r="L47" i="2"/>
  <c r="P47" i="2"/>
  <c r="B47" i="2"/>
  <c r="M47" i="2"/>
  <c r="R47" i="2"/>
  <c r="E47" i="2"/>
  <c r="I46" i="2"/>
  <c r="Q45" i="2"/>
  <c r="Q43" i="2"/>
  <c r="B41" i="2"/>
  <c r="R41" i="2"/>
  <c r="E41" i="2"/>
  <c r="P41" i="2"/>
  <c r="C41" i="2"/>
  <c r="H41" i="2"/>
  <c r="M41" i="2"/>
  <c r="N41" i="2" s="1"/>
  <c r="O41" i="2" s="1"/>
  <c r="S41" i="2"/>
  <c r="D39" i="2"/>
  <c r="H39" i="2"/>
  <c r="L39" i="2"/>
  <c r="P39" i="2"/>
  <c r="B39" i="2"/>
  <c r="M39" i="2"/>
  <c r="R39" i="2"/>
  <c r="E39" i="2"/>
  <c r="I38" i="2"/>
  <c r="Q37" i="2"/>
  <c r="Q35" i="2"/>
  <c r="B33" i="2"/>
  <c r="R33" i="2"/>
  <c r="E33" i="2"/>
  <c r="G33" i="2" s="1"/>
  <c r="P33" i="2"/>
  <c r="C33" i="2"/>
  <c r="F33" i="2" s="1"/>
  <c r="H33" i="2"/>
  <c r="M33" i="2"/>
  <c r="S33" i="2"/>
  <c r="D31" i="2"/>
  <c r="H31" i="2"/>
  <c r="L31" i="2"/>
  <c r="P31" i="2"/>
  <c r="B31" i="2"/>
  <c r="M31" i="2"/>
  <c r="R31" i="2"/>
  <c r="E31" i="2"/>
  <c r="I30" i="2"/>
  <c r="Q29" i="2"/>
  <c r="Q27" i="2"/>
  <c r="B25" i="2"/>
  <c r="R25" i="2"/>
  <c r="E25" i="2"/>
  <c r="P25" i="2"/>
  <c r="C25" i="2"/>
  <c r="H25" i="2"/>
  <c r="M25" i="2"/>
  <c r="S25" i="2"/>
  <c r="L22" i="2"/>
  <c r="D19" i="2"/>
  <c r="H19" i="2"/>
  <c r="L19" i="2"/>
  <c r="P19" i="2"/>
  <c r="C19" i="2"/>
  <c r="I19" i="2"/>
  <c r="S19" i="2"/>
  <c r="E19" i="2"/>
  <c r="B19" i="2"/>
  <c r="M19" i="2"/>
  <c r="R19" i="2"/>
  <c r="Q14" i="2"/>
  <c r="D23" i="2"/>
  <c r="H23" i="2"/>
  <c r="L23" i="2"/>
  <c r="P23" i="2"/>
  <c r="B21" i="2"/>
  <c r="R21" i="2"/>
  <c r="L18" i="2"/>
  <c r="Q15" i="2"/>
  <c r="S191" i="2"/>
  <c r="S187" i="2"/>
  <c r="S183" i="2"/>
  <c r="S179" i="2"/>
  <c r="S175" i="2"/>
  <c r="E23" i="2"/>
  <c r="P21" i="2"/>
  <c r="E21" i="2"/>
  <c r="P18" i="2"/>
  <c r="E18" i="2"/>
  <c r="E15" i="2"/>
  <c r="P13" i="2"/>
  <c r="E13" i="2"/>
  <c r="P185" i="3"/>
  <c r="D184" i="3"/>
  <c r="L184" i="3"/>
  <c r="P184" i="3"/>
  <c r="C184" i="3"/>
  <c r="G184" i="3"/>
  <c r="O184" i="3"/>
  <c r="C181" i="3"/>
  <c r="G181" i="3"/>
  <c r="O181" i="3"/>
  <c r="B181" i="3"/>
  <c r="F181" i="3"/>
  <c r="J181" i="3"/>
  <c r="K181" i="3" s="1"/>
  <c r="N181" i="3"/>
  <c r="J180" i="3"/>
  <c r="L177" i="3"/>
  <c r="N172" i="3"/>
  <c r="F172" i="3"/>
  <c r="P169" i="3"/>
  <c r="D168" i="3"/>
  <c r="L168" i="3"/>
  <c r="P168" i="3"/>
  <c r="C168" i="3"/>
  <c r="G168" i="3"/>
  <c r="O168" i="3"/>
  <c r="C165" i="3"/>
  <c r="G165" i="3"/>
  <c r="O165" i="3"/>
  <c r="B165" i="3"/>
  <c r="F165" i="3"/>
  <c r="J165" i="3"/>
  <c r="K165" i="3" s="1"/>
  <c r="N165" i="3"/>
  <c r="J164" i="3"/>
  <c r="L161" i="3"/>
  <c r="N156" i="3"/>
  <c r="F156" i="3"/>
  <c r="P153" i="3"/>
  <c r="D152" i="3"/>
  <c r="L152" i="3"/>
  <c r="P152" i="3"/>
  <c r="C152" i="3"/>
  <c r="G152" i="3"/>
  <c r="O152" i="3"/>
  <c r="C149" i="3"/>
  <c r="G149" i="3"/>
  <c r="O149" i="3"/>
  <c r="B149" i="3"/>
  <c r="F149" i="3"/>
  <c r="J149" i="3"/>
  <c r="N149" i="3"/>
  <c r="J148" i="3"/>
  <c r="L145" i="3"/>
  <c r="N140" i="3"/>
  <c r="F140" i="3"/>
  <c r="P137" i="3"/>
  <c r="D136" i="3"/>
  <c r="L136" i="3"/>
  <c r="P136" i="3"/>
  <c r="C136" i="3"/>
  <c r="G136" i="3"/>
  <c r="O136" i="3"/>
  <c r="C133" i="3"/>
  <c r="G133" i="3"/>
  <c r="O133" i="3"/>
  <c r="B133" i="3"/>
  <c r="F133" i="3"/>
  <c r="J133" i="3"/>
  <c r="K133" i="3" s="1"/>
  <c r="N133" i="3"/>
  <c r="J132" i="3"/>
  <c r="D124" i="3"/>
  <c r="L124" i="3"/>
  <c r="P124" i="3"/>
  <c r="B124" i="3"/>
  <c r="F124" i="3"/>
  <c r="J124" i="3"/>
  <c r="N124" i="3"/>
  <c r="C124" i="3"/>
  <c r="G124" i="3"/>
  <c r="O124" i="3"/>
  <c r="Q113" i="3"/>
  <c r="Q107" i="3"/>
  <c r="Q97" i="3"/>
  <c r="D180" i="3"/>
  <c r="L180" i="3"/>
  <c r="P180" i="3"/>
  <c r="C180" i="3"/>
  <c r="G180" i="3"/>
  <c r="O180" i="3"/>
  <c r="C177" i="3"/>
  <c r="G177" i="3"/>
  <c r="O177" i="3"/>
  <c r="B177" i="3"/>
  <c r="F177" i="3"/>
  <c r="J177" i="3"/>
  <c r="N177" i="3"/>
  <c r="D164" i="3"/>
  <c r="L164" i="3"/>
  <c r="P164" i="3"/>
  <c r="C164" i="3"/>
  <c r="G164" i="3"/>
  <c r="E164" i="5" s="1"/>
  <c r="O164" i="3"/>
  <c r="C161" i="3"/>
  <c r="G161" i="3"/>
  <c r="O161" i="3"/>
  <c r="B161" i="3"/>
  <c r="F161" i="3"/>
  <c r="J161" i="3"/>
  <c r="K161" i="3" s="1"/>
  <c r="N161" i="3"/>
  <c r="D148" i="3"/>
  <c r="L148" i="3"/>
  <c r="P148" i="3"/>
  <c r="C148" i="3"/>
  <c r="G148" i="3"/>
  <c r="O148" i="3"/>
  <c r="C145" i="3"/>
  <c r="G145" i="3"/>
  <c r="E145" i="5" s="1"/>
  <c r="O145" i="3"/>
  <c r="B145" i="3"/>
  <c r="F145" i="3"/>
  <c r="J145" i="3"/>
  <c r="N145" i="3"/>
  <c r="D132" i="3"/>
  <c r="L132" i="3"/>
  <c r="P132" i="3"/>
  <c r="C132" i="3"/>
  <c r="G132" i="3"/>
  <c r="O132" i="3"/>
  <c r="D128" i="3"/>
  <c r="L128" i="3"/>
  <c r="P128" i="3"/>
  <c r="B128" i="3"/>
  <c r="F128" i="3"/>
  <c r="J128" i="3"/>
  <c r="N128" i="3"/>
  <c r="C128" i="3"/>
  <c r="G128" i="3"/>
  <c r="O128" i="3"/>
  <c r="C118" i="3"/>
  <c r="G118" i="3"/>
  <c r="H118" i="3" s="1"/>
  <c r="J118" i="3"/>
  <c r="N118" i="3"/>
  <c r="B118" i="3"/>
  <c r="L118" i="3"/>
  <c r="P118" i="3"/>
  <c r="D118" i="3"/>
  <c r="I118" i="3"/>
  <c r="M118" i="3"/>
  <c r="Q118" i="3"/>
  <c r="C102" i="3"/>
  <c r="G102" i="3"/>
  <c r="H102" i="3" s="1"/>
  <c r="O102" i="3"/>
  <c r="J102" i="3"/>
  <c r="P102" i="3"/>
  <c r="B102" i="3"/>
  <c r="M102" i="3"/>
  <c r="D102" i="3"/>
  <c r="I102" i="3"/>
  <c r="N102" i="3"/>
  <c r="C248" i="2"/>
  <c r="R23" i="2"/>
  <c r="M23" i="2"/>
  <c r="B23" i="2"/>
  <c r="S21" i="2"/>
  <c r="M21" i="2"/>
  <c r="N21" i="2" s="1"/>
  <c r="O21" i="2" s="1"/>
  <c r="H21" i="2"/>
  <c r="C21" i="2"/>
  <c r="R18" i="2"/>
  <c r="M18" i="2"/>
  <c r="H18" i="2"/>
  <c r="J18" i="2" s="1"/>
  <c r="K18" i="2" s="1"/>
  <c r="R15" i="2"/>
  <c r="M15" i="2"/>
  <c r="S13" i="2"/>
  <c r="M13" i="2"/>
  <c r="N13" i="2" s="1"/>
  <c r="O13" i="2" s="1"/>
  <c r="H13" i="2"/>
  <c r="J13" i="2" s="1"/>
  <c r="K13" i="2" s="1"/>
  <c r="D188" i="3"/>
  <c r="L188" i="3"/>
  <c r="P188" i="3"/>
  <c r="L185" i="3"/>
  <c r="M184" i="3"/>
  <c r="N180" i="3"/>
  <c r="F180" i="3"/>
  <c r="P177" i="3"/>
  <c r="D176" i="3"/>
  <c r="L176" i="3"/>
  <c r="P176" i="3"/>
  <c r="C176" i="3"/>
  <c r="G176" i="3"/>
  <c r="O176" i="3"/>
  <c r="C173" i="3"/>
  <c r="G173" i="3"/>
  <c r="O173" i="3"/>
  <c r="B173" i="3"/>
  <c r="F173" i="3"/>
  <c r="J173" i="3"/>
  <c r="N173" i="3"/>
  <c r="J172" i="3"/>
  <c r="L169" i="3"/>
  <c r="M168" i="3"/>
  <c r="N164" i="3"/>
  <c r="F164" i="3"/>
  <c r="P161" i="3"/>
  <c r="D160" i="3"/>
  <c r="L160" i="3"/>
  <c r="P160" i="3"/>
  <c r="C160" i="3"/>
  <c r="G160" i="3"/>
  <c r="O160" i="3"/>
  <c r="C157" i="3"/>
  <c r="E157" i="3" s="1"/>
  <c r="G157" i="3"/>
  <c r="E157" i="5" s="1"/>
  <c r="O157" i="3"/>
  <c r="B157" i="3"/>
  <c r="F157" i="3"/>
  <c r="J157" i="3"/>
  <c r="K157" i="3" s="1"/>
  <c r="N157" i="3"/>
  <c r="J156" i="3"/>
  <c r="L153" i="3"/>
  <c r="M152" i="3"/>
  <c r="N148" i="3"/>
  <c r="F148" i="3"/>
  <c r="P145" i="3"/>
  <c r="D144" i="3"/>
  <c r="L144" i="3"/>
  <c r="P144" i="3"/>
  <c r="C144" i="3"/>
  <c r="G144" i="3"/>
  <c r="O144" i="3"/>
  <c r="C141" i="3"/>
  <c r="G141" i="3"/>
  <c r="O141" i="3"/>
  <c r="B141" i="3"/>
  <c r="F141" i="3"/>
  <c r="J141" i="3"/>
  <c r="K141" i="3" s="1"/>
  <c r="N141" i="3"/>
  <c r="J140" i="3"/>
  <c r="L137" i="3"/>
  <c r="M136" i="3"/>
  <c r="M133" i="3"/>
  <c r="N132" i="3"/>
  <c r="F132" i="3"/>
  <c r="M128" i="3"/>
  <c r="I124" i="3"/>
  <c r="O118" i="3"/>
  <c r="Q102" i="3"/>
  <c r="C18" i="2"/>
  <c r="S18" i="2"/>
  <c r="D15" i="2"/>
  <c r="H15" i="2"/>
  <c r="J15" i="2" s="1"/>
  <c r="K15" i="2" s="1"/>
  <c r="L15" i="2"/>
  <c r="P15" i="2"/>
  <c r="B13" i="2"/>
  <c r="R13" i="2"/>
  <c r="B6" i="6"/>
  <c r="N6" i="5"/>
  <c r="H6" i="5"/>
  <c r="K6" i="5"/>
  <c r="C185" i="3"/>
  <c r="G185" i="3"/>
  <c r="O185" i="3"/>
  <c r="B185" i="3"/>
  <c r="F185" i="3"/>
  <c r="J185" i="3"/>
  <c r="K185" i="3" s="1"/>
  <c r="N185" i="3"/>
  <c r="M180" i="3"/>
  <c r="M177" i="3"/>
  <c r="D172" i="3"/>
  <c r="L172" i="3"/>
  <c r="P172" i="3"/>
  <c r="C172" i="3"/>
  <c r="G172" i="3"/>
  <c r="O172" i="3"/>
  <c r="C169" i="3"/>
  <c r="G169" i="3"/>
  <c r="O169" i="3"/>
  <c r="B169" i="3"/>
  <c r="F169" i="3"/>
  <c r="J169" i="3"/>
  <c r="K169" i="3" s="1"/>
  <c r="N169" i="3"/>
  <c r="M164" i="3"/>
  <c r="M161" i="3"/>
  <c r="D156" i="3"/>
  <c r="L156" i="3"/>
  <c r="P156" i="3"/>
  <c r="C156" i="3"/>
  <c r="G156" i="3"/>
  <c r="E156" i="5" s="1"/>
  <c r="O156" i="3"/>
  <c r="C153" i="3"/>
  <c r="G153" i="3"/>
  <c r="E153" i="5" s="1"/>
  <c r="O153" i="3"/>
  <c r="B153" i="3"/>
  <c r="F153" i="3"/>
  <c r="J153" i="3"/>
  <c r="N153" i="3"/>
  <c r="M148" i="3"/>
  <c r="M145" i="3"/>
  <c r="D140" i="3"/>
  <c r="L140" i="3"/>
  <c r="P140" i="3"/>
  <c r="C140" i="3"/>
  <c r="G140" i="3"/>
  <c r="E140" i="5" s="1"/>
  <c r="O140" i="3"/>
  <c r="C137" i="3"/>
  <c r="G137" i="3"/>
  <c r="E137" i="5" s="1"/>
  <c r="O137" i="3"/>
  <c r="B137" i="3"/>
  <c r="F137" i="3"/>
  <c r="J137" i="3"/>
  <c r="N137" i="3"/>
  <c r="M132" i="3"/>
  <c r="I128" i="3"/>
  <c r="D120" i="3"/>
  <c r="L120" i="3"/>
  <c r="P120" i="3"/>
  <c r="B120" i="3"/>
  <c r="F120" i="3"/>
  <c r="J120" i="3"/>
  <c r="K120" i="3" s="1"/>
  <c r="N120" i="3"/>
  <c r="C120" i="3"/>
  <c r="G120" i="3"/>
  <c r="O120" i="3"/>
  <c r="D113" i="3"/>
  <c r="L113" i="3"/>
  <c r="P113" i="3"/>
  <c r="J113" i="3"/>
  <c r="O113" i="3"/>
  <c r="B113" i="3"/>
  <c r="G113" i="3"/>
  <c r="H113" i="3" s="1"/>
  <c r="M113" i="3"/>
  <c r="C113" i="3"/>
  <c r="I113" i="3"/>
  <c r="N113" i="3"/>
  <c r="B107" i="3"/>
  <c r="F107" i="3"/>
  <c r="J107" i="3"/>
  <c r="N107" i="3"/>
  <c r="P107" i="3"/>
  <c r="C107" i="3"/>
  <c r="M107" i="3"/>
  <c r="D107" i="3"/>
  <c r="I107" i="3"/>
  <c r="O107" i="3"/>
  <c r="L102" i="3"/>
  <c r="D97" i="3"/>
  <c r="L97" i="3"/>
  <c r="P97" i="3"/>
  <c r="J97" i="3"/>
  <c r="O97" i="3"/>
  <c r="B97" i="3"/>
  <c r="G97" i="3"/>
  <c r="H97" i="3" s="1"/>
  <c r="M97" i="3"/>
  <c r="C97" i="3"/>
  <c r="I97" i="3"/>
  <c r="N97" i="3"/>
  <c r="B115" i="3"/>
  <c r="F115" i="3"/>
  <c r="J115" i="3"/>
  <c r="K115" i="3" s="1"/>
  <c r="N115" i="3"/>
  <c r="C110" i="3"/>
  <c r="G110" i="3"/>
  <c r="O110" i="3"/>
  <c r="D105" i="3"/>
  <c r="L105" i="3"/>
  <c r="P105" i="3"/>
  <c r="B99" i="3"/>
  <c r="F99" i="3"/>
  <c r="J99" i="3"/>
  <c r="K99" i="3" s="1"/>
  <c r="N99" i="3"/>
  <c r="C94" i="3"/>
  <c r="E94" i="3" s="1"/>
  <c r="G94" i="3"/>
  <c r="O94" i="3"/>
  <c r="O91" i="3"/>
  <c r="I91" i="3"/>
  <c r="D91" i="3"/>
  <c r="E91" i="3" s="1"/>
  <c r="D89" i="3"/>
  <c r="E89" i="3" s="1"/>
  <c r="L89" i="3"/>
  <c r="P89" i="3"/>
  <c r="N86" i="3"/>
  <c r="I86" i="3"/>
  <c r="D86" i="3"/>
  <c r="B83" i="3"/>
  <c r="F83" i="3"/>
  <c r="J83" i="3"/>
  <c r="N83" i="3"/>
  <c r="N81" i="3"/>
  <c r="I81" i="3"/>
  <c r="C81" i="3"/>
  <c r="C78" i="3"/>
  <c r="G78" i="3"/>
  <c r="O78" i="3"/>
  <c r="O75" i="3"/>
  <c r="I75" i="3"/>
  <c r="D75" i="3"/>
  <c r="D73" i="3"/>
  <c r="L73" i="3"/>
  <c r="P73" i="3"/>
  <c r="N70" i="3"/>
  <c r="I70" i="3"/>
  <c r="D70" i="3"/>
  <c r="B67" i="3"/>
  <c r="F67" i="3"/>
  <c r="H67" i="3" s="1"/>
  <c r="J67" i="3"/>
  <c r="N67" i="3"/>
  <c r="N65" i="3"/>
  <c r="I65" i="3"/>
  <c r="C65" i="3"/>
  <c r="C62" i="3"/>
  <c r="G62" i="3"/>
  <c r="O62" i="3"/>
  <c r="O59" i="3"/>
  <c r="I59" i="3"/>
  <c r="D59" i="3"/>
  <c r="E59" i="3" s="1"/>
  <c r="D57" i="3"/>
  <c r="L57" i="3"/>
  <c r="P57" i="3"/>
  <c r="N54" i="3"/>
  <c r="I54" i="3"/>
  <c r="D54" i="3"/>
  <c r="B51" i="3"/>
  <c r="F51" i="3"/>
  <c r="J51" i="3"/>
  <c r="K51" i="3" s="1"/>
  <c r="N51" i="3"/>
  <c r="N49" i="3"/>
  <c r="I49" i="3"/>
  <c r="C49" i="3"/>
  <c r="C46" i="3"/>
  <c r="G46" i="3"/>
  <c r="O46" i="3"/>
  <c r="O43" i="3"/>
  <c r="I43" i="3"/>
  <c r="D43" i="3"/>
  <c r="E43" i="3" s="1"/>
  <c r="D41" i="3"/>
  <c r="L41" i="3"/>
  <c r="P41" i="3"/>
  <c r="N38" i="3"/>
  <c r="I38" i="3"/>
  <c r="D38" i="3"/>
  <c r="B35" i="3"/>
  <c r="F35" i="3"/>
  <c r="J35" i="3"/>
  <c r="N35" i="3"/>
  <c r="N33" i="3"/>
  <c r="I33" i="3"/>
  <c r="C33" i="3"/>
  <c r="C30" i="3"/>
  <c r="G30" i="3"/>
  <c r="E101" i="5" s="1"/>
  <c r="O30" i="3"/>
  <c r="O27" i="3"/>
  <c r="I27" i="3"/>
  <c r="D27" i="3"/>
  <c r="D25" i="3"/>
  <c r="L25" i="3"/>
  <c r="P25" i="3"/>
  <c r="N22" i="3"/>
  <c r="I22" i="3"/>
  <c r="D22" i="3"/>
  <c r="B19" i="3"/>
  <c r="F19" i="3"/>
  <c r="J19" i="3"/>
  <c r="N19" i="3"/>
  <c r="N17" i="3"/>
  <c r="I17" i="3"/>
  <c r="C17" i="3"/>
  <c r="C14" i="3"/>
  <c r="G14" i="3"/>
  <c r="O14" i="3"/>
  <c r="O11" i="3"/>
  <c r="I11" i="3"/>
  <c r="D11" i="3"/>
  <c r="D9" i="3"/>
  <c r="E9" i="3" s="1"/>
  <c r="L9" i="3"/>
  <c r="P9" i="3"/>
  <c r="D62" i="5"/>
  <c r="I62" i="5"/>
  <c r="O62" i="5"/>
  <c r="D61" i="5"/>
  <c r="H61" i="5"/>
  <c r="D60" i="5"/>
  <c r="H60" i="5"/>
  <c r="D59" i="5"/>
  <c r="H59" i="5"/>
  <c r="D58" i="5"/>
  <c r="H58" i="5"/>
  <c r="D57" i="5"/>
  <c r="H57" i="5"/>
  <c r="D56" i="5"/>
  <c r="H56" i="5"/>
  <c r="D55" i="5"/>
  <c r="H55" i="5"/>
  <c r="D54" i="5"/>
  <c r="H54" i="5"/>
  <c r="D53" i="5"/>
  <c r="H53" i="5"/>
  <c r="D52" i="5"/>
  <c r="H52" i="5"/>
  <c r="D51" i="5"/>
  <c r="H51" i="5"/>
  <c r="D50" i="5"/>
  <c r="H50" i="5"/>
  <c r="E12" i="5"/>
  <c r="D159" i="7"/>
  <c r="C159" i="7"/>
  <c r="H159" i="7"/>
  <c r="L159" i="7"/>
  <c r="E159" i="7"/>
  <c r="I159" i="7"/>
  <c r="M159" i="7"/>
  <c r="B159" i="7"/>
  <c r="G159" i="7"/>
  <c r="K159" i="7"/>
  <c r="O159" i="7"/>
  <c r="C154" i="7"/>
  <c r="G154" i="7"/>
  <c r="K154" i="7"/>
  <c r="O154" i="7"/>
  <c r="D154" i="7"/>
  <c r="I154" i="7"/>
  <c r="N154" i="7"/>
  <c r="E154" i="7"/>
  <c r="J154" i="7"/>
  <c r="B154" i="7"/>
  <c r="H154" i="7"/>
  <c r="M154" i="7"/>
  <c r="K143" i="7"/>
  <c r="L138" i="7"/>
  <c r="P126" i="3"/>
  <c r="L126" i="3"/>
  <c r="D126" i="3"/>
  <c r="P122" i="3"/>
  <c r="L122" i="3"/>
  <c r="D122" i="3"/>
  <c r="P115" i="3"/>
  <c r="C114" i="3"/>
  <c r="G114" i="3"/>
  <c r="H114" i="3" s="1"/>
  <c r="O114" i="3"/>
  <c r="P110" i="3"/>
  <c r="J110" i="3"/>
  <c r="K110" i="3" s="1"/>
  <c r="D109" i="3"/>
  <c r="L109" i="3"/>
  <c r="P109" i="3"/>
  <c r="O105" i="3"/>
  <c r="J105" i="3"/>
  <c r="B103" i="3"/>
  <c r="F103" i="3"/>
  <c r="H103" i="3" s="1"/>
  <c r="J103" i="3"/>
  <c r="N103" i="3"/>
  <c r="P99" i="3"/>
  <c r="C98" i="3"/>
  <c r="G98" i="3"/>
  <c r="H98" i="3" s="1"/>
  <c r="O98" i="3"/>
  <c r="P94" i="3"/>
  <c r="J94" i="3"/>
  <c r="D93" i="3"/>
  <c r="L93" i="3"/>
  <c r="P93" i="3"/>
  <c r="M91" i="3"/>
  <c r="O89" i="3"/>
  <c r="J89" i="3"/>
  <c r="B87" i="3"/>
  <c r="F87" i="3"/>
  <c r="J87" i="3"/>
  <c r="N87" i="3"/>
  <c r="M86" i="3"/>
  <c r="P83" i="3"/>
  <c r="C82" i="3"/>
  <c r="G82" i="3"/>
  <c r="O82" i="3"/>
  <c r="M81" i="3"/>
  <c r="G81" i="3"/>
  <c r="P78" i="3"/>
  <c r="J78" i="3"/>
  <c r="D77" i="3"/>
  <c r="L77" i="3"/>
  <c r="P77" i="3"/>
  <c r="M75" i="3"/>
  <c r="O73" i="3"/>
  <c r="J73" i="3"/>
  <c r="K73" i="3" s="1"/>
  <c r="B71" i="3"/>
  <c r="F71" i="3"/>
  <c r="H71" i="3" s="1"/>
  <c r="J71" i="3"/>
  <c r="N71" i="3"/>
  <c r="M70" i="3"/>
  <c r="P67" i="3"/>
  <c r="C66" i="3"/>
  <c r="G66" i="3"/>
  <c r="H66" i="3" s="1"/>
  <c r="O66" i="3"/>
  <c r="M65" i="3"/>
  <c r="G65" i="3"/>
  <c r="P62" i="3"/>
  <c r="J62" i="3"/>
  <c r="K62" i="3" s="1"/>
  <c r="D61" i="3"/>
  <c r="L61" i="3"/>
  <c r="P61" i="3"/>
  <c r="M59" i="3"/>
  <c r="O57" i="3"/>
  <c r="J57" i="3"/>
  <c r="K57" i="3" s="1"/>
  <c r="B55" i="3"/>
  <c r="F55" i="3"/>
  <c r="J55" i="3"/>
  <c r="N55" i="3"/>
  <c r="M54" i="3"/>
  <c r="P51" i="3"/>
  <c r="C50" i="3"/>
  <c r="G50" i="3"/>
  <c r="O50" i="3"/>
  <c r="M49" i="3"/>
  <c r="G49" i="3"/>
  <c r="E49" i="5" s="1"/>
  <c r="F49" i="5" s="1"/>
  <c r="G49" i="5" s="1"/>
  <c r="P46" i="3"/>
  <c r="J46" i="3"/>
  <c r="K46" i="3" s="1"/>
  <c r="D45" i="3"/>
  <c r="L45" i="3"/>
  <c r="P45" i="3"/>
  <c r="M43" i="3"/>
  <c r="O41" i="3"/>
  <c r="J41" i="3"/>
  <c r="B39" i="3"/>
  <c r="F39" i="3"/>
  <c r="J39" i="3"/>
  <c r="N39" i="3"/>
  <c r="M38" i="3"/>
  <c r="P35" i="3"/>
  <c r="C34" i="3"/>
  <c r="G34" i="3"/>
  <c r="O34" i="3"/>
  <c r="M33" i="3"/>
  <c r="G33" i="3"/>
  <c r="E33" i="5" s="1"/>
  <c r="F33" i="5" s="1"/>
  <c r="G33" i="5" s="1"/>
  <c r="P30" i="3"/>
  <c r="J30" i="3"/>
  <c r="K30" i="3" s="1"/>
  <c r="D29" i="3"/>
  <c r="L29" i="3"/>
  <c r="P29" i="3"/>
  <c r="M27" i="3"/>
  <c r="O25" i="3"/>
  <c r="J25" i="3"/>
  <c r="K25" i="3" s="1"/>
  <c r="B23" i="3"/>
  <c r="F23" i="3"/>
  <c r="J23" i="3"/>
  <c r="N23" i="3"/>
  <c r="M22" i="3"/>
  <c r="P19" i="3"/>
  <c r="C18" i="3"/>
  <c r="G18" i="3"/>
  <c r="O18" i="3"/>
  <c r="M17" i="3"/>
  <c r="G17" i="3"/>
  <c r="E17" i="5" s="1"/>
  <c r="F17" i="5" s="1"/>
  <c r="G17" i="5" s="1"/>
  <c r="P14" i="3"/>
  <c r="J14" i="3"/>
  <c r="K14" i="3" s="1"/>
  <c r="D13" i="3"/>
  <c r="L13" i="3"/>
  <c r="P13" i="3"/>
  <c r="M11" i="3"/>
  <c r="O9" i="3"/>
  <c r="J9" i="3"/>
  <c r="B7" i="3"/>
  <c r="F7" i="3"/>
  <c r="J7" i="3"/>
  <c r="N7" i="3"/>
  <c r="E166" i="5"/>
  <c r="E109" i="5"/>
  <c r="E103" i="5"/>
  <c r="E71" i="5"/>
  <c r="E67" i="5"/>
  <c r="N62" i="5"/>
  <c r="K61" i="5"/>
  <c r="K60" i="5"/>
  <c r="K59" i="5"/>
  <c r="K58" i="5"/>
  <c r="K57" i="5"/>
  <c r="K56" i="5"/>
  <c r="K55" i="5"/>
  <c r="K54" i="5"/>
  <c r="K53" i="5"/>
  <c r="K52" i="5"/>
  <c r="K51" i="5"/>
  <c r="K50" i="5"/>
  <c r="L170" i="7"/>
  <c r="C162" i="7"/>
  <c r="G162" i="7"/>
  <c r="K162" i="7"/>
  <c r="O162" i="7"/>
  <c r="D162" i="7"/>
  <c r="H162" i="7"/>
  <c r="L162" i="7"/>
  <c r="B162" i="7"/>
  <c r="F162" i="7"/>
  <c r="J162" i="7"/>
  <c r="N162" i="7"/>
  <c r="N159" i="7"/>
  <c r="L149" i="7"/>
  <c r="B91" i="3"/>
  <c r="F91" i="3"/>
  <c r="J91" i="3"/>
  <c r="N91" i="3"/>
  <c r="C86" i="3"/>
  <c r="G86" i="3"/>
  <c r="O86" i="3"/>
  <c r="D81" i="3"/>
  <c r="L81" i="3"/>
  <c r="P81" i="3"/>
  <c r="B75" i="3"/>
  <c r="F75" i="3"/>
  <c r="J75" i="3"/>
  <c r="N75" i="3"/>
  <c r="C70" i="3"/>
  <c r="G70" i="3"/>
  <c r="O70" i="3"/>
  <c r="D65" i="3"/>
  <c r="L65" i="3"/>
  <c r="P65" i="3"/>
  <c r="B59" i="3"/>
  <c r="F59" i="3"/>
  <c r="J59" i="3"/>
  <c r="N59" i="3"/>
  <c r="C54" i="3"/>
  <c r="G54" i="3"/>
  <c r="O54" i="3"/>
  <c r="D49" i="3"/>
  <c r="L49" i="3"/>
  <c r="P49" i="3"/>
  <c r="B43" i="3"/>
  <c r="F43" i="3"/>
  <c r="J43" i="3"/>
  <c r="N43" i="3"/>
  <c r="C38" i="3"/>
  <c r="G38" i="3"/>
  <c r="O38" i="3"/>
  <c r="D33" i="3"/>
  <c r="L33" i="3"/>
  <c r="P33" i="3"/>
  <c r="B27" i="3"/>
  <c r="F27" i="3"/>
  <c r="H27" i="3" s="1"/>
  <c r="J27" i="3"/>
  <c r="N27" i="3"/>
  <c r="C22" i="3"/>
  <c r="G22" i="3"/>
  <c r="H22" i="3" s="1"/>
  <c r="O22" i="3"/>
  <c r="D17" i="3"/>
  <c r="L17" i="3"/>
  <c r="P17" i="3"/>
  <c r="B11" i="3"/>
  <c r="F11" i="3"/>
  <c r="J11" i="3"/>
  <c r="N11" i="3"/>
  <c r="E61" i="5"/>
  <c r="E60" i="5"/>
  <c r="E43" i="5"/>
  <c r="F43" i="5" s="1"/>
  <c r="G43" i="5" s="1"/>
  <c r="E13" i="5"/>
  <c r="F13" i="5" s="1"/>
  <c r="G13" i="5" s="1"/>
  <c r="F188" i="7"/>
  <c r="J159" i="7"/>
  <c r="D143" i="7"/>
  <c r="H143" i="7"/>
  <c r="L143" i="7"/>
  <c r="C143" i="7"/>
  <c r="I143" i="7"/>
  <c r="N143" i="7"/>
  <c r="E143" i="7"/>
  <c r="J143" i="7"/>
  <c r="O143" i="7"/>
  <c r="B143" i="7"/>
  <c r="G143" i="7"/>
  <c r="M143" i="7"/>
  <c r="C138" i="7"/>
  <c r="G138" i="7"/>
  <c r="K138" i="7"/>
  <c r="O138" i="7"/>
  <c r="D138" i="7"/>
  <c r="I138" i="7"/>
  <c r="N138" i="7"/>
  <c r="E138" i="7"/>
  <c r="J138" i="7"/>
  <c r="B138" i="7"/>
  <c r="H138" i="7"/>
  <c r="M138" i="7"/>
  <c r="N186" i="3"/>
  <c r="J186" i="3"/>
  <c r="F186" i="3"/>
  <c r="H186" i="3" s="1"/>
  <c r="N182" i="3"/>
  <c r="J182" i="3"/>
  <c r="F182" i="3"/>
  <c r="H182" i="3" s="1"/>
  <c r="N178" i="3"/>
  <c r="J178" i="3"/>
  <c r="F178" i="3"/>
  <c r="N174" i="3"/>
  <c r="J174" i="3"/>
  <c r="F174" i="3"/>
  <c r="N170" i="3"/>
  <c r="J170" i="3"/>
  <c r="F170" i="3"/>
  <c r="H170" i="3" s="1"/>
  <c r="N166" i="3"/>
  <c r="J166" i="3"/>
  <c r="K166" i="3" s="1"/>
  <c r="F166" i="3"/>
  <c r="H166" i="3" s="1"/>
  <c r="N162" i="3"/>
  <c r="J162" i="3"/>
  <c r="F162" i="3"/>
  <c r="N158" i="3"/>
  <c r="J158" i="3"/>
  <c r="F158" i="3"/>
  <c r="N154" i="3"/>
  <c r="J154" i="3"/>
  <c r="F154" i="3"/>
  <c r="N150" i="3"/>
  <c r="J150" i="3"/>
  <c r="F150" i="3"/>
  <c r="N146" i="3"/>
  <c r="J146" i="3"/>
  <c r="F146" i="3"/>
  <c r="N142" i="3"/>
  <c r="J142" i="3"/>
  <c r="K142" i="3" s="1"/>
  <c r="F142" i="3"/>
  <c r="N138" i="3"/>
  <c r="J138" i="3"/>
  <c r="F138" i="3"/>
  <c r="N134" i="3"/>
  <c r="J134" i="3"/>
  <c r="F134" i="3"/>
  <c r="N130" i="3"/>
  <c r="J130" i="3"/>
  <c r="K130" i="3" s="1"/>
  <c r="F130" i="3"/>
  <c r="O129" i="3"/>
  <c r="G129" i="3"/>
  <c r="H129" i="3" s="1"/>
  <c r="N126" i="3"/>
  <c r="J126" i="3"/>
  <c r="F126" i="3"/>
  <c r="O125" i="3"/>
  <c r="G125" i="3"/>
  <c r="N122" i="3"/>
  <c r="J122" i="3"/>
  <c r="F122" i="3"/>
  <c r="O121" i="3"/>
  <c r="G121" i="3"/>
  <c r="D117" i="3"/>
  <c r="L117" i="3"/>
  <c r="P117" i="3"/>
  <c r="M115" i="3"/>
  <c r="C115" i="3"/>
  <c r="N114" i="3"/>
  <c r="I114" i="3"/>
  <c r="K114" i="3" s="1"/>
  <c r="D114" i="3"/>
  <c r="B111" i="3"/>
  <c r="F111" i="3"/>
  <c r="J111" i="3"/>
  <c r="K111" i="3" s="1"/>
  <c r="N111" i="3"/>
  <c r="M110" i="3"/>
  <c r="B110" i="3"/>
  <c r="N109" i="3"/>
  <c r="I109" i="3"/>
  <c r="C109" i="3"/>
  <c r="C106" i="3"/>
  <c r="E106" i="3" s="1"/>
  <c r="G106" i="3"/>
  <c r="O106" i="3"/>
  <c r="M105" i="3"/>
  <c r="G105" i="3"/>
  <c r="E105" i="5" s="1"/>
  <c r="B105" i="3"/>
  <c r="O103" i="3"/>
  <c r="I103" i="3"/>
  <c r="D103" i="3"/>
  <c r="D101" i="3"/>
  <c r="L101" i="3"/>
  <c r="P101" i="3"/>
  <c r="M99" i="3"/>
  <c r="C99" i="3"/>
  <c r="E99" i="3" s="1"/>
  <c r="N98" i="3"/>
  <c r="I98" i="3"/>
  <c r="D98" i="3"/>
  <c r="B95" i="3"/>
  <c r="F95" i="3"/>
  <c r="J95" i="3"/>
  <c r="N95" i="3"/>
  <c r="M94" i="3"/>
  <c r="B94" i="3"/>
  <c r="N93" i="3"/>
  <c r="I93" i="3"/>
  <c r="C93" i="3"/>
  <c r="P91" i="3"/>
  <c r="C90" i="3"/>
  <c r="G90" i="3"/>
  <c r="O90" i="3"/>
  <c r="M89" i="3"/>
  <c r="G89" i="3"/>
  <c r="E89" i="5" s="1"/>
  <c r="B89" i="3"/>
  <c r="O87" i="3"/>
  <c r="I87" i="3"/>
  <c r="D87" i="3"/>
  <c r="E87" i="3" s="1"/>
  <c r="P86" i="3"/>
  <c r="J86" i="3"/>
  <c r="D85" i="3"/>
  <c r="L85" i="3"/>
  <c r="P85" i="3"/>
  <c r="M83" i="3"/>
  <c r="C83" i="3"/>
  <c r="E83" i="3" s="1"/>
  <c r="N82" i="3"/>
  <c r="I82" i="3"/>
  <c r="D82" i="3"/>
  <c r="O81" i="3"/>
  <c r="J81" i="3"/>
  <c r="B79" i="3"/>
  <c r="F79" i="3"/>
  <c r="J79" i="3"/>
  <c r="N79" i="3"/>
  <c r="M78" i="3"/>
  <c r="B78" i="3"/>
  <c r="N77" i="3"/>
  <c r="I77" i="3"/>
  <c r="C77" i="3"/>
  <c r="P75" i="3"/>
  <c r="C74" i="3"/>
  <c r="G74" i="3"/>
  <c r="O74" i="3"/>
  <c r="M73" i="3"/>
  <c r="G73" i="3"/>
  <c r="E73" i="5" s="1"/>
  <c r="B73" i="3"/>
  <c r="O71" i="3"/>
  <c r="I71" i="3"/>
  <c r="D71" i="3"/>
  <c r="P70" i="3"/>
  <c r="J70" i="3"/>
  <c r="D69" i="3"/>
  <c r="L69" i="3"/>
  <c r="P69" i="3"/>
  <c r="M67" i="3"/>
  <c r="C67" i="3"/>
  <c r="N66" i="3"/>
  <c r="I66" i="3"/>
  <c r="D66" i="3"/>
  <c r="O65" i="3"/>
  <c r="J65" i="3"/>
  <c r="B63" i="3"/>
  <c r="F63" i="3"/>
  <c r="J63" i="3"/>
  <c r="K63" i="3" s="1"/>
  <c r="N63" i="3"/>
  <c r="M62" i="3"/>
  <c r="B62" i="3"/>
  <c r="N61" i="3"/>
  <c r="I61" i="3"/>
  <c r="C61" i="3"/>
  <c r="P59" i="3"/>
  <c r="C58" i="3"/>
  <c r="G58" i="3"/>
  <c r="O58" i="3"/>
  <c r="M57" i="3"/>
  <c r="G57" i="3"/>
  <c r="B57" i="3"/>
  <c r="O55" i="3"/>
  <c r="I55" i="3"/>
  <c r="D55" i="3"/>
  <c r="P54" i="3"/>
  <c r="J54" i="3"/>
  <c r="D53" i="3"/>
  <c r="L53" i="3"/>
  <c r="P53" i="3"/>
  <c r="M51" i="3"/>
  <c r="C51" i="3"/>
  <c r="N50" i="3"/>
  <c r="I50" i="3"/>
  <c r="D50" i="3"/>
  <c r="O49" i="3"/>
  <c r="J49" i="3"/>
  <c r="B47" i="3"/>
  <c r="F47" i="3"/>
  <c r="H47" i="3" s="1"/>
  <c r="J47" i="3"/>
  <c r="N47" i="3"/>
  <c r="M46" i="3"/>
  <c r="B46" i="3"/>
  <c r="N45" i="3"/>
  <c r="I45" i="3"/>
  <c r="C45" i="3"/>
  <c r="P43" i="3"/>
  <c r="C42" i="3"/>
  <c r="E42" i="3" s="1"/>
  <c r="G42" i="3"/>
  <c r="O42" i="3"/>
  <c r="M41" i="3"/>
  <c r="G41" i="3"/>
  <c r="B41" i="3"/>
  <c r="O39" i="3"/>
  <c r="I39" i="3"/>
  <c r="D39" i="3"/>
  <c r="P38" i="3"/>
  <c r="J38" i="3"/>
  <c r="D37" i="3"/>
  <c r="E37" i="3" s="1"/>
  <c r="L37" i="3"/>
  <c r="P37" i="3"/>
  <c r="M35" i="3"/>
  <c r="C35" i="3"/>
  <c r="E35" i="3" s="1"/>
  <c r="N34" i="3"/>
  <c r="I34" i="3"/>
  <c r="D34" i="3"/>
  <c r="O33" i="3"/>
  <c r="J33" i="3"/>
  <c r="B31" i="3"/>
  <c r="F31" i="3"/>
  <c r="J31" i="3"/>
  <c r="N31" i="3"/>
  <c r="M30" i="3"/>
  <c r="B30" i="3"/>
  <c r="N29" i="3"/>
  <c r="I29" i="3"/>
  <c r="C29" i="3"/>
  <c r="P27" i="3"/>
  <c r="C26" i="3"/>
  <c r="G26" i="3"/>
  <c r="O26" i="3"/>
  <c r="M25" i="3"/>
  <c r="G25" i="3"/>
  <c r="B25" i="3"/>
  <c r="O23" i="3"/>
  <c r="I23" i="3"/>
  <c r="D23" i="3"/>
  <c r="E23" i="3" s="1"/>
  <c r="P22" i="3"/>
  <c r="J22" i="3"/>
  <c r="D21" i="3"/>
  <c r="L21" i="3"/>
  <c r="P21" i="3"/>
  <c r="M19" i="3"/>
  <c r="C19" i="3"/>
  <c r="E19" i="3" s="1"/>
  <c r="N18" i="3"/>
  <c r="I18" i="3"/>
  <c r="D18" i="3"/>
  <c r="O17" i="3"/>
  <c r="J17" i="3"/>
  <c r="B15" i="3"/>
  <c r="F15" i="3"/>
  <c r="J15" i="3"/>
  <c r="N15" i="3"/>
  <c r="M14" i="3"/>
  <c r="B14" i="3"/>
  <c r="N13" i="3"/>
  <c r="I13" i="3"/>
  <c r="C13" i="3"/>
  <c r="P11" i="3"/>
  <c r="C10" i="3"/>
  <c r="G10" i="3"/>
  <c r="O10" i="3"/>
  <c r="M9" i="3"/>
  <c r="G9" i="3"/>
  <c r="B9" i="3"/>
  <c r="O7" i="3"/>
  <c r="I7" i="3"/>
  <c r="D7" i="3"/>
  <c r="E7" i="3" s="1"/>
  <c r="D166" i="5"/>
  <c r="H166" i="5"/>
  <c r="J166" i="5" s="1"/>
  <c r="D165" i="5"/>
  <c r="H165" i="5"/>
  <c r="J165" i="5" s="1"/>
  <c r="L165" i="5"/>
  <c r="D164" i="5"/>
  <c r="H164" i="5"/>
  <c r="J164" i="5" s="1"/>
  <c r="D163" i="5"/>
  <c r="H163" i="5"/>
  <c r="J163" i="5" s="1"/>
  <c r="D162" i="5"/>
  <c r="H162" i="5"/>
  <c r="D161" i="5"/>
  <c r="H161" i="5"/>
  <c r="D160" i="5"/>
  <c r="H160" i="5"/>
  <c r="D159" i="5"/>
  <c r="H159" i="5"/>
  <c r="J159" i="5" s="1"/>
  <c r="D158" i="5"/>
  <c r="H158" i="5"/>
  <c r="J158" i="5" s="1"/>
  <c r="D157" i="5"/>
  <c r="H157" i="5"/>
  <c r="D156" i="5"/>
  <c r="H156" i="5"/>
  <c r="D155" i="5"/>
  <c r="H155" i="5"/>
  <c r="J155" i="5" s="1"/>
  <c r="D154" i="5"/>
  <c r="H154" i="5"/>
  <c r="J154" i="5" s="1"/>
  <c r="D153" i="5"/>
  <c r="H153" i="5"/>
  <c r="J153" i="5" s="1"/>
  <c r="D152" i="5"/>
  <c r="H152" i="5"/>
  <c r="D151" i="5"/>
  <c r="H151" i="5"/>
  <c r="J151" i="5" s="1"/>
  <c r="D150" i="5"/>
  <c r="H150" i="5"/>
  <c r="D149" i="5"/>
  <c r="H149" i="5"/>
  <c r="J149" i="5" s="1"/>
  <c r="D148" i="5"/>
  <c r="H148" i="5"/>
  <c r="J148" i="5" s="1"/>
  <c r="D147" i="5"/>
  <c r="H147" i="5"/>
  <c r="J147" i="5" s="1"/>
  <c r="D146" i="5"/>
  <c r="H146" i="5"/>
  <c r="D145" i="5"/>
  <c r="H145" i="5"/>
  <c r="J145" i="5" s="1"/>
  <c r="D144" i="5"/>
  <c r="H144" i="5"/>
  <c r="D143" i="5"/>
  <c r="H143" i="5"/>
  <c r="J143" i="5" s="1"/>
  <c r="D142" i="5"/>
  <c r="H142" i="5"/>
  <c r="D141" i="5"/>
  <c r="H141" i="5"/>
  <c r="J141" i="5" s="1"/>
  <c r="D140" i="5"/>
  <c r="H140" i="5"/>
  <c r="D139" i="5"/>
  <c r="H139" i="5"/>
  <c r="J139" i="5" s="1"/>
  <c r="D138" i="5"/>
  <c r="H138" i="5"/>
  <c r="D137" i="5"/>
  <c r="H137" i="5"/>
  <c r="J137" i="5" s="1"/>
  <c r="D136" i="5"/>
  <c r="H136" i="5"/>
  <c r="D135" i="5"/>
  <c r="H135" i="5"/>
  <c r="J135" i="5" s="1"/>
  <c r="D134" i="5"/>
  <c r="H134" i="5"/>
  <c r="D133" i="5"/>
  <c r="H133" i="5"/>
  <c r="J133" i="5" s="1"/>
  <c r="D132" i="5"/>
  <c r="H132" i="5"/>
  <c r="D131" i="5"/>
  <c r="H131" i="5"/>
  <c r="J131" i="5" s="1"/>
  <c r="D130" i="5"/>
  <c r="H130" i="5"/>
  <c r="J130" i="5" s="1"/>
  <c r="D129" i="5"/>
  <c r="H129" i="5"/>
  <c r="D128" i="5"/>
  <c r="H128" i="5"/>
  <c r="D127" i="5"/>
  <c r="H127" i="5"/>
  <c r="J127" i="5" s="1"/>
  <c r="D126" i="5"/>
  <c r="H126" i="5"/>
  <c r="D125" i="5"/>
  <c r="H125" i="5"/>
  <c r="J125" i="5" s="1"/>
  <c r="D124" i="5"/>
  <c r="H124" i="5"/>
  <c r="D123" i="5"/>
  <c r="H123" i="5"/>
  <c r="J123" i="5" s="1"/>
  <c r="D122" i="5"/>
  <c r="H122" i="5"/>
  <c r="J122" i="5" s="1"/>
  <c r="D121" i="5"/>
  <c r="H121" i="5"/>
  <c r="D120" i="5"/>
  <c r="H120" i="5"/>
  <c r="D119" i="5"/>
  <c r="H119" i="5"/>
  <c r="J119" i="5" s="1"/>
  <c r="D118" i="5"/>
  <c r="H118" i="5"/>
  <c r="D117" i="5"/>
  <c r="H117" i="5"/>
  <c r="D116" i="5"/>
  <c r="H116" i="5"/>
  <c r="D115" i="5"/>
  <c r="H115" i="5"/>
  <c r="J115" i="5" s="1"/>
  <c r="D114" i="5"/>
  <c r="H114" i="5"/>
  <c r="J114" i="5" s="1"/>
  <c r="D113" i="5"/>
  <c r="H113" i="5"/>
  <c r="J113" i="5" s="1"/>
  <c r="D112" i="5"/>
  <c r="H112" i="5"/>
  <c r="D111" i="5"/>
  <c r="H111" i="5"/>
  <c r="J111" i="5" s="1"/>
  <c r="D110" i="5"/>
  <c r="H110" i="5"/>
  <c r="D109" i="5"/>
  <c r="H109" i="5"/>
  <c r="J109" i="5" s="1"/>
  <c r="D108" i="5"/>
  <c r="H108" i="5"/>
  <c r="J108" i="5" s="1"/>
  <c r="D107" i="5"/>
  <c r="H107" i="5"/>
  <c r="J107" i="5" s="1"/>
  <c r="D106" i="5"/>
  <c r="H106" i="5"/>
  <c r="D105" i="5"/>
  <c r="H105" i="5"/>
  <c r="J105" i="5" s="1"/>
  <c r="D104" i="5"/>
  <c r="H104" i="5"/>
  <c r="J104" i="5" s="1"/>
  <c r="D103" i="5"/>
  <c r="H103" i="5"/>
  <c r="J103" i="5" s="1"/>
  <c r="D102" i="5"/>
  <c r="H102" i="5"/>
  <c r="D101" i="5"/>
  <c r="H101" i="5"/>
  <c r="J101" i="5" s="1"/>
  <c r="D100" i="5"/>
  <c r="H100" i="5"/>
  <c r="J100" i="5" s="1"/>
  <c r="D99" i="5"/>
  <c r="H99" i="5"/>
  <c r="J99" i="5" s="1"/>
  <c r="D98" i="5"/>
  <c r="H98" i="5"/>
  <c r="D97" i="5"/>
  <c r="H97" i="5"/>
  <c r="J97" i="5" s="1"/>
  <c r="D96" i="5"/>
  <c r="H96" i="5"/>
  <c r="J96" i="5" s="1"/>
  <c r="D95" i="5"/>
  <c r="H95" i="5"/>
  <c r="J95" i="5" s="1"/>
  <c r="D94" i="5"/>
  <c r="H94" i="5"/>
  <c r="D93" i="5"/>
  <c r="H93" i="5"/>
  <c r="J93" i="5" s="1"/>
  <c r="D92" i="5"/>
  <c r="H92" i="5"/>
  <c r="J92" i="5" s="1"/>
  <c r="D91" i="5"/>
  <c r="H91" i="5"/>
  <c r="J91" i="5" s="1"/>
  <c r="L91" i="5"/>
  <c r="M91" i="5" s="1"/>
  <c r="D90" i="5"/>
  <c r="H90" i="5"/>
  <c r="D89" i="5"/>
  <c r="H89" i="5"/>
  <c r="J89" i="5" s="1"/>
  <c r="D88" i="5"/>
  <c r="H88" i="5"/>
  <c r="J88" i="5" s="1"/>
  <c r="L88" i="5"/>
  <c r="D87" i="5"/>
  <c r="H87" i="5"/>
  <c r="J87" i="5" s="1"/>
  <c r="D86" i="5"/>
  <c r="H86" i="5"/>
  <c r="D85" i="5"/>
  <c r="H85" i="5"/>
  <c r="J85" i="5" s="1"/>
  <c r="D84" i="5"/>
  <c r="H84" i="5"/>
  <c r="J84" i="5" s="1"/>
  <c r="L84" i="5"/>
  <c r="D83" i="5"/>
  <c r="H83" i="5"/>
  <c r="J83" i="5" s="1"/>
  <c r="D82" i="5"/>
  <c r="H82" i="5"/>
  <c r="D81" i="5"/>
  <c r="H81" i="5"/>
  <c r="J81" i="5" s="1"/>
  <c r="D80" i="5"/>
  <c r="H80" i="5"/>
  <c r="J80" i="5" s="1"/>
  <c r="L80" i="5"/>
  <c r="D79" i="5"/>
  <c r="H79" i="5"/>
  <c r="J79" i="5" s="1"/>
  <c r="D78" i="5"/>
  <c r="H78" i="5"/>
  <c r="D77" i="5"/>
  <c r="H77" i="5"/>
  <c r="J77" i="5" s="1"/>
  <c r="D76" i="5"/>
  <c r="H76" i="5"/>
  <c r="J76" i="5" s="1"/>
  <c r="D75" i="5"/>
  <c r="H75" i="5"/>
  <c r="J75" i="5" s="1"/>
  <c r="D74" i="5"/>
  <c r="H74" i="5"/>
  <c r="D73" i="5"/>
  <c r="H73" i="5"/>
  <c r="J73" i="5" s="1"/>
  <c r="D72" i="5"/>
  <c r="H72" i="5"/>
  <c r="J72" i="5" s="1"/>
  <c r="D71" i="5"/>
  <c r="H71" i="5"/>
  <c r="J71" i="5" s="1"/>
  <c r="D70" i="5"/>
  <c r="H70" i="5"/>
  <c r="D69" i="5"/>
  <c r="H69" i="5"/>
  <c r="J69" i="5" s="1"/>
  <c r="D68" i="5"/>
  <c r="H68" i="5"/>
  <c r="J68" i="5" s="1"/>
  <c r="D67" i="5"/>
  <c r="H67" i="5"/>
  <c r="J67" i="5" s="1"/>
  <c r="D66" i="5"/>
  <c r="H66" i="5"/>
  <c r="D65" i="5"/>
  <c r="H65" i="5"/>
  <c r="J65" i="5" s="1"/>
  <c r="D64" i="5"/>
  <c r="H64" i="5"/>
  <c r="J64" i="5" s="1"/>
  <c r="D63" i="5"/>
  <c r="H63" i="5"/>
  <c r="J63" i="5" s="1"/>
  <c r="K62" i="5"/>
  <c r="C62" i="5"/>
  <c r="N61" i="5"/>
  <c r="P61" i="5" s="1"/>
  <c r="I61" i="5"/>
  <c r="C61" i="5"/>
  <c r="N60" i="5"/>
  <c r="P60" i="5" s="1"/>
  <c r="I60" i="5"/>
  <c r="C60" i="5"/>
  <c r="N59" i="5"/>
  <c r="P59" i="5" s="1"/>
  <c r="I59" i="5"/>
  <c r="C59" i="5"/>
  <c r="N58" i="5"/>
  <c r="P58" i="5" s="1"/>
  <c r="I58" i="5"/>
  <c r="C58" i="5"/>
  <c r="N57" i="5"/>
  <c r="P57" i="5" s="1"/>
  <c r="I57" i="5"/>
  <c r="C57" i="5"/>
  <c r="N56" i="5"/>
  <c r="P56" i="5" s="1"/>
  <c r="I56" i="5"/>
  <c r="C56" i="5"/>
  <c r="N55" i="5"/>
  <c r="P55" i="5" s="1"/>
  <c r="I55" i="5"/>
  <c r="C55" i="5"/>
  <c r="N54" i="5"/>
  <c r="P54" i="5" s="1"/>
  <c r="I54" i="5"/>
  <c r="C54" i="5"/>
  <c r="N53" i="5"/>
  <c r="I53" i="5"/>
  <c r="C53" i="5"/>
  <c r="N52" i="5"/>
  <c r="P52" i="5" s="1"/>
  <c r="I52" i="5"/>
  <c r="C52" i="5"/>
  <c r="N51" i="5"/>
  <c r="P51" i="5" s="1"/>
  <c r="I51" i="5"/>
  <c r="C51" i="5"/>
  <c r="N50" i="5"/>
  <c r="P50" i="5" s="1"/>
  <c r="I50" i="5"/>
  <c r="C50" i="5"/>
  <c r="C182" i="7"/>
  <c r="G182" i="7"/>
  <c r="K182" i="7"/>
  <c r="O182" i="7"/>
  <c r="D182" i="7"/>
  <c r="H182" i="7"/>
  <c r="L182" i="7"/>
  <c r="B182" i="7"/>
  <c r="F182" i="7"/>
  <c r="J182" i="7"/>
  <c r="N182" i="7"/>
  <c r="C166" i="7"/>
  <c r="G166" i="7"/>
  <c r="K166" i="7"/>
  <c r="O166" i="7"/>
  <c r="D166" i="7"/>
  <c r="H166" i="7"/>
  <c r="L166" i="7"/>
  <c r="B166" i="7"/>
  <c r="F166" i="7"/>
  <c r="J166" i="7"/>
  <c r="N166" i="7"/>
  <c r="F159" i="7"/>
  <c r="B149" i="7"/>
  <c r="F149" i="7"/>
  <c r="J149" i="7"/>
  <c r="N149" i="7"/>
  <c r="D149" i="7"/>
  <c r="I149" i="7"/>
  <c r="O149" i="7"/>
  <c r="E149" i="7"/>
  <c r="K149" i="7"/>
  <c r="C149" i="7"/>
  <c r="H149" i="7"/>
  <c r="M149" i="7"/>
  <c r="L184" i="7"/>
  <c r="H184" i="7"/>
  <c r="D184" i="7"/>
  <c r="L180" i="7"/>
  <c r="H180" i="7"/>
  <c r="D180" i="7"/>
  <c r="H176" i="7"/>
  <c r="L172" i="7"/>
  <c r="H172" i="7"/>
  <c r="D172" i="7"/>
  <c r="L164" i="7"/>
  <c r="H164" i="7"/>
  <c r="D164" i="7"/>
  <c r="L160" i="7"/>
  <c r="D160" i="7"/>
  <c r="O158" i="7"/>
  <c r="K157" i="7"/>
  <c r="E157" i="7"/>
  <c r="O151" i="7"/>
  <c r="J151" i="7"/>
  <c r="E151" i="7"/>
  <c r="O135" i="7"/>
  <c r="J135" i="7"/>
  <c r="E135" i="7"/>
  <c r="L131" i="7"/>
  <c r="O119" i="7"/>
  <c r="J119" i="7"/>
  <c r="E119" i="7"/>
  <c r="J114" i="7"/>
  <c r="E114" i="7"/>
  <c r="M111" i="7"/>
  <c r="G111" i="7"/>
  <c r="K109" i="7"/>
  <c r="E109" i="7"/>
  <c r="M106" i="7"/>
  <c r="B105" i="7"/>
  <c r="F105" i="7"/>
  <c r="J105" i="7"/>
  <c r="N105" i="7"/>
  <c r="O103" i="7"/>
  <c r="J103" i="7"/>
  <c r="E103" i="7"/>
  <c r="M101" i="7"/>
  <c r="H101" i="7"/>
  <c r="D99" i="7"/>
  <c r="H99" i="7"/>
  <c r="M95" i="7"/>
  <c r="G95" i="7"/>
  <c r="C94" i="7"/>
  <c r="G94" i="7"/>
  <c r="K94" i="7"/>
  <c r="O94" i="7"/>
  <c r="K93" i="7"/>
  <c r="E93" i="7"/>
  <c r="H90" i="7"/>
  <c r="D83" i="7"/>
  <c r="H83" i="7"/>
  <c r="L83" i="7"/>
  <c r="M79" i="7"/>
  <c r="G79" i="7"/>
  <c r="K77" i="7"/>
  <c r="E77" i="7"/>
  <c r="M74" i="7"/>
  <c r="H74" i="7"/>
  <c r="O71" i="7"/>
  <c r="J71" i="7"/>
  <c r="E71" i="7"/>
  <c r="D67" i="7"/>
  <c r="H67" i="7"/>
  <c r="L67" i="7"/>
  <c r="M63" i="7"/>
  <c r="G63" i="7"/>
  <c r="G62" i="7"/>
  <c r="M58" i="7"/>
  <c r="H58" i="7"/>
  <c r="B57" i="7"/>
  <c r="F57" i="7"/>
  <c r="J57" i="7"/>
  <c r="N57" i="7"/>
  <c r="J50" i="7"/>
  <c r="E50" i="7"/>
  <c r="C46" i="7"/>
  <c r="G46" i="7"/>
  <c r="K46" i="7"/>
  <c r="O46" i="7"/>
  <c r="K45" i="7"/>
  <c r="E45" i="7"/>
  <c r="M42" i="7"/>
  <c r="H42" i="7"/>
  <c r="B41" i="7"/>
  <c r="F41" i="7"/>
  <c r="J41" i="7"/>
  <c r="N41" i="7"/>
  <c r="M37" i="7"/>
  <c r="H37" i="7"/>
  <c r="H35" i="7"/>
  <c r="M31" i="7"/>
  <c r="G31" i="7"/>
  <c r="C30" i="7"/>
  <c r="G30" i="7"/>
  <c r="K30" i="7"/>
  <c r="O30" i="7"/>
  <c r="K29" i="7"/>
  <c r="E29" i="7"/>
  <c r="M26" i="7"/>
  <c r="H26" i="7"/>
  <c r="B25" i="7"/>
  <c r="J25" i="7"/>
  <c r="O23" i="7"/>
  <c r="G23" i="7"/>
  <c r="K19" i="7"/>
  <c r="M182" i="6"/>
  <c r="M174" i="6"/>
  <c r="M166" i="6"/>
  <c r="M158" i="6"/>
  <c r="M150" i="6"/>
  <c r="C145" i="6"/>
  <c r="G145" i="6"/>
  <c r="K145" i="6"/>
  <c r="B145" i="6"/>
  <c r="H145" i="6"/>
  <c r="M145" i="6"/>
  <c r="D145" i="6"/>
  <c r="I145" i="6"/>
  <c r="Q145" i="12" s="1"/>
  <c r="N145" i="6"/>
  <c r="E145" i="6"/>
  <c r="J145" i="6"/>
  <c r="O145" i="6"/>
  <c r="D118" i="6"/>
  <c r="H118" i="6"/>
  <c r="L118" i="12" s="1"/>
  <c r="L118" i="6"/>
  <c r="O118" i="12" s="1"/>
  <c r="B118" i="6"/>
  <c r="G118" i="6"/>
  <c r="M118" i="6"/>
  <c r="C118" i="6"/>
  <c r="L118" i="5" s="1"/>
  <c r="I118" i="6"/>
  <c r="Q118" i="12" s="1"/>
  <c r="N118" i="6"/>
  <c r="E118" i="6"/>
  <c r="J118" i="6"/>
  <c r="O118" i="6"/>
  <c r="C113" i="6"/>
  <c r="G113" i="6"/>
  <c r="K113" i="6"/>
  <c r="R113" i="12" s="1"/>
  <c r="O113" i="6"/>
  <c r="B113" i="6"/>
  <c r="H113" i="6"/>
  <c r="M113" i="6"/>
  <c r="D113" i="6"/>
  <c r="I113" i="6"/>
  <c r="N113" i="6"/>
  <c r="E113" i="6"/>
  <c r="J113" i="6"/>
  <c r="H127" i="7"/>
  <c r="K122" i="7"/>
  <c r="D111" i="7"/>
  <c r="H111" i="7"/>
  <c r="L111" i="7"/>
  <c r="B101" i="7"/>
  <c r="F101" i="7"/>
  <c r="J101" i="7"/>
  <c r="N101" i="7"/>
  <c r="D95" i="7"/>
  <c r="H95" i="7"/>
  <c r="L95" i="7"/>
  <c r="C90" i="7"/>
  <c r="D79" i="7"/>
  <c r="H79" i="7"/>
  <c r="L79" i="7"/>
  <c r="C74" i="7"/>
  <c r="G74" i="7"/>
  <c r="K74" i="7"/>
  <c r="O74" i="7"/>
  <c r="D63" i="7"/>
  <c r="H63" i="7"/>
  <c r="L63" i="7"/>
  <c r="C58" i="7"/>
  <c r="G58" i="7"/>
  <c r="K58" i="7"/>
  <c r="O58" i="7"/>
  <c r="F53" i="7"/>
  <c r="N53" i="7"/>
  <c r="C42" i="7"/>
  <c r="G42" i="7"/>
  <c r="K42" i="7"/>
  <c r="O42" i="7"/>
  <c r="B37" i="7"/>
  <c r="F37" i="7"/>
  <c r="J37" i="7"/>
  <c r="N37" i="7"/>
  <c r="D31" i="7"/>
  <c r="H31" i="7"/>
  <c r="L31" i="7"/>
  <c r="O29" i="7"/>
  <c r="I29" i="7"/>
  <c r="D29" i="7"/>
  <c r="O26" i="7"/>
  <c r="M23" i="7"/>
  <c r="E23" i="7"/>
  <c r="D19" i="7"/>
  <c r="H19" i="7"/>
  <c r="L19" i="7"/>
  <c r="B19" i="7"/>
  <c r="F19" i="7"/>
  <c r="J19" i="7"/>
  <c r="N19" i="7"/>
  <c r="M15" i="7"/>
  <c r="B186" i="6"/>
  <c r="F186" i="6"/>
  <c r="J186" i="6"/>
  <c r="N186" i="6"/>
  <c r="C186" i="6"/>
  <c r="G186" i="6"/>
  <c r="K186" i="6"/>
  <c r="O186" i="6"/>
  <c r="D186" i="6"/>
  <c r="H186" i="6"/>
  <c r="L186" i="12" s="1"/>
  <c r="L186" i="6"/>
  <c r="O186" i="12" s="1"/>
  <c r="I182" i="6"/>
  <c r="M182" i="12" s="1"/>
  <c r="B178" i="6"/>
  <c r="F178" i="6"/>
  <c r="J178" i="6"/>
  <c r="N178" i="6"/>
  <c r="C178" i="6"/>
  <c r="G178" i="6"/>
  <c r="K178" i="6"/>
  <c r="O178" i="6"/>
  <c r="D178" i="6"/>
  <c r="H178" i="6"/>
  <c r="L178" i="12" s="1"/>
  <c r="L178" i="6"/>
  <c r="O178" i="12" s="1"/>
  <c r="I174" i="6"/>
  <c r="M174" i="12" s="1"/>
  <c r="Q170" i="12"/>
  <c r="B170" i="6"/>
  <c r="F170" i="6"/>
  <c r="J170" i="6"/>
  <c r="N170" i="6"/>
  <c r="C170" i="6"/>
  <c r="G170" i="6"/>
  <c r="K170" i="6"/>
  <c r="O170" i="6"/>
  <c r="D170" i="6"/>
  <c r="H170" i="6"/>
  <c r="L170" i="6"/>
  <c r="I166" i="6"/>
  <c r="Q166" i="12" s="1"/>
  <c r="Q162" i="12"/>
  <c r="B162" i="6"/>
  <c r="F162" i="6"/>
  <c r="J162" i="6"/>
  <c r="N162" i="6"/>
  <c r="C162" i="6"/>
  <c r="G162" i="6"/>
  <c r="K162" i="6"/>
  <c r="R162" i="12" s="1"/>
  <c r="O162" i="6"/>
  <c r="D162" i="6"/>
  <c r="H162" i="6"/>
  <c r="P162" i="12" s="1"/>
  <c r="L162" i="6"/>
  <c r="I158" i="6"/>
  <c r="Q158" i="12" s="1"/>
  <c r="B154" i="6"/>
  <c r="F154" i="6"/>
  <c r="J154" i="6"/>
  <c r="N154" i="6"/>
  <c r="C154" i="6"/>
  <c r="G154" i="6"/>
  <c r="K154" i="6"/>
  <c r="S154" i="12" s="1"/>
  <c r="O154" i="6"/>
  <c r="D154" i="6"/>
  <c r="H154" i="6"/>
  <c r="L154" i="6"/>
  <c r="I150" i="6"/>
  <c r="Q150" i="12" s="1"/>
  <c r="B146" i="6"/>
  <c r="F146" i="6"/>
  <c r="J146" i="6"/>
  <c r="N146" i="6"/>
  <c r="C146" i="6"/>
  <c r="G146" i="6"/>
  <c r="K146" i="6"/>
  <c r="O146" i="6"/>
  <c r="D146" i="6"/>
  <c r="H146" i="6"/>
  <c r="L146" i="12" s="1"/>
  <c r="L146" i="6"/>
  <c r="O146" i="12" s="1"/>
  <c r="L140" i="6"/>
  <c r="O140" i="12" s="1"/>
  <c r="B124" i="6"/>
  <c r="F124" i="6"/>
  <c r="J124" i="6"/>
  <c r="N124" i="6"/>
  <c r="C124" i="6"/>
  <c r="H124" i="6"/>
  <c r="L124" i="12" s="1"/>
  <c r="M124" i="6"/>
  <c r="D124" i="6"/>
  <c r="I124" i="6"/>
  <c r="O124" i="6"/>
  <c r="E124" i="6"/>
  <c r="K124" i="6"/>
  <c r="H49" i="5"/>
  <c r="H48" i="5"/>
  <c r="H47" i="5"/>
  <c r="H46" i="5"/>
  <c r="H45" i="5"/>
  <c r="H44" i="5"/>
  <c r="H43" i="5"/>
  <c r="H42" i="5"/>
  <c r="H41" i="5"/>
  <c r="J41" i="5" s="1"/>
  <c r="H40" i="5"/>
  <c r="H39" i="5"/>
  <c r="H38" i="5"/>
  <c r="H37" i="5"/>
  <c r="H36" i="5"/>
  <c r="H35" i="5"/>
  <c r="L34" i="5"/>
  <c r="H34" i="5"/>
  <c r="H33" i="5"/>
  <c r="H32" i="5"/>
  <c r="J32" i="5" s="1"/>
  <c r="H31" i="5"/>
  <c r="H30" i="5"/>
  <c r="L29" i="5"/>
  <c r="H29" i="5"/>
  <c r="H28" i="5"/>
  <c r="J28" i="5" s="1"/>
  <c r="H27" i="5"/>
  <c r="H26" i="5"/>
  <c r="H25" i="5"/>
  <c r="H24" i="5"/>
  <c r="H23" i="5"/>
  <c r="H22" i="5"/>
  <c r="H21" i="5"/>
  <c r="J21" i="5" s="1"/>
  <c r="H20" i="5"/>
  <c r="H19" i="5"/>
  <c r="H18" i="5"/>
  <c r="H17" i="5"/>
  <c r="L16" i="5"/>
  <c r="H16" i="5"/>
  <c r="H15" i="5"/>
  <c r="H14" i="5"/>
  <c r="H13" i="5"/>
  <c r="H12" i="5"/>
  <c r="J12" i="5" s="1"/>
  <c r="H11" i="5"/>
  <c r="H10" i="5"/>
  <c r="H9" i="5"/>
  <c r="L8" i="5"/>
  <c r="H8" i="5"/>
  <c r="H7" i="5"/>
  <c r="O189" i="7"/>
  <c r="K189" i="7"/>
  <c r="J189" i="12" s="1"/>
  <c r="G189" i="7"/>
  <c r="O185" i="7"/>
  <c r="K185" i="7"/>
  <c r="G185" i="7"/>
  <c r="N184" i="7"/>
  <c r="J184" i="7"/>
  <c r="F184" i="7"/>
  <c r="N180" i="7"/>
  <c r="J180" i="7"/>
  <c r="F180" i="7"/>
  <c r="O177" i="7"/>
  <c r="K177" i="7"/>
  <c r="G177" i="7"/>
  <c r="O173" i="7"/>
  <c r="K173" i="7"/>
  <c r="G173" i="7"/>
  <c r="N172" i="7"/>
  <c r="J172" i="7"/>
  <c r="F172" i="7"/>
  <c r="N164" i="7"/>
  <c r="J164" i="7"/>
  <c r="F164" i="7"/>
  <c r="K161" i="7"/>
  <c r="G161" i="7"/>
  <c r="M157" i="7"/>
  <c r="H157" i="7"/>
  <c r="M151" i="7"/>
  <c r="G151" i="7"/>
  <c r="B145" i="7"/>
  <c r="F145" i="7"/>
  <c r="J145" i="7"/>
  <c r="N145" i="7"/>
  <c r="H141" i="7"/>
  <c r="M135" i="7"/>
  <c r="G135" i="7"/>
  <c r="N131" i="7"/>
  <c r="E127" i="7"/>
  <c r="M119" i="7"/>
  <c r="G119" i="7"/>
  <c r="M114" i="7"/>
  <c r="H114" i="7"/>
  <c r="B113" i="7"/>
  <c r="F113" i="7"/>
  <c r="J113" i="7"/>
  <c r="N113" i="7"/>
  <c r="O111" i="7"/>
  <c r="J111" i="7"/>
  <c r="E111" i="7"/>
  <c r="M109" i="7"/>
  <c r="H109" i="7"/>
  <c r="D107" i="7"/>
  <c r="H107" i="7"/>
  <c r="L107" i="7"/>
  <c r="J106" i="7"/>
  <c r="O105" i="7"/>
  <c r="I105" i="7"/>
  <c r="D105" i="7"/>
  <c r="M103" i="7"/>
  <c r="G103" i="7"/>
  <c r="K101" i="7"/>
  <c r="E101" i="7"/>
  <c r="I99" i="7"/>
  <c r="M98" i="7"/>
  <c r="B97" i="7"/>
  <c r="F97" i="7"/>
  <c r="J97" i="7"/>
  <c r="N97" i="7"/>
  <c r="O95" i="7"/>
  <c r="J95" i="7"/>
  <c r="E95" i="7"/>
  <c r="N94" i="7"/>
  <c r="I94" i="7"/>
  <c r="D94" i="7"/>
  <c r="M93" i="7"/>
  <c r="H93" i="7"/>
  <c r="H91" i="7"/>
  <c r="C86" i="7"/>
  <c r="G86" i="7"/>
  <c r="K86" i="7"/>
  <c r="O86" i="7"/>
  <c r="N83" i="7"/>
  <c r="I83" i="7"/>
  <c r="C83" i="7"/>
  <c r="M82" i="7"/>
  <c r="H82" i="7"/>
  <c r="B81" i="7"/>
  <c r="F81" i="7"/>
  <c r="J81" i="7"/>
  <c r="N81" i="7"/>
  <c r="O79" i="7"/>
  <c r="J79" i="7"/>
  <c r="E79" i="7"/>
  <c r="M77" i="7"/>
  <c r="H77" i="7"/>
  <c r="J74" i="7"/>
  <c r="E74" i="7"/>
  <c r="M71" i="7"/>
  <c r="G71" i="7"/>
  <c r="C70" i="7"/>
  <c r="N67" i="7"/>
  <c r="I67" i="7"/>
  <c r="C67" i="7"/>
  <c r="B65" i="7"/>
  <c r="F65" i="7"/>
  <c r="J65" i="7"/>
  <c r="N65" i="7"/>
  <c r="O63" i="7"/>
  <c r="J63" i="7"/>
  <c r="E63" i="7"/>
  <c r="D59" i="7"/>
  <c r="H59" i="7"/>
  <c r="L59" i="7"/>
  <c r="J58" i="7"/>
  <c r="E58" i="7"/>
  <c r="O57" i="7"/>
  <c r="I57" i="7"/>
  <c r="D57" i="7"/>
  <c r="G54" i="7"/>
  <c r="K53" i="7"/>
  <c r="M50" i="7"/>
  <c r="B49" i="7"/>
  <c r="F49" i="7"/>
  <c r="J49" i="7"/>
  <c r="N49" i="7"/>
  <c r="N46" i="7"/>
  <c r="I46" i="7"/>
  <c r="D46" i="7"/>
  <c r="M45" i="7"/>
  <c r="H45" i="7"/>
  <c r="J42" i="7"/>
  <c r="E42" i="7"/>
  <c r="O41" i="7"/>
  <c r="I41" i="7"/>
  <c r="D41" i="7"/>
  <c r="K37" i="7"/>
  <c r="E37" i="7"/>
  <c r="N35" i="7"/>
  <c r="C35" i="7"/>
  <c r="O31" i="7"/>
  <c r="J31" i="7"/>
  <c r="E31" i="7"/>
  <c r="N30" i="7"/>
  <c r="I30" i="7"/>
  <c r="D30" i="7"/>
  <c r="M29" i="7"/>
  <c r="H29" i="7"/>
  <c r="D27" i="7"/>
  <c r="H27" i="7"/>
  <c r="L27" i="7"/>
  <c r="J26" i="7"/>
  <c r="E26" i="7"/>
  <c r="K23" i="7"/>
  <c r="B21" i="7"/>
  <c r="F21" i="7"/>
  <c r="J21" i="7"/>
  <c r="N21" i="7"/>
  <c r="D21" i="7"/>
  <c r="H21" i="7"/>
  <c r="L21" i="7"/>
  <c r="O19" i="7"/>
  <c r="G19" i="7"/>
  <c r="L13" i="7"/>
  <c r="M186" i="6"/>
  <c r="M178" i="6"/>
  <c r="M170" i="6"/>
  <c r="M162" i="6"/>
  <c r="M154" i="6"/>
  <c r="M146" i="6"/>
  <c r="L145" i="6"/>
  <c r="S134" i="12"/>
  <c r="D134" i="6"/>
  <c r="H134" i="6"/>
  <c r="L134" i="12" s="1"/>
  <c r="L134" i="6"/>
  <c r="O134" i="12" s="1"/>
  <c r="B134" i="6"/>
  <c r="G134" i="6"/>
  <c r="M134" i="6"/>
  <c r="C134" i="6"/>
  <c r="I134" i="6"/>
  <c r="Q134" i="12" s="1"/>
  <c r="N134" i="6"/>
  <c r="E134" i="6"/>
  <c r="J134" i="6"/>
  <c r="O134" i="6"/>
  <c r="C129" i="6"/>
  <c r="G129" i="6"/>
  <c r="K129" i="6"/>
  <c r="O129" i="6"/>
  <c r="B129" i="6"/>
  <c r="H129" i="6"/>
  <c r="M129" i="6"/>
  <c r="D129" i="6"/>
  <c r="I129" i="6"/>
  <c r="N129" i="6"/>
  <c r="E129" i="6"/>
  <c r="J129" i="6"/>
  <c r="K118" i="6"/>
  <c r="S118" i="12" s="1"/>
  <c r="L113" i="6"/>
  <c r="O113" i="12" s="1"/>
  <c r="Q106" i="12"/>
  <c r="D106" i="6"/>
  <c r="H106" i="6"/>
  <c r="L106" i="12" s="1"/>
  <c r="L106" i="6"/>
  <c r="B106" i="6"/>
  <c r="F106" i="6"/>
  <c r="J106" i="6"/>
  <c r="N106" i="6"/>
  <c r="C106" i="6"/>
  <c r="K106" i="6"/>
  <c r="S106" i="12" s="1"/>
  <c r="E106" i="6"/>
  <c r="M106" i="6"/>
  <c r="G106" i="6"/>
  <c r="O106" i="6"/>
  <c r="B157" i="7"/>
  <c r="F157" i="7"/>
  <c r="J157" i="7"/>
  <c r="N157" i="7"/>
  <c r="D151" i="7"/>
  <c r="H151" i="7"/>
  <c r="L151" i="7"/>
  <c r="B141" i="7"/>
  <c r="J141" i="7"/>
  <c r="D135" i="7"/>
  <c r="H135" i="7"/>
  <c r="L135" i="7"/>
  <c r="D119" i="7"/>
  <c r="H119" i="7"/>
  <c r="L119" i="7"/>
  <c r="C114" i="7"/>
  <c r="G114" i="7"/>
  <c r="K114" i="7"/>
  <c r="O114" i="7"/>
  <c r="N111" i="7"/>
  <c r="I111" i="7"/>
  <c r="C111" i="7"/>
  <c r="B109" i="7"/>
  <c r="F109" i="7"/>
  <c r="J109" i="7"/>
  <c r="N109" i="7"/>
  <c r="D103" i="7"/>
  <c r="H103" i="7"/>
  <c r="L103" i="7"/>
  <c r="O101" i="7"/>
  <c r="I101" i="7"/>
  <c r="D101" i="7"/>
  <c r="G98" i="7"/>
  <c r="O98" i="7"/>
  <c r="N95" i="7"/>
  <c r="I95" i="7"/>
  <c r="C95" i="7"/>
  <c r="B93" i="7"/>
  <c r="F93" i="7"/>
  <c r="J93" i="7"/>
  <c r="N93" i="7"/>
  <c r="D90" i="7"/>
  <c r="D87" i="7"/>
  <c r="C82" i="7"/>
  <c r="G82" i="7"/>
  <c r="K82" i="7"/>
  <c r="O82" i="7"/>
  <c r="N79" i="7"/>
  <c r="I79" i="7"/>
  <c r="C79" i="7"/>
  <c r="B77" i="7"/>
  <c r="F77" i="7"/>
  <c r="J77" i="7"/>
  <c r="N77" i="7"/>
  <c r="N74" i="7"/>
  <c r="I74" i="7"/>
  <c r="D74" i="7"/>
  <c r="D71" i="7"/>
  <c r="H71" i="7"/>
  <c r="L71" i="7"/>
  <c r="O66" i="7"/>
  <c r="N63" i="7"/>
  <c r="I63" i="7"/>
  <c r="C63" i="7"/>
  <c r="N58" i="7"/>
  <c r="I58" i="7"/>
  <c r="D58" i="7"/>
  <c r="O53" i="7"/>
  <c r="D53" i="7"/>
  <c r="O50" i="7"/>
  <c r="B45" i="7"/>
  <c r="F45" i="7"/>
  <c r="J45" i="7"/>
  <c r="N45" i="7"/>
  <c r="N42" i="7"/>
  <c r="I42" i="7"/>
  <c r="D42" i="7"/>
  <c r="B29" i="7"/>
  <c r="F29" i="7"/>
  <c r="J29" i="7"/>
  <c r="N29" i="7"/>
  <c r="D23" i="7"/>
  <c r="H23" i="7"/>
  <c r="L23" i="7"/>
  <c r="B23" i="7"/>
  <c r="F23" i="7"/>
  <c r="J23" i="7"/>
  <c r="N23" i="7"/>
  <c r="H15" i="7"/>
  <c r="B15" i="7"/>
  <c r="B182" i="6"/>
  <c r="F182" i="6"/>
  <c r="J182" i="6"/>
  <c r="N182" i="6"/>
  <c r="C182" i="6"/>
  <c r="G182" i="6"/>
  <c r="K182" i="6"/>
  <c r="O182" i="6"/>
  <c r="D182" i="6"/>
  <c r="H182" i="6"/>
  <c r="L182" i="12" s="1"/>
  <c r="L182" i="6"/>
  <c r="O182" i="12" s="1"/>
  <c r="B174" i="6"/>
  <c r="F174" i="6"/>
  <c r="J174" i="6"/>
  <c r="N174" i="6"/>
  <c r="C174" i="6"/>
  <c r="G174" i="6"/>
  <c r="K174" i="6"/>
  <c r="O174" i="6"/>
  <c r="D174" i="6"/>
  <c r="H174" i="6"/>
  <c r="L174" i="6"/>
  <c r="B166" i="6"/>
  <c r="F166" i="6"/>
  <c r="J166" i="6"/>
  <c r="N166" i="6"/>
  <c r="C166" i="6"/>
  <c r="G166" i="6"/>
  <c r="K166" i="6"/>
  <c r="O166" i="6"/>
  <c r="D166" i="6"/>
  <c r="H166" i="6"/>
  <c r="L166" i="12" s="1"/>
  <c r="L166" i="6"/>
  <c r="B158" i="6"/>
  <c r="F158" i="6"/>
  <c r="J158" i="6"/>
  <c r="N158" i="6"/>
  <c r="C158" i="6"/>
  <c r="G158" i="6"/>
  <c r="K158" i="6"/>
  <c r="O158" i="6"/>
  <c r="D158" i="6"/>
  <c r="H158" i="6"/>
  <c r="L158" i="6"/>
  <c r="B150" i="6"/>
  <c r="F150" i="6"/>
  <c r="J150" i="6"/>
  <c r="N150" i="6"/>
  <c r="C150" i="6"/>
  <c r="G150" i="6"/>
  <c r="K150" i="6"/>
  <c r="O150" i="6"/>
  <c r="D150" i="6"/>
  <c r="H150" i="6"/>
  <c r="L150" i="6"/>
  <c r="B140" i="6"/>
  <c r="F140" i="6"/>
  <c r="J140" i="6"/>
  <c r="N140" i="6"/>
  <c r="C140" i="6"/>
  <c r="H140" i="6"/>
  <c r="L140" i="12" s="1"/>
  <c r="M140" i="6"/>
  <c r="D140" i="6"/>
  <c r="I140" i="6"/>
  <c r="O140" i="6"/>
  <c r="E140" i="6"/>
  <c r="K140" i="6"/>
  <c r="L124" i="6"/>
  <c r="O124" i="12" s="1"/>
  <c r="Q98" i="12"/>
  <c r="D98" i="6"/>
  <c r="H98" i="6"/>
  <c r="P98" i="12" s="1"/>
  <c r="L98" i="6"/>
  <c r="B98" i="6"/>
  <c r="F98" i="6"/>
  <c r="J98" i="6"/>
  <c r="N98" i="6"/>
  <c r="Q90" i="12"/>
  <c r="D90" i="6"/>
  <c r="H90" i="6"/>
  <c r="P90" i="12" s="1"/>
  <c r="L90" i="6"/>
  <c r="O90" i="12" s="1"/>
  <c r="B90" i="6"/>
  <c r="F90" i="6"/>
  <c r="J90" i="6"/>
  <c r="N90" i="6"/>
  <c r="Q82" i="12"/>
  <c r="D82" i="6"/>
  <c r="H82" i="6"/>
  <c r="P82" i="12" s="1"/>
  <c r="L82" i="6"/>
  <c r="O82" i="12" s="1"/>
  <c r="B82" i="6"/>
  <c r="F82" i="6"/>
  <c r="J82" i="6"/>
  <c r="N82" i="6"/>
  <c r="Q74" i="12"/>
  <c r="D74" i="6"/>
  <c r="H74" i="6"/>
  <c r="P74" i="12" s="1"/>
  <c r="L74" i="6"/>
  <c r="O74" i="12" s="1"/>
  <c r="B74" i="6"/>
  <c r="F74" i="6"/>
  <c r="J74" i="6"/>
  <c r="N74" i="6"/>
  <c r="D66" i="6"/>
  <c r="H66" i="6"/>
  <c r="P66" i="12" s="1"/>
  <c r="L66" i="6"/>
  <c r="O66" i="12" s="1"/>
  <c r="B66" i="6"/>
  <c r="F66" i="6"/>
  <c r="J66" i="6"/>
  <c r="N66" i="6"/>
  <c r="D58" i="6"/>
  <c r="H58" i="6"/>
  <c r="P58" i="12" s="1"/>
  <c r="L58" i="6"/>
  <c r="O58" i="12" s="1"/>
  <c r="B58" i="6"/>
  <c r="G58" i="6"/>
  <c r="M58" i="6"/>
  <c r="E58" i="6"/>
  <c r="J58" i="6"/>
  <c r="O58" i="6"/>
  <c r="B40" i="6"/>
  <c r="F40" i="6"/>
  <c r="J40" i="6"/>
  <c r="N40" i="6"/>
  <c r="E40" i="6"/>
  <c r="K40" i="6"/>
  <c r="C40" i="6"/>
  <c r="L43" i="5" s="1"/>
  <c r="H40" i="6"/>
  <c r="L40" i="12" s="1"/>
  <c r="M40" i="6"/>
  <c r="B32" i="6"/>
  <c r="F32" i="6"/>
  <c r="J32" i="6"/>
  <c r="N32" i="6"/>
  <c r="C32" i="6"/>
  <c r="H32" i="6"/>
  <c r="P32" i="12" s="1"/>
  <c r="M32" i="6"/>
  <c r="E32" i="6"/>
  <c r="K32" i="6"/>
  <c r="M23" i="12"/>
  <c r="O25" i="12"/>
  <c r="M13" i="12"/>
  <c r="M25" i="12"/>
  <c r="M61" i="12"/>
  <c r="O40" i="12"/>
  <c r="M46" i="12"/>
  <c r="M74" i="12"/>
  <c r="M78" i="12"/>
  <c r="O61" i="12"/>
  <c r="O65" i="12"/>
  <c r="M82" i="12"/>
  <c r="M86" i="12"/>
  <c r="M90" i="12"/>
  <c r="M94" i="12"/>
  <c r="M98" i="12"/>
  <c r="M85" i="12"/>
  <c r="M111" i="12"/>
  <c r="M156" i="12"/>
  <c r="M160" i="12"/>
  <c r="N134" i="12"/>
  <c r="N135" i="12"/>
  <c r="M161" i="12"/>
  <c r="M185" i="12"/>
  <c r="M184" i="12"/>
  <c r="L165" i="12"/>
  <c r="C7" i="6"/>
  <c r="G7" i="6"/>
  <c r="K7" i="6"/>
  <c r="O7" i="6"/>
  <c r="E7" i="6"/>
  <c r="J7" i="6"/>
  <c r="B7" i="6"/>
  <c r="H7" i="6"/>
  <c r="M7" i="6"/>
  <c r="D7" i="6"/>
  <c r="N7" i="6"/>
  <c r="I7" i="6"/>
  <c r="B53" i="8"/>
  <c r="F53" i="8"/>
  <c r="J53" i="8"/>
  <c r="E53" i="8"/>
  <c r="C53" i="8"/>
  <c r="H53" i="8"/>
  <c r="I53" i="8"/>
  <c r="D53" i="8"/>
  <c r="B45" i="8"/>
  <c r="F45" i="8"/>
  <c r="J45" i="8"/>
  <c r="E45" i="8"/>
  <c r="C45" i="8"/>
  <c r="H45" i="8"/>
  <c r="D45" i="8"/>
  <c r="I45" i="8"/>
  <c r="D36" i="8"/>
  <c r="H36" i="8"/>
  <c r="E36" i="8"/>
  <c r="J36" i="8"/>
  <c r="B36" i="8"/>
  <c r="G36" i="8"/>
  <c r="I36" i="8"/>
  <c r="C36" i="8"/>
  <c r="N11" i="7"/>
  <c r="J11" i="7"/>
  <c r="F11" i="7"/>
  <c r="B11" i="7"/>
  <c r="N7" i="7"/>
  <c r="J7" i="7"/>
  <c r="F7" i="7"/>
  <c r="N184" i="6"/>
  <c r="J184" i="6"/>
  <c r="F184" i="6"/>
  <c r="B184" i="6"/>
  <c r="N180" i="6"/>
  <c r="J180" i="6"/>
  <c r="F180" i="6"/>
  <c r="B180" i="6"/>
  <c r="N176" i="6"/>
  <c r="J176" i="6"/>
  <c r="F176" i="6"/>
  <c r="B176" i="6"/>
  <c r="N172" i="6"/>
  <c r="J172" i="6"/>
  <c r="F172" i="6"/>
  <c r="N168" i="6"/>
  <c r="J168" i="6"/>
  <c r="F168" i="6"/>
  <c r="N164" i="6"/>
  <c r="J164" i="6"/>
  <c r="F164" i="6"/>
  <c r="N160" i="6"/>
  <c r="J160" i="6"/>
  <c r="F160" i="6"/>
  <c r="N156" i="6"/>
  <c r="J156" i="6"/>
  <c r="F156" i="6"/>
  <c r="N152" i="6"/>
  <c r="J152" i="6"/>
  <c r="F152" i="6"/>
  <c r="N148" i="6"/>
  <c r="J148" i="6"/>
  <c r="F148" i="6"/>
  <c r="M142" i="6"/>
  <c r="G142" i="6"/>
  <c r="C141" i="6"/>
  <c r="G141" i="6"/>
  <c r="K141" i="6"/>
  <c r="N141" i="12" s="1"/>
  <c r="O141" i="6"/>
  <c r="M137" i="6"/>
  <c r="H137" i="6"/>
  <c r="B136" i="6"/>
  <c r="F136" i="6"/>
  <c r="J136" i="6"/>
  <c r="N136" i="6"/>
  <c r="M132" i="6"/>
  <c r="H132" i="6"/>
  <c r="R130" i="12"/>
  <c r="D130" i="6"/>
  <c r="H130" i="6"/>
  <c r="P130" i="12" s="1"/>
  <c r="L130" i="6"/>
  <c r="O130" i="12" s="1"/>
  <c r="M126" i="6"/>
  <c r="G126" i="6"/>
  <c r="C125" i="6"/>
  <c r="L125" i="5" s="1"/>
  <c r="M125" i="5" s="1"/>
  <c r="G125" i="6"/>
  <c r="K125" i="6"/>
  <c r="N125" i="12" s="1"/>
  <c r="O125" i="6"/>
  <c r="M121" i="6"/>
  <c r="H121" i="6"/>
  <c r="B120" i="6"/>
  <c r="F120" i="6"/>
  <c r="J120" i="6"/>
  <c r="N120" i="6"/>
  <c r="M116" i="6"/>
  <c r="H116" i="6"/>
  <c r="P116" i="12" s="1"/>
  <c r="D114" i="6"/>
  <c r="H114" i="6"/>
  <c r="L114" i="6"/>
  <c r="M110" i="6"/>
  <c r="G110" i="6"/>
  <c r="B108" i="6"/>
  <c r="F108" i="6"/>
  <c r="J108" i="6"/>
  <c r="N108" i="6"/>
  <c r="D108" i="6"/>
  <c r="H108" i="6"/>
  <c r="L108" i="6"/>
  <c r="O108" i="12" s="1"/>
  <c r="K102" i="6"/>
  <c r="S102" i="12" s="1"/>
  <c r="B100" i="6"/>
  <c r="F100" i="6"/>
  <c r="J100" i="6"/>
  <c r="N100" i="6"/>
  <c r="D100" i="6"/>
  <c r="H100" i="6"/>
  <c r="P100" i="12" s="1"/>
  <c r="L100" i="6"/>
  <c r="O98" i="6"/>
  <c r="G98" i="6"/>
  <c r="K94" i="6"/>
  <c r="B92" i="6"/>
  <c r="F92" i="6"/>
  <c r="J92" i="6"/>
  <c r="N92" i="6"/>
  <c r="D92" i="6"/>
  <c r="H92" i="6"/>
  <c r="L92" i="12" s="1"/>
  <c r="L92" i="6"/>
  <c r="O92" i="12" s="1"/>
  <c r="O90" i="6"/>
  <c r="G90" i="6"/>
  <c r="K86" i="6"/>
  <c r="S86" i="12" s="1"/>
  <c r="B84" i="6"/>
  <c r="F84" i="6"/>
  <c r="J84" i="6"/>
  <c r="N84" i="6"/>
  <c r="D84" i="6"/>
  <c r="H84" i="6"/>
  <c r="L84" i="6"/>
  <c r="O84" i="12" s="1"/>
  <c r="O82" i="6"/>
  <c r="G82" i="6"/>
  <c r="K78" i="6"/>
  <c r="B76" i="6"/>
  <c r="F76" i="6"/>
  <c r="J76" i="6"/>
  <c r="N76" i="6"/>
  <c r="D76" i="6"/>
  <c r="H76" i="6"/>
  <c r="L76" i="12" s="1"/>
  <c r="L76" i="6"/>
  <c r="O74" i="6"/>
  <c r="G74" i="6"/>
  <c r="K70" i="6"/>
  <c r="B68" i="6"/>
  <c r="F68" i="6"/>
  <c r="J68" i="6"/>
  <c r="N68" i="6"/>
  <c r="D68" i="6"/>
  <c r="H68" i="6"/>
  <c r="P68" i="12" s="1"/>
  <c r="L68" i="6"/>
  <c r="O68" i="12" s="1"/>
  <c r="O66" i="6"/>
  <c r="G66" i="6"/>
  <c r="O64" i="6"/>
  <c r="I58" i="6"/>
  <c r="M58" i="12" s="1"/>
  <c r="B56" i="6"/>
  <c r="F56" i="6"/>
  <c r="J56" i="6"/>
  <c r="N56" i="6"/>
  <c r="E56" i="6"/>
  <c r="K56" i="6"/>
  <c r="N56" i="12" s="1"/>
  <c r="C56" i="6"/>
  <c r="L56" i="5" s="1"/>
  <c r="H56" i="6"/>
  <c r="P56" i="12" s="1"/>
  <c r="M56" i="6"/>
  <c r="B48" i="6"/>
  <c r="F48" i="6"/>
  <c r="J48" i="6"/>
  <c r="N48" i="6"/>
  <c r="C48" i="6"/>
  <c r="H48" i="6"/>
  <c r="P48" i="12" s="1"/>
  <c r="M48" i="6"/>
  <c r="E48" i="6"/>
  <c r="K48" i="6"/>
  <c r="N45" i="6"/>
  <c r="I40" i="6"/>
  <c r="Q40" i="12" s="1"/>
  <c r="N37" i="6"/>
  <c r="N34" i="6"/>
  <c r="I32" i="6"/>
  <c r="B10" i="6"/>
  <c r="F10" i="6"/>
  <c r="J10" i="6"/>
  <c r="N10" i="6"/>
  <c r="C10" i="6"/>
  <c r="L10" i="5" s="1"/>
  <c r="H10" i="6"/>
  <c r="L10" i="12" s="1"/>
  <c r="M10" i="6"/>
  <c r="E10" i="6"/>
  <c r="K10" i="6"/>
  <c r="S10" i="12" s="1"/>
  <c r="I10" i="6"/>
  <c r="M10" i="12" s="1"/>
  <c r="D10" i="6"/>
  <c r="O10" i="6"/>
  <c r="B29" i="8"/>
  <c r="F29" i="8"/>
  <c r="J29" i="8"/>
  <c r="E29" i="8"/>
  <c r="C29" i="8"/>
  <c r="H29" i="8"/>
  <c r="D29" i="8"/>
  <c r="G29" i="8"/>
  <c r="I29" i="8"/>
  <c r="B13" i="8"/>
  <c r="F13" i="8"/>
  <c r="J13" i="8"/>
  <c r="E13" i="8"/>
  <c r="C13" i="8"/>
  <c r="H13" i="8"/>
  <c r="D13" i="8"/>
  <c r="G13" i="8"/>
  <c r="I13" i="8"/>
  <c r="B186" i="10"/>
  <c r="F186" i="10"/>
  <c r="J186" i="10"/>
  <c r="N186" i="10"/>
  <c r="C186" i="10"/>
  <c r="H186" i="10"/>
  <c r="M186" i="10"/>
  <c r="E186" i="10"/>
  <c r="K186" i="10"/>
  <c r="D186" i="10"/>
  <c r="O186" i="10"/>
  <c r="G186" i="10"/>
  <c r="I186" i="10"/>
  <c r="C159" i="10"/>
  <c r="G159" i="10"/>
  <c r="K159" i="10"/>
  <c r="O159" i="10"/>
  <c r="B159" i="10"/>
  <c r="H159" i="10"/>
  <c r="M159" i="10"/>
  <c r="E159" i="10"/>
  <c r="J159" i="10"/>
  <c r="D159" i="10"/>
  <c r="N159" i="10"/>
  <c r="F159" i="10"/>
  <c r="I159" i="10"/>
  <c r="C151" i="10"/>
  <c r="G151" i="10"/>
  <c r="K151" i="10"/>
  <c r="O151" i="10"/>
  <c r="E151" i="10"/>
  <c r="J151" i="10"/>
  <c r="B151" i="10"/>
  <c r="H151" i="10"/>
  <c r="M151" i="10"/>
  <c r="D151" i="10"/>
  <c r="N151" i="10"/>
  <c r="F151" i="10"/>
  <c r="I151" i="10"/>
  <c r="C131" i="10"/>
  <c r="G131" i="10"/>
  <c r="K131" i="10"/>
  <c r="O131" i="10"/>
  <c r="D131" i="10"/>
  <c r="H131" i="10"/>
  <c r="L131" i="10"/>
  <c r="B131" i="10"/>
  <c r="J131" i="10"/>
  <c r="E131" i="10"/>
  <c r="M131" i="10"/>
  <c r="F131" i="10"/>
  <c r="N131" i="10"/>
  <c r="I131" i="10"/>
  <c r="B115" i="10"/>
  <c r="F115" i="10"/>
  <c r="J115" i="10"/>
  <c r="N115" i="10"/>
  <c r="C115" i="10"/>
  <c r="G115" i="10"/>
  <c r="K115" i="10"/>
  <c r="O115" i="10"/>
  <c r="D115" i="10"/>
  <c r="H115" i="10"/>
  <c r="L115" i="10"/>
  <c r="E115" i="10"/>
  <c r="I115" i="10"/>
  <c r="M115" i="10"/>
  <c r="B83" i="10"/>
  <c r="F83" i="10"/>
  <c r="J83" i="10"/>
  <c r="N83" i="10"/>
  <c r="C83" i="10"/>
  <c r="G83" i="10"/>
  <c r="K83" i="10"/>
  <c r="O83" i="10"/>
  <c r="D83" i="10"/>
  <c r="H83" i="10"/>
  <c r="L83" i="10"/>
  <c r="E83" i="10"/>
  <c r="I83" i="10"/>
  <c r="M83" i="10"/>
  <c r="B51" i="10"/>
  <c r="F51" i="10"/>
  <c r="J51" i="10"/>
  <c r="N51" i="10"/>
  <c r="C51" i="10"/>
  <c r="G51" i="10"/>
  <c r="K51" i="10"/>
  <c r="O51" i="10"/>
  <c r="D51" i="10"/>
  <c r="H51" i="10"/>
  <c r="L51" i="10"/>
  <c r="E51" i="10"/>
  <c r="I51" i="10"/>
  <c r="M51" i="10"/>
  <c r="Q160" i="12"/>
  <c r="Q148" i="12"/>
  <c r="D142" i="6"/>
  <c r="H142" i="6"/>
  <c r="L142" i="6"/>
  <c r="O142" i="12" s="1"/>
  <c r="C137" i="6"/>
  <c r="G137" i="6"/>
  <c r="K137" i="6"/>
  <c r="R137" i="12" s="1"/>
  <c r="O137" i="6"/>
  <c r="B132" i="6"/>
  <c r="F132" i="6"/>
  <c r="J132" i="6"/>
  <c r="N132" i="6"/>
  <c r="D126" i="6"/>
  <c r="H126" i="6"/>
  <c r="P126" i="12" s="1"/>
  <c r="L126" i="6"/>
  <c r="O126" i="12" s="1"/>
  <c r="Q121" i="12"/>
  <c r="C121" i="6"/>
  <c r="L122" i="5" s="1"/>
  <c r="G121" i="6"/>
  <c r="K121" i="6"/>
  <c r="O121" i="6"/>
  <c r="B116" i="6"/>
  <c r="F116" i="6"/>
  <c r="J116" i="6"/>
  <c r="N116" i="6"/>
  <c r="D110" i="6"/>
  <c r="H110" i="6"/>
  <c r="P110" i="12" s="1"/>
  <c r="L110" i="6"/>
  <c r="Q102" i="12"/>
  <c r="D102" i="6"/>
  <c r="H102" i="6"/>
  <c r="L102" i="6"/>
  <c r="B102" i="6"/>
  <c r="F102" i="6"/>
  <c r="J102" i="6"/>
  <c r="N102" i="6"/>
  <c r="M98" i="6"/>
  <c r="E98" i="6"/>
  <c r="D94" i="6"/>
  <c r="H94" i="6"/>
  <c r="L94" i="6"/>
  <c r="O94" i="12" s="1"/>
  <c r="B94" i="6"/>
  <c r="F94" i="6"/>
  <c r="J94" i="6"/>
  <c r="N94" i="6"/>
  <c r="M90" i="6"/>
  <c r="E90" i="6"/>
  <c r="Q86" i="12"/>
  <c r="D86" i="6"/>
  <c r="H86" i="6"/>
  <c r="L86" i="6"/>
  <c r="O87" i="12" s="1"/>
  <c r="B86" i="6"/>
  <c r="F86" i="6"/>
  <c r="J86" i="6"/>
  <c r="N86" i="6"/>
  <c r="M82" i="6"/>
  <c r="E82" i="6"/>
  <c r="Q78" i="12"/>
  <c r="D78" i="6"/>
  <c r="H78" i="6"/>
  <c r="L78" i="6"/>
  <c r="O78" i="12" s="1"/>
  <c r="B78" i="6"/>
  <c r="F78" i="6"/>
  <c r="J78" i="6"/>
  <c r="N78" i="6"/>
  <c r="M74" i="6"/>
  <c r="E74" i="6"/>
  <c r="Q70" i="12"/>
  <c r="D70" i="6"/>
  <c r="H70" i="6"/>
  <c r="L70" i="12" s="1"/>
  <c r="L70" i="6"/>
  <c r="O70" i="12" s="1"/>
  <c r="B70" i="6"/>
  <c r="F70" i="6"/>
  <c r="J70" i="6"/>
  <c r="N70" i="6"/>
  <c r="M66" i="6"/>
  <c r="E66" i="6"/>
  <c r="B64" i="6"/>
  <c r="F64" i="6"/>
  <c r="J64" i="6"/>
  <c r="N64" i="6"/>
  <c r="C64" i="6"/>
  <c r="L64" i="5" s="1"/>
  <c r="H64" i="6"/>
  <c r="P64" i="12" s="1"/>
  <c r="M64" i="6"/>
  <c r="E64" i="6"/>
  <c r="K64" i="6"/>
  <c r="R64" i="12" s="1"/>
  <c r="F58" i="6"/>
  <c r="C45" i="6"/>
  <c r="L45" i="5" s="1"/>
  <c r="G45" i="6"/>
  <c r="K45" i="6"/>
  <c r="N45" i="12" s="1"/>
  <c r="O45" i="6"/>
  <c r="E45" i="6"/>
  <c r="J45" i="6"/>
  <c r="B45" i="6"/>
  <c r="H45" i="6"/>
  <c r="M45" i="6"/>
  <c r="G40" i="6"/>
  <c r="C37" i="6"/>
  <c r="G37" i="6"/>
  <c r="K37" i="6"/>
  <c r="O37" i="6"/>
  <c r="B37" i="6"/>
  <c r="H37" i="6"/>
  <c r="M37" i="6"/>
  <c r="E37" i="6"/>
  <c r="J37" i="6"/>
  <c r="D34" i="6"/>
  <c r="H34" i="6"/>
  <c r="L34" i="12" s="1"/>
  <c r="L34" i="6"/>
  <c r="E34" i="6"/>
  <c r="J34" i="6"/>
  <c r="O34" i="6"/>
  <c r="B34" i="6"/>
  <c r="G34" i="6"/>
  <c r="M34" i="6"/>
  <c r="G32" i="6"/>
  <c r="D28" i="6"/>
  <c r="H28" i="6"/>
  <c r="L28" i="12" s="1"/>
  <c r="L28" i="6"/>
  <c r="O28" i="12" s="1"/>
  <c r="B28" i="6"/>
  <c r="F28" i="6"/>
  <c r="J28" i="6"/>
  <c r="N28" i="6"/>
  <c r="G28" i="6"/>
  <c r="O28" i="6"/>
  <c r="C28" i="6"/>
  <c r="K28" i="6"/>
  <c r="L7" i="6"/>
  <c r="D52" i="8"/>
  <c r="H52" i="8"/>
  <c r="E52" i="8"/>
  <c r="J52" i="8"/>
  <c r="B52" i="8"/>
  <c r="G52" i="8"/>
  <c r="I52" i="8"/>
  <c r="C52" i="8"/>
  <c r="D44" i="8"/>
  <c r="H44" i="8"/>
  <c r="E44" i="8"/>
  <c r="J44" i="8"/>
  <c r="B44" i="8"/>
  <c r="G44" i="8"/>
  <c r="C44" i="8"/>
  <c r="I44" i="8"/>
  <c r="B37" i="8"/>
  <c r="F37" i="8"/>
  <c r="J37" i="8"/>
  <c r="E37" i="8"/>
  <c r="C37" i="8"/>
  <c r="H37" i="8"/>
  <c r="I37" i="8"/>
  <c r="D37" i="8"/>
  <c r="D28" i="8"/>
  <c r="H28" i="8"/>
  <c r="E28" i="8"/>
  <c r="J28" i="8"/>
  <c r="B28" i="8"/>
  <c r="G28" i="8"/>
  <c r="C28" i="8"/>
  <c r="F28" i="8"/>
  <c r="I28" i="8"/>
  <c r="D12" i="8"/>
  <c r="H12" i="8"/>
  <c r="E12" i="8"/>
  <c r="J12" i="8"/>
  <c r="B12" i="8"/>
  <c r="G12" i="8"/>
  <c r="C12" i="8"/>
  <c r="F12" i="8"/>
  <c r="I12" i="8"/>
  <c r="C139" i="10"/>
  <c r="G139" i="10"/>
  <c r="K139" i="10"/>
  <c r="O139" i="10"/>
  <c r="D139" i="10"/>
  <c r="H139" i="10"/>
  <c r="L139" i="10"/>
  <c r="B139" i="10"/>
  <c r="J139" i="10"/>
  <c r="F139" i="10"/>
  <c r="N139" i="10"/>
  <c r="E139" i="10"/>
  <c r="I139" i="10"/>
  <c r="M139" i="10"/>
  <c r="O22" i="7"/>
  <c r="K22" i="7"/>
  <c r="G22" i="7"/>
  <c r="O18" i="7"/>
  <c r="K18" i="7"/>
  <c r="G18" i="7"/>
  <c r="O14" i="7"/>
  <c r="K14" i="7"/>
  <c r="G14" i="7"/>
  <c r="L11" i="7"/>
  <c r="H11" i="7"/>
  <c r="O10" i="7"/>
  <c r="K10" i="7"/>
  <c r="G10" i="7"/>
  <c r="L7" i="7"/>
  <c r="H7" i="7"/>
  <c r="D7" i="7"/>
  <c r="O187" i="6"/>
  <c r="K187" i="6"/>
  <c r="N187" i="12" s="1"/>
  <c r="G187" i="6"/>
  <c r="L184" i="6"/>
  <c r="O184" i="12" s="1"/>
  <c r="H184" i="6"/>
  <c r="L184" i="12" s="1"/>
  <c r="O183" i="6"/>
  <c r="K183" i="6"/>
  <c r="N183" i="12" s="1"/>
  <c r="G183" i="6"/>
  <c r="L180" i="6"/>
  <c r="O180" i="12" s="1"/>
  <c r="H180" i="6"/>
  <c r="L180" i="12" s="1"/>
  <c r="O179" i="6"/>
  <c r="K179" i="6"/>
  <c r="N179" i="12" s="1"/>
  <c r="G179" i="6"/>
  <c r="L176" i="6"/>
  <c r="O176" i="12" s="1"/>
  <c r="H176" i="6"/>
  <c r="O175" i="6"/>
  <c r="K175" i="6"/>
  <c r="N175" i="12" s="1"/>
  <c r="G175" i="6"/>
  <c r="L172" i="6"/>
  <c r="H172" i="6"/>
  <c r="L172" i="12" s="1"/>
  <c r="D172" i="6"/>
  <c r="O171" i="6"/>
  <c r="K171" i="6"/>
  <c r="G171" i="6"/>
  <c r="C171" i="6"/>
  <c r="S169" i="12"/>
  <c r="L168" i="6"/>
  <c r="H168" i="6"/>
  <c r="L167" i="12" s="1"/>
  <c r="D168" i="6"/>
  <c r="O167" i="6"/>
  <c r="K167" i="6"/>
  <c r="R167" i="12" s="1"/>
  <c r="G167" i="6"/>
  <c r="C167" i="6"/>
  <c r="P165" i="12"/>
  <c r="L164" i="6"/>
  <c r="H164" i="6"/>
  <c r="D164" i="6"/>
  <c r="O163" i="6"/>
  <c r="K163" i="6"/>
  <c r="S163" i="12" s="1"/>
  <c r="G163" i="6"/>
  <c r="C163" i="6"/>
  <c r="Q161" i="12"/>
  <c r="L160" i="6"/>
  <c r="H160" i="6"/>
  <c r="P160" i="12" s="1"/>
  <c r="D160" i="6"/>
  <c r="O159" i="6"/>
  <c r="K159" i="6"/>
  <c r="G159" i="6"/>
  <c r="C159" i="6"/>
  <c r="L156" i="6"/>
  <c r="O156" i="12" s="1"/>
  <c r="H156" i="6"/>
  <c r="P156" i="12" s="1"/>
  <c r="D156" i="6"/>
  <c r="O155" i="6"/>
  <c r="K155" i="6"/>
  <c r="N155" i="12" s="1"/>
  <c r="G155" i="6"/>
  <c r="C155" i="6"/>
  <c r="L152" i="6"/>
  <c r="O152" i="12" s="1"/>
  <c r="H152" i="6"/>
  <c r="L152" i="12" s="1"/>
  <c r="D152" i="6"/>
  <c r="O151" i="6"/>
  <c r="K151" i="6"/>
  <c r="G151" i="6"/>
  <c r="C151" i="6"/>
  <c r="L151" i="5" s="1"/>
  <c r="L148" i="6"/>
  <c r="O148" i="12" s="1"/>
  <c r="H148" i="6"/>
  <c r="P148" i="12" s="1"/>
  <c r="D148" i="6"/>
  <c r="O147" i="6"/>
  <c r="K147" i="6"/>
  <c r="G147" i="6"/>
  <c r="C147" i="6"/>
  <c r="L147" i="5" s="1"/>
  <c r="M147" i="5" s="1"/>
  <c r="Q144" i="12"/>
  <c r="B144" i="6"/>
  <c r="F144" i="6"/>
  <c r="J144" i="6"/>
  <c r="N144" i="6"/>
  <c r="O142" i="6"/>
  <c r="J142" i="6"/>
  <c r="E142" i="6"/>
  <c r="N141" i="6"/>
  <c r="I141" i="6"/>
  <c r="M141" i="12" s="1"/>
  <c r="D141" i="6"/>
  <c r="D138" i="6"/>
  <c r="H138" i="6"/>
  <c r="L138" i="12" s="1"/>
  <c r="L138" i="6"/>
  <c r="O138" i="12" s="1"/>
  <c r="J137" i="6"/>
  <c r="E137" i="6"/>
  <c r="O136" i="6"/>
  <c r="I136" i="6"/>
  <c r="M136" i="12" s="1"/>
  <c r="D136" i="6"/>
  <c r="Q133" i="12"/>
  <c r="C133" i="6"/>
  <c r="L132" i="5" s="1"/>
  <c r="G133" i="6"/>
  <c r="K133" i="6"/>
  <c r="R133" i="12" s="1"/>
  <c r="O133" i="6"/>
  <c r="K132" i="6"/>
  <c r="E132" i="6"/>
  <c r="N130" i="6"/>
  <c r="I130" i="6"/>
  <c r="Q130" i="12" s="1"/>
  <c r="C130" i="6"/>
  <c r="B128" i="6"/>
  <c r="F128" i="6"/>
  <c r="J128" i="6"/>
  <c r="N128" i="6"/>
  <c r="O126" i="6"/>
  <c r="J126" i="6"/>
  <c r="E126" i="6"/>
  <c r="N125" i="6"/>
  <c r="I125" i="6"/>
  <c r="D125" i="6"/>
  <c r="D122" i="6"/>
  <c r="H122" i="6"/>
  <c r="L122" i="6"/>
  <c r="O122" i="12" s="1"/>
  <c r="J121" i="6"/>
  <c r="E121" i="6"/>
  <c r="O120" i="6"/>
  <c r="I120" i="6"/>
  <c r="Q120" i="12" s="1"/>
  <c r="D120" i="6"/>
  <c r="C117" i="6"/>
  <c r="G117" i="6"/>
  <c r="K117" i="6"/>
  <c r="S117" i="12" s="1"/>
  <c r="O117" i="6"/>
  <c r="K116" i="6"/>
  <c r="N116" i="12" s="1"/>
  <c r="E116" i="6"/>
  <c r="N114" i="6"/>
  <c r="I114" i="6"/>
  <c r="M114" i="12" s="1"/>
  <c r="C114" i="6"/>
  <c r="B112" i="6"/>
  <c r="F112" i="6"/>
  <c r="J112" i="6"/>
  <c r="N112" i="6"/>
  <c r="O110" i="6"/>
  <c r="J110" i="6"/>
  <c r="E110" i="6"/>
  <c r="M108" i="6"/>
  <c r="E108" i="6"/>
  <c r="B104" i="6"/>
  <c r="F104" i="6"/>
  <c r="J104" i="6"/>
  <c r="N104" i="6"/>
  <c r="D104" i="6"/>
  <c r="H104" i="6"/>
  <c r="P104" i="12" s="1"/>
  <c r="L104" i="6"/>
  <c r="O102" i="6"/>
  <c r="G102" i="6"/>
  <c r="M100" i="6"/>
  <c r="E100" i="6"/>
  <c r="K98" i="6"/>
  <c r="S98" i="12" s="1"/>
  <c r="C98" i="6"/>
  <c r="B96" i="6"/>
  <c r="F96" i="6"/>
  <c r="J96" i="6"/>
  <c r="N96" i="6"/>
  <c r="D96" i="6"/>
  <c r="H96" i="6"/>
  <c r="P96" i="12" s="1"/>
  <c r="L96" i="6"/>
  <c r="O96" i="12" s="1"/>
  <c r="O94" i="6"/>
  <c r="G94" i="6"/>
  <c r="M92" i="6"/>
  <c r="E92" i="6"/>
  <c r="K90" i="6"/>
  <c r="S90" i="12" s="1"/>
  <c r="C90" i="6"/>
  <c r="B88" i="6"/>
  <c r="F88" i="6"/>
  <c r="J88" i="6"/>
  <c r="N88" i="6"/>
  <c r="D88" i="6"/>
  <c r="H88" i="6"/>
  <c r="L88" i="6"/>
  <c r="O88" i="12" s="1"/>
  <c r="O86" i="6"/>
  <c r="G86" i="6"/>
  <c r="M84" i="6"/>
  <c r="E84" i="6"/>
  <c r="K82" i="6"/>
  <c r="R82" i="12" s="1"/>
  <c r="C82" i="6"/>
  <c r="B80" i="6"/>
  <c r="F80" i="6"/>
  <c r="J80" i="6"/>
  <c r="N80" i="6"/>
  <c r="D80" i="6"/>
  <c r="H80" i="6"/>
  <c r="L80" i="6"/>
  <c r="O80" i="12" s="1"/>
  <c r="O78" i="6"/>
  <c r="G78" i="6"/>
  <c r="M76" i="6"/>
  <c r="E76" i="6"/>
  <c r="K74" i="6"/>
  <c r="R74" i="12" s="1"/>
  <c r="C74" i="6"/>
  <c r="B72" i="6"/>
  <c r="F72" i="6"/>
  <c r="J72" i="6"/>
  <c r="N72" i="6"/>
  <c r="D72" i="6"/>
  <c r="H72" i="6"/>
  <c r="L72" i="12" s="1"/>
  <c r="L72" i="6"/>
  <c r="O72" i="12" s="1"/>
  <c r="O70" i="6"/>
  <c r="G70" i="6"/>
  <c r="M68" i="6"/>
  <c r="E68" i="6"/>
  <c r="K66" i="6"/>
  <c r="S66" i="12" s="1"/>
  <c r="C66" i="6"/>
  <c r="I64" i="6"/>
  <c r="C61" i="6"/>
  <c r="L61" i="5" s="1"/>
  <c r="G61" i="6"/>
  <c r="K61" i="6"/>
  <c r="N61" i="12" s="1"/>
  <c r="O61" i="6"/>
  <c r="E61" i="6"/>
  <c r="J61" i="6"/>
  <c r="B61" i="6"/>
  <c r="H61" i="6"/>
  <c r="M61" i="6"/>
  <c r="N58" i="6"/>
  <c r="C58" i="6"/>
  <c r="G56" i="6"/>
  <c r="Q53" i="12"/>
  <c r="C53" i="6"/>
  <c r="G53" i="6"/>
  <c r="K53" i="6"/>
  <c r="S53" i="12" s="1"/>
  <c r="O53" i="6"/>
  <c r="B53" i="6"/>
  <c r="H53" i="6"/>
  <c r="M53" i="6"/>
  <c r="E53" i="6"/>
  <c r="J53" i="6"/>
  <c r="D50" i="6"/>
  <c r="H50" i="6"/>
  <c r="L50" i="6"/>
  <c r="O50" i="12" s="1"/>
  <c r="E50" i="6"/>
  <c r="J50" i="6"/>
  <c r="O50" i="6"/>
  <c r="B50" i="6"/>
  <c r="G50" i="6"/>
  <c r="M50" i="6"/>
  <c r="G48" i="6"/>
  <c r="I45" i="6"/>
  <c r="D42" i="6"/>
  <c r="H42" i="6"/>
  <c r="L42" i="12" s="1"/>
  <c r="L42" i="6"/>
  <c r="B42" i="6"/>
  <c r="G42" i="6"/>
  <c r="M42" i="6"/>
  <c r="E42" i="6"/>
  <c r="J42" i="6"/>
  <c r="O42" i="6"/>
  <c r="O40" i="6"/>
  <c r="D40" i="6"/>
  <c r="I37" i="6"/>
  <c r="I34" i="6"/>
  <c r="Q34" i="12" s="1"/>
  <c r="O32" i="6"/>
  <c r="D32" i="6"/>
  <c r="M28" i="6"/>
  <c r="C15" i="6"/>
  <c r="G15" i="6"/>
  <c r="K15" i="6"/>
  <c r="S15" i="12" s="1"/>
  <c r="O15" i="6"/>
  <c r="B15" i="6"/>
  <c r="H15" i="6"/>
  <c r="M15" i="6"/>
  <c r="E15" i="6"/>
  <c r="J15" i="6"/>
  <c r="D15" i="6"/>
  <c r="N15" i="6"/>
  <c r="I15" i="6"/>
  <c r="L10" i="6"/>
  <c r="O10" i="12" s="1"/>
  <c r="F7" i="6"/>
  <c r="G53" i="8"/>
  <c r="G45" i="8"/>
  <c r="F36" i="8"/>
  <c r="B178" i="10"/>
  <c r="F178" i="10"/>
  <c r="J178" i="10"/>
  <c r="N178" i="10"/>
  <c r="E178" i="10"/>
  <c r="K178" i="10"/>
  <c r="C178" i="10"/>
  <c r="H178" i="10"/>
  <c r="M178" i="10"/>
  <c r="D178" i="10"/>
  <c r="O178" i="10"/>
  <c r="G178" i="10"/>
  <c r="I178" i="10"/>
  <c r="P97" i="12"/>
  <c r="P89" i="12"/>
  <c r="Q85" i="12"/>
  <c r="Q77" i="12"/>
  <c r="Q73" i="12"/>
  <c r="C65" i="6"/>
  <c r="G65" i="6"/>
  <c r="K65" i="6"/>
  <c r="N65" i="12" s="1"/>
  <c r="O65" i="6"/>
  <c r="B60" i="6"/>
  <c r="F60" i="6"/>
  <c r="J60" i="6"/>
  <c r="N60" i="6"/>
  <c r="D54" i="6"/>
  <c r="H54" i="6"/>
  <c r="L54" i="12" s="1"/>
  <c r="L54" i="6"/>
  <c r="O54" i="12" s="1"/>
  <c r="C49" i="6"/>
  <c r="L49" i="5" s="1"/>
  <c r="G49" i="6"/>
  <c r="K49" i="6"/>
  <c r="N49" i="12" s="1"/>
  <c r="O49" i="6"/>
  <c r="S44" i="12"/>
  <c r="B44" i="6"/>
  <c r="F44" i="6"/>
  <c r="J44" i="6"/>
  <c r="N44" i="6"/>
  <c r="D38" i="6"/>
  <c r="H38" i="6"/>
  <c r="P38" i="12" s="1"/>
  <c r="L38" i="6"/>
  <c r="C33" i="6"/>
  <c r="L33" i="5" s="1"/>
  <c r="G33" i="6"/>
  <c r="K33" i="6"/>
  <c r="N33" i="12" s="1"/>
  <c r="O33" i="6"/>
  <c r="Q23" i="12"/>
  <c r="C23" i="6"/>
  <c r="L23" i="5" s="1"/>
  <c r="G23" i="6"/>
  <c r="K23" i="6"/>
  <c r="S23" i="12" s="1"/>
  <c r="O23" i="6"/>
  <c r="E23" i="6"/>
  <c r="J23" i="6"/>
  <c r="B23" i="6"/>
  <c r="H23" i="6"/>
  <c r="M23" i="6"/>
  <c r="D20" i="6"/>
  <c r="H20" i="6"/>
  <c r="P20" i="12" s="1"/>
  <c r="L20" i="6"/>
  <c r="B20" i="6"/>
  <c r="G20" i="6"/>
  <c r="M20" i="6"/>
  <c r="E20" i="6"/>
  <c r="J20" i="6"/>
  <c r="O20" i="6"/>
  <c r="D12" i="6"/>
  <c r="H12" i="6"/>
  <c r="L12" i="6"/>
  <c r="O12" i="12" s="1"/>
  <c r="E12" i="6"/>
  <c r="J12" i="6"/>
  <c r="O12" i="6"/>
  <c r="B12" i="6"/>
  <c r="G12" i="6"/>
  <c r="M12" i="6"/>
  <c r="B49" i="8"/>
  <c r="F49" i="8"/>
  <c r="J49" i="8"/>
  <c r="C49" i="8"/>
  <c r="H49" i="8"/>
  <c r="E49" i="8"/>
  <c r="D48" i="8"/>
  <c r="H48" i="8"/>
  <c r="B48" i="8"/>
  <c r="G48" i="8"/>
  <c r="E48" i="8"/>
  <c r="J48" i="8"/>
  <c r="B33" i="8"/>
  <c r="F33" i="8"/>
  <c r="J33" i="8"/>
  <c r="C33" i="8"/>
  <c r="H33" i="8"/>
  <c r="E33" i="8"/>
  <c r="D32" i="8"/>
  <c r="H32" i="8"/>
  <c r="B32" i="8"/>
  <c r="G32" i="8"/>
  <c r="E32" i="8"/>
  <c r="J32" i="8"/>
  <c r="B17" i="8"/>
  <c r="F17" i="8"/>
  <c r="J17" i="8"/>
  <c r="C17" i="8"/>
  <c r="H17" i="8"/>
  <c r="E17" i="8"/>
  <c r="D16" i="8"/>
  <c r="H16" i="8"/>
  <c r="B16" i="8"/>
  <c r="G16" i="8"/>
  <c r="E16" i="8"/>
  <c r="J16" i="8"/>
  <c r="N183" i="10"/>
  <c r="N180" i="10"/>
  <c r="C175" i="10"/>
  <c r="G175" i="10"/>
  <c r="K175" i="10"/>
  <c r="O175" i="10"/>
  <c r="B175" i="10"/>
  <c r="H175" i="10"/>
  <c r="M175" i="10"/>
  <c r="E175" i="10"/>
  <c r="J175" i="10"/>
  <c r="N172" i="10"/>
  <c r="C167" i="10"/>
  <c r="G167" i="10"/>
  <c r="K167" i="10"/>
  <c r="O167" i="10"/>
  <c r="E167" i="10"/>
  <c r="J167" i="10"/>
  <c r="B167" i="10"/>
  <c r="H167" i="10"/>
  <c r="M167" i="10"/>
  <c r="D164" i="10"/>
  <c r="H164" i="10"/>
  <c r="L164" i="10"/>
  <c r="B164" i="10"/>
  <c r="G164" i="10"/>
  <c r="M164" i="10"/>
  <c r="E164" i="10"/>
  <c r="J164" i="10"/>
  <c r="O164" i="10"/>
  <c r="D156" i="10"/>
  <c r="H156" i="10"/>
  <c r="L156" i="10"/>
  <c r="E156" i="10"/>
  <c r="J156" i="10"/>
  <c r="O156" i="10"/>
  <c r="B156" i="10"/>
  <c r="G156" i="10"/>
  <c r="M156" i="10"/>
  <c r="O154" i="10"/>
  <c r="B91" i="10"/>
  <c r="F91" i="10"/>
  <c r="J91" i="10"/>
  <c r="N91" i="10"/>
  <c r="C91" i="10"/>
  <c r="G91" i="10"/>
  <c r="K91" i="10"/>
  <c r="O91" i="10"/>
  <c r="D91" i="10"/>
  <c r="H91" i="10"/>
  <c r="L91" i="10"/>
  <c r="E91" i="10"/>
  <c r="I91" i="10"/>
  <c r="M91" i="10"/>
  <c r="B59" i="10"/>
  <c r="F59" i="10"/>
  <c r="J59" i="10"/>
  <c r="N59" i="10"/>
  <c r="C59" i="10"/>
  <c r="G59" i="10"/>
  <c r="K59" i="10"/>
  <c r="O59" i="10"/>
  <c r="D59" i="10"/>
  <c r="H59" i="10"/>
  <c r="L59" i="10"/>
  <c r="E59" i="10"/>
  <c r="I59" i="10"/>
  <c r="M59" i="10"/>
  <c r="B27" i="10"/>
  <c r="F27" i="10"/>
  <c r="J27" i="10"/>
  <c r="N27" i="10"/>
  <c r="C27" i="10"/>
  <c r="G27" i="10"/>
  <c r="K27" i="10"/>
  <c r="O27" i="10"/>
  <c r="D27" i="10"/>
  <c r="H27" i="10"/>
  <c r="L27" i="10"/>
  <c r="E27" i="10"/>
  <c r="I27" i="10"/>
  <c r="M27" i="10"/>
  <c r="B21" i="8"/>
  <c r="F21" i="8"/>
  <c r="J21" i="8"/>
  <c r="E21" i="8"/>
  <c r="C21" i="8"/>
  <c r="H21" i="8"/>
  <c r="D20" i="8"/>
  <c r="H20" i="8"/>
  <c r="E20" i="8"/>
  <c r="J20" i="8"/>
  <c r="B20" i="8"/>
  <c r="G20" i="8"/>
  <c r="C183" i="10"/>
  <c r="G183" i="10"/>
  <c r="K183" i="10"/>
  <c r="O183" i="10"/>
  <c r="E183" i="10"/>
  <c r="J183" i="10"/>
  <c r="B183" i="10"/>
  <c r="H183" i="10"/>
  <c r="M183" i="10"/>
  <c r="D180" i="10"/>
  <c r="H180" i="10"/>
  <c r="L180" i="10"/>
  <c r="B180" i="10"/>
  <c r="G180" i="10"/>
  <c r="M180" i="10"/>
  <c r="E180" i="10"/>
  <c r="J180" i="10"/>
  <c r="O180" i="10"/>
  <c r="D172" i="10"/>
  <c r="H172" i="10"/>
  <c r="L172" i="10"/>
  <c r="E172" i="10"/>
  <c r="J172" i="10"/>
  <c r="O172" i="10"/>
  <c r="B172" i="10"/>
  <c r="G172" i="10"/>
  <c r="M172" i="10"/>
  <c r="B154" i="10"/>
  <c r="F154" i="10"/>
  <c r="J154" i="10"/>
  <c r="N154" i="10"/>
  <c r="C154" i="10"/>
  <c r="H154" i="10"/>
  <c r="M154" i="10"/>
  <c r="E154" i="10"/>
  <c r="K154" i="10"/>
  <c r="C147" i="10"/>
  <c r="G147" i="10"/>
  <c r="K147" i="10"/>
  <c r="O147" i="10"/>
  <c r="D147" i="10"/>
  <c r="H147" i="10"/>
  <c r="L147" i="10"/>
  <c r="B147" i="10"/>
  <c r="J147" i="10"/>
  <c r="F147" i="10"/>
  <c r="N147" i="10"/>
  <c r="C143" i="10"/>
  <c r="G143" i="10"/>
  <c r="K143" i="10"/>
  <c r="O143" i="10"/>
  <c r="D143" i="10"/>
  <c r="H143" i="10"/>
  <c r="L143" i="10"/>
  <c r="F143" i="10"/>
  <c r="N143" i="10"/>
  <c r="B143" i="10"/>
  <c r="J143" i="10"/>
  <c r="B99" i="10"/>
  <c r="F99" i="10"/>
  <c r="J99" i="10"/>
  <c r="N99" i="10"/>
  <c r="C99" i="10"/>
  <c r="G99" i="10"/>
  <c r="K99" i="10"/>
  <c r="O99" i="10"/>
  <c r="D99" i="10"/>
  <c r="H99" i="10"/>
  <c r="L99" i="10"/>
  <c r="E99" i="10"/>
  <c r="I99" i="10"/>
  <c r="M99" i="10"/>
  <c r="B67" i="10"/>
  <c r="F67" i="10"/>
  <c r="J67" i="10"/>
  <c r="N67" i="10"/>
  <c r="C67" i="10"/>
  <c r="G67" i="10"/>
  <c r="K67" i="10"/>
  <c r="O67" i="10"/>
  <c r="D67" i="10"/>
  <c r="H67" i="10"/>
  <c r="L67" i="10"/>
  <c r="E67" i="10"/>
  <c r="I67" i="10"/>
  <c r="M67" i="10"/>
  <c r="B35" i="10"/>
  <c r="F35" i="10"/>
  <c r="J35" i="10"/>
  <c r="N35" i="10"/>
  <c r="C35" i="10"/>
  <c r="G35" i="10"/>
  <c r="K35" i="10"/>
  <c r="O35" i="10"/>
  <c r="D35" i="10"/>
  <c r="H35" i="10"/>
  <c r="L35" i="10"/>
  <c r="E35" i="10"/>
  <c r="I35" i="10"/>
  <c r="M35" i="10"/>
  <c r="R135" i="12"/>
  <c r="S127" i="12"/>
  <c r="R127" i="12"/>
  <c r="P119" i="12"/>
  <c r="R111" i="12"/>
  <c r="O109" i="6"/>
  <c r="K109" i="6"/>
  <c r="G109" i="6"/>
  <c r="C109" i="6"/>
  <c r="L109" i="5" s="1"/>
  <c r="M109" i="5" s="1"/>
  <c r="O105" i="6"/>
  <c r="K105" i="6"/>
  <c r="S105" i="12" s="1"/>
  <c r="G105" i="6"/>
  <c r="C105" i="6"/>
  <c r="S103" i="12"/>
  <c r="R103" i="12"/>
  <c r="O101" i="6"/>
  <c r="K101" i="6"/>
  <c r="S101" i="12" s="1"/>
  <c r="G101" i="6"/>
  <c r="C101" i="6"/>
  <c r="O97" i="6"/>
  <c r="K97" i="6"/>
  <c r="S97" i="12" s="1"/>
  <c r="G97" i="6"/>
  <c r="C97" i="6"/>
  <c r="L97" i="5" s="1"/>
  <c r="S95" i="12"/>
  <c r="O93" i="6"/>
  <c r="K93" i="6"/>
  <c r="N93" i="12" s="1"/>
  <c r="G93" i="6"/>
  <c r="C93" i="6"/>
  <c r="R91" i="12"/>
  <c r="S91" i="12"/>
  <c r="O89" i="6"/>
  <c r="K89" i="6"/>
  <c r="N89" i="12" s="1"/>
  <c r="G89" i="6"/>
  <c r="C89" i="6"/>
  <c r="L89" i="5" s="1"/>
  <c r="O85" i="6"/>
  <c r="K85" i="6"/>
  <c r="N85" i="12" s="1"/>
  <c r="G85" i="6"/>
  <c r="C85" i="6"/>
  <c r="L85" i="5" s="1"/>
  <c r="P83" i="12"/>
  <c r="O81" i="6"/>
  <c r="K81" i="6"/>
  <c r="R81" i="12" s="1"/>
  <c r="G81" i="6"/>
  <c r="C81" i="6"/>
  <c r="O77" i="6"/>
  <c r="K77" i="6"/>
  <c r="S77" i="12" s="1"/>
  <c r="G77" i="6"/>
  <c r="C77" i="6"/>
  <c r="L77" i="5" s="1"/>
  <c r="O73" i="6"/>
  <c r="K73" i="6"/>
  <c r="R73" i="12" s="1"/>
  <c r="G73" i="6"/>
  <c r="C73" i="6"/>
  <c r="O69" i="6"/>
  <c r="K69" i="6"/>
  <c r="N69" i="12" s="1"/>
  <c r="G69" i="6"/>
  <c r="C69" i="6"/>
  <c r="L69" i="5" s="1"/>
  <c r="M69" i="5" s="1"/>
  <c r="N65" i="6"/>
  <c r="I65" i="6"/>
  <c r="D65" i="6"/>
  <c r="D62" i="6"/>
  <c r="H62" i="6"/>
  <c r="L62" i="6"/>
  <c r="O62" i="12" s="1"/>
  <c r="O60" i="6"/>
  <c r="I60" i="6"/>
  <c r="Q60" i="12" s="1"/>
  <c r="D60" i="6"/>
  <c r="C57" i="6"/>
  <c r="G57" i="6"/>
  <c r="K57" i="6"/>
  <c r="N57" i="12" s="1"/>
  <c r="O57" i="6"/>
  <c r="N54" i="6"/>
  <c r="I54" i="6"/>
  <c r="Q54" i="12" s="1"/>
  <c r="C54" i="6"/>
  <c r="L54" i="5" s="1"/>
  <c r="B52" i="6"/>
  <c r="F52" i="6"/>
  <c r="J52" i="6"/>
  <c r="N52" i="6"/>
  <c r="N49" i="6"/>
  <c r="I49" i="6"/>
  <c r="Q48" i="12" s="1"/>
  <c r="D49" i="6"/>
  <c r="Q46" i="12"/>
  <c r="D46" i="6"/>
  <c r="H46" i="6"/>
  <c r="P46" i="12" s="1"/>
  <c r="L46" i="6"/>
  <c r="O46" i="12" s="1"/>
  <c r="O44" i="6"/>
  <c r="I44" i="6"/>
  <c r="D44" i="6"/>
  <c r="C41" i="6"/>
  <c r="G41" i="6"/>
  <c r="K41" i="6"/>
  <c r="O41" i="6"/>
  <c r="N38" i="6"/>
  <c r="I38" i="6"/>
  <c r="M38" i="12" s="1"/>
  <c r="C38" i="6"/>
  <c r="L38" i="5" s="1"/>
  <c r="B36" i="6"/>
  <c r="F36" i="6"/>
  <c r="J36" i="6"/>
  <c r="N36" i="6"/>
  <c r="N33" i="6"/>
  <c r="I33" i="6"/>
  <c r="Q33" i="12" s="1"/>
  <c r="D33" i="6"/>
  <c r="Q30" i="12"/>
  <c r="B30" i="6"/>
  <c r="F30" i="6"/>
  <c r="J30" i="6"/>
  <c r="N30" i="6"/>
  <c r="D30" i="6"/>
  <c r="H30" i="6"/>
  <c r="L30" i="12" s="1"/>
  <c r="L30" i="6"/>
  <c r="O30" i="12" s="1"/>
  <c r="B26" i="6"/>
  <c r="F26" i="6"/>
  <c r="J26" i="6"/>
  <c r="N26" i="6"/>
  <c r="C26" i="6"/>
  <c r="L26" i="5" s="1"/>
  <c r="H26" i="6"/>
  <c r="M26" i="6"/>
  <c r="E26" i="6"/>
  <c r="K26" i="6"/>
  <c r="S26" i="12" s="1"/>
  <c r="F23" i="6"/>
  <c r="F20" i="6"/>
  <c r="B18" i="6"/>
  <c r="F18" i="6"/>
  <c r="J18" i="6"/>
  <c r="N18" i="6"/>
  <c r="E18" i="6"/>
  <c r="K18" i="6"/>
  <c r="S18" i="12" s="1"/>
  <c r="C18" i="6"/>
  <c r="H18" i="6"/>
  <c r="M18" i="6"/>
  <c r="F12" i="6"/>
  <c r="D56" i="8"/>
  <c r="H56" i="8"/>
  <c r="B56" i="8"/>
  <c r="G56" i="8"/>
  <c r="E56" i="8"/>
  <c r="J56" i="8"/>
  <c r="G49" i="8"/>
  <c r="F48" i="8"/>
  <c r="B41" i="8"/>
  <c r="F41" i="8"/>
  <c r="J41" i="8"/>
  <c r="C41" i="8"/>
  <c r="H41" i="8"/>
  <c r="E41" i="8"/>
  <c r="D40" i="8"/>
  <c r="H40" i="8"/>
  <c r="B40" i="8"/>
  <c r="G40" i="8"/>
  <c r="E40" i="8"/>
  <c r="J40" i="8"/>
  <c r="G33" i="8"/>
  <c r="F32" i="8"/>
  <c r="B25" i="8"/>
  <c r="F25" i="8"/>
  <c r="J25" i="8"/>
  <c r="C25" i="8"/>
  <c r="H25" i="8"/>
  <c r="E25" i="8"/>
  <c r="D24" i="8"/>
  <c r="H24" i="8"/>
  <c r="B24" i="8"/>
  <c r="G24" i="8"/>
  <c r="E24" i="8"/>
  <c r="J24" i="8"/>
  <c r="I21" i="8"/>
  <c r="I20" i="8"/>
  <c r="G17" i="8"/>
  <c r="F16" i="8"/>
  <c r="B9" i="8"/>
  <c r="F9" i="8"/>
  <c r="J9" i="8"/>
  <c r="C9" i="8"/>
  <c r="H9" i="8"/>
  <c r="E9" i="8"/>
  <c r="D8" i="8"/>
  <c r="H8" i="8"/>
  <c r="B8" i="8"/>
  <c r="G8" i="8"/>
  <c r="E8" i="8"/>
  <c r="J8" i="8"/>
  <c r="D188" i="10"/>
  <c r="H188" i="10"/>
  <c r="L188" i="10"/>
  <c r="E188" i="10"/>
  <c r="J188" i="10"/>
  <c r="O188" i="10"/>
  <c r="B188" i="10"/>
  <c r="G188" i="10"/>
  <c r="M188" i="10"/>
  <c r="I183" i="10"/>
  <c r="I180" i="10"/>
  <c r="F175" i="10"/>
  <c r="I172" i="10"/>
  <c r="B170" i="10"/>
  <c r="F170" i="10"/>
  <c r="J170" i="10"/>
  <c r="N170" i="10"/>
  <c r="C170" i="10"/>
  <c r="H170" i="10"/>
  <c r="M170" i="10"/>
  <c r="E170" i="10"/>
  <c r="K170" i="10"/>
  <c r="F167" i="10"/>
  <c r="F164" i="10"/>
  <c r="B162" i="10"/>
  <c r="F162" i="10"/>
  <c r="J162" i="10"/>
  <c r="N162" i="10"/>
  <c r="E162" i="10"/>
  <c r="K162" i="10"/>
  <c r="C162" i="10"/>
  <c r="H162" i="10"/>
  <c r="M162" i="10"/>
  <c r="F156" i="10"/>
  <c r="I154" i="10"/>
  <c r="M147" i="10"/>
  <c r="M143" i="10"/>
  <c r="C123" i="10"/>
  <c r="G123" i="10"/>
  <c r="K123" i="10"/>
  <c r="O123" i="10"/>
  <c r="D123" i="10"/>
  <c r="H123" i="10"/>
  <c r="L123" i="10"/>
  <c r="B123" i="10"/>
  <c r="J123" i="10"/>
  <c r="E123" i="10"/>
  <c r="M123" i="10"/>
  <c r="F123" i="10"/>
  <c r="N123" i="10"/>
  <c r="B107" i="10"/>
  <c r="F107" i="10"/>
  <c r="J107" i="10"/>
  <c r="N107" i="10"/>
  <c r="C107" i="10"/>
  <c r="G107" i="10"/>
  <c r="K107" i="10"/>
  <c r="O107" i="10"/>
  <c r="D107" i="10"/>
  <c r="H107" i="10"/>
  <c r="L107" i="10"/>
  <c r="E107" i="10"/>
  <c r="I107" i="10"/>
  <c r="M107" i="10"/>
  <c r="B75" i="10"/>
  <c r="F75" i="10"/>
  <c r="J75" i="10"/>
  <c r="N75" i="10"/>
  <c r="C75" i="10"/>
  <c r="G75" i="10"/>
  <c r="K75" i="10"/>
  <c r="O75" i="10"/>
  <c r="D75" i="10"/>
  <c r="H75" i="10"/>
  <c r="L75" i="10"/>
  <c r="E75" i="10"/>
  <c r="I75" i="10"/>
  <c r="M75" i="10"/>
  <c r="B43" i="10"/>
  <c r="F43" i="10"/>
  <c r="J43" i="10"/>
  <c r="N43" i="10"/>
  <c r="C43" i="10"/>
  <c r="G43" i="10"/>
  <c r="K43" i="10"/>
  <c r="O43" i="10"/>
  <c r="D43" i="10"/>
  <c r="H43" i="10"/>
  <c r="L43" i="10"/>
  <c r="E43" i="10"/>
  <c r="I43" i="10"/>
  <c r="M43" i="10"/>
  <c r="P47" i="12"/>
  <c r="O29" i="6"/>
  <c r="K29" i="6"/>
  <c r="G29" i="6"/>
  <c r="N24" i="6"/>
  <c r="I24" i="6"/>
  <c r="M24" i="12" s="1"/>
  <c r="B22" i="6"/>
  <c r="F22" i="6"/>
  <c r="J22" i="6"/>
  <c r="N22" i="6"/>
  <c r="N19" i="6"/>
  <c r="I19" i="6"/>
  <c r="D16" i="6"/>
  <c r="H16" i="6"/>
  <c r="P16" i="12" s="1"/>
  <c r="L16" i="6"/>
  <c r="O16" i="12" s="1"/>
  <c r="O14" i="6"/>
  <c r="I14" i="6"/>
  <c r="Q11" i="12"/>
  <c r="C11" i="6"/>
  <c r="G11" i="6"/>
  <c r="K11" i="6"/>
  <c r="N11" i="12" s="1"/>
  <c r="O11" i="6"/>
  <c r="N8" i="6"/>
  <c r="I8" i="6"/>
  <c r="I55" i="8"/>
  <c r="I54" i="8"/>
  <c r="B51" i="8"/>
  <c r="F51" i="8"/>
  <c r="J51" i="8"/>
  <c r="D50" i="8"/>
  <c r="H50" i="8"/>
  <c r="I47" i="8"/>
  <c r="I46" i="8"/>
  <c r="B43" i="8"/>
  <c r="F43" i="8"/>
  <c r="J43" i="8"/>
  <c r="D42" i="8"/>
  <c r="H42" i="8"/>
  <c r="I39" i="8"/>
  <c r="I38" i="8"/>
  <c r="B35" i="8"/>
  <c r="F35" i="8"/>
  <c r="J35" i="8"/>
  <c r="D34" i="8"/>
  <c r="H34" i="8"/>
  <c r="I31" i="8"/>
  <c r="I30" i="8"/>
  <c r="B27" i="8"/>
  <c r="F27" i="8"/>
  <c r="J27" i="8"/>
  <c r="D26" i="8"/>
  <c r="H26" i="8"/>
  <c r="I23" i="8"/>
  <c r="I22" i="8"/>
  <c r="B19" i="8"/>
  <c r="F19" i="8"/>
  <c r="J19" i="8"/>
  <c r="D18" i="8"/>
  <c r="H18" i="8"/>
  <c r="I15" i="8"/>
  <c r="I14" i="8"/>
  <c r="B11" i="8"/>
  <c r="F11" i="8"/>
  <c r="J11" i="8"/>
  <c r="D10" i="8"/>
  <c r="H10" i="8"/>
  <c r="I7" i="8"/>
  <c r="C187" i="10"/>
  <c r="G187" i="10"/>
  <c r="K187" i="10"/>
  <c r="O187" i="10"/>
  <c r="N184" i="10"/>
  <c r="I184" i="10"/>
  <c r="B182" i="10"/>
  <c r="F182" i="10"/>
  <c r="J182" i="10"/>
  <c r="N182" i="10"/>
  <c r="N179" i="10"/>
  <c r="I179" i="10"/>
  <c r="D176" i="10"/>
  <c r="H176" i="10"/>
  <c r="L176" i="10"/>
  <c r="O174" i="10"/>
  <c r="I174" i="10"/>
  <c r="C171" i="10"/>
  <c r="G171" i="10"/>
  <c r="K171" i="10"/>
  <c r="O171" i="10"/>
  <c r="N168" i="10"/>
  <c r="I168" i="10"/>
  <c r="B166" i="10"/>
  <c r="F166" i="10"/>
  <c r="J166" i="10"/>
  <c r="N166" i="10"/>
  <c r="N163" i="10"/>
  <c r="I163" i="10"/>
  <c r="D160" i="10"/>
  <c r="H160" i="10"/>
  <c r="L160" i="10"/>
  <c r="O158" i="10"/>
  <c r="I158" i="10"/>
  <c r="C155" i="10"/>
  <c r="G155" i="10"/>
  <c r="K155" i="10"/>
  <c r="O155" i="10"/>
  <c r="N152" i="10"/>
  <c r="I152" i="10"/>
  <c r="B150" i="10"/>
  <c r="F150" i="10"/>
  <c r="J150" i="10"/>
  <c r="N150" i="10"/>
  <c r="M146" i="10"/>
  <c r="B142" i="10"/>
  <c r="F142" i="10"/>
  <c r="J142" i="10"/>
  <c r="N142" i="10"/>
  <c r="C142" i="10"/>
  <c r="G142" i="10"/>
  <c r="K142" i="10"/>
  <c r="O142" i="10"/>
  <c r="M138" i="10"/>
  <c r="J135" i="10"/>
  <c r="B134" i="10"/>
  <c r="F134" i="10"/>
  <c r="J134" i="10"/>
  <c r="N134" i="10"/>
  <c r="C134" i="10"/>
  <c r="G134" i="10"/>
  <c r="K134" i="10"/>
  <c r="O134" i="10"/>
  <c r="M130" i="10"/>
  <c r="J127" i="10"/>
  <c r="B126" i="10"/>
  <c r="F126" i="10"/>
  <c r="J126" i="10"/>
  <c r="N126" i="10"/>
  <c r="C126" i="10"/>
  <c r="G126" i="10"/>
  <c r="K126" i="10"/>
  <c r="O126" i="10"/>
  <c r="M122" i="10"/>
  <c r="J119" i="10"/>
  <c r="B118" i="10"/>
  <c r="F118" i="10"/>
  <c r="J118" i="10"/>
  <c r="N118" i="10"/>
  <c r="C118" i="10"/>
  <c r="G118" i="10"/>
  <c r="K118" i="10"/>
  <c r="O118" i="10"/>
  <c r="L16" i="10"/>
  <c r="C135" i="10"/>
  <c r="G135" i="10"/>
  <c r="K135" i="10"/>
  <c r="O135" i="10"/>
  <c r="D135" i="10"/>
  <c r="H135" i="10"/>
  <c r="L135" i="10"/>
  <c r="C127" i="10"/>
  <c r="G127" i="10"/>
  <c r="K127" i="10"/>
  <c r="O127" i="10"/>
  <c r="D127" i="10"/>
  <c r="H127" i="10"/>
  <c r="L127" i="10"/>
  <c r="C119" i="10"/>
  <c r="G119" i="10"/>
  <c r="K119" i="10"/>
  <c r="O119" i="10"/>
  <c r="D119" i="10"/>
  <c r="H119" i="10"/>
  <c r="L119" i="10"/>
  <c r="B111" i="10"/>
  <c r="F111" i="10"/>
  <c r="J111" i="10"/>
  <c r="N111" i="10"/>
  <c r="C111" i="10"/>
  <c r="G111" i="10"/>
  <c r="K111" i="10"/>
  <c r="O111" i="10"/>
  <c r="D111" i="10"/>
  <c r="H111" i="10"/>
  <c r="L111" i="10"/>
  <c r="B103" i="10"/>
  <c r="F103" i="10"/>
  <c r="J103" i="10"/>
  <c r="N103" i="10"/>
  <c r="C103" i="10"/>
  <c r="G103" i="10"/>
  <c r="K103" i="10"/>
  <c r="O103" i="10"/>
  <c r="D103" i="10"/>
  <c r="H103" i="10"/>
  <c r="L103" i="10"/>
  <c r="B95" i="10"/>
  <c r="F95" i="10"/>
  <c r="J95" i="10"/>
  <c r="N95" i="10"/>
  <c r="C95" i="10"/>
  <c r="G95" i="10"/>
  <c r="K95" i="10"/>
  <c r="O95" i="10"/>
  <c r="D95" i="10"/>
  <c r="H95" i="10"/>
  <c r="L95" i="10"/>
  <c r="B87" i="10"/>
  <c r="F87" i="10"/>
  <c r="J87" i="10"/>
  <c r="N87" i="10"/>
  <c r="C87" i="10"/>
  <c r="G87" i="10"/>
  <c r="K87" i="10"/>
  <c r="O87" i="10"/>
  <c r="D87" i="10"/>
  <c r="H87" i="10"/>
  <c r="L87" i="10"/>
  <c r="B79" i="10"/>
  <c r="F79" i="10"/>
  <c r="J79" i="10"/>
  <c r="N79" i="10"/>
  <c r="C79" i="10"/>
  <c r="G79" i="10"/>
  <c r="K79" i="10"/>
  <c r="O79" i="10"/>
  <c r="D79" i="10"/>
  <c r="H79" i="10"/>
  <c r="L79" i="10"/>
  <c r="B71" i="10"/>
  <c r="F71" i="10"/>
  <c r="J71" i="10"/>
  <c r="N71" i="10"/>
  <c r="C71" i="10"/>
  <c r="G71" i="10"/>
  <c r="K71" i="10"/>
  <c r="O71" i="10"/>
  <c r="D71" i="10"/>
  <c r="H71" i="10"/>
  <c r="L71" i="10"/>
  <c r="B63" i="10"/>
  <c r="F63" i="10"/>
  <c r="J63" i="10"/>
  <c r="N63" i="10"/>
  <c r="C63" i="10"/>
  <c r="G63" i="10"/>
  <c r="K63" i="10"/>
  <c r="O63" i="10"/>
  <c r="D63" i="10"/>
  <c r="H63" i="10"/>
  <c r="L63" i="10"/>
  <c r="B55" i="10"/>
  <c r="F55" i="10"/>
  <c r="J55" i="10"/>
  <c r="N55" i="10"/>
  <c r="C55" i="10"/>
  <c r="G55" i="10"/>
  <c r="K55" i="10"/>
  <c r="O55" i="10"/>
  <c r="D55" i="10"/>
  <c r="H55" i="10"/>
  <c r="L55" i="10"/>
  <c r="B47" i="10"/>
  <c r="F47" i="10"/>
  <c r="J47" i="10"/>
  <c r="N47" i="10"/>
  <c r="C47" i="10"/>
  <c r="G47" i="10"/>
  <c r="K47" i="10"/>
  <c r="O47" i="10"/>
  <c r="D47" i="10"/>
  <c r="H47" i="10"/>
  <c r="L47" i="10"/>
  <c r="B39" i="10"/>
  <c r="F39" i="10"/>
  <c r="J39" i="10"/>
  <c r="N39" i="10"/>
  <c r="C39" i="10"/>
  <c r="G39" i="10"/>
  <c r="K39" i="10"/>
  <c r="O39" i="10"/>
  <c r="D39" i="10"/>
  <c r="H39" i="10"/>
  <c r="L39" i="10"/>
  <c r="B31" i="10"/>
  <c r="F31" i="10"/>
  <c r="J31" i="10"/>
  <c r="N31" i="10"/>
  <c r="C31" i="10"/>
  <c r="G31" i="10"/>
  <c r="K31" i="10"/>
  <c r="O31" i="10"/>
  <c r="D31" i="10"/>
  <c r="H31" i="10"/>
  <c r="L31" i="10"/>
  <c r="B23" i="10"/>
  <c r="F23" i="10"/>
  <c r="J23" i="10"/>
  <c r="N23" i="10"/>
  <c r="C23" i="10"/>
  <c r="G23" i="10"/>
  <c r="K23" i="10"/>
  <c r="O23" i="10"/>
  <c r="D23" i="10"/>
  <c r="H23" i="10"/>
  <c r="L23" i="10"/>
  <c r="D24" i="6"/>
  <c r="H24" i="6"/>
  <c r="L24" i="12" s="1"/>
  <c r="L24" i="6"/>
  <c r="C19" i="6"/>
  <c r="G19" i="6"/>
  <c r="K19" i="6"/>
  <c r="N19" i="12" s="1"/>
  <c r="O19" i="6"/>
  <c r="B14" i="6"/>
  <c r="F14" i="6"/>
  <c r="J14" i="6"/>
  <c r="N14" i="6"/>
  <c r="D8" i="6"/>
  <c r="H8" i="6"/>
  <c r="L8" i="6"/>
  <c r="B55" i="8"/>
  <c r="F55" i="8"/>
  <c r="J55" i="8"/>
  <c r="D54" i="8"/>
  <c r="H54" i="8"/>
  <c r="B47" i="8"/>
  <c r="F47" i="8"/>
  <c r="J47" i="8"/>
  <c r="D46" i="8"/>
  <c r="H46" i="8"/>
  <c r="B39" i="8"/>
  <c r="F39" i="8"/>
  <c r="J39" i="8"/>
  <c r="D38" i="8"/>
  <c r="H38" i="8"/>
  <c r="B31" i="8"/>
  <c r="F31" i="8"/>
  <c r="J31" i="8"/>
  <c r="D30" i="8"/>
  <c r="H30" i="8"/>
  <c r="B23" i="8"/>
  <c r="F23" i="8"/>
  <c r="J23" i="8"/>
  <c r="D22" i="8"/>
  <c r="H22" i="8"/>
  <c r="B15" i="8"/>
  <c r="F15" i="8"/>
  <c r="J15" i="8"/>
  <c r="D14" i="8"/>
  <c r="H14" i="8"/>
  <c r="B7" i="8"/>
  <c r="F7" i="8"/>
  <c r="J7" i="8"/>
  <c r="D184" i="10"/>
  <c r="H184" i="10"/>
  <c r="L184" i="10"/>
  <c r="C179" i="10"/>
  <c r="G179" i="10"/>
  <c r="K179" i="10"/>
  <c r="O179" i="10"/>
  <c r="B174" i="10"/>
  <c r="F174" i="10"/>
  <c r="J174" i="10"/>
  <c r="N174" i="10"/>
  <c r="D168" i="10"/>
  <c r="H168" i="10"/>
  <c r="L168" i="10"/>
  <c r="C163" i="10"/>
  <c r="G163" i="10"/>
  <c r="K163" i="10"/>
  <c r="O163" i="10"/>
  <c r="B158" i="10"/>
  <c r="F158" i="10"/>
  <c r="J158" i="10"/>
  <c r="N158" i="10"/>
  <c r="D152" i="10"/>
  <c r="H152" i="10"/>
  <c r="L152" i="10"/>
  <c r="B146" i="10"/>
  <c r="F146" i="10"/>
  <c r="J146" i="10"/>
  <c r="N146" i="10"/>
  <c r="C146" i="10"/>
  <c r="G146" i="10"/>
  <c r="K146" i="10"/>
  <c r="O146" i="10"/>
  <c r="B138" i="10"/>
  <c r="F138" i="10"/>
  <c r="J138" i="10"/>
  <c r="N138" i="10"/>
  <c r="C138" i="10"/>
  <c r="G138" i="10"/>
  <c r="K138" i="10"/>
  <c r="O138" i="10"/>
  <c r="N135" i="10"/>
  <c r="F135" i="10"/>
  <c r="B130" i="10"/>
  <c r="F130" i="10"/>
  <c r="J130" i="10"/>
  <c r="N130" i="10"/>
  <c r="C130" i="10"/>
  <c r="G130" i="10"/>
  <c r="K130" i="10"/>
  <c r="O130" i="10"/>
  <c r="N127" i="10"/>
  <c r="F127" i="10"/>
  <c r="E126" i="10"/>
  <c r="B122" i="10"/>
  <c r="F122" i="10"/>
  <c r="J122" i="10"/>
  <c r="N122" i="10"/>
  <c r="C122" i="10"/>
  <c r="G122" i="10"/>
  <c r="K122" i="10"/>
  <c r="O122" i="10"/>
  <c r="N119" i="10"/>
  <c r="F119" i="10"/>
  <c r="M118" i="10"/>
  <c r="E118" i="10"/>
  <c r="M111" i="10"/>
  <c r="M103" i="10"/>
  <c r="M95" i="10"/>
  <c r="M87" i="10"/>
  <c r="M79" i="10"/>
  <c r="M71" i="10"/>
  <c r="M63" i="10"/>
  <c r="M55" i="10"/>
  <c r="M47" i="10"/>
  <c r="M39" i="10"/>
  <c r="M31" i="10"/>
  <c r="M23" i="10"/>
  <c r="C21" i="10"/>
  <c r="G21" i="10"/>
  <c r="K21" i="10"/>
  <c r="O21" i="10"/>
  <c r="B21" i="10"/>
  <c r="H21" i="10"/>
  <c r="M21" i="10"/>
  <c r="D21" i="10"/>
  <c r="I21" i="10"/>
  <c r="N21" i="10"/>
  <c r="E21" i="10"/>
  <c r="J21" i="10"/>
  <c r="B16" i="10"/>
  <c r="F16" i="10"/>
  <c r="J16" i="10"/>
  <c r="N16" i="10"/>
  <c r="C16" i="10"/>
  <c r="H16" i="10"/>
  <c r="M16" i="10"/>
  <c r="D16" i="10"/>
  <c r="I16" i="10"/>
  <c r="O16" i="10"/>
  <c r="E16" i="10"/>
  <c r="K16" i="10"/>
  <c r="O114" i="10"/>
  <c r="K114" i="10"/>
  <c r="G114" i="10"/>
  <c r="C114" i="10"/>
  <c r="O110" i="10"/>
  <c r="K110" i="10"/>
  <c r="G110" i="10"/>
  <c r="C110" i="10"/>
  <c r="O106" i="10"/>
  <c r="K106" i="10"/>
  <c r="G106" i="10"/>
  <c r="C106" i="10"/>
  <c r="O102" i="10"/>
  <c r="K102" i="10"/>
  <c r="G102" i="10"/>
  <c r="C102" i="10"/>
  <c r="O98" i="10"/>
  <c r="K98" i="10"/>
  <c r="G98" i="10"/>
  <c r="C98" i="10"/>
  <c r="O94" i="10"/>
  <c r="K94" i="10"/>
  <c r="G94" i="10"/>
  <c r="C94" i="10"/>
  <c r="O90" i="10"/>
  <c r="K90" i="10"/>
  <c r="G90" i="10"/>
  <c r="C90" i="10"/>
  <c r="O86" i="10"/>
  <c r="K86" i="10"/>
  <c r="G86" i="10"/>
  <c r="C86" i="10"/>
  <c r="O82" i="10"/>
  <c r="K82" i="10"/>
  <c r="G82" i="10"/>
  <c r="C82" i="10"/>
  <c r="O78" i="10"/>
  <c r="K78" i="10"/>
  <c r="G78" i="10"/>
  <c r="C78" i="10"/>
  <c r="O74" i="10"/>
  <c r="K74" i="10"/>
  <c r="G74" i="10"/>
  <c r="C74" i="10"/>
  <c r="O70" i="10"/>
  <c r="K70" i="10"/>
  <c r="G70" i="10"/>
  <c r="C70" i="10"/>
  <c r="O66" i="10"/>
  <c r="K66" i="10"/>
  <c r="G66" i="10"/>
  <c r="C66" i="10"/>
  <c r="O62" i="10"/>
  <c r="K62" i="10"/>
  <c r="G62" i="10"/>
  <c r="C62" i="10"/>
  <c r="O58" i="10"/>
  <c r="K58" i="10"/>
  <c r="G58" i="10"/>
  <c r="C58" i="10"/>
  <c r="O54" i="10"/>
  <c r="K54" i="10"/>
  <c r="G54" i="10"/>
  <c r="C54" i="10"/>
  <c r="O50" i="10"/>
  <c r="K50" i="10"/>
  <c r="G50" i="10"/>
  <c r="C50" i="10"/>
  <c r="O46" i="10"/>
  <c r="K46" i="10"/>
  <c r="G46" i="10"/>
  <c r="C46" i="10"/>
  <c r="O42" i="10"/>
  <c r="K42" i="10"/>
  <c r="G42" i="10"/>
  <c r="C42" i="10"/>
  <c r="O38" i="10"/>
  <c r="K38" i="10"/>
  <c r="G38" i="10"/>
  <c r="C38" i="10"/>
  <c r="O34" i="10"/>
  <c r="K34" i="10"/>
  <c r="G34" i="10"/>
  <c r="C34" i="10"/>
  <c r="O30" i="10"/>
  <c r="K30" i="10"/>
  <c r="G30" i="10"/>
  <c r="C30" i="10"/>
  <c r="O26" i="10"/>
  <c r="K26" i="10"/>
  <c r="G26" i="10"/>
  <c r="C26" i="10"/>
  <c r="D22" i="10"/>
  <c r="H22" i="10"/>
  <c r="O20" i="10"/>
  <c r="I20" i="10"/>
  <c r="D20" i="10"/>
  <c r="C17" i="10"/>
  <c r="G17" i="10"/>
  <c r="K17" i="10"/>
  <c r="O17" i="10"/>
  <c r="N14" i="10"/>
  <c r="I14" i="10"/>
  <c r="C14" i="10"/>
  <c r="B12" i="10"/>
  <c r="F12" i="10"/>
  <c r="J12" i="10"/>
  <c r="N12" i="10"/>
  <c r="O10" i="10"/>
  <c r="J10" i="10"/>
  <c r="E10" i="10"/>
  <c r="B184" i="11"/>
  <c r="F184" i="11"/>
  <c r="J184" i="11"/>
  <c r="N184" i="11"/>
  <c r="C184" i="11"/>
  <c r="G184" i="11"/>
  <c r="K184" i="11"/>
  <c r="O184" i="11"/>
  <c r="D184" i="11"/>
  <c r="H184" i="11"/>
  <c r="L184" i="11"/>
  <c r="I180" i="11"/>
  <c r="B176" i="11"/>
  <c r="F176" i="11"/>
  <c r="J176" i="11"/>
  <c r="N176" i="11"/>
  <c r="C176" i="11"/>
  <c r="G176" i="11"/>
  <c r="K176" i="11"/>
  <c r="O176" i="11"/>
  <c r="D176" i="11"/>
  <c r="H176" i="11"/>
  <c r="L176" i="11"/>
  <c r="I172" i="11"/>
  <c r="Q25" i="12"/>
  <c r="Q21" i="12"/>
  <c r="S17" i="12"/>
  <c r="Q17" i="12"/>
  <c r="P17" i="12"/>
  <c r="R17" i="12"/>
  <c r="Q13" i="12"/>
  <c r="R13" i="12"/>
  <c r="P9" i="12"/>
  <c r="L148" i="10"/>
  <c r="H148" i="10"/>
  <c r="L144" i="10"/>
  <c r="H144" i="10"/>
  <c r="L140" i="10"/>
  <c r="H140" i="10"/>
  <c r="L136" i="10"/>
  <c r="H136" i="10"/>
  <c r="L132" i="10"/>
  <c r="H132" i="10"/>
  <c r="L128" i="10"/>
  <c r="H128" i="10"/>
  <c r="L124" i="10"/>
  <c r="H124" i="10"/>
  <c r="L120" i="10"/>
  <c r="H120" i="10"/>
  <c r="L116" i="10"/>
  <c r="H116" i="10"/>
  <c r="N114" i="10"/>
  <c r="J114" i="10"/>
  <c r="F114" i="10"/>
  <c r="L112" i="10"/>
  <c r="H112" i="10"/>
  <c r="N110" i="10"/>
  <c r="J110" i="10"/>
  <c r="F110" i="10"/>
  <c r="L108" i="10"/>
  <c r="H108" i="10"/>
  <c r="N106" i="10"/>
  <c r="J106" i="10"/>
  <c r="F106" i="10"/>
  <c r="L104" i="10"/>
  <c r="H104" i="10"/>
  <c r="N102" i="10"/>
  <c r="J102" i="10"/>
  <c r="F102" i="10"/>
  <c r="L100" i="10"/>
  <c r="H100" i="10"/>
  <c r="N98" i="10"/>
  <c r="J98" i="10"/>
  <c r="F98" i="10"/>
  <c r="L96" i="10"/>
  <c r="H96" i="10"/>
  <c r="N94" i="10"/>
  <c r="J94" i="10"/>
  <c r="F94" i="10"/>
  <c r="L92" i="10"/>
  <c r="H92" i="10"/>
  <c r="N90" i="10"/>
  <c r="J90" i="10"/>
  <c r="F90" i="10"/>
  <c r="L88" i="10"/>
  <c r="H88" i="10"/>
  <c r="N86" i="10"/>
  <c r="J86" i="10"/>
  <c r="F86" i="10"/>
  <c r="L84" i="10"/>
  <c r="H84" i="10"/>
  <c r="N82" i="10"/>
  <c r="J82" i="10"/>
  <c r="F82" i="10"/>
  <c r="L80" i="10"/>
  <c r="H80" i="10"/>
  <c r="N78" i="10"/>
  <c r="J78" i="10"/>
  <c r="F78" i="10"/>
  <c r="L76" i="10"/>
  <c r="H76" i="10"/>
  <c r="N74" i="10"/>
  <c r="J74" i="10"/>
  <c r="F74" i="10"/>
  <c r="L72" i="10"/>
  <c r="H72" i="10"/>
  <c r="N70" i="10"/>
  <c r="J70" i="10"/>
  <c r="F70" i="10"/>
  <c r="L68" i="10"/>
  <c r="H68" i="10"/>
  <c r="N66" i="10"/>
  <c r="J66" i="10"/>
  <c r="F66" i="10"/>
  <c r="L64" i="10"/>
  <c r="H64" i="10"/>
  <c r="N62" i="10"/>
  <c r="J62" i="10"/>
  <c r="F62" i="10"/>
  <c r="L60" i="10"/>
  <c r="H60" i="10"/>
  <c r="N58" i="10"/>
  <c r="J58" i="10"/>
  <c r="F58" i="10"/>
  <c r="L56" i="10"/>
  <c r="H56" i="10"/>
  <c r="N54" i="10"/>
  <c r="J54" i="10"/>
  <c r="F54" i="10"/>
  <c r="L52" i="10"/>
  <c r="H52" i="10"/>
  <c r="N50" i="10"/>
  <c r="J50" i="10"/>
  <c r="F50" i="10"/>
  <c r="L48" i="10"/>
  <c r="H48" i="10"/>
  <c r="N46" i="10"/>
  <c r="J46" i="10"/>
  <c r="F46" i="10"/>
  <c r="L44" i="10"/>
  <c r="H44" i="10"/>
  <c r="N42" i="10"/>
  <c r="J42" i="10"/>
  <c r="F42" i="10"/>
  <c r="L40" i="10"/>
  <c r="H40" i="10"/>
  <c r="N38" i="10"/>
  <c r="J38" i="10"/>
  <c r="F38" i="10"/>
  <c r="L36" i="10"/>
  <c r="H36" i="10"/>
  <c r="N34" i="10"/>
  <c r="J34" i="10"/>
  <c r="F34" i="10"/>
  <c r="L32" i="10"/>
  <c r="H32" i="10"/>
  <c r="N30" i="10"/>
  <c r="J30" i="10"/>
  <c r="F30" i="10"/>
  <c r="L28" i="10"/>
  <c r="H28" i="10"/>
  <c r="N26" i="10"/>
  <c r="J26" i="10"/>
  <c r="F26" i="10"/>
  <c r="L24" i="10"/>
  <c r="H24" i="10"/>
  <c r="N22" i="10"/>
  <c r="J22" i="10"/>
  <c r="E22" i="10"/>
  <c r="M20" i="10"/>
  <c r="H20" i="10"/>
  <c r="D18" i="10"/>
  <c r="H18" i="10"/>
  <c r="L18" i="10"/>
  <c r="J17" i="10"/>
  <c r="E17" i="10"/>
  <c r="M14" i="10"/>
  <c r="G14" i="10"/>
  <c r="C13" i="10"/>
  <c r="G13" i="10"/>
  <c r="K13" i="10"/>
  <c r="O13" i="10"/>
  <c r="K12" i="10"/>
  <c r="E12" i="10"/>
  <c r="N10" i="10"/>
  <c r="I10" i="10"/>
  <c r="B9" i="10"/>
  <c r="F9" i="10"/>
  <c r="J9" i="10"/>
  <c r="N9" i="10"/>
  <c r="C9" i="10"/>
  <c r="G9" i="10"/>
  <c r="K9" i="10"/>
  <c r="O9" i="10"/>
  <c r="J188" i="11"/>
  <c r="B187" i="11"/>
  <c r="F187" i="11"/>
  <c r="J187" i="11"/>
  <c r="N187" i="11"/>
  <c r="C187" i="11"/>
  <c r="G187" i="11"/>
  <c r="K187" i="11"/>
  <c r="O187" i="11"/>
  <c r="M184" i="11"/>
  <c r="M176" i="11"/>
  <c r="B20" i="10"/>
  <c r="F20" i="10"/>
  <c r="J20" i="10"/>
  <c r="N20" i="10"/>
  <c r="D14" i="10"/>
  <c r="H14" i="10"/>
  <c r="L14" i="10"/>
  <c r="C10" i="10"/>
  <c r="D10" i="10"/>
  <c r="H10" i="10"/>
  <c r="L10" i="10"/>
  <c r="C188" i="11"/>
  <c r="G188" i="11"/>
  <c r="K188" i="11"/>
  <c r="O188" i="11"/>
  <c r="D188" i="11"/>
  <c r="H188" i="11"/>
  <c r="L188" i="11"/>
  <c r="I184" i="11"/>
  <c r="B180" i="11"/>
  <c r="F180" i="11"/>
  <c r="J180" i="11"/>
  <c r="N180" i="11"/>
  <c r="C180" i="11"/>
  <c r="G180" i="11"/>
  <c r="K180" i="11"/>
  <c r="O180" i="11"/>
  <c r="D180" i="11"/>
  <c r="H180" i="11"/>
  <c r="L180" i="11"/>
  <c r="I176" i="11"/>
  <c r="B172" i="11"/>
  <c r="F172" i="11"/>
  <c r="J172" i="11"/>
  <c r="N172" i="11"/>
  <c r="C172" i="11"/>
  <c r="G172" i="11"/>
  <c r="K172" i="11"/>
  <c r="O172" i="11"/>
  <c r="D172" i="11"/>
  <c r="H172" i="11"/>
  <c r="L172" i="11"/>
  <c r="L143" i="11"/>
  <c r="H143" i="11"/>
  <c r="D143" i="11"/>
  <c r="N141" i="11"/>
  <c r="J141" i="11"/>
  <c r="F141" i="11"/>
  <c r="B141" i="11"/>
  <c r="L139" i="11"/>
  <c r="H139" i="11"/>
  <c r="D139" i="11"/>
  <c r="N137" i="11"/>
  <c r="J137" i="11"/>
  <c r="F137" i="11"/>
  <c r="B137" i="11"/>
  <c r="L135" i="11"/>
  <c r="H135" i="11"/>
  <c r="D135" i="11"/>
  <c r="N133" i="11"/>
  <c r="J133" i="11"/>
  <c r="F133" i="11"/>
  <c r="B133" i="11"/>
  <c r="L131" i="11"/>
  <c r="H131" i="11"/>
  <c r="D131" i="11"/>
  <c r="M128" i="11"/>
  <c r="H128" i="11"/>
  <c r="B127" i="11"/>
  <c r="F127" i="11"/>
  <c r="J127" i="11"/>
  <c r="N127" i="11"/>
  <c r="O125" i="11"/>
  <c r="J125" i="11"/>
  <c r="E125" i="11"/>
  <c r="M123" i="11"/>
  <c r="H123" i="11"/>
  <c r="D121" i="11"/>
  <c r="H121" i="11"/>
  <c r="L121" i="11"/>
  <c r="J120" i="11"/>
  <c r="E120" i="11"/>
  <c r="M117" i="11"/>
  <c r="G117" i="11"/>
  <c r="C116" i="11"/>
  <c r="G116" i="11"/>
  <c r="K116" i="11"/>
  <c r="O116" i="11"/>
  <c r="K115" i="11"/>
  <c r="E115" i="11"/>
  <c r="M112" i="11"/>
  <c r="H112" i="11"/>
  <c r="B111" i="11"/>
  <c r="F111" i="11"/>
  <c r="J111" i="11"/>
  <c r="N111" i="11"/>
  <c r="O109" i="11"/>
  <c r="J109" i="11"/>
  <c r="E109" i="11"/>
  <c r="M107" i="11"/>
  <c r="H107" i="11"/>
  <c r="D105" i="11"/>
  <c r="H105" i="11"/>
  <c r="L105" i="11"/>
  <c r="J104" i="11"/>
  <c r="E104" i="11"/>
  <c r="M101" i="11"/>
  <c r="G101" i="11"/>
  <c r="C100" i="11"/>
  <c r="G100" i="11"/>
  <c r="K100" i="11"/>
  <c r="O100" i="11"/>
  <c r="K99" i="11"/>
  <c r="E99" i="11"/>
  <c r="M96" i="11"/>
  <c r="H96" i="11"/>
  <c r="B95" i="11"/>
  <c r="F95" i="11"/>
  <c r="J95" i="11"/>
  <c r="N95" i="11"/>
  <c r="O93" i="11"/>
  <c r="J93" i="11"/>
  <c r="E93" i="11"/>
  <c r="M91" i="11"/>
  <c r="H91" i="11"/>
  <c r="D89" i="11"/>
  <c r="H89" i="11"/>
  <c r="L89" i="11"/>
  <c r="B89" i="11"/>
  <c r="F89" i="11"/>
  <c r="J89" i="11"/>
  <c r="N89" i="11"/>
  <c r="O87" i="11"/>
  <c r="G87" i="11"/>
  <c r="K83" i="11"/>
  <c r="D81" i="11"/>
  <c r="H81" i="11"/>
  <c r="L81" i="11"/>
  <c r="B81" i="11"/>
  <c r="F81" i="11"/>
  <c r="J81" i="11"/>
  <c r="N81" i="11"/>
  <c r="O79" i="11"/>
  <c r="G79" i="11"/>
  <c r="K75" i="11"/>
  <c r="D73" i="11"/>
  <c r="H73" i="11"/>
  <c r="L73" i="11"/>
  <c r="B73" i="11"/>
  <c r="F73" i="11"/>
  <c r="J73" i="11"/>
  <c r="N73" i="11"/>
  <c r="O71" i="11"/>
  <c r="G71" i="11"/>
  <c r="M63" i="11"/>
  <c r="O183" i="11"/>
  <c r="K183" i="11"/>
  <c r="G183" i="11"/>
  <c r="C183" i="11"/>
  <c r="O179" i="11"/>
  <c r="K179" i="11"/>
  <c r="G179" i="11"/>
  <c r="C179" i="11"/>
  <c r="O175" i="11"/>
  <c r="K175" i="11"/>
  <c r="G175" i="11"/>
  <c r="C175" i="11"/>
  <c r="O171" i="11"/>
  <c r="K171" i="11"/>
  <c r="G171" i="11"/>
  <c r="C171" i="11"/>
  <c r="L168" i="11"/>
  <c r="H168" i="11"/>
  <c r="D168" i="11"/>
  <c r="O167" i="11"/>
  <c r="K167" i="11"/>
  <c r="G167" i="11"/>
  <c r="C167" i="11"/>
  <c r="L164" i="11"/>
  <c r="H164" i="11"/>
  <c r="D164" i="11"/>
  <c r="O163" i="11"/>
  <c r="K163" i="11"/>
  <c r="G163" i="11"/>
  <c r="C163" i="11"/>
  <c r="L160" i="11"/>
  <c r="H160" i="11"/>
  <c r="D160" i="11"/>
  <c r="O159" i="11"/>
  <c r="K159" i="11"/>
  <c r="G159" i="11"/>
  <c r="C159" i="11"/>
  <c r="L156" i="11"/>
  <c r="H156" i="11"/>
  <c r="D156" i="11"/>
  <c r="O155" i="11"/>
  <c r="K155" i="11"/>
  <c r="G155" i="11"/>
  <c r="C155" i="11"/>
  <c r="L152" i="11"/>
  <c r="H152" i="11"/>
  <c r="D152" i="11"/>
  <c r="O151" i="11"/>
  <c r="K151" i="11"/>
  <c r="G151" i="11"/>
  <c r="C151" i="11"/>
  <c r="L148" i="11"/>
  <c r="H148" i="11"/>
  <c r="D148" i="11"/>
  <c r="O147" i="11"/>
  <c r="K147" i="11"/>
  <c r="G147" i="11"/>
  <c r="C147" i="11"/>
  <c r="O143" i="11"/>
  <c r="K143" i="11"/>
  <c r="G143" i="11"/>
  <c r="C143" i="11"/>
  <c r="O139" i="11"/>
  <c r="K139" i="11"/>
  <c r="G139" i="11"/>
  <c r="C139" i="11"/>
  <c r="O135" i="11"/>
  <c r="K135" i="11"/>
  <c r="G135" i="11"/>
  <c r="C135" i="11"/>
  <c r="O131" i="11"/>
  <c r="K131" i="11"/>
  <c r="G131" i="11"/>
  <c r="C131" i="11"/>
  <c r="C128" i="11"/>
  <c r="G128" i="11"/>
  <c r="K128" i="11"/>
  <c r="O128" i="11"/>
  <c r="N125" i="11"/>
  <c r="I125" i="11"/>
  <c r="C125" i="11"/>
  <c r="B123" i="11"/>
  <c r="F123" i="11"/>
  <c r="J123" i="11"/>
  <c r="N123" i="11"/>
  <c r="N120" i="11"/>
  <c r="I120" i="11"/>
  <c r="D120" i="11"/>
  <c r="D117" i="11"/>
  <c r="H117" i="11"/>
  <c r="L117" i="11"/>
  <c r="O115" i="11"/>
  <c r="I115" i="11"/>
  <c r="D115" i="11"/>
  <c r="C112" i="11"/>
  <c r="G112" i="11"/>
  <c r="K112" i="11"/>
  <c r="O112" i="11"/>
  <c r="N109" i="11"/>
  <c r="I109" i="11"/>
  <c r="C109" i="11"/>
  <c r="B107" i="11"/>
  <c r="F107" i="11"/>
  <c r="J107" i="11"/>
  <c r="N107" i="11"/>
  <c r="N104" i="11"/>
  <c r="I104" i="11"/>
  <c r="D104" i="11"/>
  <c r="D101" i="11"/>
  <c r="H101" i="11"/>
  <c r="L101" i="11"/>
  <c r="O99" i="11"/>
  <c r="I99" i="11"/>
  <c r="D99" i="11"/>
  <c r="C96" i="11"/>
  <c r="G96" i="11"/>
  <c r="K96" i="11"/>
  <c r="O96" i="11"/>
  <c r="N93" i="11"/>
  <c r="I93" i="11"/>
  <c r="C93" i="11"/>
  <c r="B91" i="11"/>
  <c r="F91" i="11"/>
  <c r="J91" i="11"/>
  <c r="N91" i="11"/>
  <c r="M87" i="11"/>
  <c r="E87" i="11"/>
  <c r="B83" i="11"/>
  <c r="F83" i="11"/>
  <c r="J83" i="11"/>
  <c r="N83" i="11"/>
  <c r="D83" i="11"/>
  <c r="H83" i="11"/>
  <c r="L83" i="11"/>
  <c r="M79" i="11"/>
  <c r="E79" i="11"/>
  <c r="B75" i="11"/>
  <c r="F75" i="11"/>
  <c r="J75" i="11"/>
  <c r="N75" i="11"/>
  <c r="D75" i="11"/>
  <c r="H75" i="11"/>
  <c r="L75" i="11"/>
  <c r="M71" i="11"/>
  <c r="E71" i="11"/>
  <c r="B67" i="11"/>
  <c r="F67" i="11"/>
  <c r="J67" i="11"/>
  <c r="N67" i="11"/>
  <c r="C67" i="11"/>
  <c r="G67" i="11"/>
  <c r="K67" i="11"/>
  <c r="O67" i="11"/>
  <c r="D67" i="11"/>
  <c r="H67" i="11"/>
  <c r="L67" i="11"/>
  <c r="I63" i="11"/>
  <c r="L7" i="10"/>
  <c r="H7" i="10"/>
  <c r="L185" i="11"/>
  <c r="H185" i="11"/>
  <c r="N183" i="11"/>
  <c r="J183" i="11"/>
  <c r="F183" i="11"/>
  <c r="L181" i="11"/>
  <c r="H181" i="11"/>
  <c r="N179" i="11"/>
  <c r="J179" i="11"/>
  <c r="F179" i="11"/>
  <c r="L177" i="11"/>
  <c r="H177" i="11"/>
  <c r="N175" i="11"/>
  <c r="J175" i="11"/>
  <c r="F175" i="11"/>
  <c r="L173" i="11"/>
  <c r="H173" i="11"/>
  <c r="N171" i="11"/>
  <c r="J171" i="11"/>
  <c r="F171" i="11"/>
  <c r="L169" i="11"/>
  <c r="H169" i="11"/>
  <c r="O168" i="11"/>
  <c r="K168" i="11"/>
  <c r="G168" i="11"/>
  <c r="C168" i="11"/>
  <c r="N167" i="11"/>
  <c r="J167" i="11"/>
  <c r="F167" i="11"/>
  <c r="L165" i="11"/>
  <c r="H165" i="11"/>
  <c r="O164" i="11"/>
  <c r="K164" i="11"/>
  <c r="G164" i="11"/>
  <c r="C164" i="11"/>
  <c r="N163" i="11"/>
  <c r="J163" i="11"/>
  <c r="F163" i="11"/>
  <c r="L161" i="11"/>
  <c r="H161" i="11"/>
  <c r="O160" i="11"/>
  <c r="K160" i="11"/>
  <c r="G160" i="11"/>
  <c r="C160" i="11"/>
  <c r="N159" i="11"/>
  <c r="J159" i="11"/>
  <c r="F159" i="11"/>
  <c r="L157" i="11"/>
  <c r="H157" i="11"/>
  <c r="O156" i="11"/>
  <c r="K156" i="11"/>
  <c r="G156" i="11"/>
  <c r="C156" i="11"/>
  <c r="N155" i="11"/>
  <c r="J155" i="11"/>
  <c r="F155" i="11"/>
  <c r="L153" i="11"/>
  <c r="H153" i="11"/>
  <c r="O152" i="11"/>
  <c r="K152" i="11"/>
  <c r="G152" i="11"/>
  <c r="C152" i="11"/>
  <c r="N151" i="11"/>
  <c r="J151" i="11"/>
  <c r="F151" i="11"/>
  <c r="L149" i="11"/>
  <c r="H149" i="11"/>
  <c r="O148" i="11"/>
  <c r="K148" i="11"/>
  <c r="G148" i="11"/>
  <c r="C148" i="11"/>
  <c r="N147" i="11"/>
  <c r="J147" i="11"/>
  <c r="F147" i="11"/>
  <c r="L145" i="11"/>
  <c r="H145" i="11"/>
  <c r="O144" i="11"/>
  <c r="K144" i="11"/>
  <c r="G144" i="11"/>
  <c r="N143" i="11"/>
  <c r="J143" i="11"/>
  <c r="F143" i="11"/>
  <c r="L141" i="11"/>
  <c r="H141" i="11"/>
  <c r="O140" i="11"/>
  <c r="K140" i="11"/>
  <c r="G140" i="11"/>
  <c r="N139" i="11"/>
  <c r="J139" i="11"/>
  <c r="F139" i="11"/>
  <c r="L137" i="11"/>
  <c r="H137" i="11"/>
  <c r="O136" i="11"/>
  <c r="K136" i="11"/>
  <c r="G136" i="11"/>
  <c r="N135" i="11"/>
  <c r="J135" i="11"/>
  <c r="F135" i="11"/>
  <c r="L133" i="11"/>
  <c r="H133" i="11"/>
  <c r="O132" i="11"/>
  <c r="K132" i="11"/>
  <c r="G132" i="11"/>
  <c r="N131" i="11"/>
  <c r="J131" i="11"/>
  <c r="F131" i="11"/>
  <c r="D129" i="11"/>
  <c r="H129" i="11"/>
  <c r="L129" i="11"/>
  <c r="J128" i="11"/>
  <c r="E128" i="11"/>
  <c r="O127" i="11"/>
  <c r="I127" i="11"/>
  <c r="D127" i="11"/>
  <c r="M125" i="11"/>
  <c r="G125" i="11"/>
  <c r="C124" i="11"/>
  <c r="G124" i="11"/>
  <c r="K124" i="11"/>
  <c r="O124" i="11"/>
  <c r="K123" i="11"/>
  <c r="E123" i="11"/>
  <c r="N121" i="11"/>
  <c r="I121" i="11"/>
  <c r="C121" i="11"/>
  <c r="M120" i="11"/>
  <c r="H120" i="11"/>
  <c r="B119" i="11"/>
  <c r="F119" i="11"/>
  <c r="J119" i="11"/>
  <c r="N119" i="11"/>
  <c r="O117" i="11"/>
  <c r="J117" i="11"/>
  <c r="E117" i="11"/>
  <c r="N116" i="11"/>
  <c r="I116" i="11"/>
  <c r="D116" i="11"/>
  <c r="M115" i="11"/>
  <c r="H115" i="11"/>
  <c r="D113" i="11"/>
  <c r="H113" i="11"/>
  <c r="L113" i="11"/>
  <c r="J112" i="11"/>
  <c r="E112" i="11"/>
  <c r="O111" i="11"/>
  <c r="I111" i="11"/>
  <c r="D111" i="11"/>
  <c r="M109" i="11"/>
  <c r="G109" i="11"/>
  <c r="C108" i="11"/>
  <c r="G108" i="11"/>
  <c r="K108" i="11"/>
  <c r="O108" i="11"/>
  <c r="K107" i="11"/>
  <c r="E107" i="11"/>
  <c r="N105" i="11"/>
  <c r="I105" i="11"/>
  <c r="C105" i="11"/>
  <c r="M104" i="11"/>
  <c r="H104" i="11"/>
  <c r="B103" i="11"/>
  <c r="F103" i="11"/>
  <c r="J103" i="11"/>
  <c r="N103" i="11"/>
  <c r="O101" i="11"/>
  <c r="J101" i="11"/>
  <c r="E101" i="11"/>
  <c r="N100" i="11"/>
  <c r="I100" i="11"/>
  <c r="D100" i="11"/>
  <c r="M99" i="11"/>
  <c r="H99" i="11"/>
  <c r="D97" i="11"/>
  <c r="H97" i="11"/>
  <c r="L97" i="11"/>
  <c r="J96" i="11"/>
  <c r="E96" i="11"/>
  <c r="O95" i="11"/>
  <c r="I95" i="11"/>
  <c r="D95" i="11"/>
  <c r="M93" i="11"/>
  <c r="G93" i="11"/>
  <c r="C92" i="11"/>
  <c r="G92" i="11"/>
  <c r="K92" i="11"/>
  <c r="O92" i="11"/>
  <c r="K91" i="11"/>
  <c r="E91" i="11"/>
  <c r="M89" i="11"/>
  <c r="E89" i="11"/>
  <c r="K87" i="11"/>
  <c r="D85" i="11"/>
  <c r="H85" i="11"/>
  <c r="L85" i="11"/>
  <c r="B85" i="11"/>
  <c r="F85" i="11"/>
  <c r="J85" i="11"/>
  <c r="N85" i="11"/>
  <c r="O83" i="11"/>
  <c r="G83" i="11"/>
  <c r="M81" i="11"/>
  <c r="E81" i="11"/>
  <c r="K79" i="11"/>
  <c r="D77" i="11"/>
  <c r="H77" i="11"/>
  <c r="L77" i="11"/>
  <c r="B77" i="11"/>
  <c r="F77" i="11"/>
  <c r="J77" i="11"/>
  <c r="N77" i="11"/>
  <c r="O75" i="11"/>
  <c r="G75" i="11"/>
  <c r="M73" i="11"/>
  <c r="E73" i="11"/>
  <c r="K71" i="11"/>
  <c r="M67" i="11"/>
  <c r="N168" i="11"/>
  <c r="J168" i="11"/>
  <c r="F168" i="11"/>
  <c r="N164" i="11"/>
  <c r="J164" i="11"/>
  <c r="F164" i="11"/>
  <c r="N160" i="11"/>
  <c r="J160" i="11"/>
  <c r="F160" i="11"/>
  <c r="N156" i="11"/>
  <c r="J156" i="11"/>
  <c r="F156" i="11"/>
  <c r="N152" i="11"/>
  <c r="J152" i="11"/>
  <c r="F152" i="11"/>
  <c r="N148" i="11"/>
  <c r="J148" i="11"/>
  <c r="F148" i="11"/>
  <c r="D125" i="11"/>
  <c r="H125" i="11"/>
  <c r="L125" i="11"/>
  <c r="C120" i="11"/>
  <c r="G120" i="11"/>
  <c r="K120" i="11"/>
  <c r="O120" i="11"/>
  <c r="B115" i="11"/>
  <c r="F115" i="11"/>
  <c r="J115" i="11"/>
  <c r="N115" i="11"/>
  <c r="D109" i="11"/>
  <c r="H109" i="11"/>
  <c r="L109" i="11"/>
  <c r="C104" i="11"/>
  <c r="G104" i="11"/>
  <c r="K104" i="11"/>
  <c r="O104" i="11"/>
  <c r="B99" i="11"/>
  <c r="F99" i="11"/>
  <c r="J99" i="11"/>
  <c r="N99" i="11"/>
  <c r="D93" i="11"/>
  <c r="H93" i="11"/>
  <c r="L93" i="11"/>
  <c r="B87" i="11"/>
  <c r="F87" i="11"/>
  <c r="J87" i="11"/>
  <c r="N87" i="11"/>
  <c r="D87" i="11"/>
  <c r="H87" i="11"/>
  <c r="L87" i="11"/>
  <c r="B79" i="11"/>
  <c r="F79" i="11"/>
  <c r="J79" i="11"/>
  <c r="N79" i="11"/>
  <c r="D79" i="11"/>
  <c r="H79" i="11"/>
  <c r="L79" i="11"/>
  <c r="B71" i="11"/>
  <c r="F71" i="11"/>
  <c r="J71" i="11"/>
  <c r="N71" i="11"/>
  <c r="D71" i="11"/>
  <c r="H71" i="11"/>
  <c r="L71" i="11"/>
  <c r="B63" i="11"/>
  <c r="F63" i="11"/>
  <c r="J63" i="11"/>
  <c r="N63" i="11"/>
  <c r="C63" i="11"/>
  <c r="G63" i="11"/>
  <c r="K63" i="11"/>
  <c r="O63" i="11"/>
  <c r="D63" i="11"/>
  <c r="H63" i="11"/>
  <c r="L63" i="11"/>
  <c r="N69" i="11"/>
  <c r="J69" i="11"/>
  <c r="F69" i="11"/>
  <c r="B69" i="11"/>
  <c r="N65" i="11"/>
  <c r="J65" i="11"/>
  <c r="F65" i="11"/>
  <c r="B65" i="11"/>
  <c r="N61" i="11"/>
  <c r="J61" i="11"/>
  <c r="F61" i="11"/>
  <c r="B61" i="11"/>
  <c r="L59" i="11"/>
  <c r="H59" i="11"/>
  <c r="D59" i="11"/>
  <c r="N57" i="11"/>
  <c r="J57" i="11"/>
  <c r="F57" i="11"/>
  <c r="B57" i="11"/>
  <c r="L55" i="11"/>
  <c r="H55" i="11"/>
  <c r="D55" i="11"/>
  <c r="N53" i="11"/>
  <c r="J53" i="11"/>
  <c r="F53" i="11"/>
  <c r="B53" i="11"/>
  <c r="L51" i="11"/>
  <c r="H51" i="11"/>
  <c r="D51" i="11"/>
  <c r="N49" i="11"/>
  <c r="J49" i="11"/>
  <c r="F49" i="11"/>
  <c r="B49" i="11"/>
  <c r="L47" i="11"/>
  <c r="H47" i="11"/>
  <c r="D45" i="11"/>
  <c r="H45" i="11"/>
  <c r="L45" i="11"/>
  <c r="J44" i="11"/>
  <c r="E44" i="11"/>
  <c r="M41" i="11"/>
  <c r="G41" i="11"/>
  <c r="C40" i="11"/>
  <c r="G40" i="11"/>
  <c r="K40" i="11"/>
  <c r="O40" i="11"/>
  <c r="K39" i="11"/>
  <c r="E39" i="11"/>
  <c r="M36" i="11"/>
  <c r="H36" i="11"/>
  <c r="B35" i="11"/>
  <c r="F35" i="11"/>
  <c r="J35" i="11"/>
  <c r="N35" i="11"/>
  <c r="O33" i="11"/>
  <c r="J33" i="11"/>
  <c r="E33" i="11"/>
  <c r="M31" i="11"/>
  <c r="H31" i="11"/>
  <c r="D29" i="11"/>
  <c r="H29" i="11"/>
  <c r="L29" i="11"/>
  <c r="J28" i="11"/>
  <c r="E28" i="11"/>
  <c r="M25" i="11"/>
  <c r="G25" i="11"/>
  <c r="C24" i="11"/>
  <c r="G24" i="11"/>
  <c r="K24" i="11"/>
  <c r="O24" i="11"/>
  <c r="K23" i="11"/>
  <c r="E23" i="11"/>
  <c r="M20" i="11"/>
  <c r="H20" i="11"/>
  <c r="B19" i="11"/>
  <c r="F19" i="11"/>
  <c r="J19" i="11"/>
  <c r="N19" i="11"/>
  <c r="O17" i="11"/>
  <c r="G17" i="11"/>
  <c r="K13" i="11"/>
  <c r="D11" i="11"/>
  <c r="H11" i="11"/>
  <c r="L11" i="11"/>
  <c r="B11" i="11"/>
  <c r="F11" i="11"/>
  <c r="J11" i="11"/>
  <c r="N11" i="11"/>
  <c r="O9" i="11"/>
  <c r="G9" i="11"/>
  <c r="G172" i="12"/>
  <c r="D170" i="12"/>
  <c r="B170" i="12"/>
  <c r="F170" i="12"/>
  <c r="G168" i="12"/>
  <c r="D166" i="12"/>
  <c r="B166" i="12"/>
  <c r="F166" i="12"/>
  <c r="G164" i="12"/>
  <c r="O59" i="11"/>
  <c r="K59" i="11"/>
  <c r="G59" i="11"/>
  <c r="C59" i="11"/>
  <c r="O55" i="11"/>
  <c r="K55" i="11"/>
  <c r="G55" i="11"/>
  <c r="C55" i="11"/>
  <c r="O51" i="11"/>
  <c r="K51" i="11"/>
  <c r="G51" i="11"/>
  <c r="C51" i="11"/>
  <c r="B47" i="11"/>
  <c r="F47" i="11"/>
  <c r="N44" i="11"/>
  <c r="I44" i="11"/>
  <c r="D44" i="11"/>
  <c r="D41" i="11"/>
  <c r="H41" i="11"/>
  <c r="L41" i="11"/>
  <c r="O39" i="11"/>
  <c r="I39" i="11"/>
  <c r="D39" i="11"/>
  <c r="C36" i="11"/>
  <c r="G36" i="11"/>
  <c r="K36" i="11"/>
  <c r="O36" i="11"/>
  <c r="N33" i="11"/>
  <c r="I33" i="11"/>
  <c r="C33" i="11"/>
  <c r="B31" i="11"/>
  <c r="F31" i="11"/>
  <c r="J31" i="11"/>
  <c r="N31" i="11"/>
  <c r="N28" i="11"/>
  <c r="I28" i="11"/>
  <c r="D28" i="11"/>
  <c r="D25" i="11"/>
  <c r="H25" i="11"/>
  <c r="L25" i="11"/>
  <c r="O23" i="11"/>
  <c r="I23" i="11"/>
  <c r="D23" i="11"/>
  <c r="C20" i="11"/>
  <c r="G20" i="11"/>
  <c r="K20" i="11"/>
  <c r="O20" i="11"/>
  <c r="M17" i="11"/>
  <c r="E17" i="11"/>
  <c r="B13" i="11"/>
  <c r="F13" i="11"/>
  <c r="J13" i="11"/>
  <c r="N13" i="11"/>
  <c r="D13" i="11"/>
  <c r="H13" i="11"/>
  <c r="L13" i="11"/>
  <c r="M9" i="11"/>
  <c r="E9" i="11"/>
  <c r="B184" i="12"/>
  <c r="F184" i="12"/>
  <c r="N184" i="12"/>
  <c r="D184" i="12"/>
  <c r="B180" i="12"/>
  <c r="F180" i="12"/>
  <c r="D180" i="12"/>
  <c r="B176" i="12"/>
  <c r="F176" i="12"/>
  <c r="N176" i="12"/>
  <c r="D176" i="12"/>
  <c r="M172" i="12"/>
  <c r="E172" i="12"/>
  <c r="E168" i="12"/>
  <c r="E164" i="12"/>
  <c r="C162" i="12"/>
  <c r="G162" i="12"/>
  <c r="D162" i="12"/>
  <c r="B162" i="12"/>
  <c r="F162" i="12"/>
  <c r="C154" i="12"/>
  <c r="G154" i="12"/>
  <c r="D154" i="12"/>
  <c r="B154" i="12"/>
  <c r="F154" i="12"/>
  <c r="O88" i="11"/>
  <c r="K88" i="11"/>
  <c r="G88" i="11"/>
  <c r="O84" i="11"/>
  <c r="K84" i="11"/>
  <c r="G84" i="11"/>
  <c r="O80" i="11"/>
  <c r="K80" i="11"/>
  <c r="G80" i="11"/>
  <c r="O76" i="11"/>
  <c r="K76" i="11"/>
  <c r="G76" i="11"/>
  <c r="O72" i="11"/>
  <c r="K72" i="11"/>
  <c r="G72" i="11"/>
  <c r="L69" i="11"/>
  <c r="H69" i="11"/>
  <c r="O68" i="11"/>
  <c r="K68" i="11"/>
  <c r="G68" i="11"/>
  <c r="L65" i="11"/>
  <c r="H65" i="11"/>
  <c r="O64" i="11"/>
  <c r="K64" i="11"/>
  <c r="G64" i="11"/>
  <c r="L61" i="11"/>
  <c r="H61" i="11"/>
  <c r="O60" i="11"/>
  <c r="K60" i="11"/>
  <c r="G60" i="11"/>
  <c r="N59" i="11"/>
  <c r="J59" i="11"/>
  <c r="F59" i="11"/>
  <c r="L57" i="11"/>
  <c r="H57" i="11"/>
  <c r="O56" i="11"/>
  <c r="K56" i="11"/>
  <c r="G56" i="11"/>
  <c r="N55" i="11"/>
  <c r="J55" i="11"/>
  <c r="F55" i="11"/>
  <c r="L53" i="11"/>
  <c r="H53" i="11"/>
  <c r="O52" i="11"/>
  <c r="K52" i="11"/>
  <c r="G52" i="11"/>
  <c r="N51" i="11"/>
  <c r="J51" i="11"/>
  <c r="F51" i="11"/>
  <c r="L49" i="11"/>
  <c r="H49" i="11"/>
  <c r="O48" i="11"/>
  <c r="K48" i="11"/>
  <c r="G48" i="11"/>
  <c r="N47" i="11"/>
  <c r="J47" i="11"/>
  <c r="E47" i="11"/>
  <c r="N45" i="11"/>
  <c r="I45" i="11"/>
  <c r="C45" i="11"/>
  <c r="M44" i="11"/>
  <c r="H44" i="11"/>
  <c r="B43" i="11"/>
  <c r="F43" i="11"/>
  <c r="J43" i="11"/>
  <c r="N43" i="11"/>
  <c r="O41" i="11"/>
  <c r="J41" i="11"/>
  <c r="E41" i="11"/>
  <c r="N40" i="11"/>
  <c r="I40" i="11"/>
  <c r="D40" i="11"/>
  <c r="M39" i="11"/>
  <c r="H39" i="11"/>
  <c r="D37" i="11"/>
  <c r="H37" i="11"/>
  <c r="L37" i="11"/>
  <c r="J36" i="11"/>
  <c r="E36" i="11"/>
  <c r="O35" i="11"/>
  <c r="I35" i="11"/>
  <c r="D35" i="11"/>
  <c r="M33" i="11"/>
  <c r="G33" i="11"/>
  <c r="C32" i="11"/>
  <c r="G32" i="11"/>
  <c r="K32" i="11"/>
  <c r="O32" i="11"/>
  <c r="K31" i="11"/>
  <c r="E31" i="11"/>
  <c r="N29" i="11"/>
  <c r="I29" i="11"/>
  <c r="C29" i="11"/>
  <c r="M28" i="11"/>
  <c r="H28" i="11"/>
  <c r="B27" i="11"/>
  <c r="F27" i="11"/>
  <c r="J27" i="11"/>
  <c r="N27" i="11"/>
  <c r="O25" i="11"/>
  <c r="J25" i="11"/>
  <c r="E25" i="11"/>
  <c r="N24" i="11"/>
  <c r="I24" i="11"/>
  <c r="D24" i="11"/>
  <c r="M23" i="11"/>
  <c r="H23" i="11"/>
  <c r="D21" i="11"/>
  <c r="H21" i="11"/>
  <c r="L21" i="11"/>
  <c r="J20" i="11"/>
  <c r="E20" i="11"/>
  <c r="O19" i="11"/>
  <c r="I19" i="11"/>
  <c r="D19" i="11"/>
  <c r="K17" i="11"/>
  <c r="D15" i="11"/>
  <c r="H15" i="11"/>
  <c r="L15" i="11"/>
  <c r="B15" i="11"/>
  <c r="F15" i="11"/>
  <c r="J15" i="11"/>
  <c r="N15" i="11"/>
  <c r="O13" i="11"/>
  <c r="G13" i="11"/>
  <c r="M11" i="11"/>
  <c r="E11" i="11"/>
  <c r="K9" i="11"/>
  <c r="D7" i="11"/>
  <c r="H7" i="11"/>
  <c r="L7" i="11"/>
  <c r="B7" i="11"/>
  <c r="F7" i="11"/>
  <c r="J7" i="11"/>
  <c r="N7" i="11"/>
  <c r="D186" i="12"/>
  <c r="B186" i="12"/>
  <c r="F186" i="12"/>
  <c r="G184" i="12"/>
  <c r="D182" i="12"/>
  <c r="B182" i="12"/>
  <c r="F182" i="12"/>
  <c r="G180" i="12"/>
  <c r="D178" i="12"/>
  <c r="B178" i="12"/>
  <c r="F178" i="12"/>
  <c r="G176" i="12"/>
  <c r="D174" i="12"/>
  <c r="B174" i="12"/>
  <c r="F174" i="12"/>
  <c r="M170" i="12"/>
  <c r="E170" i="12"/>
  <c r="S168" i="12"/>
  <c r="E166" i="12"/>
  <c r="S164" i="12"/>
  <c r="M162" i="12"/>
  <c r="C44" i="11"/>
  <c r="G44" i="11"/>
  <c r="K44" i="11"/>
  <c r="O44" i="11"/>
  <c r="B39" i="11"/>
  <c r="F39" i="11"/>
  <c r="J39" i="11"/>
  <c r="N39" i="11"/>
  <c r="D33" i="11"/>
  <c r="H33" i="11"/>
  <c r="L33" i="11"/>
  <c r="C28" i="11"/>
  <c r="G28" i="11"/>
  <c r="K28" i="11"/>
  <c r="O28" i="11"/>
  <c r="B23" i="11"/>
  <c r="F23" i="11"/>
  <c r="J23" i="11"/>
  <c r="N23" i="11"/>
  <c r="B17" i="11"/>
  <c r="F17" i="11"/>
  <c r="J17" i="11"/>
  <c r="N17" i="11"/>
  <c r="D17" i="11"/>
  <c r="H17" i="11"/>
  <c r="L17" i="11"/>
  <c r="B9" i="11"/>
  <c r="F9" i="11"/>
  <c r="J9" i="11"/>
  <c r="N9" i="11"/>
  <c r="D9" i="11"/>
  <c r="H9" i="11"/>
  <c r="L9" i="11"/>
  <c r="B172" i="12"/>
  <c r="F172" i="12"/>
  <c r="D172" i="12"/>
  <c r="B168" i="12"/>
  <c r="F168" i="12"/>
  <c r="N168" i="12"/>
  <c r="R168" i="12"/>
  <c r="D168" i="12"/>
  <c r="B164" i="12"/>
  <c r="F164" i="12"/>
  <c r="N164" i="12"/>
  <c r="R164" i="12"/>
  <c r="D164" i="12"/>
  <c r="C158" i="12"/>
  <c r="G158" i="12"/>
  <c r="D158" i="12"/>
  <c r="B158" i="12"/>
  <c r="F158" i="12"/>
  <c r="O16" i="11"/>
  <c r="K16" i="11"/>
  <c r="G16" i="11"/>
  <c r="O12" i="11"/>
  <c r="K12" i="11"/>
  <c r="G12" i="11"/>
  <c r="O8" i="11"/>
  <c r="K8" i="11"/>
  <c r="G8" i="11"/>
  <c r="O187" i="12"/>
  <c r="G187" i="12"/>
  <c r="O183" i="12"/>
  <c r="G183" i="12"/>
  <c r="O179" i="12"/>
  <c r="G179" i="12"/>
  <c r="O175" i="12"/>
  <c r="G175" i="12"/>
  <c r="G171" i="12"/>
  <c r="O167" i="12"/>
  <c r="G167" i="12"/>
  <c r="G163" i="12"/>
  <c r="L160" i="12"/>
  <c r="D160" i="12"/>
  <c r="G159" i="12"/>
  <c r="D156" i="12"/>
  <c r="O155" i="12"/>
  <c r="G155" i="12"/>
  <c r="D152" i="12"/>
  <c r="G151" i="12"/>
  <c r="F150" i="12"/>
  <c r="B150" i="12"/>
  <c r="D148" i="12"/>
  <c r="G147" i="12"/>
  <c r="F146" i="12"/>
  <c r="B146" i="12"/>
  <c r="P144" i="12"/>
  <c r="L144" i="12"/>
  <c r="D144" i="12"/>
  <c r="G142" i="12"/>
  <c r="E141" i="12"/>
  <c r="D138" i="12"/>
  <c r="B136" i="12"/>
  <c r="F136" i="12"/>
  <c r="E134" i="12"/>
  <c r="M133" i="12"/>
  <c r="E132" i="12"/>
  <c r="S130" i="12"/>
  <c r="N130" i="12"/>
  <c r="C129" i="12"/>
  <c r="G129" i="12"/>
  <c r="O129" i="12"/>
  <c r="G126" i="12"/>
  <c r="E125" i="12"/>
  <c r="D122" i="12"/>
  <c r="B118" i="12"/>
  <c r="F118" i="12"/>
  <c r="D118" i="12"/>
  <c r="B114" i="12"/>
  <c r="F114" i="12"/>
  <c r="R114" i="12"/>
  <c r="D114" i="12"/>
  <c r="B110" i="12"/>
  <c r="F110" i="12"/>
  <c r="R110" i="12"/>
  <c r="D110" i="12"/>
  <c r="S108" i="12"/>
  <c r="B106" i="12"/>
  <c r="F106" i="12"/>
  <c r="D106" i="12"/>
  <c r="B102" i="12"/>
  <c r="F102" i="12"/>
  <c r="N102" i="12"/>
  <c r="D102" i="12"/>
  <c r="D142" i="12"/>
  <c r="B140" i="12"/>
  <c r="F140" i="12"/>
  <c r="C133" i="12"/>
  <c r="G133" i="12"/>
  <c r="D126" i="12"/>
  <c r="B124" i="12"/>
  <c r="F124" i="12"/>
  <c r="D120" i="12"/>
  <c r="P120" i="12"/>
  <c r="B120" i="12"/>
  <c r="F120" i="12"/>
  <c r="D116" i="12"/>
  <c r="B116" i="12"/>
  <c r="F116" i="12"/>
  <c r="D112" i="12"/>
  <c r="P112" i="12"/>
  <c r="B112" i="12"/>
  <c r="F112" i="12"/>
  <c r="R112" i="12"/>
  <c r="D108" i="12"/>
  <c r="B108" i="12"/>
  <c r="F108" i="12"/>
  <c r="D104" i="12"/>
  <c r="B104" i="12"/>
  <c r="F104" i="12"/>
  <c r="D100" i="12"/>
  <c r="B100" i="12"/>
  <c r="F100" i="12"/>
  <c r="F160" i="12"/>
  <c r="F156" i="12"/>
  <c r="F152" i="12"/>
  <c r="D150" i="12"/>
  <c r="F148" i="12"/>
  <c r="D146" i="12"/>
  <c r="F144" i="12"/>
  <c r="E142" i="12"/>
  <c r="E140" i="12"/>
  <c r="C137" i="12"/>
  <c r="G137" i="12"/>
  <c r="R134" i="12"/>
  <c r="G134" i="12"/>
  <c r="E133" i="12"/>
  <c r="D130" i="12"/>
  <c r="B128" i="12"/>
  <c r="F128" i="12"/>
  <c r="E126" i="12"/>
  <c r="E124" i="12"/>
  <c r="G120" i="12"/>
  <c r="G116" i="12"/>
  <c r="G112" i="12"/>
  <c r="G108" i="12"/>
  <c r="M106" i="12"/>
  <c r="E106" i="12"/>
  <c r="G104" i="12"/>
  <c r="M102" i="12"/>
  <c r="E102" i="12"/>
  <c r="G100" i="12"/>
  <c r="C96" i="12"/>
  <c r="G96" i="12"/>
  <c r="S96" i="12"/>
  <c r="D96" i="12"/>
  <c r="B96" i="12"/>
  <c r="F96" i="12"/>
  <c r="N96" i="12"/>
  <c r="R96" i="12"/>
  <c r="G150" i="12"/>
  <c r="G146" i="12"/>
  <c r="S142" i="12"/>
  <c r="N142" i="12"/>
  <c r="C142" i="12"/>
  <c r="C141" i="12"/>
  <c r="G141" i="12"/>
  <c r="D140" i="12"/>
  <c r="D134" i="12"/>
  <c r="D133" i="12"/>
  <c r="B132" i="12"/>
  <c r="F132" i="12"/>
  <c r="C126" i="12"/>
  <c r="C125" i="12"/>
  <c r="G125" i="12"/>
  <c r="D124" i="12"/>
  <c r="E120" i="12"/>
  <c r="E116" i="12"/>
  <c r="M112" i="12"/>
  <c r="E112" i="12"/>
  <c r="E108" i="12"/>
  <c r="E104" i="12"/>
  <c r="E100" i="12"/>
  <c r="G121" i="12"/>
  <c r="G117" i="12"/>
  <c r="G113" i="12"/>
  <c r="G109" i="12"/>
  <c r="G105" i="12"/>
  <c r="O101" i="12"/>
  <c r="G101" i="12"/>
  <c r="D98" i="12"/>
  <c r="G97" i="12"/>
  <c r="D94" i="12"/>
  <c r="G93" i="12"/>
  <c r="R92" i="12"/>
  <c r="N92" i="12"/>
  <c r="F92" i="12"/>
  <c r="B92" i="12"/>
  <c r="D90" i="12"/>
  <c r="G89" i="12"/>
  <c r="N88" i="12"/>
  <c r="F88" i="12"/>
  <c r="B88" i="12"/>
  <c r="D86" i="12"/>
  <c r="G85" i="12"/>
  <c r="F84" i="12"/>
  <c r="B84" i="12"/>
  <c r="C80" i="12"/>
  <c r="G80" i="12"/>
  <c r="S80" i="12"/>
  <c r="M77" i="12"/>
  <c r="G77" i="12"/>
  <c r="E76" i="12"/>
  <c r="D73" i="12"/>
  <c r="B71" i="12"/>
  <c r="F71" i="12"/>
  <c r="D71" i="12"/>
  <c r="G69" i="12"/>
  <c r="R68" i="12"/>
  <c r="D60" i="12"/>
  <c r="L60" i="12"/>
  <c r="P60" i="12"/>
  <c r="B60" i="12"/>
  <c r="G60" i="12"/>
  <c r="E60" i="12"/>
  <c r="Q52" i="12"/>
  <c r="N51" i="12"/>
  <c r="D77" i="12"/>
  <c r="P77" i="12"/>
  <c r="B75" i="12"/>
  <c r="F75" i="12"/>
  <c r="B66" i="12"/>
  <c r="F66" i="12"/>
  <c r="E66" i="12"/>
  <c r="C66" i="12"/>
  <c r="C51" i="12"/>
  <c r="G51" i="12"/>
  <c r="S51" i="12"/>
  <c r="B51" i="12"/>
  <c r="R51" i="12"/>
  <c r="E51" i="12"/>
  <c r="B50" i="12"/>
  <c r="F50" i="12"/>
  <c r="N50" i="12"/>
  <c r="R50" i="12"/>
  <c r="D50" i="12"/>
  <c r="E50" i="12"/>
  <c r="C50" i="12"/>
  <c r="S50" i="12"/>
  <c r="F98" i="12"/>
  <c r="F94" i="12"/>
  <c r="D92" i="12"/>
  <c r="F90" i="12"/>
  <c r="D88" i="12"/>
  <c r="N86" i="12"/>
  <c r="F86" i="12"/>
  <c r="D84" i="12"/>
  <c r="D81" i="12"/>
  <c r="B79" i="12"/>
  <c r="F79" i="12"/>
  <c r="E77" i="12"/>
  <c r="E75" i="12"/>
  <c r="N68" i="12"/>
  <c r="C67" i="12"/>
  <c r="G67" i="12"/>
  <c r="S67" i="12"/>
  <c r="B67" i="12"/>
  <c r="E67" i="12"/>
  <c r="N59" i="12"/>
  <c r="B58" i="12"/>
  <c r="F58" i="12"/>
  <c r="N58" i="12"/>
  <c r="R58" i="12"/>
  <c r="C58" i="12"/>
  <c r="H58" i="12"/>
  <c r="S58" i="12"/>
  <c r="E58" i="12"/>
  <c r="K58" i="12"/>
  <c r="D52" i="12"/>
  <c r="L52" i="12"/>
  <c r="P52" i="12"/>
  <c r="E52" i="12"/>
  <c r="B52" i="12"/>
  <c r="G52" i="12"/>
  <c r="M52" i="12"/>
  <c r="G92" i="12"/>
  <c r="G88" i="12"/>
  <c r="G84" i="12"/>
  <c r="C77" i="12"/>
  <c r="C76" i="12"/>
  <c r="G76" i="12"/>
  <c r="D75" i="12"/>
  <c r="D69" i="12"/>
  <c r="B69" i="12"/>
  <c r="F69" i="12"/>
  <c r="D68" i="12"/>
  <c r="E68" i="12"/>
  <c r="S68" i="12"/>
  <c r="B68" i="12"/>
  <c r="G68" i="12"/>
  <c r="M68" i="12"/>
  <c r="Q68" i="12"/>
  <c r="G66" i="12"/>
  <c r="C59" i="12"/>
  <c r="G59" i="12"/>
  <c r="S59" i="12"/>
  <c r="E59" i="12"/>
  <c r="B59" i="12"/>
  <c r="R59" i="12"/>
  <c r="Q51" i="12"/>
  <c r="F51" i="12"/>
  <c r="D64" i="12"/>
  <c r="B62" i="12"/>
  <c r="F62" i="12"/>
  <c r="R62" i="12"/>
  <c r="C55" i="12"/>
  <c r="G55" i="12"/>
  <c r="O55" i="12"/>
  <c r="S55" i="12"/>
  <c r="D48" i="12"/>
  <c r="B46" i="12"/>
  <c r="F46" i="12"/>
  <c r="O44" i="12"/>
  <c r="E44" i="12"/>
  <c r="R43" i="12"/>
  <c r="E42" i="12"/>
  <c r="C39" i="12"/>
  <c r="G39" i="12"/>
  <c r="O39" i="12"/>
  <c r="R36" i="12"/>
  <c r="G36" i="12"/>
  <c r="D34" i="12"/>
  <c r="B34" i="12"/>
  <c r="F34" i="12"/>
  <c r="O32" i="12"/>
  <c r="G32" i="12"/>
  <c r="D30" i="12"/>
  <c r="B30" i="12"/>
  <c r="F30" i="12"/>
  <c r="G28" i="12"/>
  <c r="D26" i="12"/>
  <c r="B26" i="12"/>
  <c r="F26" i="12"/>
  <c r="G24" i="12"/>
  <c r="D22" i="12"/>
  <c r="L22" i="12"/>
  <c r="P22" i="12"/>
  <c r="B22" i="12"/>
  <c r="F22" i="12"/>
  <c r="G20" i="12"/>
  <c r="D18" i="12"/>
  <c r="B18" i="12"/>
  <c r="F18" i="12"/>
  <c r="G16" i="12"/>
  <c r="D14" i="12"/>
  <c r="B14" i="12"/>
  <c r="F14" i="12"/>
  <c r="G12" i="12"/>
  <c r="D10" i="12"/>
  <c r="B10" i="12"/>
  <c r="F10" i="12"/>
  <c r="G8" i="12"/>
  <c r="C43" i="12"/>
  <c r="G43" i="12"/>
  <c r="S43" i="12"/>
  <c r="D36" i="12"/>
  <c r="L36" i="12"/>
  <c r="P36" i="12"/>
  <c r="E8" i="12"/>
  <c r="F183" i="13"/>
  <c r="F179" i="13"/>
  <c r="G72" i="12"/>
  <c r="C64" i="12"/>
  <c r="C63" i="12"/>
  <c r="G63" i="12"/>
  <c r="O63" i="12"/>
  <c r="D62" i="12"/>
  <c r="D56" i="12"/>
  <c r="N55" i="12"/>
  <c r="D55" i="12"/>
  <c r="B54" i="12"/>
  <c r="F54" i="12"/>
  <c r="C48" i="12"/>
  <c r="C47" i="12"/>
  <c r="G47" i="12"/>
  <c r="O47" i="12"/>
  <c r="D46" i="12"/>
  <c r="R44" i="12"/>
  <c r="G44" i="12"/>
  <c r="E43" i="12"/>
  <c r="D40" i="12"/>
  <c r="D39" i="12"/>
  <c r="B38" i="12"/>
  <c r="F38" i="12"/>
  <c r="O36" i="12"/>
  <c r="E36" i="12"/>
  <c r="E34" i="12"/>
  <c r="M30" i="12"/>
  <c r="E30" i="12"/>
  <c r="E26" i="12"/>
  <c r="E22" i="12"/>
  <c r="E18" i="12"/>
  <c r="E14" i="12"/>
  <c r="E10" i="12"/>
  <c r="F185" i="13"/>
  <c r="G183" i="13"/>
  <c r="F181" i="13"/>
  <c r="G179" i="13"/>
  <c r="G172" i="13"/>
  <c r="E172" i="13"/>
  <c r="D44" i="12"/>
  <c r="L44" i="12"/>
  <c r="P44" i="12"/>
  <c r="N43" i="12"/>
  <c r="D43" i="12"/>
  <c r="B42" i="12"/>
  <c r="F42" i="12"/>
  <c r="S36" i="12"/>
  <c r="N36" i="12"/>
  <c r="C36" i="12"/>
  <c r="B32" i="12"/>
  <c r="F32" i="12"/>
  <c r="D32" i="12"/>
  <c r="B28" i="12"/>
  <c r="F28" i="12"/>
  <c r="D28" i="12"/>
  <c r="B24" i="12"/>
  <c r="F24" i="12"/>
  <c r="D24" i="12"/>
  <c r="B20" i="12"/>
  <c r="F20" i="12"/>
  <c r="D20" i="12"/>
  <c r="B16" i="12"/>
  <c r="F16" i="12"/>
  <c r="R16" i="12"/>
  <c r="D16" i="12"/>
  <c r="B12" i="12"/>
  <c r="F12" i="12"/>
  <c r="R12" i="12"/>
  <c r="D12" i="12"/>
  <c r="B8" i="12"/>
  <c r="F8" i="12"/>
  <c r="D8" i="12"/>
  <c r="O35" i="12"/>
  <c r="G35" i="12"/>
  <c r="G31" i="12"/>
  <c r="S27" i="12"/>
  <c r="G27" i="12"/>
  <c r="G23" i="12"/>
  <c r="G19" i="12"/>
  <c r="O15" i="12"/>
  <c r="G15" i="12"/>
  <c r="G11" i="12"/>
  <c r="G7" i="12"/>
  <c r="G186" i="13"/>
  <c r="G182" i="13"/>
  <c r="G178" i="13"/>
  <c r="F177" i="13"/>
  <c r="F171" i="13"/>
  <c r="G169" i="13"/>
  <c r="E167" i="13"/>
  <c r="E161" i="13"/>
  <c r="G160" i="13"/>
  <c r="E156" i="13"/>
  <c r="F155" i="13"/>
  <c r="G153" i="13"/>
  <c r="E151" i="13"/>
  <c r="E145" i="13"/>
  <c r="G144" i="13"/>
  <c r="E140" i="13"/>
  <c r="F139" i="13"/>
  <c r="G137" i="13"/>
  <c r="E135" i="13"/>
  <c r="E129" i="13"/>
  <c r="G128" i="13"/>
  <c r="E124" i="13"/>
  <c r="F123" i="13"/>
  <c r="G121" i="13"/>
  <c r="E119" i="13"/>
  <c r="G115" i="13"/>
  <c r="G111" i="13"/>
  <c r="G107" i="13"/>
  <c r="G103" i="13"/>
  <c r="G99" i="13"/>
  <c r="G95" i="13"/>
  <c r="G91" i="13"/>
  <c r="G87" i="13"/>
  <c r="F82" i="13"/>
  <c r="E82" i="13"/>
  <c r="G79" i="13"/>
  <c r="E79" i="13"/>
  <c r="E68" i="13"/>
  <c r="G68" i="13"/>
  <c r="F175" i="13"/>
  <c r="G164" i="13"/>
  <c r="F159" i="13"/>
  <c r="G148" i="13"/>
  <c r="F143" i="13"/>
  <c r="G132" i="13"/>
  <c r="F127" i="13"/>
  <c r="E115" i="13"/>
  <c r="E111" i="13"/>
  <c r="E107" i="13"/>
  <c r="E103" i="13"/>
  <c r="E99" i="13"/>
  <c r="E95" i="13"/>
  <c r="E91" i="13"/>
  <c r="E87" i="13"/>
  <c r="E84" i="13"/>
  <c r="G84" i="13"/>
  <c r="G71" i="13"/>
  <c r="E71" i="13"/>
  <c r="G66" i="13"/>
  <c r="E175" i="13"/>
  <c r="E169" i="13"/>
  <c r="G168" i="13"/>
  <c r="E164" i="13"/>
  <c r="F163" i="13"/>
  <c r="G161" i="13"/>
  <c r="E159" i="13"/>
  <c r="E153" i="13"/>
  <c r="G152" i="13"/>
  <c r="E148" i="13"/>
  <c r="F147" i="13"/>
  <c r="G145" i="13"/>
  <c r="E143" i="13"/>
  <c r="E137" i="13"/>
  <c r="G136" i="13"/>
  <c r="E132" i="13"/>
  <c r="F131" i="13"/>
  <c r="G129" i="13"/>
  <c r="E127" i="13"/>
  <c r="E121" i="13"/>
  <c r="G120" i="13"/>
  <c r="F117" i="13"/>
  <c r="F113" i="13"/>
  <c r="F109" i="13"/>
  <c r="F105" i="13"/>
  <c r="F101" i="13"/>
  <c r="F97" i="13"/>
  <c r="F93" i="13"/>
  <c r="F89" i="13"/>
  <c r="F85" i="13"/>
  <c r="G76" i="13"/>
  <c r="E76" i="13"/>
  <c r="F74" i="13"/>
  <c r="E74" i="13"/>
  <c r="G63" i="13"/>
  <c r="E63" i="13"/>
  <c r="F167" i="13"/>
  <c r="G156" i="13"/>
  <c r="F151" i="13"/>
  <c r="G140" i="13"/>
  <c r="F135" i="13"/>
  <c r="G124" i="13"/>
  <c r="F119" i="13"/>
  <c r="F115" i="13"/>
  <c r="F111" i="13"/>
  <c r="F107" i="13"/>
  <c r="F103" i="13"/>
  <c r="F99" i="13"/>
  <c r="F95" i="13"/>
  <c r="F91" i="13"/>
  <c r="F87" i="13"/>
  <c r="F66" i="13"/>
  <c r="E66" i="13"/>
  <c r="F58" i="13"/>
  <c r="E58" i="13"/>
  <c r="G116" i="13"/>
  <c r="G112" i="13"/>
  <c r="G108" i="13"/>
  <c r="G104" i="13"/>
  <c r="G100" i="13"/>
  <c r="G96" i="13"/>
  <c r="G92" i="13"/>
  <c r="G88" i="13"/>
  <c r="G75" i="13"/>
  <c r="F70" i="13"/>
  <c r="E60" i="13"/>
  <c r="G59" i="13"/>
  <c r="E55" i="13"/>
  <c r="F54" i="13"/>
  <c r="G52" i="13"/>
  <c r="E50" i="13"/>
  <c r="E44" i="13"/>
  <c r="G43" i="13"/>
  <c r="E39" i="13"/>
  <c r="F38" i="13"/>
  <c r="G36" i="13"/>
  <c r="E34" i="13"/>
  <c r="G30" i="13"/>
  <c r="G26" i="13"/>
  <c r="G22" i="13"/>
  <c r="G18" i="13"/>
  <c r="G14" i="13"/>
  <c r="G10" i="13"/>
  <c r="G6" i="13"/>
  <c r="B184" i="14"/>
  <c r="G184" i="14" s="1"/>
  <c r="F184" i="14"/>
  <c r="D184" i="14"/>
  <c r="G47" i="13"/>
  <c r="F42" i="13"/>
  <c r="D178" i="14"/>
  <c r="B178" i="14"/>
  <c r="F178" i="14"/>
  <c r="D168" i="14"/>
  <c r="C168" i="14"/>
  <c r="E168" i="14"/>
  <c r="B168" i="14"/>
  <c r="G83" i="13"/>
  <c r="F78" i="13"/>
  <c r="G67" i="13"/>
  <c r="F62" i="13"/>
  <c r="G60" i="13"/>
  <c r="E52" i="13"/>
  <c r="G51" i="13"/>
  <c r="E47" i="13"/>
  <c r="F46" i="13"/>
  <c r="G44" i="13"/>
  <c r="E42" i="13"/>
  <c r="E36" i="13"/>
  <c r="G35" i="13"/>
  <c r="F32" i="13"/>
  <c r="F28" i="13"/>
  <c r="F24" i="13"/>
  <c r="F20" i="13"/>
  <c r="F16" i="13"/>
  <c r="F12" i="13"/>
  <c r="F8" i="13"/>
  <c r="D182" i="14"/>
  <c r="B182" i="14"/>
  <c r="G182" i="14" s="1"/>
  <c r="F182" i="14"/>
  <c r="C174" i="14"/>
  <c r="D174" i="14"/>
  <c r="B174" i="14"/>
  <c r="G174" i="14" s="1"/>
  <c r="F174" i="14"/>
  <c r="G55" i="13"/>
  <c r="F50" i="13"/>
  <c r="G39" i="13"/>
  <c r="F34" i="13"/>
  <c r="F30" i="13"/>
  <c r="F26" i="13"/>
  <c r="F22" i="13"/>
  <c r="F18" i="13"/>
  <c r="F14" i="13"/>
  <c r="F10" i="13"/>
  <c r="F6" i="13"/>
  <c r="D186" i="14"/>
  <c r="B186" i="14"/>
  <c r="F186" i="14"/>
  <c r="B180" i="14"/>
  <c r="G180" i="14" s="1"/>
  <c r="F180" i="14"/>
  <c r="D180" i="14"/>
  <c r="E178" i="14"/>
  <c r="D176" i="14"/>
  <c r="E171" i="14"/>
  <c r="B170" i="14"/>
  <c r="F170" i="14"/>
  <c r="E166" i="14"/>
  <c r="B163" i="14"/>
  <c r="E160" i="14"/>
  <c r="E155" i="14"/>
  <c r="B154" i="14"/>
  <c r="G154" i="14" s="1"/>
  <c r="F154" i="14"/>
  <c r="B152" i="14"/>
  <c r="E150" i="14"/>
  <c r="B147" i="14"/>
  <c r="E144" i="14"/>
  <c r="E139" i="14"/>
  <c r="B138" i="14"/>
  <c r="F138" i="14"/>
  <c r="B136" i="14"/>
  <c r="E134" i="14"/>
  <c r="F132" i="14"/>
  <c r="D130" i="14"/>
  <c r="B130" i="14"/>
  <c r="F130" i="14"/>
  <c r="B120" i="14"/>
  <c r="F120" i="14"/>
  <c r="D120" i="14"/>
  <c r="D114" i="14"/>
  <c r="B114" i="14"/>
  <c r="F114" i="14"/>
  <c r="B104" i="14"/>
  <c r="F104" i="14"/>
  <c r="D104" i="14"/>
  <c r="D98" i="14"/>
  <c r="B98" i="14"/>
  <c r="F98" i="14"/>
  <c r="B88" i="14"/>
  <c r="F88" i="14"/>
  <c r="D88" i="14"/>
  <c r="B158" i="14"/>
  <c r="F158" i="14"/>
  <c r="B142" i="14"/>
  <c r="F142" i="14"/>
  <c r="B124" i="14"/>
  <c r="F124" i="14"/>
  <c r="D124" i="14"/>
  <c r="D118" i="14"/>
  <c r="B118" i="14"/>
  <c r="F118" i="14"/>
  <c r="B108" i="14"/>
  <c r="F108" i="14"/>
  <c r="D108" i="14"/>
  <c r="D102" i="14"/>
  <c r="B102" i="14"/>
  <c r="F102" i="14"/>
  <c r="B92" i="14"/>
  <c r="F92" i="14"/>
  <c r="D92" i="14"/>
  <c r="D86" i="14"/>
  <c r="B86" i="14"/>
  <c r="F86" i="14"/>
  <c r="G31" i="13"/>
  <c r="G27" i="13"/>
  <c r="G23" i="13"/>
  <c r="G19" i="13"/>
  <c r="G15" i="13"/>
  <c r="G11" i="13"/>
  <c r="G7" i="13"/>
  <c r="F176" i="14"/>
  <c r="B171" i="14"/>
  <c r="D170" i="14"/>
  <c r="C164" i="14"/>
  <c r="E163" i="14"/>
  <c r="B162" i="14"/>
  <c r="F162" i="14"/>
  <c r="B160" i="14"/>
  <c r="D159" i="14"/>
  <c r="E158" i="14"/>
  <c r="B155" i="14"/>
  <c r="D154" i="14"/>
  <c r="E152" i="14"/>
  <c r="C148" i="14"/>
  <c r="E147" i="14"/>
  <c r="B146" i="14"/>
  <c r="F146" i="14"/>
  <c r="B144" i="14"/>
  <c r="D143" i="14"/>
  <c r="E142" i="14"/>
  <c r="B139" i="14"/>
  <c r="D138" i="14"/>
  <c r="E136" i="14"/>
  <c r="E130" i="14"/>
  <c r="B128" i="14"/>
  <c r="F128" i="14"/>
  <c r="D128" i="14"/>
  <c r="D122" i="14"/>
  <c r="B122" i="14"/>
  <c r="F122" i="14"/>
  <c r="E120" i="14"/>
  <c r="E114" i="14"/>
  <c r="B112" i="14"/>
  <c r="F112" i="14"/>
  <c r="D112" i="14"/>
  <c r="D106" i="14"/>
  <c r="B106" i="14"/>
  <c r="F106" i="14"/>
  <c r="E104" i="14"/>
  <c r="E98" i="14"/>
  <c r="B96" i="14"/>
  <c r="F96" i="14"/>
  <c r="D96" i="14"/>
  <c r="D90" i="14"/>
  <c r="B90" i="14"/>
  <c r="F90" i="14"/>
  <c r="E88" i="14"/>
  <c r="C82" i="14"/>
  <c r="D82" i="14"/>
  <c r="B82" i="14"/>
  <c r="G82" i="14" s="1"/>
  <c r="F82" i="14"/>
  <c r="B166" i="14"/>
  <c r="F166" i="14"/>
  <c r="D163" i="14"/>
  <c r="D158" i="14"/>
  <c r="C152" i="14"/>
  <c r="B150" i="14"/>
  <c r="F150" i="14"/>
  <c r="D147" i="14"/>
  <c r="D142" i="14"/>
  <c r="C136" i="14"/>
  <c r="B134" i="14"/>
  <c r="F134" i="14"/>
  <c r="B132" i="14"/>
  <c r="D132" i="14"/>
  <c r="D126" i="14"/>
  <c r="B126" i="14"/>
  <c r="G126" i="14" s="1"/>
  <c r="F126" i="14"/>
  <c r="E124" i="14"/>
  <c r="E118" i="14"/>
  <c r="B116" i="14"/>
  <c r="F116" i="14"/>
  <c r="D116" i="14"/>
  <c r="D110" i="14"/>
  <c r="B110" i="14"/>
  <c r="F110" i="14"/>
  <c r="E108" i="14"/>
  <c r="E102" i="14"/>
  <c r="B100" i="14"/>
  <c r="F100" i="14"/>
  <c r="D100" i="14"/>
  <c r="D94" i="14"/>
  <c r="B94" i="14"/>
  <c r="F94" i="14"/>
  <c r="E92" i="14"/>
  <c r="E86" i="14"/>
  <c r="D84" i="14"/>
  <c r="D80" i="14"/>
  <c r="F78" i="14"/>
  <c r="B78" i="14"/>
  <c r="G78" i="14" s="1"/>
  <c r="D76" i="14"/>
  <c r="F74" i="14"/>
  <c r="B74" i="14"/>
  <c r="G74" i="14" s="1"/>
  <c r="D72" i="14"/>
  <c r="F70" i="14"/>
  <c r="B70" i="14"/>
  <c r="D68" i="14"/>
  <c r="F66" i="14"/>
  <c r="B66" i="14"/>
  <c r="D64" i="14"/>
  <c r="E62" i="14"/>
  <c r="B59" i="14"/>
  <c r="E56" i="14"/>
  <c r="C52" i="14"/>
  <c r="E51" i="14"/>
  <c r="B50" i="14"/>
  <c r="G50" i="14" s="1"/>
  <c r="F50" i="14"/>
  <c r="B48" i="14"/>
  <c r="B44" i="14"/>
  <c r="G44" i="14" s="1"/>
  <c r="F44" i="14"/>
  <c r="D44" i="14"/>
  <c r="D38" i="14"/>
  <c r="B38" i="14"/>
  <c r="G38" i="14" s="1"/>
  <c r="F38" i="14"/>
  <c r="B28" i="14"/>
  <c r="F28" i="14"/>
  <c r="D28" i="14"/>
  <c r="D22" i="14"/>
  <c r="B22" i="14"/>
  <c r="F22" i="14"/>
  <c r="B54" i="14"/>
  <c r="F54" i="14"/>
  <c r="D42" i="14"/>
  <c r="B42" i="14"/>
  <c r="F42" i="14"/>
  <c r="E40" i="14"/>
  <c r="G37" i="14"/>
  <c r="B32" i="14"/>
  <c r="F32" i="14"/>
  <c r="D32" i="14"/>
  <c r="D26" i="14"/>
  <c r="B26" i="14"/>
  <c r="F26" i="14"/>
  <c r="E24" i="14"/>
  <c r="F84" i="14"/>
  <c r="F80" i="14"/>
  <c r="D78" i="14"/>
  <c r="F76" i="14"/>
  <c r="D74" i="14"/>
  <c r="F72" i="14"/>
  <c r="D70" i="14"/>
  <c r="F68" i="14"/>
  <c r="D66" i="14"/>
  <c r="F64" i="14"/>
  <c r="E59" i="14"/>
  <c r="B58" i="14"/>
  <c r="F58" i="14"/>
  <c r="B56" i="14"/>
  <c r="E54" i="14"/>
  <c r="B51" i="14"/>
  <c r="E48" i="14"/>
  <c r="D46" i="14"/>
  <c r="B46" i="14"/>
  <c r="G46" i="14" s="1"/>
  <c r="F46" i="14"/>
  <c r="B36" i="14"/>
  <c r="F36" i="14"/>
  <c r="D36" i="14"/>
  <c r="D30" i="14"/>
  <c r="B30" i="14"/>
  <c r="G30" i="14" s="1"/>
  <c r="F30" i="14"/>
  <c r="B62" i="14"/>
  <c r="F62" i="14"/>
  <c r="D54" i="14"/>
  <c r="C48" i="14"/>
  <c r="E42" i="14"/>
  <c r="B40" i="14"/>
  <c r="F40" i="14"/>
  <c r="D40" i="14"/>
  <c r="D34" i="14"/>
  <c r="B34" i="14"/>
  <c r="F34" i="14"/>
  <c r="E32" i="14"/>
  <c r="B24" i="14"/>
  <c r="F24" i="14"/>
  <c r="D24" i="14"/>
  <c r="D20" i="14"/>
  <c r="F18" i="14"/>
  <c r="B18" i="14"/>
  <c r="G18" i="14" s="1"/>
  <c r="D16" i="14"/>
  <c r="F14" i="14"/>
  <c r="B14" i="14"/>
  <c r="G14" i="14" s="1"/>
  <c r="D12" i="14"/>
  <c r="F10" i="14"/>
  <c r="B10" i="14"/>
  <c r="D8" i="14"/>
  <c r="F20" i="14"/>
  <c r="D18" i="14"/>
  <c r="F16" i="14"/>
  <c r="D14" i="14"/>
  <c r="F12" i="14"/>
  <c r="D10" i="14"/>
  <c r="F8" i="14"/>
  <c r="K93" i="3" l="1"/>
  <c r="H58" i="3"/>
  <c r="E85" i="3"/>
  <c r="K109" i="3"/>
  <c r="K182" i="3"/>
  <c r="E153" i="3"/>
  <c r="H42" i="3"/>
  <c r="E101" i="3"/>
  <c r="K132" i="3"/>
  <c r="K112" i="3"/>
  <c r="J27" i="5"/>
  <c r="G57" i="2"/>
  <c r="P139" i="5"/>
  <c r="P149" i="5"/>
  <c r="E227" i="11"/>
  <c r="J227" i="11"/>
  <c r="H227" i="11"/>
  <c r="N120" i="2"/>
  <c r="O120" i="2" s="1"/>
  <c r="D227" i="11"/>
  <c r="G227" i="11"/>
  <c r="I228" i="2"/>
  <c r="H228" i="2"/>
  <c r="K227" i="11"/>
  <c r="M227" i="11"/>
  <c r="N227" i="11"/>
  <c r="I60" i="8"/>
  <c r="F60" i="8"/>
  <c r="F61" i="8" s="1"/>
  <c r="C8" i="28"/>
  <c r="D8" i="28" s="1"/>
  <c r="E50" i="5"/>
  <c r="E60" i="8"/>
  <c r="E61" i="8" s="1"/>
  <c r="E64" i="5"/>
  <c r="H60" i="8"/>
  <c r="H13" i="3"/>
  <c r="H36" i="3"/>
  <c r="E7" i="5"/>
  <c r="F7" i="5" s="1"/>
  <c r="G7" i="5" s="1"/>
  <c r="G231" i="3"/>
  <c r="G232" i="3" s="1"/>
  <c r="E81" i="5"/>
  <c r="E84" i="5"/>
  <c r="E21" i="5"/>
  <c r="F21" i="5" s="1"/>
  <c r="G21" i="5" s="1"/>
  <c r="E51" i="5"/>
  <c r="F51" i="5" s="1"/>
  <c r="G51" i="5" s="1"/>
  <c r="E76" i="5"/>
  <c r="I231" i="3"/>
  <c r="J231" i="3"/>
  <c r="E132" i="5"/>
  <c r="F132" i="5" s="1"/>
  <c r="G132" i="5" s="1"/>
  <c r="H43" i="3"/>
  <c r="F231" i="3"/>
  <c r="E149" i="5"/>
  <c r="E19" i="5"/>
  <c r="F19" i="5" s="1"/>
  <c r="G19" i="5" s="1"/>
  <c r="E227" i="6"/>
  <c r="C227" i="6"/>
  <c r="S7" i="12"/>
  <c r="L227" i="6"/>
  <c r="M7" i="12"/>
  <c r="I227" i="6"/>
  <c r="L7" i="12"/>
  <c r="H227" i="6"/>
  <c r="F227" i="6"/>
  <c r="G227" i="6" s="1"/>
  <c r="N227" i="6"/>
  <c r="B227" i="6"/>
  <c r="K227" i="6"/>
  <c r="M18" i="12"/>
  <c r="P69" i="12"/>
  <c r="Q80" i="12"/>
  <c r="R86" i="12"/>
  <c r="P76" i="12"/>
  <c r="N112" i="12"/>
  <c r="Q55" i="12"/>
  <c r="P79" i="12"/>
  <c r="O177" i="12"/>
  <c r="M12" i="12"/>
  <c r="N22" i="12"/>
  <c r="M108" i="12"/>
  <c r="N12" i="12"/>
  <c r="L9" i="12"/>
  <c r="Q62" i="12"/>
  <c r="O181" i="12"/>
  <c r="R27" i="12"/>
  <c r="L162" i="12"/>
  <c r="H23" i="3"/>
  <c r="G78" i="2"/>
  <c r="J109" i="2"/>
  <c r="K109" i="2" s="1"/>
  <c r="K18" i="3"/>
  <c r="J23" i="2"/>
  <c r="K23" i="2" s="1"/>
  <c r="N57" i="2"/>
  <c r="O57" i="2" s="1"/>
  <c r="N89" i="2"/>
  <c r="O89" i="2" s="1"/>
  <c r="F42" i="2"/>
  <c r="N106" i="2"/>
  <c r="O106" i="2" s="1"/>
  <c r="E67" i="3"/>
  <c r="N46" i="2"/>
  <c r="O46" i="2" s="1"/>
  <c r="N142" i="2"/>
  <c r="O142" i="2" s="1"/>
  <c r="G138" i="2"/>
  <c r="H25" i="3"/>
  <c r="H38" i="3"/>
  <c r="E46" i="3"/>
  <c r="J119" i="2"/>
  <c r="K119" i="2" s="1"/>
  <c r="N143" i="2"/>
  <c r="O143" i="2" s="1"/>
  <c r="N157" i="2"/>
  <c r="O157" i="2" s="1"/>
  <c r="F78" i="2"/>
  <c r="N148" i="2"/>
  <c r="O148" i="2" s="1"/>
  <c r="J59" i="2"/>
  <c r="K59" i="2" s="1"/>
  <c r="J139" i="2"/>
  <c r="K139" i="2" s="1"/>
  <c r="F138" i="2"/>
  <c r="J128" i="2"/>
  <c r="K128" i="2" s="1"/>
  <c r="K21" i="3"/>
  <c r="P57" i="12"/>
  <c r="J38" i="5"/>
  <c r="N54" i="12"/>
  <c r="M88" i="12"/>
  <c r="R54" i="12"/>
  <c r="M64" i="5"/>
  <c r="Q91" i="12"/>
  <c r="M26" i="12"/>
  <c r="R22" i="12"/>
  <c r="P134" i="12"/>
  <c r="P169" i="12"/>
  <c r="L175" i="12"/>
  <c r="N82" i="2"/>
  <c r="O82" i="2" s="1"/>
  <c r="N163" i="7"/>
  <c r="I177" i="7"/>
  <c r="B119" i="7"/>
  <c r="H162" i="3"/>
  <c r="F12" i="5"/>
  <c r="G12" i="5" s="1"/>
  <c r="E165" i="3"/>
  <c r="I64" i="12"/>
  <c r="K42" i="3"/>
  <c r="E110" i="3"/>
  <c r="F44" i="2"/>
  <c r="C163" i="7"/>
  <c r="M26" i="5"/>
  <c r="M38" i="5"/>
  <c r="M34" i="5"/>
  <c r="E21" i="3"/>
  <c r="K126" i="3"/>
  <c r="E177" i="3"/>
  <c r="P86" i="5"/>
  <c r="M22" i="5"/>
  <c r="E143" i="3"/>
  <c r="G122" i="14"/>
  <c r="G22" i="14"/>
  <c r="G94" i="14"/>
  <c r="M10" i="5"/>
  <c r="J7" i="5"/>
  <c r="J39" i="5"/>
  <c r="H94" i="3"/>
  <c r="E149" i="3"/>
  <c r="J36" i="5"/>
  <c r="H41" i="3"/>
  <c r="K180" i="3"/>
  <c r="P126" i="5"/>
  <c r="C57" i="7"/>
  <c r="D49" i="7"/>
  <c r="M97" i="7"/>
  <c r="E183" i="7"/>
  <c r="P48" i="5"/>
  <c r="H163" i="7"/>
  <c r="H163" i="12" s="1"/>
  <c r="J163" i="7"/>
  <c r="J150" i="2"/>
  <c r="K150" i="2" s="1"/>
  <c r="G48" i="2"/>
  <c r="O158" i="12"/>
  <c r="O154" i="12"/>
  <c r="O162" i="12"/>
  <c r="O33" i="12"/>
  <c r="P55" i="12"/>
  <c r="L142" i="5"/>
  <c r="M142" i="5" s="1"/>
  <c r="O143" i="12"/>
  <c r="O53" i="12"/>
  <c r="E95" i="5"/>
  <c r="F95" i="5" s="1"/>
  <c r="G95" i="5" s="1"/>
  <c r="E138" i="5"/>
  <c r="F138" i="5" s="1"/>
  <c r="G138" i="5" s="1"/>
  <c r="L47" i="5"/>
  <c r="L164" i="5"/>
  <c r="M164" i="5" s="1"/>
  <c r="E99" i="5"/>
  <c r="F99" i="5" s="1"/>
  <c r="G99" i="5" s="1"/>
  <c r="E142" i="5"/>
  <c r="F142" i="5" s="1"/>
  <c r="G142" i="5" s="1"/>
  <c r="M36" i="12"/>
  <c r="M51" i="12"/>
  <c r="M147" i="12"/>
  <c r="L95" i="5"/>
  <c r="M95" i="5" s="1"/>
  <c r="E85" i="5"/>
  <c r="F85" i="5" s="1"/>
  <c r="G85" i="5" s="1"/>
  <c r="R52" i="12"/>
  <c r="M169" i="12"/>
  <c r="L32" i="5"/>
  <c r="M32" i="5" s="1"/>
  <c r="S40" i="12"/>
  <c r="O150" i="12"/>
  <c r="L154" i="12"/>
  <c r="E159" i="5"/>
  <c r="F159" i="5" s="1"/>
  <c r="G159" i="5" s="1"/>
  <c r="E141" i="5"/>
  <c r="F141" i="5" s="1"/>
  <c r="G141" i="5" s="1"/>
  <c r="S39" i="12"/>
  <c r="L156" i="5"/>
  <c r="M156" i="5" s="1"/>
  <c r="E107" i="5"/>
  <c r="F107" i="5" s="1"/>
  <c r="G107" i="5" s="1"/>
  <c r="L99" i="12"/>
  <c r="N149" i="12"/>
  <c r="L143" i="5"/>
  <c r="M143" i="5" s="1"/>
  <c r="E53" i="5"/>
  <c r="F53" i="5" s="1"/>
  <c r="G53" i="5" s="1"/>
  <c r="E154" i="5"/>
  <c r="F154" i="5" s="1"/>
  <c r="G154" i="5" s="1"/>
  <c r="N88" i="2"/>
  <c r="O88" i="2" s="1"/>
  <c r="R35" i="12"/>
  <c r="M50" i="12"/>
  <c r="S31" i="12"/>
  <c r="M138" i="12"/>
  <c r="M175" i="12"/>
  <c r="F119" i="7"/>
  <c r="J120" i="2"/>
  <c r="K120" i="2" s="1"/>
  <c r="Q31" i="12"/>
  <c r="I100" i="7"/>
  <c r="I100" i="12" s="1"/>
  <c r="J40" i="2"/>
  <c r="K40" i="2" s="1"/>
  <c r="E108" i="5"/>
  <c r="F108" i="5" s="1"/>
  <c r="G108" i="5" s="1"/>
  <c r="M96" i="12"/>
  <c r="Q37" i="12"/>
  <c r="N28" i="12"/>
  <c r="L141" i="5"/>
  <c r="M141" i="5" s="1"/>
  <c r="L117" i="12"/>
  <c r="O131" i="12"/>
  <c r="M121" i="12"/>
  <c r="L31" i="12"/>
  <c r="O174" i="12"/>
  <c r="E133" i="5"/>
  <c r="N47" i="12"/>
  <c r="L39" i="12"/>
  <c r="S46" i="12"/>
  <c r="M100" i="12"/>
  <c r="L153" i="12"/>
  <c r="O123" i="12"/>
  <c r="O97" i="12"/>
  <c r="E158" i="5"/>
  <c r="M39" i="12"/>
  <c r="L55" i="5"/>
  <c r="O85" i="12"/>
  <c r="O115" i="12"/>
  <c r="N180" i="12"/>
  <c r="O144" i="12"/>
  <c r="L119" i="12"/>
  <c r="L31" i="5"/>
  <c r="M31" i="5" s="1"/>
  <c r="M176" i="12"/>
  <c r="E48" i="5"/>
  <c r="F48" i="5" s="1"/>
  <c r="G48" i="5" s="1"/>
  <c r="E134" i="5"/>
  <c r="Q41" i="12"/>
  <c r="K21" i="7"/>
  <c r="J21" i="12" s="1"/>
  <c r="O112" i="12"/>
  <c r="M180" i="7"/>
  <c r="E32" i="5"/>
  <c r="F32" i="5" s="1"/>
  <c r="G32" i="5" s="1"/>
  <c r="E52" i="5"/>
  <c r="F52" i="5" s="1"/>
  <c r="G52" i="5" s="1"/>
  <c r="M44" i="12"/>
  <c r="L37" i="5"/>
  <c r="M37" i="5" s="1"/>
  <c r="O127" i="12"/>
  <c r="M115" i="12"/>
  <c r="O49" i="12"/>
  <c r="L47" i="12"/>
  <c r="O166" i="12"/>
  <c r="L174" i="12"/>
  <c r="L106" i="5"/>
  <c r="M106" i="5" s="1"/>
  <c r="L134" i="5"/>
  <c r="M134" i="5" s="1"/>
  <c r="L39" i="5"/>
  <c r="M39" i="5" s="1"/>
  <c r="L102" i="5"/>
  <c r="L110" i="5"/>
  <c r="L152" i="5"/>
  <c r="M152" i="5" s="1"/>
  <c r="E150" i="5"/>
  <c r="L46" i="5"/>
  <c r="L126" i="5"/>
  <c r="M126" i="5" s="1"/>
  <c r="Q35" i="12"/>
  <c r="Q43" i="12"/>
  <c r="M93" i="12"/>
  <c r="L105" i="12"/>
  <c r="L160" i="5"/>
  <c r="E35" i="5"/>
  <c r="F35" i="5" s="1"/>
  <c r="G35" i="5" s="1"/>
  <c r="E147" i="5"/>
  <c r="F147" i="5" s="1"/>
  <c r="G147" i="5" s="1"/>
  <c r="O141" i="12"/>
  <c r="O147" i="12"/>
  <c r="M180" i="12"/>
  <c r="O95" i="12"/>
  <c r="O52" i="12"/>
  <c r="J14" i="5"/>
  <c r="K41" i="3"/>
  <c r="E30" i="3"/>
  <c r="J26" i="5"/>
  <c r="P40" i="12"/>
  <c r="E60" i="3"/>
  <c r="K146" i="3"/>
  <c r="R90" i="12"/>
  <c r="O7" i="12"/>
  <c r="M80" i="5"/>
  <c r="P72" i="5"/>
  <c r="L96" i="12"/>
  <c r="N62" i="2"/>
  <c r="O62" i="2" s="1"/>
  <c r="P49" i="5"/>
  <c r="P130" i="5"/>
  <c r="R102" i="12"/>
  <c r="H65" i="3"/>
  <c r="H51" i="3"/>
  <c r="H167" i="3"/>
  <c r="K135" i="7"/>
  <c r="J135" i="12" s="1"/>
  <c r="C119" i="7"/>
  <c r="P10" i="5"/>
  <c r="D54" i="7"/>
  <c r="M83" i="5"/>
  <c r="E36" i="3"/>
  <c r="H171" i="3"/>
  <c r="P163" i="5"/>
  <c r="E155" i="7"/>
  <c r="R88" i="12"/>
  <c r="Q138" i="12"/>
  <c r="L89" i="12"/>
  <c r="L155" i="7"/>
  <c r="M54" i="7"/>
  <c r="O68" i="7"/>
  <c r="P105" i="12"/>
  <c r="O54" i="7"/>
  <c r="H155" i="7"/>
  <c r="F73" i="7"/>
  <c r="J55" i="2"/>
  <c r="K55" i="2" s="1"/>
  <c r="J67" i="2"/>
  <c r="K67" i="2" s="1"/>
  <c r="J60" i="2"/>
  <c r="K60" i="2" s="1"/>
  <c r="H54" i="7"/>
  <c r="K54" i="7"/>
  <c r="J54" i="12" s="1"/>
  <c r="D155" i="7"/>
  <c r="H110" i="3"/>
  <c r="P119" i="5"/>
  <c r="B54" i="7"/>
  <c r="F158" i="7"/>
  <c r="C54" i="7"/>
  <c r="K158" i="7"/>
  <c r="P134" i="5"/>
  <c r="K64" i="3"/>
  <c r="D183" i="7"/>
  <c r="S35" i="12"/>
  <c r="L13" i="12"/>
  <c r="D158" i="7"/>
  <c r="G158" i="7"/>
  <c r="E117" i="3"/>
  <c r="H92" i="3"/>
  <c r="Q66" i="12"/>
  <c r="I158" i="7"/>
  <c r="J80" i="12"/>
  <c r="C158" i="7"/>
  <c r="J32" i="2"/>
  <c r="K32" i="2" s="1"/>
  <c r="M33" i="5"/>
  <c r="M49" i="5"/>
  <c r="N158" i="7"/>
  <c r="H39" i="3"/>
  <c r="O80" i="7"/>
  <c r="F183" i="7"/>
  <c r="P87" i="5"/>
  <c r="L80" i="7"/>
  <c r="K80" i="12" s="1"/>
  <c r="H20" i="3"/>
  <c r="O146" i="7"/>
  <c r="E146" i="7"/>
  <c r="H59" i="3"/>
  <c r="E57" i="3"/>
  <c r="N54" i="7"/>
  <c r="F68" i="7"/>
  <c r="J54" i="7"/>
  <c r="K72" i="12"/>
  <c r="N184" i="2"/>
  <c r="O184" i="2" s="1"/>
  <c r="N50" i="2"/>
  <c r="O50" i="2" s="1"/>
  <c r="H24" i="3"/>
  <c r="F155" i="7"/>
  <c r="P22" i="5"/>
  <c r="Q169" i="12"/>
  <c r="I53" i="7"/>
  <c r="I53" i="12" s="1"/>
  <c r="B33" i="7"/>
  <c r="H98" i="7"/>
  <c r="N69" i="7"/>
  <c r="K95" i="12"/>
  <c r="F25" i="7"/>
  <c r="L35" i="7"/>
  <c r="M90" i="7"/>
  <c r="H160" i="7"/>
  <c r="H160" i="12" s="1"/>
  <c r="M88" i="5"/>
  <c r="E29" i="5"/>
  <c r="F29" i="5" s="1"/>
  <c r="G29" i="5" s="1"/>
  <c r="N33" i="2"/>
  <c r="O33" i="2" s="1"/>
  <c r="N94" i="2"/>
  <c r="O94" i="2" s="1"/>
  <c r="I98" i="7"/>
  <c r="E80" i="7"/>
  <c r="G117" i="7"/>
  <c r="M164" i="7"/>
  <c r="O13" i="7"/>
  <c r="N68" i="7"/>
  <c r="L183" i="7"/>
  <c r="I13" i="7"/>
  <c r="I13" i="12" s="1"/>
  <c r="K91" i="7"/>
  <c r="G96" i="14"/>
  <c r="N62" i="12"/>
  <c r="Q27" i="12"/>
  <c r="K98" i="7"/>
  <c r="I35" i="7"/>
  <c r="J53" i="7"/>
  <c r="D35" i="7"/>
  <c r="E90" i="3"/>
  <c r="K122" i="3"/>
  <c r="K156" i="3"/>
  <c r="L25" i="7"/>
  <c r="K25" i="12" s="1"/>
  <c r="K20" i="3"/>
  <c r="K88" i="7"/>
  <c r="F134" i="7"/>
  <c r="M158" i="7"/>
  <c r="O155" i="7"/>
  <c r="B183" i="7"/>
  <c r="I96" i="7"/>
  <c r="I96" i="12" s="1"/>
  <c r="O88" i="7"/>
  <c r="H134" i="7"/>
  <c r="G35" i="7"/>
  <c r="E28" i="3"/>
  <c r="D33" i="7"/>
  <c r="L104" i="12"/>
  <c r="R24" i="12"/>
  <c r="N156" i="12"/>
  <c r="L135" i="12"/>
  <c r="I90" i="7"/>
  <c r="C98" i="7"/>
  <c r="H13" i="7"/>
  <c r="H13" i="12" s="1"/>
  <c r="O127" i="7"/>
  <c r="J160" i="7"/>
  <c r="B53" i="7"/>
  <c r="D170" i="7"/>
  <c r="G46" i="2"/>
  <c r="N134" i="2"/>
  <c r="O134" i="2" s="1"/>
  <c r="G69" i="7"/>
  <c r="M91" i="7"/>
  <c r="J88" i="7"/>
  <c r="M134" i="7"/>
  <c r="G155" i="7"/>
  <c r="J183" i="7"/>
  <c r="P111" i="5"/>
  <c r="O35" i="7"/>
  <c r="L158" i="7"/>
  <c r="B155" i="7"/>
  <c r="O33" i="7"/>
  <c r="H183" i="7"/>
  <c r="R46" i="12"/>
  <c r="R156" i="12"/>
  <c r="M168" i="12"/>
  <c r="N90" i="7"/>
  <c r="D13" i="7"/>
  <c r="N160" i="7"/>
  <c r="J47" i="5"/>
  <c r="E73" i="3"/>
  <c r="K145" i="3"/>
  <c r="K35" i="7"/>
  <c r="E88" i="7"/>
  <c r="M155" i="7"/>
  <c r="N183" i="7"/>
  <c r="F35" i="7"/>
  <c r="J134" i="7"/>
  <c r="E158" i="7"/>
  <c r="B52" i="7"/>
  <c r="L134" i="7"/>
  <c r="K134" i="12" s="1"/>
  <c r="N104" i="2"/>
  <c r="O104" i="2" s="1"/>
  <c r="N13" i="7"/>
  <c r="O134" i="7"/>
  <c r="H77" i="3"/>
  <c r="F46" i="2"/>
  <c r="J180" i="2"/>
  <c r="K180" i="2" s="1"/>
  <c r="M13" i="7"/>
  <c r="M51" i="7"/>
  <c r="D24" i="7"/>
  <c r="E73" i="7"/>
  <c r="N88" i="7"/>
  <c r="C183" i="7"/>
  <c r="E155" i="3"/>
  <c r="E35" i="7"/>
  <c r="K155" i="7"/>
  <c r="D61" i="7"/>
  <c r="R26" i="12"/>
  <c r="J13" i="7"/>
  <c r="H51" i="7"/>
  <c r="K50" i="3"/>
  <c r="K78" i="3"/>
  <c r="N145" i="2"/>
  <c r="O145" i="2" s="1"/>
  <c r="J51" i="7"/>
  <c r="K24" i="7"/>
  <c r="J24" i="12" s="1"/>
  <c r="F91" i="7"/>
  <c r="N96" i="7"/>
  <c r="G88" i="7"/>
  <c r="I88" i="7"/>
  <c r="I88" i="12" s="1"/>
  <c r="F88" i="7"/>
  <c r="G183" i="7"/>
  <c r="J52" i="7"/>
  <c r="M25" i="7"/>
  <c r="J158" i="7"/>
  <c r="C73" i="7"/>
  <c r="B158" i="7"/>
  <c r="G162" i="14"/>
  <c r="G26" i="14"/>
  <c r="M146" i="12"/>
  <c r="F13" i="7"/>
  <c r="D25" i="7"/>
  <c r="G134" i="7"/>
  <c r="O90" i="7"/>
  <c r="H53" i="7"/>
  <c r="M127" i="7"/>
  <c r="H182" i="12"/>
  <c r="J150" i="5"/>
  <c r="H57" i="3"/>
  <c r="F6" i="3"/>
  <c r="N30" i="2"/>
  <c r="O30" i="2" s="1"/>
  <c r="G53" i="7"/>
  <c r="J96" i="7"/>
  <c r="C88" i="7"/>
  <c r="C155" i="7"/>
  <c r="K183" i="7"/>
  <c r="J183" i="12" s="1"/>
  <c r="N52" i="7"/>
  <c r="K187" i="3"/>
  <c r="P34" i="5"/>
  <c r="O61" i="7"/>
  <c r="P65" i="5"/>
  <c r="L19" i="12"/>
  <c r="F160" i="7"/>
  <c r="K134" i="7"/>
  <c r="S83" i="12"/>
  <c r="B13" i="7"/>
  <c r="I25" i="7"/>
  <c r="I25" i="12" s="1"/>
  <c r="I51" i="7"/>
  <c r="E90" i="7"/>
  <c r="C134" i="7"/>
  <c r="K90" i="7"/>
  <c r="M53" i="7"/>
  <c r="E98" i="7"/>
  <c r="K158" i="3"/>
  <c r="L6" i="3"/>
  <c r="C53" i="7"/>
  <c r="E96" i="7"/>
  <c r="F96" i="7"/>
  <c r="L88" i="7"/>
  <c r="D134" i="7"/>
  <c r="I155" i="7"/>
  <c r="O183" i="7"/>
  <c r="K147" i="3"/>
  <c r="M35" i="7"/>
  <c r="H25" i="7"/>
  <c r="I91" i="7"/>
  <c r="I91" i="12" s="1"/>
  <c r="B90" i="7"/>
  <c r="N190" i="2"/>
  <c r="O190" i="2" s="1"/>
  <c r="R47" i="12"/>
  <c r="O103" i="12"/>
  <c r="L101" i="12"/>
  <c r="I117" i="7"/>
  <c r="O25" i="7"/>
  <c r="E53" i="7"/>
  <c r="J90" i="7"/>
  <c r="G90" i="7"/>
  <c r="N25" i="7"/>
  <c r="J98" i="7"/>
  <c r="J157" i="5"/>
  <c r="K95" i="3"/>
  <c r="I6" i="3"/>
  <c r="N113" i="2"/>
  <c r="O113" i="2" s="1"/>
  <c r="K96" i="7"/>
  <c r="J96" i="12" s="1"/>
  <c r="B96" i="7"/>
  <c r="H88" i="7"/>
  <c r="M88" i="7"/>
  <c r="I134" i="7"/>
  <c r="I134" i="12" s="1"/>
  <c r="N155" i="7"/>
  <c r="G25" i="7"/>
  <c r="M183" i="7"/>
  <c r="F52" i="2"/>
  <c r="P146" i="12"/>
  <c r="P172" i="12"/>
  <c r="R154" i="12"/>
  <c r="P124" i="12"/>
  <c r="N154" i="12"/>
  <c r="P30" i="12"/>
  <c r="S69" i="12"/>
  <c r="P159" i="5"/>
  <c r="O172" i="12"/>
  <c r="B236" i="2"/>
  <c r="L10" i="7"/>
  <c r="K10" i="12" s="1"/>
  <c r="M56" i="5"/>
  <c r="L32" i="12"/>
  <c r="S137" i="12"/>
  <c r="L110" i="12"/>
  <c r="O104" i="12"/>
  <c r="P102" i="12"/>
  <c r="S116" i="12"/>
  <c r="L98" i="12"/>
  <c r="N137" i="12"/>
  <c r="S155" i="12"/>
  <c r="H48" i="3"/>
  <c r="L109" i="12"/>
  <c r="O107" i="12"/>
  <c r="S150" i="12"/>
  <c r="Q124" i="12"/>
  <c r="S162" i="12"/>
  <c r="R145" i="12"/>
  <c r="L108" i="5"/>
  <c r="M108" i="5" s="1"/>
  <c r="O105" i="12"/>
  <c r="R100" i="12"/>
  <c r="L107" i="12"/>
  <c r="O153" i="12"/>
  <c r="P157" i="12"/>
  <c r="P123" i="12"/>
  <c r="L100" i="5"/>
  <c r="R131" i="12"/>
  <c r="O121" i="12"/>
  <c r="R148" i="12"/>
  <c r="M173" i="12"/>
  <c r="O151" i="12"/>
  <c r="N160" i="12"/>
  <c r="E117" i="5"/>
  <c r="F117" i="5" s="1"/>
  <c r="G117" i="5" s="1"/>
  <c r="O135" i="12"/>
  <c r="M122" i="12"/>
  <c r="Q112" i="12"/>
  <c r="O109" i="12"/>
  <c r="L121" i="12"/>
  <c r="S124" i="12"/>
  <c r="L124" i="5"/>
  <c r="M124" i="5" s="1"/>
  <c r="L146" i="5"/>
  <c r="M146" i="5" s="1"/>
  <c r="R170" i="12"/>
  <c r="E128" i="5"/>
  <c r="O117" i="12"/>
  <c r="L116" i="5"/>
  <c r="M116" i="5" s="1"/>
  <c r="Q128" i="12"/>
  <c r="O157" i="12"/>
  <c r="R115" i="12"/>
  <c r="N152" i="12"/>
  <c r="E139" i="5"/>
  <c r="F139" i="5" s="1"/>
  <c r="G139" i="5" s="1"/>
  <c r="E115" i="5"/>
  <c r="F115" i="5" s="1"/>
  <c r="G115" i="5" s="1"/>
  <c r="O137" i="12"/>
  <c r="N126" i="12"/>
  <c r="P141" i="12"/>
  <c r="M153" i="12"/>
  <c r="M143" i="12"/>
  <c r="M157" i="12"/>
  <c r="S110" i="12"/>
  <c r="Q152" i="12"/>
  <c r="P125" i="12"/>
  <c r="Q109" i="12"/>
  <c r="N169" i="12"/>
  <c r="N128" i="12"/>
  <c r="S104" i="12"/>
  <c r="R119" i="12"/>
  <c r="Q140" i="12"/>
  <c r="L150" i="5"/>
  <c r="Q113" i="12"/>
  <c r="L113" i="5"/>
  <c r="M113" i="5" s="1"/>
  <c r="P145" i="12"/>
  <c r="L145" i="5"/>
  <c r="M145" i="5" s="1"/>
  <c r="N120" i="12"/>
  <c r="P139" i="12"/>
  <c r="R165" i="12"/>
  <c r="Q117" i="12"/>
  <c r="S114" i="12"/>
  <c r="L151" i="12"/>
  <c r="E119" i="5"/>
  <c r="S123" i="12"/>
  <c r="P155" i="12"/>
  <c r="L128" i="5"/>
  <c r="M128" i="5" s="1"/>
  <c r="L137" i="12"/>
  <c r="S140" i="12"/>
  <c r="L140" i="5"/>
  <c r="M140" i="5" s="1"/>
  <c r="S158" i="12"/>
  <c r="L129" i="5"/>
  <c r="M129" i="5" s="1"/>
  <c r="E124" i="5"/>
  <c r="F124" i="5" s="1"/>
  <c r="G124" i="5" s="1"/>
  <c r="Q123" i="12"/>
  <c r="N157" i="12"/>
  <c r="P153" i="12"/>
  <c r="Q104" i="12"/>
  <c r="O139" i="12"/>
  <c r="O116" i="12"/>
  <c r="O125" i="12"/>
  <c r="R149" i="12"/>
  <c r="L157" i="5"/>
  <c r="M157" i="5" s="1"/>
  <c r="M149" i="12"/>
  <c r="O163" i="12"/>
  <c r="Q135" i="12"/>
  <c r="N108" i="12"/>
  <c r="P128" i="12"/>
  <c r="O120" i="12"/>
  <c r="C11" i="28"/>
  <c r="B8" i="28"/>
  <c r="E235" i="2"/>
  <c r="K10" i="3"/>
  <c r="N182" i="12"/>
  <c r="M177" i="12"/>
  <c r="N174" i="12"/>
  <c r="N178" i="12"/>
  <c r="N185" i="12"/>
  <c r="N177" i="12"/>
  <c r="E29" i="3"/>
  <c r="N96" i="2"/>
  <c r="O96" i="2" s="1"/>
  <c r="G163" i="2"/>
  <c r="L146" i="7"/>
  <c r="F193" i="2"/>
  <c r="P165" i="5"/>
  <c r="P13" i="5"/>
  <c r="P37" i="5"/>
  <c r="P73" i="5"/>
  <c r="P71" i="12"/>
  <c r="S89" i="12"/>
  <c r="M97" i="5"/>
  <c r="S115" i="12"/>
  <c r="O132" i="12"/>
  <c r="L51" i="12"/>
  <c r="M20" i="12"/>
  <c r="L15" i="7"/>
  <c r="K15" i="12" s="1"/>
  <c r="D117" i="7"/>
  <c r="C51" i="7"/>
  <c r="D91" i="7"/>
  <c r="J127" i="7"/>
  <c r="E15" i="7"/>
  <c r="L127" i="7"/>
  <c r="D51" i="7"/>
  <c r="C62" i="7"/>
  <c r="B188" i="7"/>
  <c r="H170" i="7"/>
  <c r="J49" i="2"/>
  <c r="K49" i="2" s="1"/>
  <c r="F89" i="2"/>
  <c r="N105" i="2"/>
  <c r="O105" i="2" s="1"/>
  <c r="P108" i="5"/>
  <c r="I15" i="7"/>
  <c r="O8" i="7"/>
  <c r="F51" i="7"/>
  <c r="D16" i="7"/>
  <c r="O24" i="7"/>
  <c r="N91" i="7"/>
  <c r="E60" i="7"/>
  <c r="C84" i="7"/>
  <c r="I118" i="7"/>
  <c r="I170" i="7"/>
  <c r="P36" i="5"/>
  <c r="M16" i="7"/>
  <c r="E52" i="7"/>
  <c r="M38" i="7"/>
  <c r="F38" i="7"/>
  <c r="H65" i="7"/>
  <c r="H65" i="12" s="1"/>
  <c r="C65" i="7"/>
  <c r="I33" i="7"/>
  <c r="I33" i="12" s="1"/>
  <c r="C8" i="7"/>
  <c r="N181" i="7"/>
  <c r="J69" i="7"/>
  <c r="O170" i="7"/>
  <c r="H14" i="3"/>
  <c r="H168" i="3"/>
  <c r="N38" i="2"/>
  <c r="O38" i="2" s="1"/>
  <c r="P25" i="5"/>
  <c r="P64" i="5"/>
  <c r="B51" i="7"/>
  <c r="C69" i="7"/>
  <c r="G24" i="7"/>
  <c r="G91" i="7"/>
  <c r="C117" i="7"/>
  <c r="F118" i="7"/>
  <c r="K96" i="3"/>
  <c r="G23" i="14"/>
  <c r="J38" i="7"/>
  <c r="I52" i="7"/>
  <c r="I52" i="12" s="1"/>
  <c r="M62" i="7"/>
  <c r="N20" i="2"/>
  <c r="O20" i="2" s="1"/>
  <c r="R39" i="12"/>
  <c r="G89" i="2"/>
  <c r="J101" i="2"/>
  <c r="K101" i="2" s="1"/>
  <c r="L68" i="12"/>
  <c r="P92" i="12"/>
  <c r="N104" i="12"/>
  <c r="R123" i="12"/>
  <c r="S128" i="12"/>
  <c r="P159" i="12"/>
  <c r="K117" i="7"/>
  <c r="F69" i="7"/>
  <c r="J86" i="5"/>
  <c r="K13" i="3"/>
  <c r="H74" i="3"/>
  <c r="K170" i="7"/>
  <c r="G61" i="2"/>
  <c r="C24" i="7"/>
  <c r="J43" i="7"/>
  <c r="B91" i="7"/>
  <c r="G187" i="2"/>
  <c r="G123" i="14"/>
  <c r="E38" i="7"/>
  <c r="D52" i="7"/>
  <c r="I60" i="7"/>
  <c r="I60" i="12" s="1"/>
  <c r="F62" i="7"/>
  <c r="J118" i="7"/>
  <c r="L52" i="7"/>
  <c r="K52" i="12" s="1"/>
  <c r="H86" i="7"/>
  <c r="H86" i="12" s="1"/>
  <c r="J169" i="7"/>
  <c r="G33" i="7"/>
  <c r="C4" i="21" s="1"/>
  <c r="F127" i="7"/>
  <c r="E117" i="7"/>
  <c r="S34" i="12"/>
  <c r="S152" i="12"/>
  <c r="O118" i="7"/>
  <c r="B69" i="7"/>
  <c r="H181" i="12"/>
  <c r="K78" i="7"/>
  <c r="J78" i="12" s="1"/>
  <c r="H31" i="3"/>
  <c r="E74" i="3"/>
  <c r="G170" i="7"/>
  <c r="E25" i="3"/>
  <c r="F121" i="2"/>
  <c r="G167" i="14"/>
  <c r="P66" i="5"/>
  <c r="G52" i="7"/>
  <c r="K11" i="7"/>
  <c r="J11" i="12" s="1"/>
  <c r="N60" i="7"/>
  <c r="K60" i="7"/>
  <c r="J60" i="12" s="1"/>
  <c r="N123" i="7"/>
  <c r="K129" i="3"/>
  <c r="N38" i="7"/>
  <c r="C52" i="7"/>
  <c r="C60" i="7"/>
  <c r="E62" i="7"/>
  <c r="E86" i="7"/>
  <c r="F167" i="7"/>
  <c r="I188" i="7"/>
  <c r="I188" i="12" s="1"/>
  <c r="N136" i="2"/>
  <c r="O136" i="2" s="1"/>
  <c r="F86" i="7"/>
  <c r="M170" i="7"/>
  <c r="M52" i="7"/>
  <c r="K127" i="7"/>
  <c r="J127" i="12" s="1"/>
  <c r="E33" i="7"/>
  <c r="L33" i="7"/>
  <c r="Q97" i="12"/>
  <c r="R69" i="12"/>
  <c r="R128" i="12"/>
  <c r="R152" i="12"/>
  <c r="R25" i="12"/>
  <c r="K15" i="7"/>
  <c r="J15" i="12" s="1"/>
  <c r="O38" i="7"/>
  <c r="K118" i="7"/>
  <c r="H117" i="7"/>
  <c r="G188" i="7"/>
  <c r="C170" i="7"/>
  <c r="E27" i="3"/>
  <c r="K164" i="3"/>
  <c r="N85" i="2"/>
  <c r="O85" i="2" s="1"/>
  <c r="F106" i="2"/>
  <c r="P84" i="5"/>
  <c r="K52" i="7"/>
  <c r="J52" i="12" s="1"/>
  <c r="C11" i="7"/>
  <c r="G60" i="7"/>
  <c r="N24" i="7"/>
  <c r="J60" i="7"/>
  <c r="D129" i="7"/>
  <c r="K56" i="3"/>
  <c r="E170" i="3"/>
  <c r="M67" i="5"/>
  <c r="I38" i="7"/>
  <c r="I38" i="12" s="1"/>
  <c r="L65" i="7"/>
  <c r="K65" i="12" s="1"/>
  <c r="O164" i="7"/>
  <c r="H38" i="7"/>
  <c r="J86" i="7"/>
  <c r="I169" i="7"/>
  <c r="I169" i="12" s="1"/>
  <c r="C188" i="7"/>
  <c r="J68" i="2"/>
  <c r="K68" i="2" s="1"/>
  <c r="J177" i="2"/>
  <c r="K177" i="2" s="1"/>
  <c r="K65" i="7"/>
  <c r="J65" i="12" s="1"/>
  <c r="M86" i="7"/>
  <c r="E170" i="7"/>
  <c r="F181" i="7"/>
  <c r="N39" i="12"/>
  <c r="M124" i="12"/>
  <c r="Q122" i="12"/>
  <c r="R34" i="12"/>
  <c r="N98" i="12"/>
  <c r="R75" i="12"/>
  <c r="M75" i="12"/>
  <c r="R116" i="12"/>
  <c r="M166" i="12"/>
  <c r="R72" i="12"/>
  <c r="M151" i="5"/>
  <c r="M89" i="12"/>
  <c r="C127" i="7"/>
  <c r="K38" i="7"/>
  <c r="D62" i="7"/>
  <c r="G118" i="7"/>
  <c r="H69" i="7"/>
  <c r="H69" i="12" s="1"/>
  <c r="M117" i="7"/>
  <c r="O188" i="7"/>
  <c r="J110" i="5"/>
  <c r="L188" i="7"/>
  <c r="K188" i="12" s="1"/>
  <c r="L178" i="7"/>
  <c r="N102" i="2"/>
  <c r="O102" i="2" s="1"/>
  <c r="O52" i="7"/>
  <c r="O11" i="7"/>
  <c r="O60" i="7"/>
  <c r="J24" i="7"/>
  <c r="F60" i="7"/>
  <c r="I24" i="7"/>
  <c r="I129" i="7"/>
  <c r="P99" i="5"/>
  <c r="D38" i="7"/>
  <c r="E65" i="7"/>
  <c r="L181" i="7"/>
  <c r="K181" i="12" s="1"/>
  <c r="N175" i="2"/>
  <c r="O175" i="2" s="1"/>
  <c r="B86" i="7"/>
  <c r="M181" i="7"/>
  <c r="E178" i="3"/>
  <c r="M65" i="7"/>
  <c r="D15" i="7"/>
  <c r="R98" i="12"/>
  <c r="I127" i="7"/>
  <c r="G38" i="7"/>
  <c r="I62" i="7"/>
  <c r="I62" i="12" s="1"/>
  <c r="E69" i="7"/>
  <c r="C118" i="7"/>
  <c r="J63" i="12"/>
  <c r="N117" i="7"/>
  <c r="M69" i="7"/>
  <c r="K77" i="3"/>
  <c r="H188" i="7"/>
  <c r="H188" i="12" s="1"/>
  <c r="N170" i="7"/>
  <c r="K188" i="7"/>
  <c r="J188" i="12" s="1"/>
  <c r="F61" i="2"/>
  <c r="N169" i="2"/>
  <c r="O169" i="2" s="1"/>
  <c r="G157" i="14"/>
  <c r="F24" i="7"/>
  <c r="E181" i="7"/>
  <c r="M8" i="7"/>
  <c r="D65" i="7"/>
  <c r="E129" i="7"/>
  <c r="O51" i="7"/>
  <c r="D181" i="7"/>
  <c r="H33" i="7"/>
  <c r="H33" i="12" s="1"/>
  <c r="D86" i="7"/>
  <c r="O117" i="7"/>
  <c r="D127" i="7"/>
  <c r="R126" i="12"/>
  <c r="R106" i="12"/>
  <c r="N15" i="7"/>
  <c r="D69" i="7"/>
  <c r="N127" i="7"/>
  <c r="N33" i="7"/>
  <c r="C38" i="7"/>
  <c r="N62" i="7"/>
  <c r="K69" i="7"/>
  <c r="J69" i="12" s="1"/>
  <c r="G181" i="7"/>
  <c r="J117" i="7"/>
  <c r="G15" i="7"/>
  <c r="H95" i="3"/>
  <c r="D188" i="7"/>
  <c r="J170" i="7"/>
  <c r="E161" i="3"/>
  <c r="J113" i="2"/>
  <c r="K113" i="2" s="1"/>
  <c r="N176" i="2"/>
  <c r="O176" i="2" s="1"/>
  <c r="J75" i="2"/>
  <c r="K75" i="2" s="1"/>
  <c r="J123" i="2"/>
  <c r="K123" i="2" s="1"/>
  <c r="N130" i="2"/>
  <c r="O130" i="2" s="1"/>
  <c r="E236" i="2"/>
  <c r="O65" i="7"/>
  <c r="M11" i="7"/>
  <c r="B24" i="7"/>
  <c r="L60" i="7"/>
  <c r="K60" i="12" s="1"/>
  <c r="J99" i="7"/>
  <c r="J181" i="7"/>
  <c r="P143" i="5"/>
  <c r="I86" i="7"/>
  <c r="E51" i="7"/>
  <c r="H64" i="3"/>
  <c r="K28" i="3"/>
  <c r="I181" i="7"/>
  <c r="I180" i="12" s="1"/>
  <c r="M33" i="7"/>
  <c r="K129" i="7"/>
  <c r="E91" i="7"/>
  <c r="K33" i="7"/>
  <c r="J91" i="7"/>
  <c r="P152" i="12"/>
  <c r="N51" i="7"/>
  <c r="Q103" i="12"/>
  <c r="J15" i="7"/>
  <c r="I69" i="7"/>
  <c r="I69" i="12" s="1"/>
  <c r="J33" i="7"/>
  <c r="M55" i="7"/>
  <c r="K181" i="7"/>
  <c r="J181" i="12" s="1"/>
  <c r="F117" i="7"/>
  <c r="O15" i="7"/>
  <c r="O62" i="7"/>
  <c r="H172" i="12"/>
  <c r="J152" i="5"/>
  <c r="K162" i="3"/>
  <c r="N188" i="7"/>
  <c r="F170" i="7"/>
  <c r="H30" i="3"/>
  <c r="N45" i="2"/>
  <c r="O45" i="2" s="1"/>
  <c r="N117" i="2"/>
  <c r="O117" i="2" s="1"/>
  <c r="E11" i="7"/>
  <c r="L24" i="7"/>
  <c r="K24" i="12" s="1"/>
  <c r="H60" i="7"/>
  <c r="H60" i="12" s="1"/>
  <c r="K51" i="7"/>
  <c r="J51" i="12" s="1"/>
  <c r="B99" i="7"/>
  <c r="N86" i="7"/>
  <c r="G51" i="7"/>
  <c r="B181" i="7"/>
  <c r="L38" i="7"/>
  <c r="G31" i="14"/>
  <c r="O91" i="7"/>
  <c r="M75" i="5"/>
  <c r="K69" i="12"/>
  <c r="M56" i="12"/>
  <c r="L55" i="12"/>
  <c r="F15" i="7"/>
  <c r="O69" i="7"/>
  <c r="F33" i="7"/>
  <c r="L91" i="7"/>
  <c r="K91" i="12" s="1"/>
  <c r="L123" i="7"/>
  <c r="O181" i="7"/>
  <c r="B117" i="7"/>
  <c r="J89" i="7"/>
  <c r="G127" i="7"/>
  <c r="K172" i="12"/>
  <c r="K182" i="12"/>
  <c r="M84" i="5"/>
  <c r="E53" i="3"/>
  <c r="J188" i="7"/>
  <c r="N161" i="2"/>
  <c r="O161" i="2" s="1"/>
  <c r="D11" i="7"/>
  <c r="H24" i="7"/>
  <c r="H24" i="12" s="1"/>
  <c r="C164" i="7"/>
  <c r="M24" i="7"/>
  <c r="H52" i="7"/>
  <c r="H52" i="12" s="1"/>
  <c r="C181" i="7"/>
  <c r="H187" i="3"/>
  <c r="K136" i="3"/>
  <c r="E76" i="3"/>
  <c r="P10" i="12"/>
  <c r="S125" i="12"/>
  <c r="G40" i="2"/>
  <c r="N181" i="2"/>
  <c r="O181" i="2" s="1"/>
  <c r="J88" i="2"/>
  <c r="K88" i="2" s="1"/>
  <c r="D98" i="7"/>
  <c r="O132" i="7"/>
  <c r="B134" i="7"/>
  <c r="B144" i="7"/>
  <c r="K136" i="7"/>
  <c r="M136" i="7"/>
  <c r="G13" i="7"/>
  <c r="D136" i="7"/>
  <c r="E100" i="7"/>
  <c r="P101" i="5"/>
  <c r="C96" i="7"/>
  <c r="B100" i="7"/>
  <c r="G136" i="7"/>
  <c r="H96" i="7"/>
  <c r="H96" i="12" s="1"/>
  <c r="M96" i="7"/>
  <c r="E183" i="3"/>
  <c r="O96" i="7"/>
  <c r="J95" i="12"/>
  <c r="R125" i="12"/>
  <c r="H68" i="3"/>
  <c r="G122" i="2"/>
  <c r="H100" i="7"/>
  <c r="H100" i="12" s="1"/>
  <c r="F98" i="7"/>
  <c r="E132" i="7"/>
  <c r="B136" i="7"/>
  <c r="K132" i="7"/>
  <c r="L144" i="7"/>
  <c r="K144" i="12" s="1"/>
  <c r="E13" i="7"/>
  <c r="N136" i="7"/>
  <c r="N92" i="2"/>
  <c r="O92" i="2" s="1"/>
  <c r="J100" i="7"/>
  <c r="M188" i="7"/>
  <c r="P69" i="5"/>
  <c r="L96" i="7"/>
  <c r="K96" i="12" s="1"/>
  <c r="K100" i="7"/>
  <c r="D100" i="7"/>
  <c r="K171" i="3"/>
  <c r="L90" i="7"/>
  <c r="G100" i="7"/>
  <c r="M100" i="7"/>
  <c r="P131" i="5"/>
  <c r="L100" i="7"/>
  <c r="J35" i="7"/>
  <c r="C107" i="7"/>
  <c r="D132" i="7"/>
  <c r="J136" i="7"/>
  <c r="L121" i="7"/>
  <c r="I136" i="7"/>
  <c r="I136" i="12" s="1"/>
  <c r="P42" i="5"/>
  <c r="O100" i="7"/>
  <c r="D96" i="7"/>
  <c r="C100" i="7"/>
  <c r="L113" i="7"/>
  <c r="K113" i="12" s="1"/>
  <c r="N100" i="7"/>
  <c r="C25" i="7"/>
  <c r="N24" i="12"/>
  <c r="S28" i="12"/>
  <c r="N110" i="12"/>
  <c r="P63" i="12"/>
  <c r="Q157" i="12"/>
  <c r="M128" i="12"/>
  <c r="L43" i="7"/>
  <c r="H123" i="7"/>
  <c r="H123" i="12" s="1"/>
  <c r="G78" i="7"/>
  <c r="F89" i="7"/>
  <c r="H178" i="7"/>
  <c r="G137" i="2"/>
  <c r="F134" i="2"/>
  <c r="O16" i="7"/>
  <c r="E43" i="7"/>
  <c r="K55" i="7"/>
  <c r="E16" i="7"/>
  <c r="C121" i="7"/>
  <c r="C89" i="7"/>
  <c r="E89" i="7"/>
  <c r="F123" i="7"/>
  <c r="M77" i="5"/>
  <c r="H43" i="7"/>
  <c r="G87" i="7"/>
  <c r="D123" i="7"/>
  <c r="C78" i="7"/>
  <c r="B89" i="7"/>
  <c r="N121" i="7"/>
  <c r="D178" i="7"/>
  <c r="K16" i="7"/>
  <c r="J16" i="12" s="1"/>
  <c r="M43" i="7"/>
  <c r="F78" i="7"/>
  <c r="H121" i="7"/>
  <c r="H121" i="12" s="1"/>
  <c r="K87" i="7"/>
  <c r="M178" i="7"/>
  <c r="M121" i="7"/>
  <c r="L89" i="7"/>
  <c r="K89" i="12" s="1"/>
  <c r="O123" i="7"/>
  <c r="S131" i="12"/>
  <c r="Q93" i="12"/>
  <c r="N122" i="12"/>
  <c r="D43" i="7"/>
  <c r="M87" i="7"/>
  <c r="I126" i="7"/>
  <c r="N133" i="7"/>
  <c r="J121" i="7"/>
  <c r="O178" i="7"/>
  <c r="E133" i="3"/>
  <c r="K148" i="3"/>
  <c r="J122" i="2"/>
  <c r="K122" i="2" s="1"/>
  <c r="G16" i="7"/>
  <c r="G43" i="7"/>
  <c r="M78" i="7"/>
  <c r="G123" i="7"/>
  <c r="I87" i="7"/>
  <c r="I87" i="12" s="1"/>
  <c r="I178" i="7"/>
  <c r="I178" i="12" s="1"/>
  <c r="I43" i="7"/>
  <c r="E123" i="7"/>
  <c r="P97" i="5"/>
  <c r="N66" i="2"/>
  <c r="O66" i="2" s="1"/>
  <c r="C16" i="7"/>
  <c r="B43" i="7"/>
  <c r="B78" i="7"/>
  <c r="M123" i="7"/>
  <c r="N87" i="7"/>
  <c r="E178" i="7"/>
  <c r="F43" i="7"/>
  <c r="M89" i="7"/>
  <c r="B123" i="7"/>
  <c r="H89" i="7"/>
  <c r="G66" i="14"/>
  <c r="R28" i="12"/>
  <c r="L56" i="12"/>
  <c r="L123" i="12"/>
  <c r="H55" i="7"/>
  <c r="H55" i="12" s="1"/>
  <c r="D133" i="7"/>
  <c r="I89" i="7"/>
  <c r="I89" i="12" s="1"/>
  <c r="F133" i="7"/>
  <c r="B121" i="7"/>
  <c r="G178" i="7"/>
  <c r="K149" i="3"/>
  <c r="J39" i="2"/>
  <c r="K39" i="2" s="1"/>
  <c r="N65" i="2"/>
  <c r="O65" i="2" s="1"/>
  <c r="H78" i="7"/>
  <c r="H78" i="12" s="1"/>
  <c r="C87" i="7"/>
  <c r="C43" i="7"/>
  <c r="E126" i="7"/>
  <c r="K89" i="7"/>
  <c r="J89" i="12" s="1"/>
  <c r="D89" i="7"/>
  <c r="J133" i="7"/>
  <c r="F121" i="7"/>
  <c r="K178" i="7"/>
  <c r="J178" i="12" s="1"/>
  <c r="P35" i="12"/>
  <c r="S122" i="12"/>
  <c r="D55" i="7"/>
  <c r="I133" i="7"/>
  <c r="I133" i="12" s="1"/>
  <c r="O89" i="7"/>
  <c r="B133" i="7"/>
  <c r="J116" i="5"/>
  <c r="H26" i="3"/>
  <c r="E39" i="3"/>
  <c r="C178" i="7"/>
  <c r="F122" i="2"/>
  <c r="G153" i="14"/>
  <c r="N16" i="7"/>
  <c r="L78" i="7"/>
  <c r="K78" i="12" s="1"/>
  <c r="B87" i="7"/>
  <c r="G121" i="7"/>
  <c r="N76" i="2"/>
  <c r="O76" i="2" s="1"/>
  <c r="L126" i="7"/>
  <c r="R20" i="12"/>
  <c r="O9" i="12"/>
  <c r="O133" i="7"/>
  <c r="D78" i="7"/>
  <c r="E55" i="7"/>
  <c r="N186" i="7"/>
  <c r="F21" i="2"/>
  <c r="J25" i="2"/>
  <c r="K25" i="2" s="1"/>
  <c r="N160" i="2"/>
  <c r="O160" i="2" s="1"/>
  <c r="J16" i="7"/>
  <c r="I16" i="7"/>
  <c r="I16" i="12" s="1"/>
  <c r="E78" i="7"/>
  <c r="G191" i="2"/>
  <c r="G133" i="7"/>
  <c r="K123" i="7"/>
  <c r="J123" i="12" s="1"/>
  <c r="L55" i="7"/>
  <c r="N20" i="12"/>
  <c r="P168" i="12"/>
  <c r="Q143" i="12"/>
  <c r="I78" i="7"/>
  <c r="I78" i="12" s="1"/>
  <c r="E133" i="7"/>
  <c r="J55" i="7"/>
  <c r="E87" i="7"/>
  <c r="J128" i="5"/>
  <c r="N178" i="7"/>
  <c r="F16" i="7"/>
  <c r="N55" i="7"/>
  <c r="N170" i="12"/>
  <c r="L168" i="12"/>
  <c r="Q107" i="12"/>
  <c r="N78" i="7"/>
  <c r="D121" i="7"/>
  <c r="K133" i="7"/>
  <c r="J133" i="12" s="1"/>
  <c r="O55" i="7"/>
  <c r="J87" i="7"/>
  <c r="H133" i="7"/>
  <c r="J140" i="5"/>
  <c r="J178" i="7"/>
  <c r="F81" i="2"/>
  <c r="B16" i="7"/>
  <c r="C55" i="7"/>
  <c r="K121" i="7"/>
  <c r="J121" i="12" s="1"/>
  <c r="S113" i="12"/>
  <c r="R124" i="12"/>
  <c r="L87" i="7"/>
  <c r="K87" i="12" s="1"/>
  <c r="I121" i="7"/>
  <c r="O87" i="7"/>
  <c r="M133" i="7"/>
  <c r="F178" i="7"/>
  <c r="J174" i="2"/>
  <c r="K174" i="2" s="1"/>
  <c r="L16" i="7"/>
  <c r="K16" i="12" s="1"/>
  <c r="I55" i="7"/>
  <c r="C123" i="7"/>
  <c r="L133" i="7"/>
  <c r="K133" i="12" s="1"/>
  <c r="M186" i="7"/>
  <c r="N124" i="12"/>
  <c r="H87" i="7"/>
  <c r="H87" i="12" s="1"/>
  <c r="G55" i="7"/>
  <c r="O121" i="7"/>
  <c r="O78" i="7"/>
  <c r="N89" i="7"/>
  <c r="G81" i="2"/>
  <c r="F137" i="2"/>
  <c r="G134" i="2"/>
  <c r="B55" i="7"/>
  <c r="O43" i="7"/>
  <c r="N43" i="7"/>
  <c r="I123" i="7"/>
  <c r="G21" i="7"/>
  <c r="S11" i="12"/>
  <c r="F123" i="5"/>
  <c r="G123" i="5" s="1"/>
  <c r="O168" i="12"/>
  <c r="N90" i="12"/>
  <c r="M134" i="12"/>
  <c r="L116" i="12"/>
  <c r="E97" i="5"/>
  <c r="N98" i="7"/>
  <c r="M49" i="7"/>
  <c r="D163" i="7"/>
  <c r="H97" i="7"/>
  <c r="H97" i="12" s="1"/>
  <c r="J180" i="12"/>
  <c r="L97" i="7"/>
  <c r="K97" i="12" s="1"/>
  <c r="N106" i="12"/>
  <c r="H121" i="3"/>
  <c r="H49" i="7"/>
  <c r="G49" i="7"/>
  <c r="O163" i="7"/>
  <c r="O175" i="7"/>
  <c r="P81" i="5"/>
  <c r="G116" i="7"/>
  <c r="P107" i="12"/>
  <c r="L111" i="12"/>
  <c r="O97" i="7"/>
  <c r="C49" i="7"/>
  <c r="K163" i="7"/>
  <c r="J163" i="12" s="1"/>
  <c r="E182" i="7"/>
  <c r="L109" i="7"/>
  <c r="J175" i="7"/>
  <c r="F111" i="7"/>
  <c r="P80" i="5"/>
  <c r="G37" i="7"/>
  <c r="I97" i="7"/>
  <c r="I97" i="12" s="1"/>
  <c r="D177" i="7"/>
  <c r="G163" i="7"/>
  <c r="I182" i="7"/>
  <c r="I182" i="12" s="1"/>
  <c r="E175" i="7"/>
  <c r="K97" i="7"/>
  <c r="J97" i="12" s="1"/>
  <c r="G175" i="7"/>
  <c r="I116" i="7"/>
  <c r="I116" i="12" s="1"/>
  <c r="D175" i="7"/>
  <c r="E116" i="7"/>
  <c r="N116" i="7"/>
  <c r="P154" i="12"/>
  <c r="B177" i="7"/>
  <c r="N177" i="7"/>
  <c r="G100" i="2"/>
  <c r="H116" i="7"/>
  <c r="J140" i="2"/>
  <c r="K140" i="2" s="1"/>
  <c r="I109" i="7"/>
  <c r="J177" i="7"/>
  <c r="E118" i="7"/>
  <c r="B118" i="7"/>
  <c r="G69" i="2"/>
  <c r="H177" i="7"/>
  <c r="L116" i="7"/>
  <c r="G57" i="7"/>
  <c r="C177" i="7"/>
  <c r="M118" i="7"/>
  <c r="J73" i="2"/>
  <c r="K73" i="2" s="1"/>
  <c r="M177" i="7"/>
  <c r="E151" i="3"/>
  <c r="K49" i="7"/>
  <c r="M57" i="7"/>
  <c r="L37" i="7"/>
  <c r="K37" i="12" s="1"/>
  <c r="F175" i="7"/>
  <c r="F154" i="7"/>
  <c r="F116" i="7"/>
  <c r="M171" i="12"/>
  <c r="L57" i="7"/>
  <c r="K57" i="12" s="1"/>
  <c r="E163" i="7"/>
  <c r="I37" i="7"/>
  <c r="I37" i="12" s="1"/>
  <c r="G109" i="7"/>
  <c r="L118" i="7"/>
  <c r="K118" i="12" s="1"/>
  <c r="M175" i="7"/>
  <c r="F177" i="7"/>
  <c r="S167" i="12"/>
  <c r="J162" i="5"/>
  <c r="N49" i="2"/>
  <c r="O49" i="2" s="1"/>
  <c r="P104" i="5"/>
  <c r="E57" i="7"/>
  <c r="O49" i="7"/>
  <c r="H175" i="7"/>
  <c r="M163" i="7"/>
  <c r="D37" i="7"/>
  <c r="I163" i="7"/>
  <c r="O109" i="7"/>
  <c r="K175" i="7"/>
  <c r="B175" i="7"/>
  <c r="C97" i="7"/>
  <c r="L20" i="12"/>
  <c r="J31" i="5"/>
  <c r="F69" i="2"/>
  <c r="K57" i="7"/>
  <c r="J57" i="12" s="1"/>
  <c r="I49" i="7"/>
  <c r="I49" i="12" s="1"/>
  <c r="L175" i="7"/>
  <c r="F163" i="7"/>
  <c r="L163" i="7"/>
  <c r="K163" i="12" s="1"/>
  <c r="C37" i="7"/>
  <c r="L177" i="7"/>
  <c r="E97" i="7"/>
  <c r="D13" i="28"/>
  <c r="D12" i="28"/>
  <c r="G153" i="2"/>
  <c r="E158" i="3"/>
  <c r="F179" i="2"/>
  <c r="K53" i="3"/>
  <c r="E142" i="3"/>
  <c r="F153" i="2"/>
  <c r="S85" i="12"/>
  <c r="J153" i="2"/>
  <c r="K153" i="2" s="1"/>
  <c r="P155" i="5"/>
  <c r="B10" i="28"/>
  <c r="J171" i="2"/>
  <c r="K171" i="2" s="1"/>
  <c r="D10" i="28"/>
  <c r="E237" i="2"/>
  <c r="D11" i="28"/>
  <c r="I171" i="12"/>
  <c r="P151" i="5"/>
  <c r="G74" i="2"/>
  <c r="N75" i="12"/>
  <c r="M158" i="12"/>
  <c r="J66" i="5"/>
  <c r="K170" i="3"/>
  <c r="K172" i="3"/>
  <c r="B82" i="7"/>
  <c r="C179" i="7"/>
  <c r="B10" i="7"/>
  <c r="N26" i="7"/>
  <c r="E10" i="7"/>
  <c r="J58" i="12"/>
  <c r="L90" i="12"/>
  <c r="S141" i="12"/>
  <c r="O161" i="7"/>
  <c r="K26" i="7"/>
  <c r="J26" i="12" s="1"/>
  <c r="I179" i="12"/>
  <c r="H131" i="7"/>
  <c r="J74" i="2"/>
  <c r="K74" i="2" s="1"/>
  <c r="P68" i="5"/>
  <c r="N70" i="7"/>
  <c r="N179" i="7"/>
  <c r="E131" i="7"/>
  <c r="F161" i="7"/>
  <c r="F131" i="7"/>
  <c r="H10" i="7"/>
  <c r="H10" i="12" s="1"/>
  <c r="H161" i="7"/>
  <c r="H161" i="12" s="1"/>
  <c r="J10" i="7"/>
  <c r="Q149" i="12"/>
  <c r="G26" i="7"/>
  <c r="M118" i="5"/>
  <c r="D131" i="7"/>
  <c r="I70" i="7"/>
  <c r="I70" i="12" s="1"/>
  <c r="E161" i="7"/>
  <c r="J179" i="7"/>
  <c r="H44" i="3"/>
  <c r="K131" i="7"/>
  <c r="J131" i="12" s="1"/>
  <c r="M161" i="7"/>
  <c r="M131" i="7"/>
  <c r="M10" i="7"/>
  <c r="C161" i="7"/>
  <c r="O131" i="7"/>
  <c r="K116" i="7"/>
  <c r="C26" i="7"/>
  <c r="G18" i="2"/>
  <c r="J83" i="2"/>
  <c r="K83" i="2" s="1"/>
  <c r="D70" i="7"/>
  <c r="J161" i="7"/>
  <c r="F179" i="7"/>
  <c r="I26" i="7"/>
  <c r="I26" i="12" s="1"/>
  <c r="J70" i="7"/>
  <c r="E165" i="7"/>
  <c r="L26" i="7"/>
  <c r="K26" i="12" s="1"/>
  <c r="F70" i="7"/>
  <c r="K183" i="3"/>
  <c r="G131" i="7"/>
  <c r="G110" i="14"/>
  <c r="H166" i="12"/>
  <c r="H15" i="3"/>
  <c r="E41" i="3"/>
  <c r="G98" i="2"/>
  <c r="B179" i="7"/>
  <c r="K24" i="3"/>
  <c r="J165" i="7"/>
  <c r="D150" i="7"/>
  <c r="F150" i="7"/>
  <c r="K135" i="3"/>
  <c r="C165" i="7"/>
  <c r="R140" i="12"/>
  <c r="G165" i="7"/>
  <c r="K83" i="3"/>
  <c r="N86" i="2"/>
  <c r="O86" i="2" s="1"/>
  <c r="J131" i="7"/>
  <c r="B161" i="7"/>
  <c r="E179" i="7"/>
  <c r="M116" i="7"/>
  <c r="S8" i="12"/>
  <c r="N79" i="12"/>
  <c r="N140" i="12"/>
  <c r="L157" i="12"/>
  <c r="C131" i="7"/>
  <c r="K165" i="7"/>
  <c r="J165" i="12" s="1"/>
  <c r="H53" i="3"/>
  <c r="F16" i="2"/>
  <c r="B165" i="7"/>
  <c r="L179" i="7"/>
  <c r="K179" i="12" s="1"/>
  <c r="N161" i="7"/>
  <c r="M179" i="7"/>
  <c r="E70" i="7"/>
  <c r="P8" i="12"/>
  <c r="I131" i="7"/>
  <c r="O165" i="7"/>
  <c r="M16" i="5"/>
  <c r="E82" i="7"/>
  <c r="F73" i="2"/>
  <c r="P92" i="5"/>
  <c r="H165" i="7"/>
  <c r="H165" i="12" s="1"/>
  <c r="D165" i="7"/>
  <c r="H179" i="7"/>
  <c r="H179" i="12" s="1"/>
  <c r="D26" i="7"/>
  <c r="D161" i="7"/>
  <c r="M70" i="7"/>
  <c r="F10" i="7"/>
  <c r="C116" i="7"/>
  <c r="L8" i="12"/>
  <c r="R169" i="12"/>
  <c r="N35" i="12"/>
  <c r="O70" i="7"/>
  <c r="J83" i="12"/>
  <c r="J82" i="7"/>
  <c r="N34" i="2"/>
  <c r="O34" i="2" s="1"/>
  <c r="F26" i="7"/>
  <c r="L82" i="7"/>
  <c r="K82" i="12" s="1"/>
  <c r="M165" i="7"/>
  <c r="I165" i="7"/>
  <c r="I165" i="12" s="1"/>
  <c r="D179" i="7"/>
  <c r="F32" i="2"/>
  <c r="F165" i="7"/>
  <c r="L165" i="7"/>
  <c r="K165" i="12" s="1"/>
  <c r="O116" i="7"/>
  <c r="L130" i="12"/>
  <c r="R141" i="12"/>
  <c r="M150" i="12"/>
  <c r="K70" i="7"/>
  <c r="J70" i="12" s="1"/>
  <c r="K83" i="12"/>
  <c r="K79" i="3"/>
  <c r="E188" i="3"/>
  <c r="I82" i="7"/>
  <c r="I82" i="12" s="1"/>
  <c r="O179" i="7"/>
  <c r="D10" i="7"/>
  <c r="H70" i="7"/>
  <c r="H70" i="12" s="1"/>
  <c r="M34" i="12"/>
  <c r="G70" i="7"/>
  <c r="H83" i="12"/>
  <c r="H164" i="12"/>
  <c r="F18" i="2"/>
  <c r="F98" i="2"/>
  <c r="N82" i="7"/>
  <c r="M150" i="7"/>
  <c r="I10" i="7"/>
  <c r="B116" i="7"/>
  <c r="L70" i="7"/>
  <c r="K70" i="12" s="1"/>
  <c r="G19" i="14"/>
  <c r="H22" i="12"/>
  <c r="H135" i="3"/>
  <c r="H52" i="3"/>
  <c r="J116" i="7"/>
  <c r="M160" i="5"/>
  <c r="K40" i="3"/>
  <c r="H131" i="3"/>
  <c r="H96" i="3"/>
  <c r="K119" i="3"/>
  <c r="P79" i="5"/>
  <c r="P123" i="5"/>
  <c r="K32" i="3"/>
  <c r="H112" i="3"/>
  <c r="L64" i="12"/>
  <c r="D47" i="7"/>
  <c r="N73" i="2"/>
  <c r="O73" i="2" s="1"/>
  <c r="G152" i="2"/>
  <c r="O156" i="7"/>
  <c r="D187" i="7"/>
  <c r="J187" i="7"/>
  <c r="I47" i="7"/>
  <c r="I47" i="12" s="1"/>
  <c r="N47" i="7"/>
  <c r="M29" i="5"/>
  <c r="C6" i="28"/>
  <c r="D6" i="28" s="1"/>
  <c r="N164" i="2"/>
  <c r="O164" i="2" s="1"/>
  <c r="J125" i="2"/>
  <c r="K125" i="2" s="1"/>
  <c r="J59" i="7"/>
  <c r="N120" i="7"/>
  <c r="D130" i="7"/>
  <c r="G75" i="14"/>
  <c r="G85" i="7"/>
  <c r="N16" i="12"/>
  <c r="P39" i="12"/>
  <c r="E47" i="7"/>
  <c r="J10" i="5"/>
  <c r="J172" i="2"/>
  <c r="K172" i="2" s="1"/>
  <c r="O172" i="7"/>
  <c r="P103" i="5"/>
  <c r="M75" i="7"/>
  <c r="L126" i="12"/>
  <c r="P118" i="12"/>
  <c r="J47" i="7"/>
  <c r="J11" i="5"/>
  <c r="E185" i="3"/>
  <c r="J48" i="7"/>
  <c r="E76" i="7"/>
  <c r="G172" i="7"/>
  <c r="L130" i="7"/>
  <c r="G186" i="14"/>
  <c r="P28" i="12"/>
  <c r="M83" i="12"/>
  <c r="O47" i="7"/>
  <c r="J134" i="5"/>
  <c r="H82" i="3"/>
  <c r="H78" i="3"/>
  <c r="F49" i="2"/>
  <c r="J145" i="2"/>
  <c r="K145" i="2" s="1"/>
  <c r="J90" i="2"/>
  <c r="K90" i="2" s="1"/>
  <c r="J166" i="2"/>
  <c r="K166" i="2" s="1"/>
  <c r="I59" i="7"/>
  <c r="I59" i="12" s="1"/>
  <c r="G160" i="7"/>
  <c r="H187" i="7"/>
  <c r="M172" i="7"/>
  <c r="F47" i="7"/>
  <c r="B160" i="7"/>
  <c r="S93" i="12"/>
  <c r="E71" i="3"/>
  <c r="J65" i="2"/>
  <c r="K65" i="2" s="1"/>
  <c r="F37" i="2"/>
  <c r="G45" i="2"/>
  <c r="O160" i="7"/>
  <c r="L187" i="7"/>
  <c r="E172" i="7"/>
  <c r="H88" i="3"/>
  <c r="K59" i="7"/>
  <c r="J59" i="12" s="1"/>
  <c r="B47" i="7"/>
  <c r="J116" i="2"/>
  <c r="K116" i="2" s="1"/>
  <c r="R71" i="12"/>
  <c r="P166" i="12"/>
  <c r="O130" i="7"/>
  <c r="H130" i="7"/>
  <c r="J34" i="5"/>
  <c r="G49" i="2"/>
  <c r="J26" i="2"/>
  <c r="K26" i="2" s="1"/>
  <c r="P19" i="5"/>
  <c r="K172" i="7"/>
  <c r="J172" i="12" s="1"/>
  <c r="E159" i="3"/>
  <c r="F59" i="7"/>
  <c r="G112" i="14"/>
  <c r="O8" i="12"/>
  <c r="N71" i="12"/>
  <c r="K130" i="7"/>
  <c r="M130" i="7"/>
  <c r="J25" i="5"/>
  <c r="E143" i="5"/>
  <c r="F143" i="5" s="1"/>
  <c r="G143" i="5" s="1"/>
  <c r="N141" i="2"/>
  <c r="O141" i="2" s="1"/>
  <c r="D234" i="2"/>
  <c r="K47" i="7"/>
  <c r="J47" i="12" s="1"/>
  <c r="C172" i="7"/>
  <c r="P129" i="5"/>
  <c r="B176" i="7"/>
  <c r="K144" i="3"/>
  <c r="S143" i="12"/>
  <c r="M45" i="5"/>
  <c r="G130" i="7"/>
  <c r="G47" i="7"/>
  <c r="H85" i="7"/>
  <c r="E141" i="3"/>
  <c r="N118" i="2"/>
  <c r="O118" i="2" s="1"/>
  <c r="J141" i="2"/>
  <c r="K141" i="2" s="1"/>
  <c r="P96" i="5"/>
  <c r="M59" i="7"/>
  <c r="I130" i="7"/>
  <c r="B172" i="7"/>
  <c r="N187" i="7"/>
  <c r="H76" i="3"/>
  <c r="K76" i="3"/>
  <c r="P26" i="5"/>
  <c r="C130" i="7"/>
  <c r="L47" i="7"/>
  <c r="M47" i="7"/>
  <c r="E130" i="7"/>
  <c r="H134" i="3"/>
  <c r="H152" i="3"/>
  <c r="F45" i="2"/>
  <c r="G59" i="7"/>
  <c r="F130" i="7"/>
  <c r="E127" i="3"/>
  <c r="G175" i="2"/>
  <c r="M76" i="7"/>
  <c r="N59" i="7"/>
  <c r="I187" i="7"/>
  <c r="I187" i="12" s="1"/>
  <c r="N143" i="12"/>
  <c r="M113" i="12"/>
  <c r="C47" i="7"/>
  <c r="J130" i="7"/>
  <c r="H87" i="3"/>
  <c r="J178" i="2"/>
  <c r="K178" i="2" s="1"/>
  <c r="J66" i="2"/>
  <c r="K66" i="2" s="1"/>
  <c r="F130" i="2"/>
  <c r="B59" i="7"/>
  <c r="N155" i="2"/>
  <c r="O155" i="2" s="1"/>
  <c r="E96" i="3"/>
  <c r="P45" i="5"/>
  <c r="P46" i="5"/>
  <c r="J173" i="2"/>
  <c r="K173" i="2" s="1"/>
  <c r="K121" i="3"/>
  <c r="P28" i="5"/>
  <c r="G55" i="14"/>
  <c r="M9" i="5"/>
  <c r="F108" i="2"/>
  <c r="G107" i="14"/>
  <c r="P91" i="5"/>
  <c r="P77" i="5"/>
  <c r="M100" i="5"/>
  <c r="E150" i="3"/>
  <c r="P43" i="5"/>
  <c r="N191" i="2"/>
  <c r="O191" i="2" s="1"/>
  <c r="P94" i="12"/>
  <c r="L94" i="12"/>
  <c r="P170" i="12"/>
  <c r="L170" i="12"/>
  <c r="N162" i="12"/>
  <c r="N146" i="12"/>
  <c r="R146" i="12"/>
  <c r="S146" i="12"/>
  <c r="H28" i="3"/>
  <c r="P87" i="12"/>
  <c r="L87" i="12"/>
  <c r="S160" i="12"/>
  <c r="R160" i="12"/>
  <c r="Q125" i="12"/>
  <c r="M125" i="12"/>
  <c r="L125" i="7"/>
  <c r="M125" i="7"/>
  <c r="K125" i="7"/>
  <c r="H125" i="7"/>
  <c r="H126" i="12" s="1"/>
  <c r="B125" i="7"/>
  <c r="E125" i="7"/>
  <c r="F125" i="7"/>
  <c r="J125" i="7"/>
  <c r="O125" i="7"/>
  <c r="N125" i="7"/>
  <c r="D125" i="7"/>
  <c r="G125" i="7"/>
  <c r="B122" i="7"/>
  <c r="L122" i="7"/>
  <c r="K122" i="12" s="1"/>
  <c r="O122" i="7"/>
  <c r="M122" i="7"/>
  <c r="H122" i="7"/>
  <c r="H122" i="12" s="1"/>
  <c r="J122" i="7"/>
  <c r="N122" i="7"/>
  <c r="E122" i="7"/>
  <c r="I122" i="7"/>
  <c r="F122" i="7"/>
  <c r="G122" i="7"/>
  <c r="B48" i="7"/>
  <c r="H72" i="3"/>
  <c r="D102" i="7"/>
  <c r="I102" i="7"/>
  <c r="I102" i="12" s="1"/>
  <c r="N102" i="7"/>
  <c r="L102" i="7"/>
  <c r="K102" i="12" s="1"/>
  <c r="F102" i="7"/>
  <c r="M102" i="7"/>
  <c r="C102" i="7"/>
  <c r="G102" i="7"/>
  <c r="K102" i="7"/>
  <c r="J102" i="12" s="1"/>
  <c r="O102" i="7"/>
  <c r="G137" i="7"/>
  <c r="O137" i="7"/>
  <c r="E137" i="7"/>
  <c r="I157" i="12"/>
  <c r="I137" i="7"/>
  <c r="I137" i="12" s="1"/>
  <c r="K154" i="12"/>
  <c r="D137" i="7"/>
  <c r="H162" i="12"/>
  <c r="M137" i="7"/>
  <c r="K112" i="12"/>
  <c r="H154" i="12"/>
  <c r="C137" i="7"/>
  <c r="H112" i="12"/>
  <c r="H132" i="12"/>
  <c r="H137" i="7"/>
  <c r="H137" i="12" s="1"/>
  <c r="H144" i="12"/>
  <c r="K162" i="12"/>
  <c r="L148" i="12"/>
  <c r="K66" i="3"/>
  <c r="Q42" i="12"/>
  <c r="M42" i="12"/>
  <c r="C153" i="7"/>
  <c r="O153" i="7"/>
  <c r="I153" i="7"/>
  <c r="I153" i="12" s="1"/>
  <c r="B153" i="7"/>
  <c r="F153" i="7"/>
  <c r="J153" i="7"/>
  <c r="M153" i="7"/>
  <c r="H40" i="3"/>
  <c r="E40" i="5"/>
  <c r="F40" i="5" s="1"/>
  <c r="G40" i="5" s="1"/>
  <c r="I141" i="7"/>
  <c r="K141" i="7"/>
  <c r="N141" i="7"/>
  <c r="E141" i="7"/>
  <c r="M141" i="7"/>
  <c r="F141" i="7"/>
  <c r="C36" i="7"/>
  <c r="H36" i="7"/>
  <c r="H36" i="12" s="1"/>
  <c r="I36" i="7"/>
  <c r="I36" i="12" s="1"/>
  <c r="O36" i="7"/>
  <c r="L36" i="7"/>
  <c r="K36" i="12" s="1"/>
  <c r="K36" i="7"/>
  <c r="J36" i="12" s="1"/>
  <c r="G36" i="7"/>
  <c r="B36" i="7"/>
  <c r="F36" i="7"/>
  <c r="J36" i="7"/>
  <c r="N36" i="7"/>
  <c r="M36" i="7"/>
  <c r="P150" i="12"/>
  <c r="L150" i="12"/>
  <c r="L158" i="12"/>
  <c r="P158" i="12"/>
  <c r="K56" i="7"/>
  <c r="J56" i="12" s="1"/>
  <c r="H56" i="7"/>
  <c r="H56" i="12" s="1"/>
  <c r="C56" i="7"/>
  <c r="L56" i="7"/>
  <c r="K56" i="12" s="1"/>
  <c r="I56" i="7"/>
  <c r="I56" i="12" s="1"/>
  <c r="O56" i="7"/>
  <c r="G56" i="7"/>
  <c r="L114" i="12"/>
  <c r="P114" i="12"/>
  <c r="K34" i="7"/>
  <c r="J34" i="12" s="1"/>
  <c r="P129" i="12"/>
  <c r="L129" i="12"/>
  <c r="M76" i="12"/>
  <c r="Q76" i="12"/>
  <c r="P131" i="12"/>
  <c r="L131" i="12"/>
  <c r="M71" i="12"/>
  <c r="Q71" i="12"/>
  <c r="L49" i="12"/>
  <c r="P49" i="12"/>
  <c r="S76" i="12"/>
  <c r="R76" i="12"/>
  <c r="N76" i="12"/>
  <c r="R144" i="12"/>
  <c r="N144" i="12"/>
  <c r="S144" i="12"/>
  <c r="G17" i="7"/>
  <c r="I17" i="7"/>
  <c r="B17" i="7"/>
  <c r="M17" i="7"/>
  <c r="F17" i="7"/>
  <c r="E17" i="7"/>
  <c r="J17" i="7"/>
  <c r="N17" i="7"/>
  <c r="D17" i="7"/>
  <c r="H17" i="7"/>
  <c r="H17" i="12" s="1"/>
  <c r="L17" i="7"/>
  <c r="K17" i="12" s="1"/>
  <c r="K17" i="7"/>
  <c r="J17" i="12" s="1"/>
  <c r="C17" i="7"/>
  <c r="O17" i="7"/>
  <c r="C122" i="7"/>
  <c r="L48" i="12"/>
  <c r="J134" i="12"/>
  <c r="Q14" i="12"/>
  <c r="M14" i="12"/>
  <c r="O22" i="12"/>
  <c r="O20" i="12"/>
  <c r="N166" i="12"/>
  <c r="R166" i="12"/>
  <c r="G153" i="7"/>
  <c r="L34" i="7"/>
  <c r="K34" i="12" s="1"/>
  <c r="N34" i="7"/>
  <c r="I34" i="7"/>
  <c r="I34" i="12" s="1"/>
  <c r="B34" i="7"/>
  <c r="D34" i="7"/>
  <c r="F34" i="7"/>
  <c r="M34" i="7"/>
  <c r="J34" i="7"/>
  <c r="H34" i="7"/>
  <c r="H34" i="12" s="1"/>
  <c r="E34" i="7"/>
  <c r="C34" i="7"/>
  <c r="O34" i="7"/>
  <c r="R48" i="12"/>
  <c r="S48" i="12"/>
  <c r="S94" i="12"/>
  <c r="R94" i="12"/>
  <c r="N94" i="12"/>
  <c r="P108" i="12"/>
  <c r="L108" i="12"/>
  <c r="S32" i="12"/>
  <c r="R32" i="12"/>
  <c r="D122" i="7"/>
  <c r="N30" i="12"/>
  <c r="R30" i="12"/>
  <c r="S30" i="12"/>
  <c r="N38" i="12"/>
  <c r="R38" i="12"/>
  <c r="S38" i="12"/>
  <c r="Q159" i="12"/>
  <c r="M159" i="12"/>
  <c r="L133" i="12"/>
  <c r="P133" i="12"/>
  <c r="C48" i="7"/>
  <c r="N48" i="7"/>
  <c r="M48" i="7"/>
  <c r="D48" i="7"/>
  <c r="H48" i="7"/>
  <c r="H48" i="12" s="1"/>
  <c r="G48" i="7"/>
  <c r="L48" i="7"/>
  <c r="K48" i="12" s="1"/>
  <c r="E48" i="7"/>
  <c r="O48" i="7"/>
  <c r="I48" i="7"/>
  <c r="I48" i="12" s="1"/>
  <c r="F48" i="7"/>
  <c r="L163" i="12"/>
  <c r="L164" i="12"/>
  <c r="P164" i="12"/>
  <c r="R129" i="12"/>
  <c r="S129" i="12"/>
  <c r="N192" i="2"/>
  <c r="O192" i="2" s="1"/>
  <c r="L103" i="12"/>
  <c r="P103" i="12"/>
  <c r="E174" i="7"/>
  <c r="I174" i="7"/>
  <c r="I174" i="12" s="1"/>
  <c r="K174" i="7"/>
  <c r="J174" i="12" s="1"/>
  <c r="M174" i="7"/>
  <c r="O174" i="7"/>
  <c r="D174" i="7"/>
  <c r="L12" i="12"/>
  <c r="P12" i="12"/>
  <c r="E69" i="5"/>
  <c r="F69" i="5" s="1"/>
  <c r="G69" i="5" s="1"/>
  <c r="L27" i="12"/>
  <c r="P27" i="12"/>
  <c r="S42" i="12"/>
  <c r="R42" i="12"/>
  <c r="M81" i="12"/>
  <c r="Q81" i="12"/>
  <c r="Q92" i="12"/>
  <c r="M92" i="12"/>
  <c r="Q142" i="12"/>
  <c r="M142" i="12"/>
  <c r="E36" i="7"/>
  <c r="J48" i="2"/>
  <c r="K48" i="2" s="1"/>
  <c r="P89" i="5"/>
  <c r="G36" i="14"/>
  <c r="G116" i="14"/>
  <c r="G106" i="14"/>
  <c r="H64" i="12"/>
  <c r="I77" i="12"/>
  <c r="J79" i="12"/>
  <c r="K93" i="12"/>
  <c r="L11" i="12"/>
  <c r="Q151" i="12"/>
  <c r="H50" i="7"/>
  <c r="H50" i="12" s="1"/>
  <c r="N99" i="7"/>
  <c r="E106" i="7"/>
  <c r="J45" i="5"/>
  <c r="H95" i="12"/>
  <c r="H89" i="12"/>
  <c r="B73" i="7"/>
  <c r="L99" i="7"/>
  <c r="K99" i="12" s="1"/>
  <c r="H106" i="7"/>
  <c r="H106" i="12" s="1"/>
  <c r="J146" i="7"/>
  <c r="L176" i="7"/>
  <c r="K176" i="12" s="1"/>
  <c r="K166" i="12"/>
  <c r="J161" i="5"/>
  <c r="H90" i="3"/>
  <c r="H91" i="3"/>
  <c r="H19" i="3"/>
  <c r="H160" i="3"/>
  <c r="J21" i="2"/>
  <c r="K21" i="2" s="1"/>
  <c r="J33" i="2"/>
  <c r="K33" i="2" s="1"/>
  <c r="G8" i="7"/>
  <c r="G61" i="7"/>
  <c r="L73" i="7"/>
  <c r="K73" i="12" s="1"/>
  <c r="L50" i="7"/>
  <c r="K50" i="12" s="1"/>
  <c r="G84" i="7"/>
  <c r="J80" i="7"/>
  <c r="G99" i="7"/>
  <c r="N163" i="2"/>
  <c r="O163" i="2" s="1"/>
  <c r="J68" i="7"/>
  <c r="H73" i="7"/>
  <c r="H73" i="12" s="1"/>
  <c r="N169" i="7"/>
  <c r="L129" i="7"/>
  <c r="K129" i="12" s="1"/>
  <c r="G137" i="14"/>
  <c r="F84" i="7"/>
  <c r="D169" i="7"/>
  <c r="C129" i="7"/>
  <c r="H84" i="7"/>
  <c r="H84" i="12" s="1"/>
  <c r="K31" i="3"/>
  <c r="K150" i="3"/>
  <c r="H81" i="12"/>
  <c r="H92" i="12"/>
  <c r="H90" i="12"/>
  <c r="H94" i="12"/>
  <c r="M116" i="12"/>
  <c r="Q57" i="12"/>
  <c r="S149" i="12"/>
  <c r="K50" i="7"/>
  <c r="J50" i="12" s="1"/>
  <c r="N61" i="7"/>
  <c r="K146" i="7"/>
  <c r="J148" i="12" s="1"/>
  <c r="N129" i="7"/>
  <c r="M8" i="5"/>
  <c r="J18" i="5"/>
  <c r="J29" i="5"/>
  <c r="K77" i="12"/>
  <c r="J81" i="12"/>
  <c r="J93" i="12"/>
  <c r="H106" i="3"/>
  <c r="H125" i="3"/>
  <c r="H144" i="3"/>
  <c r="J79" i="2"/>
  <c r="K79" i="2" s="1"/>
  <c r="F165" i="2"/>
  <c r="N54" i="2"/>
  <c r="O54" i="2" s="1"/>
  <c r="J37" i="2"/>
  <c r="K37" i="2" s="1"/>
  <c r="J85" i="2"/>
  <c r="K85" i="2" s="1"/>
  <c r="E84" i="7"/>
  <c r="H80" i="7"/>
  <c r="L167" i="7"/>
  <c r="O129" i="7"/>
  <c r="G25" i="14"/>
  <c r="L84" i="7"/>
  <c r="K84" i="12" s="1"/>
  <c r="M84" i="7"/>
  <c r="M169" i="7"/>
  <c r="F80" i="7"/>
  <c r="E169" i="7"/>
  <c r="K85" i="3"/>
  <c r="D84" i="7"/>
  <c r="P9" i="5"/>
  <c r="R108" i="12"/>
  <c r="M154" i="12"/>
  <c r="O106" i="12"/>
  <c r="L143" i="12"/>
  <c r="G50" i="7"/>
  <c r="J61" i="7"/>
  <c r="J82" i="12"/>
  <c r="G146" i="7"/>
  <c r="J129" i="7"/>
  <c r="F176" i="7"/>
  <c r="J9" i="5"/>
  <c r="K79" i="12"/>
  <c r="J77" i="12"/>
  <c r="M76" i="5"/>
  <c r="J118" i="5"/>
  <c r="K45" i="3"/>
  <c r="H138" i="3"/>
  <c r="H154" i="3"/>
  <c r="G93" i="2"/>
  <c r="J84" i="7"/>
  <c r="D80" i="7"/>
  <c r="O99" i="7"/>
  <c r="N132" i="2"/>
  <c r="O132" i="2" s="1"/>
  <c r="E32" i="3"/>
  <c r="H169" i="7"/>
  <c r="H169" i="12" s="1"/>
  <c r="B84" i="7"/>
  <c r="M99" i="7"/>
  <c r="I61" i="7"/>
  <c r="I61" i="12" s="1"/>
  <c r="L61" i="7"/>
  <c r="K61" i="12" s="1"/>
  <c r="L169" i="7"/>
  <c r="K169" i="12" s="1"/>
  <c r="M73" i="7"/>
  <c r="P94" i="5"/>
  <c r="N8" i="12"/>
  <c r="R14" i="12"/>
  <c r="M59" i="12"/>
  <c r="C50" i="7"/>
  <c r="F61" i="7"/>
  <c r="C146" i="7"/>
  <c r="F129" i="7"/>
  <c r="H146" i="7"/>
  <c r="H148" i="12" s="1"/>
  <c r="J176" i="7"/>
  <c r="J30" i="5"/>
  <c r="H79" i="12"/>
  <c r="H72" i="12"/>
  <c r="E61" i="7"/>
  <c r="E51" i="3"/>
  <c r="E69" i="3"/>
  <c r="K138" i="3"/>
  <c r="K186" i="3"/>
  <c r="J27" i="2"/>
  <c r="K27" i="2" s="1"/>
  <c r="J169" i="2"/>
  <c r="K169" i="2" s="1"/>
  <c r="N138" i="2"/>
  <c r="O138" i="2" s="1"/>
  <c r="N50" i="7"/>
  <c r="N80" i="7"/>
  <c r="F99" i="7"/>
  <c r="H123" i="3"/>
  <c r="P135" i="5"/>
  <c r="N167" i="7"/>
  <c r="B169" i="7"/>
  <c r="N16" i="2"/>
  <c r="O16" i="2" s="1"/>
  <c r="N8" i="7"/>
  <c r="F146" i="7"/>
  <c r="E99" i="7"/>
  <c r="G52" i="14"/>
  <c r="K73" i="7"/>
  <c r="J73" i="12" s="1"/>
  <c r="N129" i="2"/>
  <c r="O129" i="2" s="1"/>
  <c r="P21" i="5"/>
  <c r="N14" i="12"/>
  <c r="I79" i="12"/>
  <c r="B61" i="7"/>
  <c r="I95" i="12"/>
  <c r="D106" i="7"/>
  <c r="K64" i="12"/>
  <c r="H91" i="12"/>
  <c r="B129" i="7"/>
  <c r="M146" i="7"/>
  <c r="N176" i="7"/>
  <c r="J40" i="5"/>
  <c r="H63" i="12"/>
  <c r="O106" i="7"/>
  <c r="K94" i="12"/>
  <c r="K61" i="7"/>
  <c r="J61" i="12" s="1"/>
  <c r="J102" i="5"/>
  <c r="F25" i="2"/>
  <c r="F105" i="2"/>
  <c r="J138" i="2"/>
  <c r="K138" i="2" s="1"/>
  <c r="D50" i="7"/>
  <c r="I80" i="7"/>
  <c r="I80" i="12" s="1"/>
  <c r="H129" i="7"/>
  <c r="K99" i="7"/>
  <c r="J99" i="12" s="1"/>
  <c r="G44" i="2"/>
  <c r="H68" i="7"/>
  <c r="H68" i="12" s="1"/>
  <c r="I167" i="7"/>
  <c r="C169" i="7"/>
  <c r="N108" i="2"/>
  <c r="O108" i="2" s="1"/>
  <c r="F8" i="7"/>
  <c r="B146" i="7"/>
  <c r="I176" i="7"/>
  <c r="I175" i="12" s="1"/>
  <c r="N84" i="7"/>
  <c r="K173" i="3"/>
  <c r="G100" i="14"/>
  <c r="G132" i="14"/>
  <c r="K63" i="12"/>
  <c r="J62" i="12"/>
  <c r="J67" i="12"/>
  <c r="J94" i="12"/>
  <c r="H77" i="12"/>
  <c r="M89" i="5"/>
  <c r="L181" i="12"/>
  <c r="I106" i="7"/>
  <c r="I106" i="12" s="1"/>
  <c r="H151" i="12"/>
  <c r="H59" i="12"/>
  <c r="G169" i="7"/>
  <c r="K106" i="7"/>
  <c r="J106" i="12" s="1"/>
  <c r="I93" i="12"/>
  <c r="H142" i="3"/>
  <c r="H158" i="3"/>
  <c r="H174" i="3"/>
  <c r="H46" i="3"/>
  <c r="J69" i="2"/>
  <c r="K69" i="2" s="1"/>
  <c r="J117" i="2"/>
  <c r="K117" i="2" s="1"/>
  <c r="P102" i="5"/>
  <c r="I50" i="7"/>
  <c r="I50" i="12" s="1"/>
  <c r="C80" i="7"/>
  <c r="M129" i="7"/>
  <c r="C176" i="7"/>
  <c r="P75" i="5"/>
  <c r="L68" i="7"/>
  <c r="K68" i="12" s="1"/>
  <c r="J167" i="7"/>
  <c r="C167" i="7"/>
  <c r="O167" i="7"/>
  <c r="K163" i="3"/>
  <c r="M68" i="7"/>
  <c r="L8" i="7"/>
  <c r="K8" i="12" s="1"/>
  <c r="G7" i="14"/>
  <c r="N146" i="7"/>
  <c r="H176" i="12"/>
  <c r="Q36" i="12"/>
  <c r="I63" i="12"/>
  <c r="N106" i="7"/>
  <c r="D73" i="7"/>
  <c r="H93" i="12"/>
  <c r="K169" i="7"/>
  <c r="J42" i="5"/>
  <c r="G106" i="7"/>
  <c r="K81" i="12"/>
  <c r="K82" i="3"/>
  <c r="E103" i="3"/>
  <c r="K67" i="3"/>
  <c r="G25" i="2"/>
  <c r="G105" i="2"/>
  <c r="J184" i="2"/>
  <c r="K184" i="2" s="1"/>
  <c r="F93" i="2"/>
  <c r="P138" i="5"/>
  <c r="P88" i="5"/>
  <c r="B50" i="7"/>
  <c r="M80" i="7"/>
  <c r="F106" i="7"/>
  <c r="I146" i="7"/>
  <c r="K176" i="7"/>
  <c r="J176" i="12" s="1"/>
  <c r="E176" i="7"/>
  <c r="E8" i="3"/>
  <c r="C68" i="7"/>
  <c r="M167" i="7"/>
  <c r="I68" i="7"/>
  <c r="I68" i="12" s="1"/>
  <c r="G176" i="7"/>
  <c r="E8" i="7"/>
  <c r="J8" i="5"/>
  <c r="P33" i="5"/>
  <c r="P73" i="12"/>
  <c r="G58" i="14"/>
  <c r="G146" i="14"/>
  <c r="M104" i="12"/>
  <c r="O81" i="12"/>
  <c r="H61" i="7"/>
  <c r="H61" i="12" s="1"/>
  <c r="I73" i="7"/>
  <c r="I73" i="12" s="1"/>
  <c r="O169" i="7"/>
  <c r="J33" i="5"/>
  <c r="C106" i="7"/>
  <c r="J64" i="12"/>
  <c r="N73" i="7"/>
  <c r="J78" i="5"/>
  <c r="K29" i="3"/>
  <c r="E58" i="3"/>
  <c r="H11" i="3"/>
  <c r="H176" i="3"/>
  <c r="N137" i="2"/>
  <c r="O137" i="2" s="1"/>
  <c r="N165" i="2"/>
  <c r="O165" i="2" s="1"/>
  <c r="J107" i="2"/>
  <c r="K107" i="2" s="1"/>
  <c r="J186" i="2"/>
  <c r="K186" i="2" s="1"/>
  <c r="G89" i="14"/>
  <c r="P106" i="5"/>
  <c r="G80" i="7"/>
  <c r="L106" i="7"/>
  <c r="K106" i="12" s="1"/>
  <c r="M176" i="7"/>
  <c r="K151" i="3"/>
  <c r="B8" i="7"/>
  <c r="G68" i="7"/>
  <c r="G167" i="7"/>
  <c r="N147" i="2"/>
  <c r="O147" i="2" s="1"/>
  <c r="J76" i="2"/>
  <c r="K76" i="2" s="1"/>
  <c r="E68" i="7"/>
  <c r="J8" i="7"/>
  <c r="I84" i="7"/>
  <c r="I84" i="12" s="1"/>
  <c r="K92" i="12"/>
  <c r="J92" i="12"/>
  <c r="R79" i="12"/>
  <c r="H88" i="12"/>
  <c r="M61" i="7"/>
  <c r="I67" i="12"/>
  <c r="O73" i="7"/>
  <c r="D126" i="7"/>
  <c r="J43" i="5"/>
  <c r="I92" i="12"/>
  <c r="J73" i="7"/>
  <c r="D176" i="7"/>
  <c r="J126" i="5"/>
  <c r="E11" i="5"/>
  <c r="F11" i="5" s="1"/>
  <c r="G11" i="5" s="1"/>
  <c r="K94" i="3"/>
  <c r="G21" i="14"/>
  <c r="P146" i="5"/>
  <c r="B80" i="7"/>
  <c r="F163" i="2"/>
  <c r="G57" i="14"/>
  <c r="H8" i="7"/>
  <c r="H8" i="12" s="1"/>
  <c r="B68" i="7"/>
  <c r="M126" i="7"/>
  <c r="K68" i="7"/>
  <c r="J68" i="12" s="1"/>
  <c r="B167" i="7"/>
  <c r="D8" i="7"/>
  <c r="K167" i="7"/>
  <c r="J167" i="12" s="1"/>
  <c r="G103" i="14"/>
  <c r="H147" i="3"/>
  <c r="N24" i="2"/>
  <c r="O24" i="2" s="1"/>
  <c r="F72" i="5"/>
  <c r="G72" i="5" s="1"/>
  <c r="J191" i="2"/>
  <c r="K191" i="2" s="1"/>
  <c r="F84" i="2"/>
  <c r="F60" i="2"/>
  <c r="G29" i="14"/>
  <c r="G148" i="14"/>
  <c r="K88" i="3"/>
  <c r="C235" i="2"/>
  <c r="E65" i="5"/>
  <c r="F65" i="5" s="1"/>
  <c r="G65" i="5" s="1"/>
  <c r="N26" i="12"/>
  <c r="H81" i="3"/>
  <c r="H164" i="3"/>
  <c r="K44" i="3"/>
  <c r="G27" i="14"/>
  <c r="L187" i="12"/>
  <c r="L171" i="12"/>
  <c r="L159" i="12"/>
  <c r="L162" i="5"/>
  <c r="M162" i="5" s="1"/>
  <c r="N186" i="12"/>
  <c r="N161" i="12"/>
  <c r="O169" i="12"/>
  <c r="E104" i="3"/>
  <c r="O161" i="12"/>
  <c r="K36" i="3"/>
  <c r="G173" i="2"/>
  <c r="P163" i="12"/>
  <c r="P167" i="12"/>
  <c r="P171" i="12"/>
  <c r="S166" i="12"/>
  <c r="E163" i="5"/>
  <c r="F163" i="5" s="1"/>
  <c r="G163" i="5" s="1"/>
  <c r="O159" i="12"/>
  <c r="N112" i="2"/>
  <c r="O112" i="2" s="1"/>
  <c r="L173" i="12"/>
  <c r="Q165" i="12"/>
  <c r="B235" i="2"/>
  <c r="L179" i="12"/>
  <c r="S170" i="12"/>
  <c r="L161" i="5"/>
  <c r="M161" i="5" s="1"/>
  <c r="J112" i="12"/>
  <c r="P95" i="5"/>
  <c r="F166" i="5"/>
  <c r="G166" i="5" s="1"/>
  <c r="E102" i="5"/>
  <c r="F102" i="5" s="1"/>
  <c r="G102" i="5" s="1"/>
  <c r="M72" i="5"/>
  <c r="J120" i="5"/>
  <c r="E118" i="5"/>
  <c r="F118" i="5" s="1"/>
  <c r="G118" i="5" s="1"/>
  <c r="F137" i="5"/>
  <c r="G137" i="5" s="1"/>
  <c r="H18" i="3"/>
  <c r="P63" i="5"/>
  <c r="E171" i="3"/>
  <c r="J132" i="5"/>
  <c r="J144" i="5"/>
  <c r="H183" i="3"/>
  <c r="K117" i="3"/>
  <c r="G15" i="14"/>
  <c r="J35" i="5"/>
  <c r="K179" i="3"/>
  <c r="G90" i="14"/>
  <c r="P27" i="5"/>
  <c r="K131" i="3"/>
  <c r="E119" i="3"/>
  <c r="J90" i="5"/>
  <c r="H111" i="3"/>
  <c r="K37" i="3"/>
  <c r="E70" i="3"/>
  <c r="H93" i="3"/>
  <c r="E88" i="3"/>
  <c r="E98" i="5"/>
  <c r="F98" i="5" s="1"/>
  <c r="G98" i="5" s="1"/>
  <c r="M12" i="5"/>
  <c r="K16" i="3"/>
  <c r="H139" i="3"/>
  <c r="F71" i="5"/>
  <c r="G71" i="5" s="1"/>
  <c r="K52" i="3"/>
  <c r="K159" i="3"/>
  <c r="H20" i="12"/>
  <c r="H18" i="12"/>
  <c r="N46" i="12"/>
  <c r="J84" i="12"/>
  <c r="N114" i="12"/>
  <c r="S120" i="12"/>
  <c r="Q96" i="12"/>
  <c r="Q147" i="12"/>
  <c r="L75" i="7"/>
  <c r="K75" i="12" s="1"/>
  <c r="N85" i="7"/>
  <c r="K74" i="12"/>
  <c r="M85" i="7"/>
  <c r="F165" i="5"/>
  <c r="G165" i="5" s="1"/>
  <c r="E181" i="3"/>
  <c r="J76" i="7"/>
  <c r="J120" i="7"/>
  <c r="H120" i="7"/>
  <c r="H120" i="12" s="1"/>
  <c r="G60" i="2"/>
  <c r="M108" i="7"/>
  <c r="C76" i="7"/>
  <c r="N139" i="7"/>
  <c r="J14" i="12"/>
  <c r="H75" i="7"/>
  <c r="J85" i="7"/>
  <c r="M166" i="5"/>
  <c r="H117" i="3"/>
  <c r="N93" i="2"/>
  <c r="O93" i="2" s="1"/>
  <c r="O76" i="7"/>
  <c r="F120" i="7"/>
  <c r="M120" i="7"/>
  <c r="K76" i="7"/>
  <c r="J76" i="12" s="1"/>
  <c r="J12" i="12"/>
  <c r="J46" i="12"/>
  <c r="K27" i="12"/>
  <c r="R10" i="12"/>
  <c r="L84" i="12"/>
  <c r="L155" i="12"/>
  <c r="D75" i="7"/>
  <c r="F85" i="7"/>
  <c r="J112" i="5"/>
  <c r="E55" i="3"/>
  <c r="E126" i="3"/>
  <c r="D235" i="2"/>
  <c r="B120" i="7"/>
  <c r="N75" i="7"/>
  <c r="C128" i="7"/>
  <c r="K20" i="12"/>
  <c r="N10" i="12"/>
  <c r="P84" i="12"/>
  <c r="P106" i="12"/>
  <c r="M152" i="12"/>
  <c r="M87" i="12"/>
  <c r="M117" i="12"/>
  <c r="N60" i="12"/>
  <c r="D85" i="7"/>
  <c r="B85" i="7"/>
  <c r="J124" i="5"/>
  <c r="J129" i="5"/>
  <c r="F90" i="2"/>
  <c r="D120" i="7"/>
  <c r="K108" i="3"/>
  <c r="J20" i="2"/>
  <c r="K20" i="2" s="1"/>
  <c r="L156" i="7"/>
  <c r="K156" i="12" s="1"/>
  <c r="M156" i="7"/>
  <c r="J20" i="12"/>
  <c r="P14" i="12"/>
  <c r="P99" i="12"/>
  <c r="I85" i="7"/>
  <c r="I85" i="12" s="1"/>
  <c r="H86" i="3"/>
  <c r="B2" i="28"/>
  <c r="J35" i="2"/>
  <c r="K35" i="2" s="1"/>
  <c r="N108" i="7"/>
  <c r="I120" i="7"/>
  <c r="I120" i="12" s="1"/>
  <c r="L85" i="7"/>
  <c r="K85" i="12" s="1"/>
  <c r="H16" i="12"/>
  <c r="J8" i="12"/>
  <c r="P140" i="12"/>
  <c r="M85" i="5"/>
  <c r="R107" i="12"/>
  <c r="S161" i="12"/>
  <c r="N63" i="12"/>
  <c r="O85" i="7"/>
  <c r="K86" i="12"/>
  <c r="H85" i="3"/>
  <c r="H70" i="3"/>
  <c r="N53" i="2"/>
  <c r="O53" i="2" s="1"/>
  <c r="P82" i="5"/>
  <c r="I108" i="7"/>
  <c r="I108" i="12" s="1"/>
  <c r="O120" i="7"/>
  <c r="E179" i="3"/>
  <c r="I156" i="7"/>
  <c r="I156" i="12" s="1"/>
  <c r="L120" i="7"/>
  <c r="K120" i="12" s="1"/>
  <c r="H14" i="12"/>
  <c r="J22" i="12"/>
  <c r="R120" i="12"/>
  <c r="H118" i="12"/>
  <c r="R31" i="12"/>
  <c r="R63" i="12"/>
  <c r="Q72" i="12"/>
  <c r="R161" i="12"/>
  <c r="J136" i="5"/>
  <c r="H62" i="3"/>
  <c r="J53" i="2"/>
  <c r="K53" i="2" s="1"/>
  <c r="C108" i="7"/>
  <c r="B156" i="7"/>
  <c r="G120" i="7"/>
  <c r="K19" i="12"/>
  <c r="H26" i="12"/>
  <c r="N129" i="12"/>
  <c r="E26" i="3"/>
  <c r="N22" i="2"/>
  <c r="O22" i="2" s="1"/>
  <c r="G37" i="2"/>
  <c r="L76" i="7"/>
  <c r="K76" i="12" s="1"/>
  <c r="L108" i="7"/>
  <c r="K108" i="12" s="1"/>
  <c r="J108" i="7"/>
  <c r="E108" i="7"/>
  <c r="E120" i="7"/>
  <c r="G71" i="14"/>
  <c r="K75" i="7"/>
  <c r="J75" i="12" s="1"/>
  <c r="I75" i="7"/>
  <c r="I75" i="12" s="1"/>
  <c r="C120" i="7"/>
  <c r="K7" i="12"/>
  <c r="K12" i="12"/>
  <c r="O76" i="12"/>
  <c r="J120" i="12"/>
  <c r="J118" i="12"/>
  <c r="M43" i="5"/>
  <c r="E85" i="7"/>
  <c r="F142" i="2"/>
  <c r="O75" i="7"/>
  <c r="H76" i="7"/>
  <c r="H76" i="12" s="1"/>
  <c r="H108" i="7"/>
  <c r="F156" i="7"/>
  <c r="K108" i="7"/>
  <c r="J108" i="12" s="1"/>
  <c r="C156" i="7"/>
  <c r="B76" i="7"/>
  <c r="G108" i="7"/>
  <c r="G75" i="7"/>
  <c r="O108" i="7"/>
  <c r="K51" i="12"/>
  <c r="R60" i="12"/>
  <c r="S52" i="12"/>
  <c r="K85" i="7"/>
  <c r="J85" i="12" s="1"/>
  <c r="J49" i="5"/>
  <c r="K154" i="3"/>
  <c r="G90" i="2"/>
  <c r="P142" i="5"/>
  <c r="J75" i="7"/>
  <c r="D76" i="7"/>
  <c r="D108" i="7"/>
  <c r="J156" i="7"/>
  <c r="G156" i="7"/>
  <c r="H80" i="3"/>
  <c r="K188" i="3"/>
  <c r="F108" i="7"/>
  <c r="H156" i="7"/>
  <c r="H156" i="12" s="1"/>
  <c r="H32" i="3"/>
  <c r="B75" i="7"/>
  <c r="K23" i="12"/>
  <c r="E152" i="5"/>
  <c r="F152" i="5" s="1"/>
  <c r="G152" i="5" s="1"/>
  <c r="F114" i="2"/>
  <c r="E75" i="7"/>
  <c r="N156" i="7"/>
  <c r="K156" i="7"/>
  <c r="J156" i="12" s="1"/>
  <c r="F75" i="7"/>
  <c r="P18" i="5"/>
  <c r="D156" i="7"/>
  <c r="F38" i="2"/>
  <c r="J159" i="2"/>
  <c r="K159" i="2" s="1"/>
  <c r="G34" i="14"/>
  <c r="G38" i="2"/>
  <c r="H155" i="3"/>
  <c r="P38" i="5"/>
  <c r="G115" i="14"/>
  <c r="G11" i="14"/>
  <c r="G161" i="14"/>
  <c r="Q8" i="12"/>
  <c r="M9" i="12"/>
  <c r="L18" i="12"/>
  <c r="L81" i="5"/>
  <c r="M81" i="5" s="1"/>
  <c r="L86" i="5"/>
  <c r="M86" i="5" s="1"/>
  <c r="L101" i="5"/>
  <c r="M101" i="5" s="1"/>
  <c r="L107" i="5"/>
  <c r="M107" i="5" s="1"/>
  <c r="L105" i="5"/>
  <c r="M105" i="5" s="1"/>
  <c r="L111" i="5"/>
  <c r="M111" i="5" s="1"/>
  <c r="L65" i="5"/>
  <c r="M65" i="5" s="1"/>
  <c r="L70" i="5"/>
  <c r="M70" i="5" s="1"/>
  <c r="N15" i="12"/>
  <c r="N17" i="12"/>
  <c r="O42" i="12"/>
  <c r="O45" i="12"/>
  <c r="Q45" i="12"/>
  <c r="M48" i="12"/>
  <c r="L82" i="5"/>
  <c r="M82" i="5" s="1"/>
  <c r="L87" i="5"/>
  <c r="M87" i="5" s="1"/>
  <c r="L98" i="5"/>
  <c r="M98" i="5" s="1"/>
  <c r="L104" i="5"/>
  <c r="M104" i="5" s="1"/>
  <c r="N117" i="12"/>
  <c r="N123" i="12"/>
  <c r="L156" i="12"/>
  <c r="L159" i="5"/>
  <c r="M159" i="5" s="1"/>
  <c r="D236" i="2"/>
  <c r="O164" i="12"/>
  <c r="N171" i="12"/>
  <c r="L176" i="12"/>
  <c r="L185" i="12"/>
  <c r="B234" i="2"/>
  <c r="P142" i="12"/>
  <c r="L149" i="12"/>
  <c r="O24" i="12"/>
  <c r="O26" i="12"/>
  <c r="L11" i="5"/>
  <c r="M11" i="5" s="1"/>
  <c r="L13" i="5"/>
  <c r="M13" i="5" s="1"/>
  <c r="L18" i="5"/>
  <c r="M18" i="5" s="1"/>
  <c r="L20" i="5"/>
  <c r="M20" i="5" s="1"/>
  <c r="N41" i="12"/>
  <c r="N44" i="12"/>
  <c r="N97" i="12"/>
  <c r="N103" i="12"/>
  <c r="P15" i="12"/>
  <c r="L17" i="12"/>
  <c r="L50" i="12"/>
  <c r="P61" i="12"/>
  <c r="L66" i="12"/>
  <c r="L80" i="12"/>
  <c r="L85" i="12"/>
  <c r="L130" i="5"/>
  <c r="M130" i="5" s="1"/>
  <c r="L136" i="5"/>
  <c r="M136" i="5" s="1"/>
  <c r="S132" i="12"/>
  <c r="N138" i="12"/>
  <c r="L133" i="5"/>
  <c r="M133" i="5" s="1"/>
  <c r="L139" i="5"/>
  <c r="M139" i="5" s="1"/>
  <c r="B11" i="28"/>
  <c r="L145" i="12"/>
  <c r="Q141" i="12"/>
  <c r="M148" i="12"/>
  <c r="C236" i="2"/>
  <c r="P78" i="12"/>
  <c r="L83" i="12"/>
  <c r="L121" i="5"/>
  <c r="M121" i="5" s="1"/>
  <c r="L127" i="5"/>
  <c r="M127" i="5" s="1"/>
  <c r="Q10" i="12"/>
  <c r="M11" i="12"/>
  <c r="M19" i="12"/>
  <c r="M21" i="12"/>
  <c r="L26" i="12"/>
  <c r="Q44" i="12"/>
  <c r="M47" i="12"/>
  <c r="Q49" i="12"/>
  <c r="M53" i="12"/>
  <c r="P62" i="12"/>
  <c r="L67" i="12"/>
  <c r="L73" i="5"/>
  <c r="M73" i="5" s="1"/>
  <c r="L78" i="5"/>
  <c r="M78" i="5" s="1"/>
  <c r="L93" i="5"/>
  <c r="M93" i="5" s="1"/>
  <c r="L99" i="5"/>
  <c r="M99" i="5" s="1"/>
  <c r="R101" i="12"/>
  <c r="N107" i="12"/>
  <c r="N105" i="12"/>
  <c r="N111" i="12"/>
  <c r="N109" i="12"/>
  <c r="N115" i="12"/>
  <c r="L23" i="12"/>
  <c r="L25" i="12"/>
  <c r="L15" i="5"/>
  <c r="M15" i="5" s="1"/>
  <c r="L17" i="5"/>
  <c r="M17" i="5" s="1"/>
  <c r="L53" i="12"/>
  <c r="L58" i="12"/>
  <c r="L58" i="5"/>
  <c r="M58" i="5" s="1"/>
  <c r="L63" i="5"/>
  <c r="M63" i="5" s="1"/>
  <c r="M64" i="12"/>
  <c r="M69" i="12"/>
  <c r="L74" i="5"/>
  <c r="M74" i="5" s="1"/>
  <c r="L90" i="5"/>
  <c r="M90" i="5" s="1"/>
  <c r="L96" i="5"/>
  <c r="M96" i="5" s="1"/>
  <c r="L114" i="5"/>
  <c r="M114" i="5" s="1"/>
  <c r="L120" i="5"/>
  <c r="M120" i="5" s="1"/>
  <c r="L117" i="5"/>
  <c r="M117" i="5" s="1"/>
  <c r="L123" i="5"/>
  <c r="M123" i="5" s="1"/>
  <c r="O160" i="12"/>
  <c r="L163" i="5"/>
  <c r="M163" i="5" s="1"/>
  <c r="L28" i="5"/>
  <c r="M28" i="5" s="1"/>
  <c r="L30" i="5"/>
  <c r="M30" i="5" s="1"/>
  <c r="C234" i="2"/>
  <c r="L45" i="12"/>
  <c r="O86" i="12"/>
  <c r="O91" i="12"/>
  <c r="O102" i="12"/>
  <c r="O110" i="12"/>
  <c r="L137" i="5"/>
  <c r="M137" i="5" s="1"/>
  <c r="L144" i="5"/>
  <c r="M144" i="5" s="1"/>
  <c r="L19" i="5"/>
  <c r="M19" i="5" s="1"/>
  <c r="L21" i="5"/>
  <c r="M21" i="5" s="1"/>
  <c r="N29" i="12"/>
  <c r="N31" i="12"/>
  <c r="L41" i="5"/>
  <c r="M41" i="5" s="1"/>
  <c r="L44" i="5"/>
  <c r="M44" i="5" s="1"/>
  <c r="L57" i="5"/>
  <c r="M57" i="5" s="1"/>
  <c r="L62" i="5"/>
  <c r="Q65" i="12"/>
  <c r="M70" i="12"/>
  <c r="N23" i="12"/>
  <c r="N25" i="12"/>
  <c r="O38" i="12"/>
  <c r="O41" i="12"/>
  <c r="M15" i="12"/>
  <c r="M17" i="12"/>
  <c r="L53" i="5"/>
  <c r="M53" i="5" s="1"/>
  <c r="L66" i="5"/>
  <c r="M66" i="5" s="1"/>
  <c r="L71" i="5"/>
  <c r="M71" i="5" s="1"/>
  <c r="P88" i="12"/>
  <c r="L93" i="12"/>
  <c r="L122" i="12"/>
  <c r="L128" i="12"/>
  <c r="L155" i="5"/>
  <c r="M155" i="5" s="1"/>
  <c r="E234" i="2"/>
  <c r="O34" i="12"/>
  <c r="O37" i="12"/>
  <c r="P86" i="12"/>
  <c r="L91" i="12"/>
  <c r="L102" i="12"/>
  <c r="N121" i="12"/>
  <c r="N127" i="12"/>
  <c r="Q32" i="12"/>
  <c r="M35" i="12"/>
  <c r="N70" i="12"/>
  <c r="N78" i="12"/>
  <c r="L100" i="12"/>
  <c r="L127" i="12"/>
  <c r="I58" i="12"/>
  <c r="O145" i="12"/>
  <c r="J90" i="12"/>
  <c r="J87" i="12"/>
  <c r="L131" i="5"/>
  <c r="M131" i="5" s="1"/>
  <c r="E45" i="5"/>
  <c r="F45" i="5" s="1"/>
  <c r="G45" i="5" s="1"/>
  <c r="E91" i="5"/>
  <c r="F91" i="5" s="1"/>
  <c r="G91" i="5" s="1"/>
  <c r="J154" i="12"/>
  <c r="E24" i="5"/>
  <c r="F24" i="5" s="1"/>
  <c r="G24" i="5" s="1"/>
  <c r="L94" i="5"/>
  <c r="O185" i="12"/>
  <c r="M28" i="12"/>
  <c r="O21" i="12"/>
  <c r="L59" i="5"/>
  <c r="M59" i="5" s="1"/>
  <c r="L79" i="5"/>
  <c r="M79" i="5" s="1"/>
  <c r="O89" i="12"/>
  <c r="L103" i="5"/>
  <c r="M103" i="5" s="1"/>
  <c r="L161" i="12"/>
  <c r="O149" i="12"/>
  <c r="L177" i="12"/>
  <c r="E16" i="5"/>
  <c r="F16" i="5" s="1"/>
  <c r="G16" i="5" s="1"/>
  <c r="E75" i="5"/>
  <c r="F75" i="5" s="1"/>
  <c r="G75" i="5" s="1"/>
  <c r="E122" i="5"/>
  <c r="F122" i="5" s="1"/>
  <c r="G122" i="5" s="1"/>
  <c r="E112" i="5"/>
  <c r="F112" i="5" s="1"/>
  <c r="G112" i="5" s="1"/>
  <c r="L36" i="5"/>
  <c r="M36" i="5" s="1"/>
  <c r="O119" i="12"/>
  <c r="O93" i="12"/>
  <c r="O18" i="12"/>
  <c r="O56" i="12"/>
  <c r="M119" i="12"/>
  <c r="K127" i="3"/>
  <c r="I81" i="12"/>
  <c r="G116" i="2"/>
  <c r="K104" i="3"/>
  <c r="N173" i="2"/>
  <c r="O173" i="2" s="1"/>
  <c r="P31" i="5"/>
  <c r="P153" i="5"/>
  <c r="N128" i="2"/>
  <c r="O128" i="2" s="1"/>
  <c r="O114" i="12"/>
  <c r="N91" i="12"/>
  <c r="I74" i="12"/>
  <c r="I90" i="12"/>
  <c r="I83" i="12"/>
  <c r="J74" i="12"/>
  <c r="I72" i="12"/>
  <c r="H74" i="12"/>
  <c r="H133" i="12"/>
  <c r="L119" i="5"/>
  <c r="M119" i="5" s="1"/>
  <c r="L148" i="5"/>
  <c r="M148" i="5" s="1"/>
  <c r="L153" i="5"/>
  <c r="M153" i="5" s="1"/>
  <c r="E78" i="5"/>
  <c r="F78" i="5" s="1"/>
  <c r="G78" i="5" s="1"/>
  <c r="E96" i="5"/>
  <c r="F96" i="5" s="1"/>
  <c r="G96" i="5" s="1"/>
  <c r="E131" i="5"/>
  <c r="F131" i="5" s="1"/>
  <c r="G131" i="5" s="1"/>
  <c r="E135" i="5"/>
  <c r="F135" i="5" s="1"/>
  <c r="G135" i="5" s="1"/>
  <c r="E28" i="5"/>
  <c r="F28" i="5" s="1"/>
  <c r="G28" i="5" s="1"/>
  <c r="E148" i="5"/>
  <c r="F148" i="5" s="1"/>
  <c r="G148" i="5" s="1"/>
  <c r="L43" i="12"/>
  <c r="O83" i="12"/>
  <c r="O79" i="12"/>
  <c r="O111" i="12"/>
  <c r="M132" i="12"/>
  <c r="N165" i="12"/>
  <c r="K132" i="12"/>
  <c r="E16" i="3"/>
  <c r="K26" i="3"/>
  <c r="K74" i="3"/>
  <c r="E52" i="3"/>
  <c r="E126" i="5"/>
  <c r="F126" i="5" s="1"/>
  <c r="G126" i="5" s="1"/>
  <c r="E155" i="5"/>
  <c r="F155" i="5" s="1"/>
  <c r="G155" i="5" s="1"/>
  <c r="G114" i="2"/>
  <c r="H184" i="3"/>
  <c r="K106" i="3"/>
  <c r="P30" i="5"/>
  <c r="P14" i="5"/>
  <c r="P161" i="5"/>
  <c r="M41" i="12"/>
  <c r="E104" i="5"/>
  <c r="F104" i="5" s="1"/>
  <c r="G104" i="5" s="1"/>
  <c r="N72" i="12"/>
  <c r="N48" i="2"/>
  <c r="O48" i="2" s="1"/>
  <c r="B13" i="28"/>
  <c r="P166" i="5"/>
  <c r="L97" i="12"/>
  <c r="M181" i="12"/>
  <c r="P133" i="5"/>
  <c r="G140" i="2"/>
  <c r="G50" i="2"/>
  <c r="L48" i="5"/>
  <c r="M48" i="5" s="1"/>
  <c r="N131" i="12"/>
  <c r="O136" i="12"/>
  <c r="N83" i="12"/>
  <c r="O98" i="12"/>
  <c r="L158" i="5"/>
  <c r="M158" i="5" s="1"/>
  <c r="H82" i="12"/>
  <c r="I94" i="12"/>
  <c r="L35" i="5"/>
  <c r="M35" i="5" s="1"/>
  <c r="L154" i="5"/>
  <c r="M154" i="5" s="1"/>
  <c r="O170" i="12"/>
  <c r="J166" i="12"/>
  <c r="L112" i="5"/>
  <c r="M112" i="5" s="1"/>
  <c r="L135" i="5"/>
  <c r="M135" i="5" s="1"/>
  <c r="E27" i="5"/>
  <c r="F27" i="5" s="1"/>
  <c r="G27" i="5" s="1"/>
  <c r="E111" i="5"/>
  <c r="F111" i="5" s="1"/>
  <c r="G111" i="5" s="1"/>
  <c r="K159" i="12"/>
  <c r="L52" i="5"/>
  <c r="M52" i="5" s="1"/>
  <c r="C237" i="2"/>
  <c r="L24" i="5"/>
  <c r="M24" i="5" s="1"/>
  <c r="L115" i="5"/>
  <c r="M115" i="5" s="1"/>
  <c r="C7" i="28"/>
  <c r="G42" i="2"/>
  <c r="L25" i="5"/>
  <c r="M25" i="5" s="1"/>
  <c r="N139" i="12"/>
  <c r="L59" i="12"/>
  <c r="L149" i="5"/>
  <c r="M149" i="5" s="1"/>
  <c r="N173" i="12"/>
  <c r="K8" i="3"/>
  <c r="B7" i="28"/>
  <c r="E146" i="5"/>
  <c r="F146" i="5" s="1"/>
  <c r="G146" i="5" s="1"/>
  <c r="P121" i="5"/>
  <c r="P40" i="5"/>
  <c r="L27" i="5"/>
  <c r="M27" i="5" s="1"/>
  <c r="O29" i="12"/>
  <c r="N181" i="12"/>
  <c r="L120" i="12"/>
  <c r="L51" i="5"/>
  <c r="M51" i="5" s="1"/>
  <c r="O99" i="12"/>
  <c r="M183" i="12"/>
  <c r="O100" i="12"/>
  <c r="L132" i="12"/>
  <c r="M63" i="12"/>
  <c r="O73" i="12"/>
  <c r="L40" i="5"/>
  <c r="M40" i="5" s="1"/>
  <c r="E94" i="5"/>
  <c r="F94" i="5" s="1"/>
  <c r="G94" i="5" s="1"/>
  <c r="E20" i="5"/>
  <c r="F20" i="5" s="1"/>
  <c r="G20" i="5" s="1"/>
  <c r="E36" i="5"/>
  <c r="F36" i="5" s="1"/>
  <c r="G36" i="5" s="1"/>
  <c r="E120" i="5"/>
  <c r="F120" i="5" s="1"/>
  <c r="G120" i="5" s="1"/>
  <c r="E161" i="5"/>
  <c r="F161" i="5" s="1"/>
  <c r="G161" i="5" s="1"/>
  <c r="M16" i="12"/>
  <c r="L14" i="5"/>
  <c r="M14" i="5" s="1"/>
  <c r="L75" i="12"/>
  <c r="J72" i="12"/>
  <c r="J179" i="12"/>
  <c r="E130" i="5"/>
  <c r="F130" i="5" s="1"/>
  <c r="G130" i="5" s="1"/>
  <c r="E100" i="3"/>
  <c r="K84" i="3"/>
  <c r="F159" i="2"/>
  <c r="P17" i="5"/>
  <c r="P29" i="5"/>
  <c r="P41" i="5"/>
  <c r="M46" i="5"/>
  <c r="O14" i="12"/>
  <c r="M131" i="12"/>
  <c r="M67" i="12"/>
  <c r="L81" i="12"/>
  <c r="L112" i="12"/>
  <c r="L183" i="12"/>
  <c r="I76" i="12"/>
  <c r="E79" i="5"/>
  <c r="F79" i="5" s="1"/>
  <c r="G79" i="5" s="1"/>
  <c r="E83" i="5"/>
  <c r="F83" i="5" s="1"/>
  <c r="G83" i="5" s="1"/>
  <c r="E87" i="5"/>
  <c r="F87" i="5" s="1"/>
  <c r="G87" i="5" s="1"/>
  <c r="E63" i="5"/>
  <c r="F63" i="5" s="1"/>
  <c r="G63" i="5" s="1"/>
  <c r="K175" i="3"/>
  <c r="F152" i="2"/>
  <c r="P115" i="5"/>
  <c r="N99" i="12"/>
  <c r="C10" i="28"/>
  <c r="N13" i="12"/>
  <c r="L125" i="12"/>
  <c r="J72" i="2"/>
  <c r="K72" i="2" s="1"/>
  <c r="P16" i="5"/>
  <c r="P71" i="5"/>
  <c r="M109" i="12"/>
  <c r="O165" i="12"/>
  <c r="E127" i="5"/>
  <c r="F127" i="5" s="1"/>
  <c r="G127" i="5" s="1"/>
  <c r="P44" i="5"/>
  <c r="P157" i="5"/>
  <c r="L21" i="12"/>
  <c r="P21" i="12"/>
  <c r="K115" i="7"/>
  <c r="J115" i="12" s="1"/>
  <c r="L138" i="5"/>
  <c r="M138" i="5" s="1"/>
  <c r="C13" i="28"/>
  <c r="M101" i="12"/>
  <c r="Q101" i="12"/>
  <c r="C104" i="7"/>
  <c r="F104" i="7"/>
  <c r="I98" i="12"/>
  <c r="J104" i="7"/>
  <c r="L104" i="7"/>
  <c r="K104" i="12" s="1"/>
  <c r="N104" i="7"/>
  <c r="E104" i="7"/>
  <c r="D104" i="7"/>
  <c r="M104" i="7"/>
  <c r="I104" i="7"/>
  <c r="I104" i="12" s="1"/>
  <c r="G104" i="7"/>
  <c r="K104" i="7"/>
  <c r="J104" i="12" s="1"/>
  <c r="O104" i="7"/>
  <c r="I103" i="12"/>
  <c r="I107" i="12"/>
  <c r="K98" i="12"/>
  <c r="R159" i="12"/>
  <c r="S159" i="12"/>
  <c r="E129" i="3"/>
  <c r="G131" i="14"/>
  <c r="E37" i="5"/>
  <c r="F37" i="5" s="1"/>
  <c r="G37" i="5" s="1"/>
  <c r="H37" i="3"/>
  <c r="B142" i="7"/>
  <c r="N142" i="7"/>
  <c r="I142" i="7"/>
  <c r="D142" i="7"/>
  <c r="L142" i="7"/>
  <c r="M142" i="7"/>
  <c r="E142" i="7"/>
  <c r="F142" i="7"/>
  <c r="C142" i="7"/>
  <c r="H142" i="7"/>
  <c r="H142" i="12" s="1"/>
  <c r="G142" i="7"/>
  <c r="B128" i="7"/>
  <c r="M128" i="7"/>
  <c r="D128" i="7"/>
  <c r="I128" i="7"/>
  <c r="I128" i="12" s="1"/>
  <c r="N128" i="7"/>
  <c r="E128" i="7"/>
  <c r="J128" i="7"/>
  <c r="O128" i="7"/>
  <c r="F128" i="7"/>
  <c r="L128" i="7"/>
  <c r="K128" i="12" s="1"/>
  <c r="G128" i="7"/>
  <c r="K44" i="7"/>
  <c r="J44" i="12" s="1"/>
  <c r="O44" i="7"/>
  <c r="M44" i="7"/>
  <c r="G44" i="7"/>
  <c r="B44" i="7"/>
  <c r="F44" i="7"/>
  <c r="E44" i="7"/>
  <c r="J44" i="7"/>
  <c r="C44" i="7"/>
  <c r="N44" i="7"/>
  <c r="G70" i="14"/>
  <c r="P59" i="12"/>
  <c r="M84" i="12"/>
  <c r="L44" i="7"/>
  <c r="N81" i="12"/>
  <c r="K105" i="12"/>
  <c r="N39" i="7"/>
  <c r="J142" i="5"/>
  <c r="H44" i="7"/>
  <c r="H44" i="12" s="1"/>
  <c r="P29" i="12"/>
  <c r="L29" i="12"/>
  <c r="M155" i="12"/>
  <c r="Q155" i="12"/>
  <c r="M110" i="12"/>
  <c r="Q110" i="12"/>
  <c r="H104" i="7"/>
  <c r="H104" i="12" s="1"/>
  <c r="R139" i="12"/>
  <c r="S139" i="12"/>
  <c r="Q99" i="12"/>
  <c r="M99" i="12"/>
  <c r="M43" i="12"/>
  <c r="S81" i="12"/>
  <c r="J101" i="12"/>
  <c r="K107" i="12"/>
  <c r="P113" i="12"/>
  <c r="L113" i="12"/>
  <c r="O142" i="7"/>
  <c r="N98" i="2"/>
  <c r="O98" i="2" s="1"/>
  <c r="N100" i="12"/>
  <c r="S100" i="12"/>
  <c r="P115" i="12"/>
  <c r="L115" i="12"/>
  <c r="S136" i="12"/>
  <c r="N136" i="12"/>
  <c r="R136" i="12"/>
  <c r="D44" i="7"/>
  <c r="H104" i="3"/>
  <c r="P74" i="5"/>
  <c r="Q58" i="12"/>
  <c r="R21" i="12"/>
  <c r="Q129" i="12"/>
  <c r="M129" i="12"/>
  <c r="K142" i="7"/>
  <c r="J142" i="12" s="1"/>
  <c r="F50" i="2"/>
  <c r="N9" i="12"/>
  <c r="S9" i="12"/>
  <c r="Q126" i="12"/>
  <c r="M126" i="12"/>
  <c r="N172" i="12"/>
  <c r="S172" i="12"/>
  <c r="R172" i="12"/>
  <c r="R95" i="12"/>
  <c r="N95" i="12"/>
  <c r="Q167" i="12"/>
  <c r="M167" i="12"/>
  <c r="J167" i="2"/>
  <c r="K167" i="2" s="1"/>
  <c r="K3" i="21"/>
  <c r="F167" i="2"/>
  <c r="M139" i="12"/>
  <c r="Q139" i="12"/>
  <c r="R80" i="12"/>
  <c r="N80" i="12"/>
  <c r="R138" i="12"/>
  <c r="S138" i="12"/>
  <c r="B12" i="28"/>
  <c r="I168" i="7"/>
  <c r="G168" i="7"/>
  <c r="C168" i="7"/>
  <c r="J168" i="7"/>
  <c r="K168" i="7"/>
  <c r="F168" i="7"/>
  <c r="O168" i="7"/>
  <c r="E168" i="7"/>
  <c r="M168" i="7"/>
  <c r="H167" i="12"/>
  <c r="L168" i="7"/>
  <c r="K170" i="12" s="1"/>
  <c r="H168" i="7"/>
  <c r="D168" i="7"/>
  <c r="J128" i="12"/>
  <c r="P161" i="12"/>
  <c r="J107" i="12"/>
  <c r="M127" i="12"/>
  <c r="Q127" i="12"/>
  <c r="R153" i="12"/>
  <c r="S153" i="12"/>
  <c r="N153" i="12"/>
  <c r="M137" i="12"/>
  <c r="Q137" i="12"/>
  <c r="L147" i="12"/>
  <c r="P147" i="12"/>
  <c r="J142" i="7"/>
  <c r="L41" i="12"/>
  <c r="P41" i="12"/>
  <c r="H115" i="7"/>
  <c r="H114" i="12" s="1"/>
  <c r="Q79" i="12"/>
  <c r="M79" i="12"/>
  <c r="P136" i="12"/>
  <c r="L136" i="12"/>
  <c r="D115" i="7"/>
  <c r="G24" i="14"/>
  <c r="G28" i="14"/>
  <c r="G138" i="14"/>
  <c r="L16" i="12"/>
  <c r="S84" i="12"/>
  <c r="R67" i="12"/>
  <c r="Q131" i="12"/>
  <c r="J105" i="12"/>
  <c r="H105" i="12"/>
  <c r="P114" i="5"/>
  <c r="B104" i="7"/>
  <c r="B168" i="7"/>
  <c r="G82" i="2"/>
  <c r="H179" i="3"/>
  <c r="E134" i="3"/>
  <c r="H128" i="7"/>
  <c r="H128" i="12" s="1"/>
  <c r="K39" i="7"/>
  <c r="J42" i="12" s="1"/>
  <c r="B39" i="7"/>
  <c r="J39" i="7"/>
  <c r="I39" i="7"/>
  <c r="F39" i="7"/>
  <c r="E39" i="7"/>
  <c r="C39" i="7"/>
  <c r="M39" i="7"/>
  <c r="G39" i="7"/>
  <c r="D39" i="7"/>
  <c r="H39" i="7"/>
  <c r="H42" i="12" s="1"/>
  <c r="L39" i="7"/>
  <c r="P33" i="12"/>
  <c r="L33" i="12"/>
  <c r="C139" i="7"/>
  <c r="M139" i="7"/>
  <c r="G139" i="7"/>
  <c r="D139" i="7"/>
  <c r="K139" i="7"/>
  <c r="E139" i="7"/>
  <c r="H139" i="7"/>
  <c r="B139" i="7"/>
  <c r="L139" i="7"/>
  <c r="F139" i="7"/>
  <c r="Q67" i="12"/>
  <c r="G10" i="14"/>
  <c r="G62" i="14"/>
  <c r="G160" i="14"/>
  <c r="G170" i="14"/>
  <c r="P81" i="12"/>
  <c r="N84" i="12"/>
  <c r="S109" i="12"/>
  <c r="R151" i="12"/>
  <c r="S151" i="12"/>
  <c r="P151" i="12"/>
  <c r="N119" i="12"/>
  <c r="N21" i="12"/>
  <c r="M42" i="5"/>
  <c r="J103" i="12"/>
  <c r="J139" i="7"/>
  <c r="G92" i="2"/>
  <c r="F92" i="2"/>
  <c r="F115" i="7"/>
  <c r="L115" i="7"/>
  <c r="G115" i="7"/>
  <c r="E115" i="7"/>
  <c r="M115" i="7"/>
  <c r="O115" i="7"/>
  <c r="B115" i="7"/>
  <c r="N115" i="7"/>
  <c r="J115" i="7"/>
  <c r="I115" i="7"/>
  <c r="I115" i="12" s="1"/>
  <c r="C115" i="7"/>
  <c r="M8" i="12"/>
  <c r="S19" i="12"/>
  <c r="J98" i="12"/>
  <c r="Q39" i="12"/>
  <c r="S119" i="12"/>
  <c r="N147" i="12"/>
  <c r="S147" i="12"/>
  <c r="M150" i="5"/>
  <c r="N168" i="7"/>
  <c r="E80" i="5"/>
  <c r="F80" i="5" s="1"/>
  <c r="G80" i="5" s="1"/>
  <c r="O139" i="7"/>
  <c r="S148" i="12"/>
  <c r="N148" i="12"/>
  <c r="I44" i="7"/>
  <c r="I44" i="12" s="1"/>
  <c r="R99" i="12"/>
  <c r="M61" i="5"/>
  <c r="H107" i="12"/>
  <c r="N126" i="7"/>
  <c r="J20" i="5"/>
  <c r="I145" i="12"/>
  <c r="I159" i="12"/>
  <c r="O126" i="7"/>
  <c r="G174" i="7"/>
  <c r="K61" i="3"/>
  <c r="H17" i="3"/>
  <c r="H34" i="3"/>
  <c r="K89" i="3"/>
  <c r="N15" i="2"/>
  <c r="O15" i="2" s="1"/>
  <c r="K177" i="3"/>
  <c r="N81" i="2"/>
  <c r="O81" i="2" s="1"/>
  <c r="G149" i="2"/>
  <c r="J161" i="2"/>
  <c r="K161" i="2" s="1"/>
  <c r="F34" i="2"/>
  <c r="F116" i="2"/>
  <c r="N144" i="2"/>
  <c r="O144" i="2" s="1"/>
  <c r="P78" i="5"/>
  <c r="P23" i="5"/>
  <c r="P39" i="5"/>
  <c r="D56" i="7"/>
  <c r="M56" i="7"/>
  <c r="L137" i="7"/>
  <c r="K137" i="12" s="1"/>
  <c r="E24" i="3"/>
  <c r="E56" i="7"/>
  <c r="H127" i="3"/>
  <c r="B126" i="7"/>
  <c r="L153" i="7"/>
  <c r="K161" i="12" s="1"/>
  <c r="J13" i="5"/>
  <c r="K157" i="12"/>
  <c r="I160" i="12"/>
  <c r="H99" i="12"/>
  <c r="K126" i="7"/>
  <c r="J157" i="12"/>
  <c r="C174" i="7"/>
  <c r="F119" i="5"/>
  <c r="G119" i="5" s="1"/>
  <c r="F128" i="5"/>
  <c r="G128" i="5" s="1"/>
  <c r="J138" i="5"/>
  <c r="H146" i="3"/>
  <c r="H178" i="3"/>
  <c r="J143" i="12"/>
  <c r="E75" i="3"/>
  <c r="J71" i="2"/>
  <c r="K71" i="2" s="1"/>
  <c r="G66" i="2"/>
  <c r="N74" i="2"/>
  <c r="O74" i="2" s="1"/>
  <c r="J160" i="2"/>
  <c r="K160" i="2" s="1"/>
  <c r="P118" i="5"/>
  <c r="N56" i="7"/>
  <c r="K137" i="7"/>
  <c r="J136" i="12" s="1"/>
  <c r="K139" i="3"/>
  <c r="H150" i="7"/>
  <c r="F126" i="7"/>
  <c r="G149" i="14"/>
  <c r="M23" i="5"/>
  <c r="O150" i="7"/>
  <c r="H157" i="12"/>
  <c r="J44" i="5"/>
  <c r="H159" i="12"/>
  <c r="G126" i="7"/>
  <c r="K98" i="3"/>
  <c r="H49" i="3"/>
  <c r="K9" i="3"/>
  <c r="E14" i="3"/>
  <c r="K35" i="3"/>
  <c r="H115" i="3"/>
  <c r="K137" i="3"/>
  <c r="G21" i="2"/>
  <c r="F129" i="2"/>
  <c r="F149" i="2"/>
  <c r="N29" i="2"/>
  <c r="O29" i="2" s="1"/>
  <c r="N77" i="2"/>
  <c r="O77" i="2" s="1"/>
  <c r="N101" i="2"/>
  <c r="O101" i="2" s="1"/>
  <c r="J56" i="7"/>
  <c r="G63" i="14"/>
  <c r="J16" i="2"/>
  <c r="K16" i="2" s="1"/>
  <c r="K153" i="7"/>
  <c r="J161" i="12" s="1"/>
  <c r="S99" i="12"/>
  <c r="M31" i="12"/>
  <c r="I101" i="12"/>
  <c r="K150" i="7"/>
  <c r="J151" i="12"/>
  <c r="C126" i="7"/>
  <c r="N174" i="7"/>
  <c r="M92" i="5"/>
  <c r="F101" i="5"/>
  <c r="G101" i="5" s="1"/>
  <c r="F134" i="5"/>
  <c r="G134" i="5" s="1"/>
  <c r="H122" i="3"/>
  <c r="H35" i="3"/>
  <c r="E145" i="3"/>
  <c r="N110" i="2"/>
  <c r="O110" i="2" s="1"/>
  <c r="J77" i="2"/>
  <c r="K77" i="2" s="1"/>
  <c r="G130" i="2"/>
  <c r="F56" i="7"/>
  <c r="N28" i="2"/>
  <c r="O28" i="2" s="1"/>
  <c r="G193" i="2"/>
  <c r="C175" i="7"/>
  <c r="N175" i="7"/>
  <c r="G150" i="7"/>
  <c r="J22" i="5"/>
  <c r="I162" i="12"/>
  <c r="I150" i="12"/>
  <c r="I151" i="12"/>
  <c r="N137" i="7"/>
  <c r="J174" i="7"/>
  <c r="J74" i="5"/>
  <c r="M102" i="5"/>
  <c r="K15" i="3"/>
  <c r="H150" i="3"/>
  <c r="H55" i="3"/>
  <c r="H99" i="3"/>
  <c r="K140" i="3"/>
  <c r="G129" i="2"/>
  <c r="F82" i="2"/>
  <c r="G141" i="14"/>
  <c r="B56" i="7"/>
  <c r="J28" i="2"/>
  <c r="K28" i="2" s="1"/>
  <c r="G67" i="14"/>
  <c r="E153" i="7"/>
  <c r="N140" i="2"/>
  <c r="O140" i="2" s="1"/>
  <c r="K103" i="12"/>
  <c r="H98" i="12"/>
  <c r="C150" i="7"/>
  <c r="J173" i="12"/>
  <c r="J15" i="5"/>
  <c r="J46" i="5"/>
  <c r="I152" i="12"/>
  <c r="J137" i="7"/>
  <c r="F174" i="7"/>
  <c r="J121" i="5"/>
  <c r="F164" i="5"/>
  <c r="G164" i="5" s="1"/>
  <c r="K34" i="3"/>
  <c r="K134" i="3"/>
  <c r="K153" i="3"/>
  <c r="J91" i="2"/>
  <c r="K91" i="2" s="1"/>
  <c r="J58" i="2"/>
  <c r="K58" i="2" s="1"/>
  <c r="F74" i="2"/>
  <c r="E166" i="3"/>
  <c r="N187" i="2"/>
  <c r="O187" i="2" s="1"/>
  <c r="J150" i="7"/>
  <c r="H119" i="3"/>
  <c r="E121" i="3"/>
  <c r="H153" i="7"/>
  <c r="H153" i="12" s="1"/>
  <c r="G13" i="14"/>
  <c r="J16" i="5"/>
  <c r="H145" i="12"/>
  <c r="K145" i="12"/>
  <c r="I148" i="12"/>
  <c r="F137" i="7"/>
  <c r="B174" i="7"/>
  <c r="J70" i="5"/>
  <c r="J98" i="5"/>
  <c r="M165" i="5"/>
  <c r="E122" i="3"/>
  <c r="E78" i="3"/>
  <c r="N156" i="2"/>
  <c r="O156" i="2" s="1"/>
  <c r="N61" i="2"/>
  <c r="O61" i="2" s="1"/>
  <c r="N109" i="2"/>
  <c r="O109" i="2" s="1"/>
  <c r="G34" i="2"/>
  <c r="P70" i="5"/>
  <c r="K72" i="3"/>
  <c r="N56" i="2"/>
  <c r="O56" i="2" s="1"/>
  <c r="G159" i="2"/>
  <c r="G169" i="14"/>
  <c r="E150" i="7"/>
  <c r="I105" i="12"/>
  <c r="J24" i="5"/>
  <c r="I143" i="12"/>
  <c r="I144" i="12"/>
  <c r="B137" i="7"/>
  <c r="L174" i="7"/>
  <c r="K173" i="12" s="1"/>
  <c r="J117" i="5"/>
  <c r="M122" i="5"/>
  <c r="K87" i="3"/>
  <c r="E109" i="3"/>
  <c r="E115" i="3"/>
  <c r="K143" i="12"/>
  <c r="E137" i="3"/>
  <c r="J182" i="2"/>
  <c r="K182" i="2" s="1"/>
  <c r="N78" i="2"/>
  <c r="O78" i="2" s="1"/>
  <c r="N126" i="2"/>
  <c r="O126" i="2" s="1"/>
  <c r="J133" i="2"/>
  <c r="K133" i="2" s="1"/>
  <c r="J42" i="2"/>
  <c r="K42" i="2" s="1"/>
  <c r="F66" i="2"/>
  <c r="J152" i="2"/>
  <c r="K152" i="2" s="1"/>
  <c r="P158" i="5"/>
  <c r="J56" i="2"/>
  <c r="K56" i="2" s="1"/>
  <c r="J52" i="2"/>
  <c r="K52" i="2" s="1"/>
  <c r="N159" i="2"/>
  <c r="O159" i="2" s="1"/>
  <c r="N150" i="7"/>
  <c r="J126" i="7"/>
  <c r="K151" i="12"/>
  <c r="I99" i="12"/>
  <c r="D153" i="7"/>
  <c r="J17" i="5"/>
  <c r="J48" i="5"/>
  <c r="I173" i="12"/>
  <c r="H143" i="12"/>
  <c r="N153" i="7"/>
  <c r="K160" i="12"/>
  <c r="H174" i="7"/>
  <c r="H173" i="12" s="1"/>
  <c r="J94" i="5"/>
  <c r="J146" i="5"/>
  <c r="E10" i="3"/>
  <c r="K47" i="3"/>
  <c r="E77" i="3"/>
  <c r="H126" i="3"/>
  <c r="H75" i="3"/>
  <c r="I154" i="12"/>
  <c r="N149" i="2"/>
  <c r="O149" i="2" s="1"/>
  <c r="J168" i="2"/>
  <c r="K168" i="2" s="1"/>
  <c r="G53" i="14"/>
  <c r="J145" i="12"/>
  <c r="H56" i="3"/>
  <c r="M60" i="12"/>
  <c r="G132" i="2"/>
  <c r="J64" i="2"/>
  <c r="K64" i="2" s="1"/>
  <c r="N12" i="2"/>
  <c r="O12" i="2" s="1"/>
  <c r="J155" i="2"/>
  <c r="K155" i="2" s="1"/>
  <c r="G35" i="14"/>
  <c r="N36" i="2"/>
  <c r="O36" i="2" s="1"/>
  <c r="K128" i="3"/>
  <c r="G80" i="14"/>
  <c r="E167" i="3"/>
  <c r="G39" i="14"/>
  <c r="K101" i="3"/>
  <c r="F40" i="2"/>
  <c r="G99" i="14"/>
  <c r="G33" i="14"/>
  <c r="G51" i="14"/>
  <c r="H151" i="3"/>
  <c r="G68" i="2"/>
  <c r="H12" i="12"/>
  <c r="G52" i="2"/>
  <c r="H101" i="3"/>
  <c r="E40" i="3"/>
  <c r="F13" i="2"/>
  <c r="E125" i="3"/>
  <c r="F36" i="2"/>
  <c r="P113" i="5"/>
  <c r="P127" i="5"/>
  <c r="P145" i="5"/>
  <c r="H134" i="12"/>
  <c r="P11" i="5"/>
  <c r="P24" i="5"/>
  <c r="P35" i="5"/>
  <c r="P147" i="5"/>
  <c r="I161" i="12"/>
  <c r="P122" i="5"/>
  <c r="F173" i="2"/>
  <c r="P47" i="5"/>
  <c r="E186" i="3"/>
  <c r="P141" i="5"/>
  <c r="P109" i="5"/>
  <c r="F68" i="2"/>
  <c r="N32" i="12"/>
  <c r="M22" i="12"/>
  <c r="S47" i="12"/>
  <c r="R158" i="12"/>
  <c r="M164" i="12"/>
  <c r="Q119" i="12"/>
  <c r="R157" i="12"/>
  <c r="N52" i="12"/>
  <c r="K66" i="7"/>
  <c r="J71" i="12" s="1"/>
  <c r="D110" i="7"/>
  <c r="L9" i="7"/>
  <c r="K9" i="12" s="1"/>
  <c r="H147" i="7"/>
  <c r="H155" i="12" s="1"/>
  <c r="F157" i="5"/>
  <c r="G157" i="5" s="1"/>
  <c r="K174" i="3"/>
  <c r="J186" i="7"/>
  <c r="E44" i="5"/>
  <c r="F44" i="5" s="1"/>
  <c r="G44" i="5" s="1"/>
  <c r="K19" i="3"/>
  <c r="E173" i="3"/>
  <c r="N121" i="2"/>
  <c r="O121" i="2" s="1"/>
  <c r="L66" i="7"/>
  <c r="K71" i="12" s="1"/>
  <c r="J147" i="7"/>
  <c r="E147" i="7"/>
  <c r="E12" i="3"/>
  <c r="M147" i="7"/>
  <c r="C186" i="7"/>
  <c r="I186" i="7"/>
  <c r="I186" i="12" s="1"/>
  <c r="L88" i="12"/>
  <c r="N158" i="12"/>
  <c r="M135" i="12"/>
  <c r="G66" i="7"/>
  <c r="I110" i="7"/>
  <c r="I110" i="12" s="1"/>
  <c r="C147" i="7"/>
  <c r="J19" i="5"/>
  <c r="H9" i="7"/>
  <c r="H9" i="12" s="1"/>
  <c r="E66" i="7"/>
  <c r="D147" i="7"/>
  <c r="J106" i="5"/>
  <c r="F186" i="7"/>
  <c r="E105" i="3"/>
  <c r="H163" i="3"/>
  <c r="F66" i="7"/>
  <c r="K147" i="7"/>
  <c r="J155" i="12" s="1"/>
  <c r="E146" i="3"/>
  <c r="N193" i="2"/>
  <c r="O193" i="2" s="1"/>
  <c r="G186" i="7"/>
  <c r="S171" i="12"/>
  <c r="Q29" i="12"/>
  <c r="L141" i="12"/>
  <c r="C66" i="7"/>
  <c r="N110" i="7"/>
  <c r="I147" i="7"/>
  <c r="D9" i="7"/>
  <c r="J66" i="7"/>
  <c r="B186" i="7"/>
  <c r="I66" i="7"/>
  <c r="I71" i="12" s="1"/>
  <c r="O186" i="7"/>
  <c r="K146" i="12"/>
  <c r="Q28" i="12"/>
  <c r="L139" i="12"/>
  <c r="L65" i="12"/>
  <c r="N87" i="12"/>
  <c r="N147" i="7"/>
  <c r="I109" i="12"/>
  <c r="O9" i="7"/>
  <c r="K178" i="3"/>
  <c r="L186" i="7"/>
  <c r="K186" i="12" s="1"/>
  <c r="G26" i="2"/>
  <c r="P110" i="5"/>
  <c r="H16" i="3"/>
  <c r="I65" i="12"/>
  <c r="N66" i="7"/>
  <c r="G119" i="14"/>
  <c r="P24" i="12"/>
  <c r="Q50" i="12"/>
  <c r="R66" i="12"/>
  <c r="N150" i="12"/>
  <c r="S87" i="12"/>
  <c r="L95" i="12"/>
  <c r="I184" i="12"/>
  <c r="K9" i="7"/>
  <c r="J10" i="12" s="1"/>
  <c r="H186" i="7"/>
  <c r="H186" i="12" s="1"/>
  <c r="E62" i="3"/>
  <c r="G13" i="2"/>
  <c r="D66" i="7"/>
  <c r="M9" i="7"/>
  <c r="I7" i="12"/>
  <c r="M165" i="12"/>
  <c r="G9" i="7"/>
  <c r="D186" i="7"/>
  <c r="E100" i="5"/>
  <c r="F100" i="5" s="1"/>
  <c r="G100" i="5" s="1"/>
  <c r="H83" i="3"/>
  <c r="H136" i="3"/>
  <c r="J51" i="2"/>
  <c r="K51" i="2" s="1"/>
  <c r="N168" i="2"/>
  <c r="O168" i="2" s="1"/>
  <c r="B66" i="7"/>
  <c r="E9" i="7"/>
  <c r="G128" i="14"/>
  <c r="N64" i="12"/>
  <c r="S121" i="12"/>
  <c r="N132" i="12"/>
  <c r="N118" i="12"/>
  <c r="H184" i="12"/>
  <c r="K184" i="12"/>
  <c r="Q100" i="12"/>
  <c r="I185" i="12"/>
  <c r="C9" i="7"/>
  <c r="H63" i="3"/>
  <c r="G30" i="2"/>
  <c r="F110" i="7"/>
  <c r="N189" i="2"/>
  <c r="O189" i="2" s="1"/>
  <c r="K186" i="7"/>
  <c r="J185" i="12" s="1"/>
  <c r="S64" i="12"/>
  <c r="P26" i="12"/>
  <c r="Q95" i="12"/>
  <c r="H66" i="7"/>
  <c r="N9" i="7"/>
  <c r="O110" i="7"/>
  <c r="H54" i="3"/>
  <c r="M110" i="7"/>
  <c r="R132" i="12"/>
  <c r="R150" i="12"/>
  <c r="R18" i="12"/>
  <c r="I9" i="7"/>
  <c r="I9" i="12" s="1"/>
  <c r="J9" i="7"/>
  <c r="K110" i="7"/>
  <c r="J110" i="12" s="1"/>
  <c r="E54" i="3"/>
  <c r="K105" i="3"/>
  <c r="J31" i="2"/>
  <c r="K31" i="2" s="1"/>
  <c r="F30" i="2"/>
  <c r="J147" i="2"/>
  <c r="K147" i="2" s="1"/>
  <c r="L110" i="7"/>
  <c r="K110" i="12" s="1"/>
  <c r="G88" i="2"/>
  <c r="N66" i="12"/>
  <c r="R118" i="12"/>
  <c r="N18" i="12"/>
  <c r="L86" i="12"/>
  <c r="J184" i="12"/>
  <c r="Q105" i="12"/>
  <c r="M118" i="12"/>
  <c r="K185" i="12"/>
  <c r="F9" i="7"/>
  <c r="G110" i="7"/>
  <c r="H50" i="3"/>
  <c r="E113" i="3"/>
  <c r="J131" i="2"/>
  <c r="K131" i="2" s="1"/>
  <c r="F26" i="2"/>
  <c r="N124" i="2"/>
  <c r="O124" i="2" s="1"/>
  <c r="J175" i="2"/>
  <c r="K175" i="2" s="1"/>
  <c r="P138" i="12"/>
  <c r="M145" i="12"/>
  <c r="F109" i="5"/>
  <c r="G109" i="5" s="1"/>
  <c r="N125" i="2"/>
  <c r="O125" i="2" s="1"/>
  <c r="F48" i="2"/>
  <c r="N44" i="2"/>
  <c r="O44" i="2" s="1"/>
  <c r="F67" i="5"/>
  <c r="G67" i="5" s="1"/>
  <c r="F84" i="5"/>
  <c r="G84" i="5" s="1"/>
  <c r="F153" i="5"/>
  <c r="G153" i="5" s="1"/>
  <c r="E38" i="3"/>
  <c r="H180" i="3"/>
  <c r="K60" i="3"/>
  <c r="H175" i="3"/>
  <c r="N167" i="2"/>
  <c r="O167" i="2" s="1"/>
  <c r="C160" i="7"/>
  <c r="F149" i="5"/>
  <c r="G149" i="5" s="1"/>
  <c r="K55" i="3"/>
  <c r="E136" i="5"/>
  <c r="F136" i="5" s="1"/>
  <c r="G136" i="5" s="1"/>
  <c r="N52" i="2"/>
  <c r="O52" i="2" s="1"/>
  <c r="N185" i="2"/>
  <c r="O185" i="2" s="1"/>
  <c r="E160" i="7"/>
  <c r="E13" i="3"/>
  <c r="E45" i="3"/>
  <c r="E160" i="5"/>
  <c r="F160" i="5" s="1"/>
  <c r="G160" i="5" s="1"/>
  <c r="E14" i="5"/>
  <c r="F14" i="5" s="1"/>
  <c r="G14" i="5" s="1"/>
  <c r="J12" i="2"/>
  <c r="K12" i="2" s="1"/>
  <c r="F151" i="2"/>
  <c r="K143" i="3"/>
  <c r="J124" i="2"/>
  <c r="K124" i="2" s="1"/>
  <c r="M160" i="7"/>
  <c r="K160" i="7"/>
  <c r="J160" i="12" s="1"/>
  <c r="E63" i="3"/>
  <c r="G111" i="14"/>
  <c r="E113" i="5"/>
  <c r="F113" i="5" s="1"/>
  <c r="G113" i="5" s="1"/>
  <c r="E144" i="5"/>
  <c r="F144" i="5" s="1"/>
  <c r="G144" i="5" s="1"/>
  <c r="E30" i="5"/>
  <c r="F30" i="5" s="1"/>
  <c r="G30" i="5" s="1"/>
  <c r="J112" i="2"/>
  <c r="K112" i="2" s="1"/>
  <c r="K123" i="3"/>
  <c r="E116" i="3"/>
  <c r="E84" i="3"/>
  <c r="N72" i="2"/>
  <c r="O72" i="2" s="1"/>
  <c r="J189" i="2"/>
  <c r="K189" i="2" s="1"/>
  <c r="K11" i="12"/>
  <c r="I46" i="12"/>
  <c r="H138" i="12"/>
  <c r="M47" i="5"/>
  <c r="M68" i="5"/>
  <c r="Q24" i="12"/>
  <c r="J18" i="12"/>
  <c r="H33" i="3"/>
  <c r="E66" i="5"/>
  <c r="F66" i="5" s="1"/>
  <c r="G66" i="5" s="1"/>
  <c r="E80" i="3"/>
  <c r="K176" i="3"/>
  <c r="K69" i="3"/>
  <c r="J23" i="5"/>
  <c r="F162" i="5"/>
  <c r="G162" i="5" s="1"/>
  <c r="E11" i="3"/>
  <c r="F97" i="2"/>
  <c r="N153" i="2"/>
  <c r="O153" i="2" s="1"/>
  <c r="N177" i="2"/>
  <c r="O177" i="2" s="1"/>
  <c r="N145" i="12"/>
  <c r="N113" i="12"/>
  <c r="F92" i="5"/>
  <c r="G92" i="5" s="1"/>
  <c r="J80" i="2"/>
  <c r="K80" i="2" s="1"/>
  <c r="G91" i="14"/>
  <c r="N133" i="12"/>
  <c r="G144" i="14"/>
  <c r="P34" i="12"/>
  <c r="S133" i="12"/>
  <c r="S165" i="12"/>
  <c r="M163" i="12"/>
  <c r="F97" i="5"/>
  <c r="G97" i="5" s="1"/>
  <c r="F158" i="5"/>
  <c r="G158" i="5" s="1"/>
  <c r="G73" i="2"/>
  <c r="G97" i="2"/>
  <c r="G121" i="2"/>
  <c r="F29" i="2"/>
  <c r="O191" i="5"/>
  <c r="O192" i="5" s="1"/>
  <c r="J183" i="2"/>
  <c r="K183" i="2" s="1"/>
  <c r="N68" i="2"/>
  <c r="O68" i="2" s="1"/>
  <c r="M54" i="5"/>
  <c r="P137" i="12"/>
  <c r="F93" i="5"/>
  <c r="G93" i="5" s="1"/>
  <c r="E61" i="3"/>
  <c r="H107" i="3"/>
  <c r="K124" i="3"/>
  <c r="G167" i="2"/>
  <c r="G60" i="14"/>
  <c r="P76" i="5"/>
  <c r="P100" i="5"/>
  <c r="K92" i="3"/>
  <c r="L142" i="12"/>
  <c r="G134" i="14"/>
  <c r="P42" i="12"/>
  <c r="M140" i="12"/>
  <c r="K103" i="3"/>
  <c r="E62" i="5"/>
  <c r="F62" i="5" s="1"/>
  <c r="E22" i="3"/>
  <c r="E86" i="3"/>
  <c r="E110" i="5"/>
  <c r="F110" i="5" s="1"/>
  <c r="G110" i="5" s="1"/>
  <c r="H148" i="3"/>
  <c r="E248" i="2"/>
  <c r="J14" i="2"/>
  <c r="K14" i="2" s="1"/>
  <c r="N58" i="2"/>
  <c r="O58" i="2" s="1"/>
  <c r="F100" i="2"/>
  <c r="G127" i="14"/>
  <c r="F140" i="5"/>
  <c r="G140" i="5" s="1"/>
  <c r="P18" i="12"/>
  <c r="M120" i="12"/>
  <c r="L82" i="12"/>
  <c r="F103" i="5"/>
  <c r="G103" i="5" s="1"/>
  <c r="F145" i="5"/>
  <c r="G145" i="5" s="1"/>
  <c r="F150" i="5"/>
  <c r="G150" i="5" s="1"/>
  <c r="J160" i="5"/>
  <c r="G171" i="14"/>
  <c r="P50" i="12"/>
  <c r="M123" i="12"/>
  <c r="L74" i="12"/>
  <c r="R40" i="12"/>
  <c r="F76" i="5"/>
  <c r="G76" i="5" s="1"/>
  <c r="M132" i="5"/>
  <c r="H21" i="3"/>
  <c r="H79" i="3"/>
  <c r="H130" i="3"/>
  <c r="E169" i="3"/>
  <c r="H248" i="2"/>
  <c r="N64" i="2"/>
  <c r="O64" i="2" s="1"/>
  <c r="J36" i="2"/>
  <c r="K36" i="2" s="1"/>
  <c r="N40" i="12"/>
  <c r="F81" i="5"/>
  <c r="G81" i="5" s="1"/>
  <c r="J156" i="5"/>
  <c r="H10" i="3"/>
  <c r="E114" i="5"/>
  <c r="F114" i="5" s="1"/>
  <c r="G114" i="5" s="1"/>
  <c r="N77" i="12"/>
  <c r="R77" i="12"/>
  <c r="R78" i="12"/>
  <c r="F77" i="5"/>
  <c r="G77" i="5" s="1"/>
  <c r="J82" i="5"/>
  <c r="F156" i="5"/>
  <c r="G156" i="5" s="1"/>
  <c r="E93" i="3"/>
  <c r="E97" i="3"/>
  <c r="N70" i="2"/>
  <c r="O70" i="2" s="1"/>
  <c r="J17" i="2"/>
  <c r="K17" i="2" s="1"/>
  <c r="G43" i="14"/>
  <c r="N100" i="2"/>
  <c r="O100" i="2" s="1"/>
  <c r="P122" i="12"/>
  <c r="P132" i="12"/>
  <c r="R70" i="12"/>
  <c r="S78" i="12"/>
  <c r="M110" i="5"/>
  <c r="E46" i="5"/>
  <c r="F46" i="5" s="1"/>
  <c r="G46" i="5" s="1"/>
  <c r="N25" i="2"/>
  <c r="O25" i="2" s="1"/>
  <c r="G29" i="2"/>
  <c r="J114" i="2"/>
  <c r="K114" i="2" s="1"/>
  <c r="G76" i="14"/>
  <c r="N48" i="12"/>
  <c r="Q19" i="12"/>
  <c r="P121" i="12"/>
  <c r="F133" i="5"/>
  <c r="G133" i="5" s="1"/>
  <c r="K23" i="3"/>
  <c r="J63" i="2"/>
  <c r="K63" i="2" s="1"/>
  <c r="F185" i="2"/>
  <c r="J187" i="2"/>
  <c r="K187" i="2" s="1"/>
  <c r="F68" i="5"/>
  <c r="G68" i="5" s="1"/>
  <c r="K71" i="3"/>
  <c r="G166" i="14"/>
  <c r="F88" i="5"/>
  <c r="G88" i="5" s="1"/>
  <c r="F64" i="5"/>
  <c r="G64" i="5" s="1"/>
  <c r="F116" i="5"/>
  <c r="G116" i="5" s="1"/>
  <c r="F151" i="5"/>
  <c r="G151" i="5" s="1"/>
  <c r="K39" i="3"/>
  <c r="E82" i="5"/>
  <c r="F82" i="5" s="1"/>
  <c r="G82" i="5" s="1"/>
  <c r="G47" i="14"/>
  <c r="G88" i="14"/>
  <c r="G120" i="14"/>
  <c r="G93" i="14"/>
  <c r="G179" i="2"/>
  <c r="N47" i="2"/>
  <c r="O47" i="2" s="1"/>
  <c r="G139" i="14"/>
  <c r="G135" i="14"/>
  <c r="G156" i="14"/>
  <c r="B150" i="7"/>
  <c r="L150" i="7"/>
  <c r="K149" i="12" s="1"/>
  <c r="B187" i="7"/>
  <c r="F187" i="7"/>
  <c r="O187" i="7"/>
  <c r="G187" i="7"/>
  <c r="K187" i="7"/>
  <c r="J187" i="12" s="1"/>
  <c r="E187" i="7"/>
  <c r="M187" i="7"/>
  <c r="F54" i="7"/>
  <c r="L54" i="7"/>
  <c r="K59" i="12" s="1"/>
  <c r="E54" i="7"/>
  <c r="G36" i="2"/>
  <c r="E110" i="7"/>
  <c r="J110" i="7"/>
  <c r="B110" i="7"/>
  <c r="H110" i="7"/>
  <c r="H110" i="12" s="1"/>
  <c r="B147" i="7"/>
  <c r="F147" i="7"/>
  <c r="G147" i="7"/>
  <c r="O147" i="7"/>
  <c r="F76" i="7"/>
  <c r="G76" i="7"/>
  <c r="N76" i="7"/>
  <c r="C141" i="7"/>
  <c r="O141" i="7"/>
  <c r="G141" i="7"/>
  <c r="L141" i="7"/>
  <c r="D141" i="7"/>
  <c r="N111" i="2"/>
  <c r="O111" i="2" s="1"/>
  <c r="D28" i="7"/>
  <c r="H28" i="7"/>
  <c r="L28" i="7"/>
  <c r="K28" i="12" s="1"/>
  <c r="E28" i="7"/>
  <c r="I28" i="7"/>
  <c r="I28" i="12" s="1"/>
  <c r="M28" i="7"/>
  <c r="B28" i="7"/>
  <c r="F28" i="7"/>
  <c r="J28" i="7"/>
  <c r="N28" i="7"/>
  <c r="G28" i="7"/>
  <c r="K28" i="7"/>
  <c r="O28" i="7"/>
  <c r="C28" i="7"/>
  <c r="B102" i="7"/>
  <c r="J102" i="7"/>
  <c r="E102" i="7"/>
  <c r="H102" i="7"/>
  <c r="H102" i="12" s="1"/>
  <c r="H62" i="7"/>
  <c r="J62" i="7"/>
  <c r="L62" i="7"/>
  <c r="B62" i="7"/>
  <c r="C125" i="7"/>
  <c r="I125" i="7"/>
  <c r="B164" i="7"/>
  <c r="G164" i="7"/>
  <c r="I164" i="7"/>
  <c r="I163" i="12" s="1"/>
  <c r="G151" i="14"/>
  <c r="G92" i="14"/>
  <c r="G124" i="14"/>
  <c r="G181" i="14"/>
  <c r="S70" i="12"/>
  <c r="N79" i="2"/>
  <c r="O79" i="2" s="1"/>
  <c r="P154" i="5"/>
  <c r="K100" i="3"/>
  <c r="G171" i="2"/>
  <c r="N183" i="2"/>
  <c r="O183" i="2" s="1"/>
  <c r="G84" i="2"/>
  <c r="D232" i="10"/>
  <c r="S29" i="12"/>
  <c r="S41" i="12"/>
  <c r="P53" i="12"/>
  <c r="N84" i="2"/>
  <c r="O84" i="2" s="1"/>
  <c r="G232" i="10"/>
  <c r="R57" i="12"/>
  <c r="S61" i="12"/>
  <c r="N158" i="2"/>
  <c r="O158" i="2" s="1"/>
  <c r="J108" i="2"/>
  <c r="K108" i="2" s="1"/>
  <c r="E164" i="3"/>
  <c r="H177" i="3"/>
  <c r="G185" i="14"/>
  <c r="G65" i="14"/>
  <c r="G73" i="14"/>
  <c r="K97" i="3"/>
  <c r="G133" i="14"/>
  <c r="H132" i="3"/>
  <c r="K116" i="3"/>
  <c r="G61" i="14"/>
  <c r="G69" i="14"/>
  <c r="G77" i="14"/>
  <c r="G49" i="14"/>
  <c r="H232" i="10"/>
  <c r="R29" i="12"/>
  <c r="R33" i="12"/>
  <c r="R49" i="12"/>
  <c r="R15" i="12"/>
  <c r="R37" i="12"/>
  <c r="S45" i="12"/>
  <c r="E160" i="3"/>
  <c r="N19" i="2"/>
  <c r="O19" i="2" s="1"/>
  <c r="N63" i="2"/>
  <c r="O63" i="2" s="1"/>
  <c r="N127" i="2"/>
  <c r="O127" i="2" s="1"/>
  <c r="E95" i="3"/>
  <c r="G56" i="2"/>
  <c r="F56" i="2"/>
  <c r="H116" i="3"/>
  <c r="G80" i="2"/>
  <c r="F80" i="2"/>
  <c r="H84" i="3"/>
  <c r="J132" i="2"/>
  <c r="K132" i="2" s="1"/>
  <c r="J163" i="2"/>
  <c r="K163" i="2" s="1"/>
  <c r="S37" i="12"/>
  <c r="R56" i="12"/>
  <c r="H8" i="3"/>
  <c r="G112" i="2"/>
  <c r="F112" i="2"/>
  <c r="J104" i="2"/>
  <c r="K104" i="2" s="1"/>
  <c r="J181" i="2"/>
  <c r="K181" i="2" s="1"/>
  <c r="G155" i="2"/>
  <c r="F155" i="2"/>
  <c r="N171" i="2"/>
  <c r="O171" i="2" s="1"/>
  <c r="K232" i="10"/>
  <c r="M232" i="10"/>
  <c r="E232" i="10"/>
  <c r="R11" i="12"/>
  <c r="P23" i="12"/>
  <c r="R61" i="12"/>
  <c r="P70" i="12"/>
  <c r="S56" i="12"/>
  <c r="S145" i="12"/>
  <c r="H145" i="3"/>
  <c r="N31" i="2"/>
  <c r="O31" i="2" s="1"/>
  <c r="N95" i="2"/>
  <c r="O95" i="2" s="1"/>
  <c r="K48" i="3"/>
  <c r="K80" i="3"/>
  <c r="G151" i="2"/>
  <c r="G24" i="2"/>
  <c r="F24" i="2"/>
  <c r="K167" i="3"/>
  <c r="G20" i="2"/>
  <c r="F20" i="2"/>
  <c r="N60" i="2"/>
  <c r="O60" i="2" s="1"/>
  <c r="J136" i="2"/>
  <c r="K136" i="2" s="1"/>
  <c r="J185" i="2"/>
  <c r="K185" i="2" s="1"/>
  <c r="N179" i="2"/>
  <c r="O179" i="2" s="1"/>
  <c r="S65" i="12"/>
  <c r="R53" i="12"/>
  <c r="G64" i="2"/>
  <c r="F64" i="2"/>
  <c r="N151" i="2"/>
  <c r="O151" i="2" s="1"/>
  <c r="J24" i="2"/>
  <c r="K24" i="2" s="1"/>
  <c r="N40" i="2"/>
  <c r="O40" i="2" s="1"/>
  <c r="J100" i="2"/>
  <c r="K100" i="2" s="1"/>
  <c r="J193" i="2"/>
  <c r="K193" i="2" s="1"/>
  <c r="G183" i="2"/>
  <c r="F183" i="2"/>
  <c r="G114" i="14"/>
  <c r="K119" i="12"/>
  <c r="K113" i="3"/>
  <c r="E120" i="3"/>
  <c r="H157" i="3"/>
  <c r="E128" i="3"/>
  <c r="E148" i="3"/>
  <c r="H161" i="3"/>
  <c r="G64" i="14"/>
  <c r="G117" i="14"/>
  <c r="G164" i="14"/>
  <c r="G45" i="14"/>
  <c r="G158" i="14"/>
  <c r="G145" i="14"/>
  <c r="E54" i="5"/>
  <c r="F54" i="5" s="1"/>
  <c r="G54" i="5" s="1"/>
  <c r="E132" i="3"/>
  <c r="E180" i="3"/>
  <c r="G72" i="14"/>
  <c r="G140" i="14"/>
  <c r="G121" i="14"/>
  <c r="G179" i="14"/>
  <c r="P148" i="5"/>
  <c r="P164" i="5"/>
  <c r="G68" i="14"/>
  <c r="G83" i="14"/>
  <c r="G40" i="14"/>
  <c r="G42" i="14"/>
  <c r="G48" i="14"/>
  <c r="G150" i="14"/>
  <c r="G102" i="14"/>
  <c r="G108" i="14"/>
  <c r="G142" i="14"/>
  <c r="G147" i="14"/>
  <c r="G168" i="14"/>
  <c r="K228" i="11"/>
  <c r="N228" i="11"/>
  <c r="N232" i="10"/>
  <c r="Q38" i="12"/>
  <c r="P54" i="12"/>
  <c r="R65" i="12"/>
  <c r="R97" i="12"/>
  <c r="Q15" i="12"/>
  <c r="R117" i="12"/>
  <c r="Q114" i="12"/>
  <c r="O227" i="6"/>
  <c r="N167" i="12"/>
  <c r="N101" i="12"/>
  <c r="L78" i="12"/>
  <c r="N53" i="12"/>
  <c r="N82" i="12"/>
  <c r="N74" i="12"/>
  <c r="M54" i="12"/>
  <c r="M40" i="12"/>
  <c r="M32" i="12"/>
  <c r="P7" i="12"/>
  <c r="L38" i="12"/>
  <c r="L15" i="12"/>
  <c r="M37" i="12"/>
  <c r="C12" i="28"/>
  <c r="S82" i="12"/>
  <c r="I114" i="12"/>
  <c r="I132" i="12"/>
  <c r="K126" i="12"/>
  <c r="J113" i="12"/>
  <c r="J119" i="12"/>
  <c r="H136" i="12"/>
  <c r="H119" i="12"/>
  <c r="K53" i="12"/>
  <c r="H53" i="12"/>
  <c r="K49" i="12"/>
  <c r="H41" i="12"/>
  <c r="I18" i="12"/>
  <c r="I10" i="12"/>
  <c r="H27" i="12"/>
  <c r="H19" i="12"/>
  <c r="H11" i="12"/>
  <c r="H25" i="12"/>
  <c r="K30" i="12"/>
  <c r="K22" i="12"/>
  <c r="K14" i="12"/>
  <c r="I17" i="12"/>
  <c r="K33" i="12"/>
  <c r="I191" i="5"/>
  <c r="F73" i="5"/>
  <c r="G73" i="5" s="1"/>
  <c r="F89" i="5"/>
  <c r="G89" i="5" s="1"/>
  <c r="F105" i="5"/>
  <c r="G105" i="5" s="1"/>
  <c r="E70" i="5"/>
  <c r="F70" i="5" s="1"/>
  <c r="G70" i="5" s="1"/>
  <c r="E74" i="5"/>
  <c r="F74" i="5" s="1"/>
  <c r="G74" i="5" s="1"/>
  <c r="E86" i="5"/>
  <c r="F86" i="5" s="1"/>
  <c r="G86" i="5" s="1"/>
  <c r="E90" i="5"/>
  <c r="F90" i="5" s="1"/>
  <c r="G90" i="5" s="1"/>
  <c r="E106" i="5"/>
  <c r="F106" i="5" s="1"/>
  <c r="G106" i="5" s="1"/>
  <c r="E34" i="3"/>
  <c r="E66" i="3"/>
  <c r="E114" i="3"/>
  <c r="E10" i="5"/>
  <c r="F10" i="5" s="1"/>
  <c r="G10" i="5" s="1"/>
  <c r="E18" i="5"/>
  <c r="F18" i="5" s="1"/>
  <c r="G18" i="5" s="1"/>
  <c r="E22" i="5"/>
  <c r="F22" i="5" s="1"/>
  <c r="G22" i="5" s="1"/>
  <c r="E26" i="5"/>
  <c r="F26" i="5" s="1"/>
  <c r="G26" i="5" s="1"/>
  <c r="E34" i="5"/>
  <c r="F34" i="5" s="1"/>
  <c r="G34" i="5" s="1"/>
  <c r="E38" i="5"/>
  <c r="F38" i="5" s="1"/>
  <c r="G38" i="5" s="1"/>
  <c r="E42" i="5"/>
  <c r="F42" i="5" s="1"/>
  <c r="G42" i="5" s="1"/>
  <c r="J50" i="5"/>
  <c r="J54" i="5"/>
  <c r="F55" i="5"/>
  <c r="G55" i="5" s="1"/>
  <c r="J58" i="5"/>
  <c r="F59" i="5"/>
  <c r="G59" i="5" s="1"/>
  <c r="K11" i="3"/>
  <c r="K27" i="3"/>
  <c r="K43" i="3"/>
  <c r="K59" i="3"/>
  <c r="K75" i="3"/>
  <c r="K91" i="3"/>
  <c r="H105" i="3"/>
  <c r="K107" i="3"/>
  <c r="H137" i="3"/>
  <c r="E140" i="3"/>
  <c r="H169" i="3"/>
  <c r="E172" i="3"/>
  <c r="H141" i="3"/>
  <c r="E144" i="3"/>
  <c r="K102" i="3"/>
  <c r="E102" i="3"/>
  <c r="K118" i="3"/>
  <c r="E118" i="3"/>
  <c r="H128" i="3"/>
  <c r="E124" i="3"/>
  <c r="H133" i="3"/>
  <c r="E136" i="3"/>
  <c r="H156" i="3"/>
  <c r="H165" i="3"/>
  <c r="E168" i="3"/>
  <c r="N23" i="2"/>
  <c r="O23" i="2" s="1"/>
  <c r="J19" i="2"/>
  <c r="K19" i="2" s="1"/>
  <c r="G39" i="2"/>
  <c r="F39" i="2"/>
  <c r="N55" i="2"/>
  <c r="O55" i="2" s="1"/>
  <c r="G71" i="2"/>
  <c r="F71" i="2"/>
  <c r="N87" i="2"/>
  <c r="O87" i="2" s="1"/>
  <c r="G103" i="2"/>
  <c r="F103" i="2"/>
  <c r="N119" i="2"/>
  <c r="O119" i="2" s="1"/>
  <c r="G135" i="2"/>
  <c r="F135" i="2"/>
  <c r="F190" i="2"/>
  <c r="G190" i="2"/>
  <c r="J70" i="2"/>
  <c r="K70" i="2" s="1"/>
  <c r="J102" i="2"/>
  <c r="K102" i="2" s="1"/>
  <c r="J134" i="2"/>
  <c r="K134" i="2" s="1"/>
  <c r="N146" i="2"/>
  <c r="O146" i="2" s="1"/>
  <c r="G154" i="2"/>
  <c r="F154" i="2"/>
  <c r="N162" i="2"/>
  <c r="O162" i="2" s="1"/>
  <c r="J22" i="2"/>
  <c r="K22" i="2" s="1"/>
  <c r="N35" i="2"/>
  <c r="O35" i="2" s="1"/>
  <c r="G51" i="2"/>
  <c r="F51" i="2"/>
  <c r="N67" i="2"/>
  <c r="O67" i="2" s="1"/>
  <c r="G83" i="2"/>
  <c r="F83" i="2"/>
  <c r="N99" i="2"/>
  <c r="O99" i="2" s="1"/>
  <c r="G115" i="2"/>
  <c r="F115" i="2"/>
  <c r="N131" i="2"/>
  <c r="O131" i="2" s="1"/>
  <c r="N11" i="2"/>
  <c r="O11" i="2" s="1"/>
  <c r="L228" i="2"/>
  <c r="G150" i="2"/>
  <c r="F150" i="2"/>
  <c r="N166" i="2"/>
  <c r="O166" i="2" s="1"/>
  <c r="J192" i="2"/>
  <c r="K192" i="2" s="1"/>
  <c r="F170" i="2"/>
  <c r="G170" i="2"/>
  <c r="G142" i="2"/>
  <c r="G178" i="14"/>
  <c r="H228" i="11"/>
  <c r="J232" i="10"/>
  <c r="R19" i="12"/>
  <c r="R41" i="12"/>
  <c r="S57" i="12"/>
  <c r="R23" i="12"/>
  <c r="S49" i="12"/>
  <c r="R93" i="12"/>
  <c r="R109" i="12"/>
  <c r="P80" i="12"/>
  <c r="R45" i="12"/>
  <c r="R121" i="12"/>
  <c r="Q136" i="12"/>
  <c r="R147" i="12"/>
  <c r="R155" i="12"/>
  <c r="R163" i="12"/>
  <c r="R171" i="12"/>
  <c r="N159" i="12"/>
  <c r="N163" i="12"/>
  <c r="M130" i="12"/>
  <c r="N73" i="12"/>
  <c r="L62" i="12"/>
  <c r="L46" i="12"/>
  <c r="N7" i="12"/>
  <c r="N37" i="12"/>
  <c r="M65" i="12"/>
  <c r="M49" i="12"/>
  <c r="M33" i="12"/>
  <c r="Q7" i="12"/>
  <c r="S74" i="12"/>
  <c r="E124" i="7"/>
  <c r="B15" i="28" s="1"/>
  <c r="I124" i="7"/>
  <c r="C16" i="28" s="1"/>
  <c r="M124" i="7"/>
  <c r="F124" i="7"/>
  <c r="K124" i="7"/>
  <c r="J124" i="12" s="1"/>
  <c r="B124" i="7"/>
  <c r="G124" i="7"/>
  <c r="L124" i="7"/>
  <c r="K124" i="12" s="1"/>
  <c r="C124" i="7"/>
  <c r="H124" i="7"/>
  <c r="B16" i="28" s="1"/>
  <c r="N124" i="7"/>
  <c r="D124" i="7"/>
  <c r="D18" i="28" s="1"/>
  <c r="J124" i="7"/>
  <c r="O124" i="7"/>
  <c r="K136" i="12"/>
  <c r="J129" i="12"/>
  <c r="I112" i="12"/>
  <c r="K131" i="12"/>
  <c r="H117" i="12"/>
  <c r="K135" i="12"/>
  <c r="I135" i="12"/>
  <c r="I119" i="12"/>
  <c r="H57" i="12"/>
  <c r="J23" i="12"/>
  <c r="J7" i="12"/>
  <c r="H38" i="12"/>
  <c r="J25" i="12"/>
  <c r="J53" i="12"/>
  <c r="J37" i="12"/>
  <c r="H21" i="12"/>
  <c r="J41" i="12"/>
  <c r="H37" i="12"/>
  <c r="I20" i="12"/>
  <c r="I12" i="12"/>
  <c r="I45" i="12"/>
  <c r="I29" i="12"/>
  <c r="I23" i="12"/>
  <c r="I15" i="12"/>
  <c r="P53" i="5"/>
  <c r="N191" i="5"/>
  <c r="J232" i="3"/>
  <c r="F50" i="5"/>
  <c r="G50" i="5" s="1"/>
  <c r="J53" i="5"/>
  <c r="J57" i="5"/>
  <c r="M60" i="5"/>
  <c r="J61" i="5"/>
  <c r="E17" i="3"/>
  <c r="K22" i="3"/>
  <c r="E33" i="3"/>
  <c r="K38" i="3"/>
  <c r="E49" i="3"/>
  <c r="K54" i="3"/>
  <c r="E65" i="3"/>
  <c r="K70" i="3"/>
  <c r="E81" i="3"/>
  <c r="K86" i="3"/>
  <c r="G19" i="2"/>
  <c r="F19" i="2"/>
  <c r="G47" i="2"/>
  <c r="F47" i="2"/>
  <c r="G79" i="2"/>
  <c r="F79" i="2"/>
  <c r="G111" i="2"/>
  <c r="F111" i="2"/>
  <c r="G143" i="2"/>
  <c r="F143" i="2"/>
  <c r="F41" i="2"/>
  <c r="J46" i="2"/>
  <c r="K46" i="2" s="1"/>
  <c r="J78" i="2"/>
  <c r="K78" i="2" s="1"/>
  <c r="J110" i="2"/>
  <c r="K110" i="2" s="1"/>
  <c r="J142" i="2"/>
  <c r="K142" i="2" s="1"/>
  <c r="J146" i="2"/>
  <c r="K146" i="2" s="1"/>
  <c r="J162" i="2"/>
  <c r="K162" i="2" s="1"/>
  <c r="G22" i="2"/>
  <c r="F22" i="2"/>
  <c r="G27" i="2"/>
  <c r="F27" i="2"/>
  <c r="N43" i="2"/>
  <c r="O43" i="2" s="1"/>
  <c r="G59" i="2"/>
  <c r="F59" i="2"/>
  <c r="N75" i="2"/>
  <c r="O75" i="2" s="1"/>
  <c r="G91" i="2"/>
  <c r="F91" i="2"/>
  <c r="N107" i="2"/>
  <c r="O107" i="2" s="1"/>
  <c r="G123" i="2"/>
  <c r="F123" i="2"/>
  <c r="N139" i="2"/>
  <c r="O139" i="2" s="1"/>
  <c r="F156" i="2"/>
  <c r="G156" i="2"/>
  <c r="N172" i="2"/>
  <c r="O172" i="2" s="1"/>
  <c r="N178" i="2"/>
  <c r="O178" i="2" s="1"/>
  <c r="N180" i="2"/>
  <c r="O180" i="2" s="1"/>
  <c r="N186" i="2"/>
  <c r="O186" i="2" s="1"/>
  <c r="N188" i="2"/>
  <c r="O188" i="2" s="1"/>
  <c r="M228" i="2"/>
  <c r="J11" i="2"/>
  <c r="K11" i="2" s="1"/>
  <c r="B3" i="28"/>
  <c r="F192" i="2"/>
  <c r="G192" i="2"/>
  <c r="G59" i="14"/>
  <c r="G86" i="14"/>
  <c r="G118" i="14"/>
  <c r="G152" i="14"/>
  <c r="E228" i="11"/>
  <c r="S73" i="12"/>
  <c r="R89" i="12"/>
  <c r="R105" i="12"/>
  <c r="P72" i="12"/>
  <c r="E32" i="7"/>
  <c r="I32" i="7"/>
  <c r="I31" i="12" s="1"/>
  <c r="M32" i="7"/>
  <c r="D32" i="7"/>
  <c r="J32" i="7"/>
  <c r="O32" i="7"/>
  <c r="F32" i="7"/>
  <c r="K32" i="7"/>
  <c r="J32" i="12" s="1"/>
  <c r="B32" i="7"/>
  <c r="G32" i="7"/>
  <c r="L32" i="7"/>
  <c r="K31" i="12" s="1"/>
  <c r="C32" i="7"/>
  <c r="H32" i="7"/>
  <c r="H32" i="12" s="1"/>
  <c r="N32" i="7"/>
  <c r="P45" i="12"/>
  <c r="N151" i="12"/>
  <c r="L61" i="12"/>
  <c r="M45" i="12"/>
  <c r="H191" i="5"/>
  <c r="H192" i="5" s="1"/>
  <c r="J37" i="5"/>
  <c r="K138" i="12"/>
  <c r="H135" i="12"/>
  <c r="J117" i="12"/>
  <c r="I122" i="12"/>
  <c r="J48" i="12"/>
  <c r="H54" i="12"/>
  <c r="H45" i="12"/>
  <c r="I30" i="12"/>
  <c r="I22" i="12"/>
  <c r="I14" i="12"/>
  <c r="H31" i="12"/>
  <c r="H23" i="12"/>
  <c r="H15" i="12"/>
  <c r="H7" i="12"/>
  <c r="H46" i="12"/>
  <c r="K18" i="12"/>
  <c r="I57" i="12"/>
  <c r="I41" i="12"/>
  <c r="K29" i="12"/>
  <c r="K21" i="12"/>
  <c r="K13" i="12"/>
  <c r="K7" i="3"/>
  <c r="E9" i="5"/>
  <c r="F9" i="5" s="1"/>
  <c r="G9" i="5" s="1"/>
  <c r="E25" i="5"/>
  <c r="F25" i="5" s="1"/>
  <c r="G25" i="5" s="1"/>
  <c r="E41" i="5"/>
  <c r="F41" i="5" s="1"/>
  <c r="G41" i="5" s="1"/>
  <c r="E57" i="5"/>
  <c r="F57" i="5" s="1"/>
  <c r="G57" i="5" s="1"/>
  <c r="H7" i="3"/>
  <c r="E18" i="3"/>
  <c r="E50" i="3"/>
  <c r="E82" i="3"/>
  <c r="E98" i="3"/>
  <c r="J52" i="5"/>
  <c r="D191" i="5"/>
  <c r="D192" i="5" s="1"/>
  <c r="M55" i="5"/>
  <c r="J56" i="5"/>
  <c r="J60" i="5"/>
  <c r="F61" i="5"/>
  <c r="G61" i="5" s="1"/>
  <c r="H9" i="3"/>
  <c r="K17" i="3"/>
  <c r="K33" i="3"/>
  <c r="K49" i="3"/>
  <c r="K65" i="3"/>
  <c r="H73" i="3"/>
  <c r="K81" i="3"/>
  <c r="H89" i="3"/>
  <c r="H120" i="3"/>
  <c r="H153" i="3"/>
  <c r="E156" i="3"/>
  <c r="H185" i="3"/>
  <c r="G15" i="2"/>
  <c r="F15" i="2"/>
  <c r="H173" i="3"/>
  <c r="E176" i="3"/>
  <c r="H140" i="3"/>
  <c r="H149" i="3"/>
  <c r="E152" i="3"/>
  <c r="H172" i="3"/>
  <c r="H181" i="3"/>
  <c r="E184" i="3"/>
  <c r="F23" i="2"/>
  <c r="G23" i="2"/>
  <c r="N39" i="2"/>
  <c r="O39" i="2" s="1"/>
  <c r="G55" i="2"/>
  <c r="F55" i="2"/>
  <c r="N71" i="2"/>
  <c r="O71" i="2" s="1"/>
  <c r="G87" i="2"/>
  <c r="F87" i="2"/>
  <c r="N103" i="2"/>
  <c r="O103" i="2" s="1"/>
  <c r="G119" i="2"/>
  <c r="F119" i="2"/>
  <c r="N135" i="2"/>
  <c r="O135" i="2" s="1"/>
  <c r="F174" i="2"/>
  <c r="G174" i="2"/>
  <c r="F176" i="2"/>
  <c r="G176" i="2"/>
  <c r="J30" i="2"/>
  <c r="K30" i="2" s="1"/>
  <c r="K4" i="21"/>
  <c r="J54" i="2"/>
  <c r="K54" i="2" s="1"/>
  <c r="J86" i="2"/>
  <c r="K86" i="2" s="1"/>
  <c r="J118" i="2"/>
  <c r="K118" i="2" s="1"/>
  <c r="G146" i="2"/>
  <c r="F146" i="2"/>
  <c r="N154" i="2"/>
  <c r="O154" i="2" s="1"/>
  <c r="G162" i="2"/>
  <c r="F162" i="2"/>
  <c r="G35" i="2"/>
  <c r="F35" i="2"/>
  <c r="N51" i="2"/>
  <c r="O51" i="2" s="1"/>
  <c r="G67" i="2"/>
  <c r="F67" i="2"/>
  <c r="N83" i="2"/>
  <c r="O83" i="2" s="1"/>
  <c r="G99" i="2"/>
  <c r="F99" i="2"/>
  <c r="N115" i="2"/>
  <c r="O115" i="2" s="1"/>
  <c r="G131" i="2"/>
  <c r="F131" i="2"/>
  <c r="F164" i="2"/>
  <c r="G164" i="2"/>
  <c r="G11" i="2"/>
  <c r="F11" i="2"/>
  <c r="N150" i="2"/>
  <c r="O150" i="2" s="1"/>
  <c r="G166" i="2"/>
  <c r="F166" i="2"/>
  <c r="J156" i="2"/>
  <c r="K156" i="2" s="1"/>
  <c r="J164" i="2"/>
  <c r="K164" i="2" s="1"/>
  <c r="N170" i="2"/>
  <c r="O170" i="2" s="1"/>
  <c r="G56" i="14"/>
  <c r="G32" i="14"/>
  <c r="G54" i="14"/>
  <c r="G155" i="14"/>
  <c r="G98" i="14"/>
  <c r="G104" i="14"/>
  <c r="G130" i="14"/>
  <c r="G136" i="14"/>
  <c r="G163" i="14"/>
  <c r="S33" i="12"/>
  <c r="R85" i="12"/>
  <c r="E40" i="7"/>
  <c r="I40" i="7"/>
  <c r="I40" i="12" s="1"/>
  <c r="M40" i="7"/>
  <c r="B40" i="7"/>
  <c r="G40" i="7"/>
  <c r="L40" i="7"/>
  <c r="C40" i="7"/>
  <c r="H40" i="7"/>
  <c r="H40" i="12" s="1"/>
  <c r="N40" i="7"/>
  <c r="D40" i="7"/>
  <c r="J40" i="7"/>
  <c r="O40" i="7"/>
  <c r="F40" i="7"/>
  <c r="K40" i="7"/>
  <c r="J40" i="12" s="1"/>
  <c r="P37" i="12"/>
  <c r="Q64" i="12"/>
  <c r="L37" i="12"/>
  <c r="R7" i="12"/>
  <c r="E140" i="7"/>
  <c r="I140" i="7"/>
  <c r="I140" i="12" s="1"/>
  <c r="M140" i="7"/>
  <c r="F140" i="7"/>
  <c r="K140" i="7"/>
  <c r="J140" i="12" s="1"/>
  <c r="B140" i="7"/>
  <c r="G140" i="7"/>
  <c r="L140" i="7"/>
  <c r="K140" i="12" s="1"/>
  <c r="D140" i="7"/>
  <c r="J140" i="7"/>
  <c r="O140" i="7"/>
  <c r="C140" i="7"/>
  <c r="H140" i="7"/>
  <c r="H140" i="12" s="1"/>
  <c r="N140" i="7"/>
  <c r="L7" i="5"/>
  <c r="M7" i="5" s="1"/>
  <c r="I118" i="12"/>
  <c r="J138" i="12"/>
  <c r="K127" i="12"/>
  <c r="J122" i="12"/>
  <c r="I138" i="12"/>
  <c r="I129" i="12"/>
  <c r="H113" i="12"/>
  <c r="H127" i="12"/>
  <c r="K114" i="12"/>
  <c r="I127" i="12"/>
  <c r="H47" i="12"/>
  <c r="I113" i="12"/>
  <c r="K46" i="12"/>
  <c r="I54" i="12"/>
  <c r="J45" i="12"/>
  <c r="J27" i="12"/>
  <c r="J19" i="12"/>
  <c r="I42" i="12"/>
  <c r="J29" i="12"/>
  <c r="J13" i="12"/>
  <c r="K41" i="12"/>
  <c r="H29" i="12"/>
  <c r="K45" i="12"/>
  <c r="I24" i="12"/>
  <c r="I8" i="12"/>
  <c r="I21" i="12"/>
  <c r="I35" i="12"/>
  <c r="I27" i="12"/>
  <c r="I19" i="12"/>
  <c r="I11" i="12"/>
  <c r="E58" i="5"/>
  <c r="F58" i="5" s="1"/>
  <c r="K191" i="5"/>
  <c r="K192" i="5" s="1"/>
  <c r="E121" i="5"/>
  <c r="F121" i="5" s="1"/>
  <c r="G121" i="5" s="1"/>
  <c r="E125" i="5"/>
  <c r="F125" i="5" s="1"/>
  <c r="G125" i="5" s="1"/>
  <c r="E129" i="5"/>
  <c r="F129" i="5" s="1"/>
  <c r="G129" i="5" s="1"/>
  <c r="M50" i="5"/>
  <c r="J51" i="5"/>
  <c r="J55" i="5"/>
  <c r="F56" i="5"/>
  <c r="G56" i="5" s="1"/>
  <c r="J59" i="5"/>
  <c r="F60" i="5"/>
  <c r="G60" i="5" s="1"/>
  <c r="E107" i="3"/>
  <c r="E6" i="6"/>
  <c r="B6" i="7"/>
  <c r="H124" i="3"/>
  <c r="N18" i="2"/>
  <c r="O18" i="2" s="1"/>
  <c r="G31" i="2"/>
  <c r="F31" i="2"/>
  <c r="J41" i="2"/>
  <c r="K41" i="2" s="1"/>
  <c r="G63" i="2"/>
  <c r="F63" i="2"/>
  <c r="G95" i="2"/>
  <c r="F95" i="2"/>
  <c r="G127" i="2"/>
  <c r="F127" i="2"/>
  <c r="F182" i="2"/>
  <c r="G182" i="2"/>
  <c r="F184" i="2"/>
  <c r="G184" i="2"/>
  <c r="G14" i="2"/>
  <c r="F14" i="2"/>
  <c r="J38" i="2"/>
  <c r="K38" i="2" s="1"/>
  <c r="J62" i="2"/>
  <c r="K62" i="2" s="1"/>
  <c r="J94" i="2"/>
  <c r="K94" i="2" s="1"/>
  <c r="J126" i="2"/>
  <c r="K126" i="2" s="1"/>
  <c r="J148" i="2"/>
  <c r="K148" i="2" s="1"/>
  <c r="J154" i="2"/>
  <c r="K154" i="2" s="1"/>
  <c r="N27" i="2"/>
  <c r="O27" i="2" s="1"/>
  <c r="G43" i="2"/>
  <c r="F43" i="2"/>
  <c r="N59" i="2"/>
  <c r="O59" i="2" s="1"/>
  <c r="G75" i="2"/>
  <c r="F75" i="2"/>
  <c r="N91" i="2"/>
  <c r="O91" i="2" s="1"/>
  <c r="G107" i="2"/>
  <c r="F107" i="2"/>
  <c r="N123" i="2"/>
  <c r="O123" i="2" s="1"/>
  <c r="G139" i="2"/>
  <c r="F139" i="2"/>
  <c r="F172" i="2"/>
  <c r="G172" i="2"/>
  <c r="F178" i="2"/>
  <c r="G178" i="2"/>
  <c r="F180" i="2"/>
  <c r="G180" i="2"/>
  <c r="F186" i="2"/>
  <c r="G186" i="2"/>
  <c r="F188" i="2"/>
  <c r="G188" i="2"/>
  <c r="F17" i="2"/>
  <c r="G17" i="2"/>
  <c r="G158" i="2"/>
  <c r="F158" i="2"/>
  <c r="J170" i="2"/>
  <c r="K170" i="2" s="1"/>
  <c r="G41" i="2"/>
  <c r="J228" i="2" l="1"/>
  <c r="K228" i="2" s="1"/>
  <c r="D227" i="6" s="1"/>
  <c r="F229" i="7"/>
  <c r="E229" i="7"/>
  <c r="N229" i="7"/>
  <c r="N241" i="12"/>
  <c r="N242" i="12" s="1"/>
  <c r="J60" i="8"/>
  <c r="H229" i="7"/>
  <c r="O241" i="12"/>
  <c r="O242" i="12" s="1"/>
  <c r="L241" i="12"/>
  <c r="L242" i="12" s="1"/>
  <c r="L229" i="7"/>
  <c r="C229" i="7"/>
  <c r="I229" i="7"/>
  <c r="M241" i="12"/>
  <c r="M242" i="12" s="1"/>
  <c r="K229" i="7"/>
  <c r="H61" i="8"/>
  <c r="A69" i="8"/>
  <c r="M227" i="6"/>
  <c r="B229" i="7"/>
  <c r="D229" i="7" s="1"/>
  <c r="I177" i="12"/>
  <c r="C17" i="28"/>
  <c r="I125" i="12"/>
  <c r="J149" i="12"/>
  <c r="H149" i="12"/>
  <c r="K152" i="12"/>
  <c r="B18" i="28"/>
  <c r="H141" i="12"/>
  <c r="J169" i="12"/>
  <c r="I141" i="12"/>
  <c r="J162" i="12"/>
  <c r="K187" i="12"/>
  <c r="K130" i="12"/>
  <c r="H175" i="12"/>
  <c r="H49" i="12"/>
  <c r="K100" i="12"/>
  <c r="K90" i="12"/>
  <c r="J170" i="12"/>
  <c r="H171" i="12"/>
  <c r="J141" i="12"/>
  <c r="B17" i="28"/>
  <c r="K142" i="12"/>
  <c r="J86" i="12"/>
  <c r="I166" i="12"/>
  <c r="H129" i="12"/>
  <c r="H85" i="12"/>
  <c r="I131" i="12"/>
  <c r="J49" i="12"/>
  <c r="I55" i="12"/>
  <c r="K55" i="12"/>
  <c r="K38" i="12"/>
  <c r="H170" i="12"/>
  <c r="J111" i="12"/>
  <c r="K111" i="12"/>
  <c r="I117" i="12"/>
  <c r="I51" i="12"/>
  <c r="H51" i="12"/>
  <c r="J88" i="12"/>
  <c r="J31" i="12"/>
  <c r="K141" i="12"/>
  <c r="H187" i="12"/>
  <c r="D16" i="28"/>
  <c r="D15" i="28"/>
  <c r="C15" i="28"/>
  <c r="D17" i="28"/>
  <c r="K125" i="12"/>
  <c r="H131" i="12"/>
  <c r="J38" i="12"/>
  <c r="K171" i="12"/>
  <c r="H111" i="12"/>
  <c r="H180" i="12"/>
  <c r="K88" i="12"/>
  <c r="J91" i="12"/>
  <c r="I158" i="12"/>
  <c r="H103" i="12"/>
  <c r="I39" i="12"/>
  <c r="I149" i="12"/>
  <c r="H125" i="12"/>
  <c r="K175" i="12"/>
  <c r="I126" i="12"/>
  <c r="J55" i="12"/>
  <c r="J100" i="12"/>
  <c r="J33" i="12"/>
  <c r="I86" i="12"/>
  <c r="J182" i="12"/>
  <c r="I170" i="12"/>
  <c r="I183" i="12"/>
  <c r="I111" i="12"/>
  <c r="K121" i="12"/>
  <c r="I176" i="12"/>
  <c r="J9" i="12"/>
  <c r="K167" i="12"/>
  <c r="H115" i="12"/>
  <c r="I181" i="12"/>
  <c r="K115" i="12"/>
  <c r="K123" i="12"/>
  <c r="H109" i="12"/>
  <c r="K139" i="12"/>
  <c r="J139" i="12"/>
  <c r="J152" i="12"/>
  <c r="K155" i="12"/>
  <c r="K101" i="12"/>
  <c r="J171" i="12"/>
  <c r="K117" i="12"/>
  <c r="H101" i="12"/>
  <c r="H146" i="12"/>
  <c r="I123" i="12"/>
  <c r="K109" i="12"/>
  <c r="H139" i="12"/>
  <c r="I146" i="12"/>
  <c r="J146" i="12"/>
  <c r="H152" i="12"/>
  <c r="J164" i="12"/>
  <c r="K164" i="12"/>
  <c r="I139" i="12"/>
  <c r="J109" i="12"/>
  <c r="J114" i="12"/>
  <c r="J125" i="12"/>
  <c r="I121" i="12"/>
  <c r="C18" i="28"/>
  <c r="B4" i="28"/>
  <c r="J175" i="12"/>
  <c r="H185" i="12"/>
  <c r="K180" i="12"/>
  <c r="H178" i="12"/>
  <c r="K178" i="12"/>
  <c r="B237" i="2"/>
  <c r="D237" i="2"/>
  <c r="K54" i="12"/>
  <c r="D7" i="28"/>
  <c r="J66" i="12"/>
  <c r="L191" i="5"/>
  <c r="L192" i="5" s="1"/>
  <c r="M192" i="5" s="1"/>
  <c r="H80" i="12"/>
  <c r="H75" i="12"/>
  <c r="M94" i="5"/>
  <c r="I232" i="10"/>
  <c r="J159" i="12"/>
  <c r="I167" i="12"/>
  <c r="J186" i="12"/>
  <c r="H39" i="12"/>
  <c r="I66" i="12"/>
  <c r="J39" i="12"/>
  <c r="L232" i="10"/>
  <c r="K66" i="12"/>
  <c r="C69" i="8"/>
  <c r="I142" i="12"/>
  <c r="J153" i="12"/>
  <c r="K153" i="12"/>
  <c r="I168" i="12"/>
  <c r="H35" i="12"/>
  <c r="I164" i="12"/>
  <c r="I172" i="12"/>
  <c r="H62" i="12"/>
  <c r="H67" i="12"/>
  <c r="I147" i="12"/>
  <c r="K148" i="12"/>
  <c r="I155" i="12"/>
  <c r="H150" i="12"/>
  <c r="H158" i="12"/>
  <c r="K168" i="12"/>
  <c r="K177" i="12"/>
  <c r="I43" i="12"/>
  <c r="J116" i="12"/>
  <c r="H43" i="12"/>
  <c r="J35" i="12"/>
  <c r="K40" i="12"/>
  <c r="K43" i="12"/>
  <c r="H28" i="12"/>
  <c r="H30" i="12"/>
  <c r="J147" i="12"/>
  <c r="J150" i="12"/>
  <c r="J158" i="12"/>
  <c r="J168" i="12"/>
  <c r="J43" i="12"/>
  <c r="K116" i="12"/>
  <c r="H124" i="12"/>
  <c r="H130" i="12"/>
  <c r="I124" i="12"/>
  <c r="I130" i="12"/>
  <c r="J130" i="12"/>
  <c r="K62" i="12"/>
  <c r="K67" i="12"/>
  <c r="H66" i="12"/>
  <c r="H71" i="12"/>
  <c r="K147" i="12"/>
  <c r="H147" i="12"/>
  <c r="H174" i="12"/>
  <c r="H183" i="12"/>
  <c r="K174" i="12"/>
  <c r="K183" i="12"/>
  <c r="J137" i="12"/>
  <c r="J144" i="12"/>
  <c r="J126" i="12"/>
  <c r="J132" i="12"/>
  <c r="H116" i="12"/>
  <c r="K39" i="12"/>
  <c r="K42" i="12"/>
  <c r="H168" i="12"/>
  <c r="H177" i="12"/>
  <c r="K32" i="12"/>
  <c r="K35" i="12"/>
  <c r="J28" i="12"/>
  <c r="J30" i="12"/>
  <c r="K150" i="12"/>
  <c r="K158" i="12"/>
  <c r="K44" i="12"/>
  <c r="K47" i="12"/>
  <c r="H108" i="12"/>
  <c r="J177" i="12"/>
  <c r="F232" i="10"/>
  <c r="O232" i="10"/>
  <c r="E230" i="7"/>
  <c r="B240" i="7" s="1"/>
  <c r="N228" i="2"/>
  <c r="O228" i="2" s="1"/>
  <c r="C230" i="7"/>
  <c r="O229" i="7"/>
  <c r="O230" i="7" s="1"/>
  <c r="I230" i="7"/>
  <c r="C241" i="7" s="1"/>
  <c r="F230" i="7"/>
  <c r="C240" i="7" s="1"/>
  <c r="B230" i="7"/>
  <c r="G58" i="5"/>
  <c r="F191" i="5"/>
  <c r="C235" i="6"/>
  <c r="J227" i="6"/>
  <c r="D228" i="11"/>
  <c r="F228" i="11" s="1"/>
  <c r="F227" i="11"/>
  <c r="N192" i="5"/>
  <c r="P192" i="5" s="1"/>
  <c r="P191" i="5"/>
  <c r="K230" i="7"/>
  <c r="B242" i="7" s="1"/>
  <c r="C234" i="6"/>
  <c r="G61" i="8"/>
  <c r="H6" i="6"/>
  <c r="K6" i="6"/>
  <c r="I32" i="12"/>
  <c r="M228" i="11"/>
  <c r="O228" i="11" s="1"/>
  <c r="O227" i="11"/>
  <c r="H231" i="3"/>
  <c r="F232" i="3"/>
  <c r="H232" i="3" s="1"/>
  <c r="B234" i="6"/>
  <c r="G234" i="2"/>
  <c r="H230" i="7"/>
  <c r="B241" i="7" s="1"/>
  <c r="C236" i="6"/>
  <c r="G60" i="8"/>
  <c r="B69" i="8"/>
  <c r="I61" i="8"/>
  <c r="K231" i="3"/>
  <c r="I232" i="3"/>
  <c r="K232" i="3" s="1"/>
  <c r="J191" i="5"/>
  <c r="I192" i="5"/>
  <c r="J192" i="5" s="1"/>
  <c r="B6" i="8"/>
  <c r="K6" i="7"/>
  <c r="E6" i="7"/>
  <c r="H6" i="7"/>
  <c r="B235" i="6"/>
  <c r="G235" i="2"/>
  <c r="F235" i="2" s="1"/>
  <c r="I227" i="11"/>
  <c r="G228" i="11"/>
  <c r="I228" i="11" s="1"/>
  <c r="L227" i="11"/>
  <c r="J228" i="11"/>
  <c r="L228" i="11" s="1"/>
  <c r="B236" i="6"/>
  <c r="G236" i="2"/>
  <c r="F236" i="2" s="1"/>
  <c r="I241" i="12" l="1"/>
  <c r="I242" i="12" s="1"/>
  <c r="J241" i="12"/>
  <c r="J242" i="12" s="1"/>
  <c r="H241" i="12"/>
  <c r="H242" i="12" s="1"/>
  <c r="K241" i="12"/>
  <c r="K242" i="12" s="1"/>
  <c r="J61" i="8"/>
  <c r="M191" i="5"/>
  <c r="N230" i="7"/>
  <c r="B243" i="7"/>
  <c r="D230" i="7"/>
  <c r="G229" i="7"/>
  <c r="G230" i="7" s="1"/>
  <c r="B6" i="10"/>
  <c r="C6" i="8"/>
  <c r="E6" i="8"/>
  <c r="H6" i="8" s="1"/>
  <c r="G237" i="2"/>
  <c r="F234" i="2"/>
  <c r="F237" i="2" s="1"/>
  <c r="D240" i="7"/>
  <c r="J229" i="7"/>
  <c r="J230" i="7" s="1"/>
  <c r="G191" i="5"/>
  <c r="F192" i="5"/>
  <c r="G192" i="5" s="1"/>
  <c r="M229" i="7"/>
  <c r="M230" i="7" s="1"/>
  <c r="L230" i="7"/>
  <c r="C242" i="7" s="1"/>
  <c r="D242" i="7" s="1"/>
  <c r="H236" i="2" s="1"/>
  <c r="D234" i="6"/>
  <c r="H234" i="2" s="1"/>
  <c r="C237" i="6"/>
  <c r="D236" i="6"/>
  <c r="B237" i="6"/>
  <c r="D235" i="6"/>
  <c r="H235" i="2" s="1"/>
  <c r="D241" i="7"/>
  <c r="C243" i="7" l="1"/>
  <c r="D243" i="7" s="1"/>
  <c r="D237" i="6"/>
  <c r="H237" i="2" s="1"/>
  <c r="B6" i="11"/>
  <c r="D6" i="10"/>
  <c r="B6" i="12" l="1"/>
  <c r="D6" i="11"/>
  <c r="M6" i="10"/>
  <c r="G6" i="10"/>
  <c r="J6" i="10"/>
  <c r="M6" i="11" l="1"/>
  <c r="G6" i="11"/>
  <c r="J6" i="11"/>
  <c r="B5" i="13"/>
  <c r="C5" i="13" s="1"/>
  <c r="E6" i="12"/>
  <c r="H6" i="12" l="1"/>
  <c r="L6" i="12"/>
  <c r="N6" i="12"/>
  <c r="J6" i="12"/>
</calcChain>
</file>

<file path=xl/connections.xml><?xml version="1.0" encoding="utf-8"?>
<connections xmlns="http://schemas.openxmlformats.org/spreadsheetml/2006/main">
  <connection id="1" odcFile="C:\Users\Ambujkumar\Downloads\Expry Roll  (19).iqy" name="Expry Roll  (19)" type="4" refreshedVersion="6" background="1" saveData="1">
    <webPr consecutive="1" xl2000="1" url="https://myfno.com/api/stats?&amp;days=1d&amp;units=shares&amp;data=z,d,9,p,o,v,b,r,l,i,h,j,g,a,5,6,7,8,w,n,s,f,c,u,e,k,1,2,3,4,0,m" htmlFormat="all"/>
  </connection>
  <connection id="2" odcFile="C:\Users\Ambujkumar\Downloads\Expry Roll  (20).iqy" name="Expry Roll  (20)" type="4" refreshedVersion="6" background="1" saveData="1">
    <webPr consecutive="1" xl2000="1" url="https://myfno.com/api/stats?&amp;list=NIFTY_&amp;days=1d&amp;data=z,d,p,o,v,b,r,l,i,h,j,a,5,6,7,8,w,n,s,f,c,u,1,2,3,4,0,m" htmlFormat="all"/>
  </connection>
  <connection id="3" odcFile="C:\Users\Ambujkumar\Downloads\fii.iqy" name="fii" type="4" refreshedVersion="6" background="1" saveData="1">
    <webPr consecutive="1" xl2000="1" url="https://myfno.com/api/fii?&amp;days=1d" htmlTables="1" htmlFormat="all"/>
  </connection>
  <connection id="4" odcFile="C:\Users\Ambujkumar\Downloads\stats (2).iqy" name="stats (2)" type="4" refreshedVersion="6" background="1" saveData="1">
    <webPr consecutive="1" xl2000="1" url="https://myfno.com/api/stats?&amp;days=1d&amp;units=value&amp;inr=cr&amp;data=z,d,9,x,p,o,v,b,r,l,i,h,j,g,a,5,6,7,8,w,n,s,f,c,u,e,k,1,2,3,4,0,m" htmlFormat="all"/>
  </connection>
</connections>
</file>

<file path=xl/sharedStrings.xml><?xml version="1.0" encoding="utf-8"?>
<sst xmlns="http://schemas.openxmlformats.org/spreadsheetml/2006/main" count="3449" uniqueCount="694">
  <si>
    <t>date</t>
  </si>
  <si>
    <t>sector</t>
  </si>
  <si>
    <t>symbol</t>
  </si>
  <si>
    <t>lots</t>
  </si>
  <si>
    <t>dte</t>
  </si>
  <si>
    <t>price</t>
  </si>
  <si>
    <t>price prev</t>
  </si>
  <si>
    <t>price chg</t>
  </si>
  <si>
    <t>price %</t>
  </si>
  <si>
    <t>spot</t>
  </si>
  <si>
    <t>spot prev</t>
  </si>
  <si>
    <t>spot chg</t>
  </si>
  <si>
    <t>spot %</t>
  </si>
  <si>
    <t>future near price</t>
  </si>
  <si>
    <t>future near prev</t>
  </si>
  <si>
    <t>future near chg</t>
  </si>
  <si>
    <t>future near %</t>
  </si>
  <si>
    <t>future next price</t>
  </si>
  <si>
    <t>future next prev</t>
  </si>
  <si>
    <t>future next chg</t>
  </si>
  <si>
    <t>future next %</t>
  </si>
  <si>
    <t>future far price</t>
  </si>
  <si>
    <t>future far prev</t>
  </si>
  <si>
    <t>future far chg</t>
  </si>
  <si>
    <t>future far %</t>
  </si>
  <si>
    <t>basis</t>
  </si>
  <si>
    <t>basis prev</t>
  </si>
  <si>
    <t>basis chg</t>
  </si>
  <si>
    <t>basis %</t>
  </si>
  <si>
    <t>coc near</t>
  </si>
  <si>
    <t>coc near prev</t>
  </si>
  <si>
    <t>coc near chg</t>
  </si>
  <si>
    <t>coc near %</t>
  </si>
  <si>
    <t>coc next</t>
  </si>
  <si>
    <t>coc next prev</t>
  </si>
  <si>
    <t>coc next chg</t>
  </si>
  <si>
    <t>coc next %</t>
  </si>
  <si>
    <t>coc far</t>
  </si>
  <si>
    <t>coc far prev</t>
  </si>
  <si>
    <t>coc far chg</t>
  </si>
  <si>
    <t>coc far %</t>
  </si>
  <si>
    <t>vwap</t>
  </si>
  <si>
    <t>vwap next</t>
  </si>
  <si>
    <t>vwap spot</t>
  </si>
  <si>
    <t>volume</t>
  </si>
  <si>
    <t>volume prev</t>
  </si>
  <si>
    <t>volume chg</t>
  </si>
  <si>
    <t>volume %</t>
  </si>
  <si>
    <t>volume near</t>
  </si>
  <si>
    <t>volume near prev</t>
  </si>
  <si>
    <t>volume near chg</t>
  </si>
  <si>
    <t>volume near %</t>
  </si>
  <si>
    <t>volume next</t>
  </si>
  <si>
    <t>volume next prev</t>
  </si>
  <si>
    <t>volume next chg</t>
  </si>
  <si>
    <t>volume next %</t>
  </si>
  <si>
    <t>volume far</t>
  </si>
  <si>
    <t>volume far prev</t>
  </si>
  <si>
    <t>volume far chg</t>
  </si>
  <si>
    <t>volume far %</t>
  </si>
  <si>
    <t>volume call</t>
  </si>
  <si>
    <t>volume call prev</t>
  </si>
  <si>
    <t>volume call chg</t>
  </si>
  <si>
    <t>volume call %</t>
  </si>
  <si>
    <t>volume put</t>
  </si>
  <si>
    <t>volume put prev</t>
  </si>
  <si>
    <t>volume put chg</t>
  </si>
  <si>
    <t>volume put %</t>
  </si>
  <si>
    <t>volume total</t>
  </si>
  <si>
    <t>volume total prev</t>
  </si>
  <si>
    <t>volume total chg</t>
  </si>
  <si>
    <t>volume total %</t>
  </si>
  <si>
    <t>volume spot</t>
  </si>
  <si>
    <t>volume spot prev</t>
  </si>
  <si>
    <t>volume spot chg</t>
  </si>
  <si>
    <t>volume spot %</t>
  </si>
  <si>
    <t>oi</t>
  </si>
  <si>
    <t>oi prev</t>
  </si>
  <si>
    <t>oi chg</t>
  </si>
  <si>
    <t>oi %</t>
  </si>
  <si>
    <t>oi near</t>
  </si>
  <si>
    <t>oi near prev</t>
  </si>
  <si>
    <t>oi near chg</t>
  </si>
  <si>
    <t>oi near %</t>
  </si>
  <si>
    <t>oi next</t>
  </si>
  <si>
    <t>oi next prev</t>
  </si>
  <si>
    <t>oi next chg</t>
  </si>
  <si>
    <t>oi next %</t>
  </si>
  <si>
    <t>oi far</t>
  </si>
  <si>
    <t>oi far prev</t>
  </si>
  <si>
    <t>oi far chg</t>
  </si>
  <si>
    <t>oi far %</t>
  </si>
  <si>
    <t>oi call</t>
  </si>
  <si>
    <t>oi call prev</t>
  </si>
  <si>
    <t>oi call chg</t>
  </si>
  <si>
    <t>oi call %</t>
  </si>
  <si>
    <t>oi put</t>
  </si>
  <si>
    <t>oi put prev</t>
  </si>
  <si>
    <t>oi put chg</t>
  </si>
  <si>
    <t>oi put %</t>
  </si>
  <si>
    <t>oi total</t>
  </si>
  <si>
    <t>oi total prev</t>
  </si>
  <si>
    <t>oi total chg</t>
  </si>
  <si>
    <t>oi total %</t>
  </si>
  <si>
    <t>iv</t>
  </si>
  <si>
    <t>iv prev</t>
  </si>
  <si>
    <t>iv chg</t>
  </si>
  <si>
    <t>iv %</t>
  </si>
  <si>
    <t>hv</t>
  </si>
  <si>
    <t>hv prev</t>
  </si>
  <si>
    <t>iv_hv_diff</t>
  </si>
  <si>
    <t>hv %</t>
  </si>
  <si>
    <t>iv call</t>
  </si>
  <si>
    <t>iv call prev</t>
  </si>
  <si>
    <t>iv call chg</t>
  </si>
  <si>
    <t>iv call %</t>
  </si>
  <si>
    <t>iv put</t>
  </si>
  <si>
    <t>iv put prev</t>
  </si>
  <si>
    <t>iv put chg</t>
  </si>
  <si>
    <t>iv put %</t>
  </si>
  <si>
    <t>pcr oi</t>
  </si>
  <si>
    <t>pcr oi prev</t>
  </si>
  <si>
    <t>pcr oi chg</t>
  </si>
  <si>
    <t>pcr oi %</t>
  </si>
  <si>
    <t>pcr near</t>
  </si>
  <si>
    <t>pcr next</t>
  </si>
  <si>
    <t>pcr vol</t>
  </si>
  <si>
    <t>pcr vol prev</t>
  </si>
  <si>
    <t>pcr vol chg</t>
  </si>
  <si>
    <t>pcr vol %</t>
  </si>
  <si>
    <t>rollover</t>
  </si>
  <si>
    <t>rollover prev</t>
  </si>
  <si>
    <t>rollover cost</t>
  </si>
  <si>
    <t>rollover %</t>
  </si>
  <si>
    <t>roll vwap</t>
  </si>
  <si>
    <t>roll vwap%</t>
  </si>
  <si>
    <t>delivery</t>
  </si>
  <si>
    <t>delivery prev</t>
  </si>
  <si>
    <t>del chg%</t>
  </si>
  <si>
    <t>delivery %</t>
  </si>
  <si>
    <t>volume value call</t>
  </si>
  <si>
    <t>volume value put</t>
  </si>
  <si>
    <t>volume value future</t>
  </si>
  <si>
    <t>volume value total</t>
  </si>
  <si>
    <t>volume value prev</t>
  </si>
  <si>
    <t>volume value chg</t>
  </si>
  <si>
    <t>volume value %</t>
  </si>
  <si>
    <t>oi value call</t>
  </si>
  <si>
    <t>oi value put</t>
  </si>
  <si>
    <t>oi value future</t>
  </si>
  <si>
    <t>oi market limit</t>
  </si>
  <si>
    <t>oi value total</t>
  </si>
  <si>
    <t>oi value prev</t>
  </si>
  <si>
    <t>oi value chg</t>
  </si>
  <si>
    <t>oi value %</t>
  </si>
  <si>
    <t>oi% of limit</t>
  </si>
  <si>
    <t>longshort</t>
  </si>
  <si>
    <t>Cement</t>
  </si>
  <si>
    <t>ACC</t>
  </si>
  <si>
    <t>ADANIENT</t>
  </si>
  <si>
    <t>ADANIPORTS</t>
  </si>
  <si>
    <t>Power</t>
  </si>
  <si>
    <t>Automobile</t>
  </si>
  <si>
    <t>AMARAJABAT</t>
  </si>
  <si>
    <t>AMBUJACEM</t>
  </si>
  <si>
    <t>APOLLOHOSP</t>
  </si>
  <si>
    <t>APOLLOTYRE</t>
  </si>
  <si>
    <t>ASHOKLEY</t>
  </si>
  <si>
    <t>FMCG</t>
  </si>
  <si>
    <t>ASIANPAINT</t>
  </si>
  <si>
    <t>Pharma</t>
  </si>
  <si>
    <t>AUROPHARMA</t>
  </si>
  <si>
    <t>Banking</t>
  </si>
  <si>
    <t>AXISBANK</t>
  </si>
  <si>
    <t>BAJAJ-AUTO</t>
  </si>
  <si>
    <t>Finance</t>
  </si>
  <si>
    <t>BAJAJFINSV</t>
  </si>
  <si>
    <t>BAJFINANCE</t>
  </si>
  <si>
    <t>BALKRISIND</t>
  </si>
  <si>
    <t>BANDHANBNK</t>
  </si>
  <si>
    <t>BANKBARODA</t>
  </si>
  <si>
    <t>Index</t>
  </si>
  <si>
    <t>BANKNIFTY</t>
  </si>
  <si>
    <t>BATAINDIA</t>
  </si>
  <si>
    <t>Capital_Goods</t>
  </si>
  <si>
    <t>BEL</t>
  </si>
  <si>
    <t>BERGEPAINT</t>
  </si>
  <si>
    <t>BHARATFORG</t>
  </si>
  <si>
    <t>Telecom</t>
  </si>
  <si>
    <t>BHARTIARTL</t>
  </si>
  <si>
    <t>BHEL</t>
  </si>
  <si>
    <t>BIOCON</t>
  </si>
  <si>
    <t>BOSCHLTD</t>
  </si>
  <si>
    <t>Oil_Gas</t>
  </si>
  <si>
    <t>BPCL</t>
  </si>
  <si>
    <t>BRITANNIA</t>
  </si>
  <si>
    <t>CANBK</t>
  </si>
  <si>
    <t>Textile</t>
  </si>
  <si>
    <t>CHOLAFIN</t>
  </si>
  <si>
    <t>CIPLA</t>
  </si>
  <si>
    <t>COALINDIA</t>
  </si>
  <si>
    <t>COLPAL</t>
  </si>
  <si>
    <t>CONCOR</t>
  </si>
  <si>
    <t>CUMMINSIND</t>
  </si>
  <si>
    <t>DABUR</t>
  </si>
  <si>
    <t>DIVISLAB</t>
  </si>
  <si>
    <t>Realty</t>
  </si>
  <si>
    <t>DLF</t>
  </si>
  <si>
    <t>DRREDDY</t>
  </si>
  <si>
    <t>EICHERMOT</t>
  </si>
  <si>
    <t>ESCORTS</t>
  </si>
  <si>
    <t>EXIDEIND</t>
  </si>
  <si>
    <t>FEDERALBNK</t>
  </si>
  <si>
    <t>GAIL</t>
  </si>
  <si>
    <t>GLENMARK</t>
  </si>
  <si>
    <t>Infrastructure</t>
  </si>
  <si>
    <t>GMRINFRA</t>
  </si>
  <si>
    <t>GODREJCP</t>
  </si>
  <si>
    <t>GODREJPROP</t>
  </si>
  <si>
    <t>GRASIM</t>
  </si>
  <si>
    <t>HAVELLS</t>
  </si>
  <si>
    <t>Technology</t>
  </si>
  <si>
    <t>HCLTECH</t>
  </si>
  <si>
    <t>HDFC</t>
  </si>
  <si>
    <t>HDFCBANK</t>
  </si>
  <si>
    <t>HDFCLIFE</t>
  </si>
  <si>
    <t>HEROMOTOCO</t>
  </si>
  <si>
    <t>Metals</t>
  </si>
  <si>
    <t>HINDALCO</t>
  </si>
  <si>
    <t>HINDPETRO</t>
  </si>
  <si>
    <t>HINDUNILVR</t>
  </si>
  <si>
    <t>IBULHSGFIN</t>
  </si>
  <si>
    <t>ICICIBANK</t>
  </si>
  <si>
    <t>ICICIPRULI</t>
  </si>
  <si>
    <t>IDEA</t>
  </si>
  <si>
    <t>IDFCFIRSTB</t>
  </si>
  <si>
    <t>IGL</t>
  </si>
  <si>
    <t>none</t>
  </si>
  <si>
    <t>INDIGO</t>
  </si>
  <si>
    <t>INDUSINDBK</t>
  </si>
  <si>
    <t>INFY</t>
  </si>
  <si>
    <t>IOC</t>
  </si>
  <si>
    <t>ITC</t>
  </si>
  <si>
    <t>JINDALSTEL</t>
  </si>
  <si>
    <t>JSWSTEEL</t>
  </si>
  <si>
    <t>JUBLFOOD</t>
  </si>
  <si>
    <t>KOTAKBANK</t>
  </si>
  <si>
    <t>L&amp;TFH</t>
  </si>
  <si>
    <t>LICHSGFIN</t>
  </si>
  <si>
    <t>LT</t>
  </si>
  <si>
    <t>LUPIN</t>
  </si>
  <si>
    <t>M&amp;M</t>
  </si>
  <si>
    <t>M&amp;MFIN</t>
  </si>
  <si>
    <t>MANAPPURAM</t>
  </si>
  <si>
    <t>MARICO</t>
  </si>
  <si>
    <t>MARUTI</t>
  </si>
  <si>
    <t>MCDOWELL-N</t>
  </si>
  <si>
    <t>MFSL</t>
  </si>
  <si>
    <t>MGL</t>
  </si>
  <si>
    <t>MINDTREE</t>
  </si>
  <si>
    <t>MOTHERSUMI</t>
  </si>
  <si>
    <t>MRF</t>
  </si>
  <si>
    <t>MUTHOOTFIN</t>
  </si>
  <si>
    <t>NATIONALUM</t>
  </si>
  <si>
    <t>NAUKRI</t>
  </si>
  <si>
    <t>NESTLEIND</t>
  </si>
  <si>
    <t>NIFTY</t>
  </si>
  <si>
    <t>NMDC</t>
  </si>
  <si>
    <t>NTPC</t>
  </si>
  <si>
    <t>ONGC</t>
  </si>
  <si>
    <t>PAGEIND</t>
  </si>
  <si>
    <t>PEL</t>
  </si>
  <si>
    <t>PETRONET</t>
  </si>
  <si>
    <t>PFC</t>
  </si>
  <si>
    <t>PIDILITIND</t>
  </si>
  <si>
    <t>PNB</t>
  </si>
  <si>
    <t>POWERGRID</t>
  </si>
  <si>
    <t>PVR</t>
  </si>
  <si>
    <t>RAMCOCEM</t>
  </si>
  <si>
    <t>RBLBANK</t>
  </si>
  <si>
    <t>RECLTD</t>
  </si>
  <si>
    <t>RELIANCE</t>
  </si>
  <si>
    <t>SAIL</t>
  </si>
  <si>
    <t>SBIN</t>
  </si>
  <si>
    <t>SHREECEM</t>
  </si>
  <si>
    <t>SIEMENS</t>
  </si>
  <si>
    <t>SRF</t>
  </si>
  <si>
    <t>SRTRANSFIN</t>
  </si>
  <si>
    <t>SUNPHARMA</t>
  </si>
  <si>
    <t>SUNTV</t>
  </si>
  <si>
    <t>TATACHEM</t>
  </si>
  <si>
    <t>TATACONSUM</t>
  </si>
  <si>
    <t>TATAMOTORS</t>
  </si>
  <si>
    <t>TATAPOWER</t>
  </si>
  <si>
    <t>TATASTEEL</t>
  </si>
  <si>
    <t>TCS</t>
  </si>
  <si>
    <t>TECHM</t>
  </si>
  <si>
    <t>TITAN</t>
  </si>
  <si>
    <t>TORNTPHARM</t>
  </si>
  <si>
    <t>TORNTPOWER</t>
  </si>
  <si>
    <t>TVSMOTOR</t>
  </si>
  <si>
    <t>UBL</t>
  </si>
  <si>
    <t>ULTRACEMCO</t>
  </si>
  <si>
    <t>UPL</t>
  </si>
  <si>
    <t>VEDL</t>
  </si>
  <si>
    <t>VOLTAS</t>
  </si>
  <si>
    <t>WIPRO</t>
  </si>
  <si>
    <t>ZEEL</t>
  </si>
  <si>
    <t>Price</t>
  </si>
  <si>
    <t>Open Interest (Rs. Cr)</t>
  </si>
  <si>
    <t>Daily Trading Volume (Rs. Cr)</t>
  </si>
  <si>
    <t>Put Call Ratio</t>
  </si>
  <si>
    <t>Spot Price</t>
  </si>
  <si>
    <t>Future Price</t>
  </si>
  <si>
    <t>OI Total</t>
  </si>
  <si>
    <t>Total Volume</t>
  </si>
  <si>
    <t>PCR OI</t>
  </si>
  <si>
    <t>PCR Volume</t>
  </si>
  <si>
    <t>Name</t>
  </si>
  <si>
    <t>Mkt.lot</t>
  </si>
  <si>
    <t>Prem/Dis</t>
  </si>
  <si>
    <t>% Chg</t>
  </si>
  <si>
    <t>previous</t>
  </si>
  <si>
    <t>Change (Rs Cr)</t>
  </si>
  <si>
    <t>%chg</t>
  </si>
  <si>
    <t>Snapshot (Volume)</t>
  </si>
  <si>
    <t>Open Interest (No.shares)</t>
  </si>
  <si>
    <t>Daily Trading Volume (No.shares)</t>
  </si>
  <si>
    <t>% chg</t>
  </si>
  <si>
    <t xml:space="preserve">           Sector-wise Open Interest Positions</t>
  </si>
  <si>
    <t>Scrip Details</t>
  </si>
  <si>
    <t>Volumes (Rs. Cr)</t>
  </si>
  <si>
    <t>Sector</t>
  </si>
  <si>
    <t>change</t>
  </si>
  <si>
    <t>Open Interest Break Up</t>
  </si>
  <si>
    <t>Future OI</t>
  </si>
  <si>
    <t>Call OI</t>
  </si>
  <si>
    <t>PUT OI</t>
  </si>
  <si>
    <t>Near Month OI</t>
  </si>
  <si>
    <t>Near</t>
  </si>
  <si>
    <t>Open Interest (No. shares)</t>
  </si>
  <si>
    <t>Futures OI</t>
  </si>
  <si>
    <t>Put OI</t>
  </si>
  <si>
    <t xml:space="preserve">         Nifty Basket</t>
  </si>
  <si>
    <t>future price</t>
  </si>
  <si>
    <t>future price prev</t>
  </si>
  <si>
    <t>future price chg</t>
  </si>
  <si>
    <t>future price %</t>
  </si>
  <si>
    <t>volume future</t>
  </si>
  <si>
    <t>volume future prev</t>
  </si>
  <si>
    <t>volume future chg</t>
  </si>
  <si>
    <t>volume future %</t>
  </si>
  <si>
    <t>oi future</t>
  </si>
  <si>
    <t>oi future prev</t>
  </si>
  <si>
    <t>oi future chg</t>
  </si>
  <si>
    <t>oi future %</t>
  </si>
  <si>
    <t>Total Value</t>
  </si>
  <si>
    <t>Total Value ( Rs. Cr.)</t>
  </si>
  <si>
    <t>Future Value</t>
  </si>
  <si>
    <t>Call Value</t>
  </si>
  <si>
    <t>Put Value</t>
  </si>
  <si>
    <t xml:space="preserve"> Total Volume (No. of Shares)</t>
  </si>
  <si>
    <t>Futures Volume</t>
  </si>
  <si>
    <t>Calls Volume</t>
  </si>
  <si>
    <t>Puts Volumes</t>
  </si>
  <si>
    <t>Open Interest(No. shares)</t>
  </si>
  <si>
    <t>Scripts</t>
  </si>
  <si>
    <t>Basis</t>
  </si>
  <si>
    <t>Previous</t>
  </si>
  <si>
    <t>Change</t>
  </si>
  <si>
    <t>Implied Volatility</t>
  </si>
  <si>
    <t>Volatility</t>
  </si>
  <si>
    <t>Implied Volatility (IV)</t>
  </si>
  <si>
    <t>Historical Volatility (HV)</t>
  </si>
  <si>
    <t>Iv</t>
  </si>
  <si>
    <t>call</t>
  </si>
  <si>
    <t>put</t>
  </si>
  <si>
    <t>HV</t>
  </si>
  <si>
    <t>Difference</t>
  </si>
  <si>
    <t>Ratio</t>
  </si>
  <si>
    <t>Rollover</t>
  </si>
  <si>
    <t>Rollover(No.shares)</t>
  </si>
  <si>
    <t>Rollover(Rs.Cr)</t>
  </si>
  <si>
    <t>Rollover(value)</t>
  </si>
  <si>
    <t>Rollover %</t>
  </si>
  <si>
    <t>(Rs. Cr)</t>
  </si>
  <si>
    <t>%Chg</t>
  </si>
  <si>
    <t>TOTAL</t>
  </si>
  <si>
    <t xml:space="preserve">Future </t>
  </si>
  <si>
    <t xml:space="preserve">Call </t>
  </si>
  <si>
    <t xml:space="preserve">Put </t>
  </si>
  <si>
    <t>Total</t>
  </si>
  <si>
    <t>FII Open Interest</t>
  </si>
  <si>
    <t>Index Futures</t>
  </si>
  <si>
    <t>Index Options</t>
  </si>
  <si>
    <t>Stock Futures</t>
  </si>
  <si>
    <t>Stock Options</t>
  </si>
  <si>
    <t>Preious</t>
  </si>
  <si>
    <t>Total (Cr)</t>
  </si>
  <si>
    <t>Grand Total</t>
  </si>
  <si>
    <t>Grand Total (Cr)</t>
  </si>
  <si>
    <t>Instrument</t>
  </si>
  <si>
    <t>Current</t>
  </si>
  <si>
    <t>Futures</t>
  </si>
  <si>
    <t>Calls</t>
  </si>
  <si>
    <t>Puts</t>
  </si>
  <si>
    <t xml:space="preserve">Total </t>
  </si>
  <si>
    <t>%change</t>
  </si>
  <si>
    <t>Open Interest (Rs Cr)</t>
  </si>
  <si>
    <t>Total (Rs Cr)</t>
  </si>
  <si>
    <t>Open Interest (Sh Cr)</t>
  </si>
  <si>
    <t>Total Open Interest of Nifty Stocks</t>
  </si>
  <si>
    <t>Open Interest</t>
  </si>
  <si>
    <t>OI Previous</t>
  </si>
  <si>
    <t>% change</t>
  </si>
  <si>
    <t>Total(Cr)</t>
  </si>
  <si>
    <t>Market Wide Limit</t>
  </si>
  <si>
    <t>MWPL</t>
  </si>
  <si>
    <t>Limit for Today</t>
  </si>
  <si>
    <t>OI% to MWPL</t>
  </si>
  <si>
    <t xml:space="preserve">F&amp;O MARGIN </t>
  </si>
  <si>
    <t>Expirydate</t>
  </si>
  <si>
    <t>Total Margin</t>
  </si>
  <si>
    <t>Settle Price</t>
  </si>
  <si>
    <t>Lotvalue</t>
  </si>
  <si>
    <t>Series</t>
  </si>
  <si>
    <t>Exposure Margin Unit</t>
  </si>
  <si>
    <t>MLot</t>
  </si>
  <si>
    <t>DISCLAIMER</t>
  </si>
  <si>
    <t xml:space="preserve">The information and opinions contained herein have been compiled or arrived at based on the information obtained in good faith from sources believed to be reliable. Such information has not been independently verified and no guaranty, representation of warranty, express or implied, is made as to its accuracy completeness or correctness. </t>
  </si>
  <si>
    <t>This document is for information purposes only. This report is based on information that we consider reliable; we do not represent that it is accurate or complete and one should exercise due caution while acting on it.  Description of any company(ies) or its/their securities mentioned herein are not complete and this document is not and should not be construed as an offer or solicitation of an offer to buy or sell any securities or other financial instruments. Past performance is not a guide for future performance, future returns are not guaranteed and a loss of original capital may occur. All opinions, projections and estimates constitute the judgment of the author as on the date of the report and these, plus any other information contained in the report, are subject to change without notice. Prices and availability of financial instruments are also subject to change without notice. This report is intended for distribution to institutional investors.</t>
  </si>
  <si>
    <t xml:space="preserve">This report is not directed to or intended for display, downloading, printing, reproducing or for distribution to or use by, any person or entity that is a citizen or resident or located in any locality, state, country or other jurisdiction where such distribution, publication, reproduction, availability or use would be contrary to law or regulation or what would subject to SSSIL or its affiliates to any registration or licensing requirement within such jurisdiction. If this report is inadvertently sent or has reached any individual in such country, especially USA, the same may be ignored and brought to the attention of the sender. Neither this document nor any copy of it may be taken or transmitted into the United States (to U.S. persons), Canada, or Japan or distributed, directly or indirectly, in the United States or Canada or distributed or redistributed in Japan or to any resident thereof. Any unauthorized use, duplication, redistribution or disclosure of this report including, but not limited to, redistribution by electronic mail, posting of the report on a website or page, and/or providing to a third party a link, is prohibited by law and will result in prosecution. The information contained in the report is intended solely for the recipient and may not be further distributed by the recipient to any third party. </t>
  </si>
  <si>
    <t>SSSIL generally prohibits its analysts, persons reporting to analysts, and members of their households from maintaining a financial interest in the securities or derivatives of any companies that the analysts cover. Additionally, SSSIL generally prohibits its analysts and persons reporting to analysts from serving as an officer, director, or advisory board member of any companies that they cover. Our salespeople, traders, and other professionals or affiliates may provide oral or written market commentary or trading strategies to our clients that reflect opinions that are contrary to the opinions expressed herein. Our proprietary trading and investing businesses may make investment decisions that are inconsistent with the recommendations expressed herein. The views expressed in this research report reflect the personal views of the analyst(s) about the subject securities or issues and no part of the compensation of the research analyst(s) was, is, or will be directly or indirectly related to the specific recommendations and views expressed by research analyst(s) in this report. The compensation of the analyst who prepared this document is determined exclusively by SSSIL; however, compensation may relate to the revenues of the Systematix Group as a whole, of which investment banking, sales and trading are a part. Research analysts and sales persons of SSSIL may provide important inputs to its affiliated company(ies).</t>
  </si>
  <si>
    <t>Foreign currencies denominated securities, wherever mentioned, are subject to exchange rate fluctuations which could have an adverse effect on their value or price or the income derived from them. In addition, investors in securities such as ADRs, the values of which are influenced by foreign currencies, effectively assume currency risk. SSSIL, its directors, analysts or employees do not take any responsibility, financial or otherwise, of the losses or the damages sustained due to the investments made or any action taken on the basis of this report including but not restricted to fluctuation in the prices of shares and bonds, changes in the currency rates, diminution in the NAVs, reduction in the dividend or income, etc.</t>
  </si>
  <si>
    <t xml:space="preserve">SSSIL and its affiliates, officers, directors, and employees subject to the information given in the disclosures may: (a) from time to time, have long or short positions in, and buy or sell, the securities thereof, of company (ies) mentioned herein or (b) be engaged in any other transaction involving such securities and earn brokerage or other compensation (financial interest) or act as a market maker in the financial instruments of the company (ies) discussed herein or act as advisor or lender / borrower to such company (ies) or have other potential material conflict of interest with respect to any recommendation and related information and opinions. The views expressed are those of the analyst and the company may or may not subscribe to the views expressed therein. </t>
  </si>
  <si>
    <t xml:space="preserve">SSSIL, its affiliates and any third party involved in, or related to, computing or compiling the information hereby expressly disclaim all warranties of originality, accuracy, completeness, merchantability or fitness for a particular purpose with respect to any of this information. Without limiting any of the foregoing, in no event shall SSSIL, any of its affiliates or any third party involved in, or related to, computing or compiling the information have any liability for any damages of any kind. The company accepts no liability whatsoever for the actions of third parties. The report may provide the addresses of, or contain hyperlinks to, websites. Except to the extent to which the report refers to website material of the company, the company has not reviewed the linked site. Accessing such website or following such link through the report or the website of the company shall be at your own risk and the company shall have no liability arising out of, or in connection with, any such referenced website. </t>
  </si>
  <si>
    <t>SSSIL will not be liable for any delay or any other interruption which may occur in presenting the data due to any technical glitch to present the data. In no event shall SSSIL be liable for any damages, including without limitation, direct or indirect, special, incidental, or consequential damages, losses or expenses arising in connection with the data presented by SSSIL through this presentation.</t>
  </si>
  <si>
    <t>SSSIL or any of its other group companies or associates will not be responsible for any decisions taken on the basis of this report. Investors are advised to consult their investment and tax consultants before taking any investment decisions based on this report.</t>
  </si>
  <si>
    <t>scripid</t>
  </si>
  <si>
    <t>xdate</t>
  </si>
  <si>
    <t>buyqty</t>
  </si>
  <si>
    <t>buyamt</t>
  </si>
  <si>
    <t>sellqty</t>
  </si>
  <si>
    <t>sellamt</t>
  </si>
  <si>
    <t>netqty</t>
  </si>
  <si>
    <t>netamt</t>
  </si>
  <si>
    <t>oiprevqty</t>
  </si>
  <si>
    <t>oiprevamt</t>
  </si>
  <si>
    <t>oichgqty</t>
  </si>
  <si>
    <t>oichgamt</t>
  </si>
  <si>
    <t>oiqty</t>
  </si>
  <si>
    <t>oiamt</t>
  </si>
  <si>
    <t>PREV DATA</t>
  </si>
  <si>
    <t>NEAR FUT OI</t>
  </si>
  <si>
    <t>VALUE IN CR</t>
  </si>
  <si>
    <t>SHARES TERM</t>
  </si>
  <si>
    <t>Basis in Futures</t>
  </si>
  <si>
    <t>Volume (No. shares)</t>
  </si>
  <si>
    <t>Open Interest (Rs.Cr)</t>
  </si>
  <si>
    <t xml:space="preserve"> OI (Rs. Cr)</t>
  </si>
  <si>
    <t>OI (Qty)</t>
  </si>
  <si>
    <t>STOCKS</t>
  </si>
  <si>
    <t>SBILIFE</t>
  </si>
  <si>
    <t xml:space="preserve">Nifty </t>
  </si>
  <si>
    <t xml:space="preserve">bank nifty </t>
  </si>
  <si>
    <t>OI Rc(CR)</t>
  </si>
  <si>
    <t xml:space="preserve">IO % change </t>
  </si>
  <si>
    <t>pcr OI</t>
  </si>
  <si>
    <t xml:space="preserve">ROLL </t>
  </si>
  <si>
    <t>ROLL</t>
  </si>
  <si>
    <t>COFORGE</t>
  </si>
  <si>
    <t>Symbol</t>
  </si>
  <si>
    <t>ICICIGI</t>
  </si>
  <si>
    <t>INDUSTOWER</t>
  </si>
  <si>
    <t>LALPATHLAB</t>
  </si>
  <si>
    <t>HDFCAMC</t>
  </si>
  <si>
    <t>AARTIIND</t>
  </si>
  <si>
    <t xml:space="preserve">cmp </t>
  </si>
  <si>
    <t>cmp Fut</t>
  </si>
  <si>
    <t>Pre Fut</t>
  </si>
  <si>
    <t>FINNIFTY</t>
  </si>
  <si>
    <r>
      <rPr>
        <b/>
        <sz val="8"/>
        <color indexed="8"/>
        <rFont val="Arial"/>
        <family val="2"/>
      </rPr>
      <t>Systematix Shares and Stocks (India) Limited </t>
    </r>
    <r>
      <rPr>
        <sz val="8"/>
        <color indexed="8"/>
        <rFont val="Arial"/>
        <family val="2"/>
      </rPr>
      <t xml:space="preserve"> : Registered and Corporate address: The Capital, A-wing, No. 603 – 606, 6th Floor, Plot No. C-70, G Block, Bandra Kurla Complex, Bandra (East), Mumbai – 400 051 CIN - U65993MH1995PLC268414 | BSE SEBI Reg. No.: INZ000171134 (Member Code: 182) | NSE SEBI Reg. No.: INZ000171134 (Member Code: 11327) | MCX SEBI Reg. No.: INZ000171134 (Member Code: 56625) | NCDEX SEBI Reg. No.: INZ000171134 (Member Code: 1281) | Depository Participant SEBI Reg. No.: IN-DP-480-2020 (DP Id: 34600) | PMS SEBI Reg. No.: INP000002692 | Research Analyst SEBI Reg. No.: INH200000840 | Investment Advisor SEBI Reg. No. INA000010414 | AMFI : ARN - 64917 
</t>
    </r>
  </si>
  <si>
    <t>TRENT</t>
  </si>
  <si>
    <t>PIIND</t>
  </si>
  <si>
    <t>PFIZER</t>
  </si>
  <si>
    <t>NAVINFLUOR</t>
  </si>
  <si>
    <t>NAM-INDIA</t>
  </si>
  <si>
    <t>MPHASIS</t>
  </si>
  <si>
    <t>LTTS</t>
  </si>
  <si>
    <t>LTI</t>
  </si>
  <si>
    <t>IRCTC</t>
  </si>
  <si>
    <t>GUJGASLTD</t>
  </si>
  <si>
    <t>GRANULES</t>
  </si>
  <si>
    <t>DEEPAKNTR</t>
  </si>
  <si>
    <t>CUB</t>
  </si>
  <si>
    <t>AUBANK</t>
  </si>
  <si>
    <t>APLLTD</t>
  </si>
  <si>
    <t>ALKEM</t>
  </si>
  <si>
    <t>Chemicals</t>
  </si>
  <si>
    <t>ABFRL</t>
  </si>
  <si>
    <t>COROMANDEL</t>
  </si>
  <si>
    <t>INDHOTEL</t>
  </si>
  <si>
    <t>METROPOLIS</t>
  </si>
  <si>
    <t>ASTRAL</t>
  </si>
  <si>
    <t>STAR</t>
  </si>
  <si>
    <t>Span Margin Per Unit</t>
  </si>
  <si>
    <t>Span Margin%</t>
  </si>
  <si>
    <t>Exposure Margin%</t>
  </si>
  <si>
    <t>Total Margin%</t>
  </si>
  <si>
    <t>Span Margin Per Lot</t>
  </si>
  <si>
    <t>Exposure Margin Per Lot</t>
  </si>
  <si>
    <t>CANFINHOME</t>
  </si>
  <si>
    <t>DIXON</t>
  </si>
  <si>
    <t>HAL</t>
  </si>
  <si>
    <t>IEX</t>
  </si>
  <si>
    <t>INDIAMART</t>
  </si>
  <si>
    <t>IPCALAB</t>
  </si>
  <si>
    <t>MCX</t>
  </si>
  <si>
    <t>OFSS</t>
  </si>
  <si>
    <t>POLYCAB</t>
  </si>
  <si>
    <t>SYNGENE</t>
  </si>
  <si>
    <t>IV</t>
  </si>
  <si>
    <t>ABBOTINDIA</t>
  </si>
  <si>
    <t>CROMPTON</t>
  </si>
  <si>
    <t>DALBHARAT</t>
  </si>
  <si>
    <t>DELTACORP</t>
  </si>
  <si>
    <t>INDIACEM</t>
  </si>
  <si>
    <t>JKCEMENT</t>
  </si>
  <si>
    <t>OBEROIRLTY</t>
  </si>
  <si>
    <t>PERSISTENT</t>
  </si>
  <si>
    <t>ATUL</t>
  </si>
  <si>
    <t>BSOFT</t>
  </si>
  <si>
    <t>CHAMBLFERT</t>
  </si>
  <si>
    <t>FSL</t>
  </si>
  <si>
    <t>GSPL</t>
  </si>
  <si>
    <t>LAURUSLABS</t>
  </si>
  <si>
    <t>SBICARD</t>
  </si>
  <si>
    <t>WHIRLPOOL</t>
  </si>
  <si>
    <t>Compatibility Report for FnO_Market_Trading_Kit_22-Dec-21.xls</t>
  </si>
  <si>
    <t>Run on 23-12-2021 18:48</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</si>
  <si>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</si>
  <si>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</si>
  <si>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</si>
  <si>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</si>
  <si>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ABCAPITAL</t>
  </si>
  <si>
    <t>BALRAMCHIN</t>
  </si>
  <si>
    <t>GNFC</t>
  </si>
  <si>
    <t>HINDCOPPER</t>
  </si>
  <si>
    <t>HONAUT</t>
  </si>
  <si>
    <t>IDFC</t>
  </si>
  <si>
    <t>NBCC</t>
  </si>
  <si>
    <t>RAIN</t>
  </si>
  <si>
    <t>TATACOMM</t>
  </si>
  <si>
    <t>ABB</t>
  </si>
  <si>
    <t>INTELLECT</t>
  </si>
  <si>
    <t>Long_Buildup</t>
  </si>
  <si>
    <t>Short_Covering</t>
  </si>
  <si>
    <t>ZYDUSLIFE</t>
  </si>
  <si>
    <t>F&amp;O Market Trading Kit for 2 May 2022</t>
  </si>
  <si>
    <t>MOTHERSON</t>
  </si>
  <si>
    <t>`</t>
  </si>
  <si>
    <t>LTIM</t>
  </si>
  <si>
    <t>SHRIRAMFIN</t>
  </si>
  <si>
    <t>MIDCPNIFTY</t>
  </si>
  <si>
    <t>PVRINOX</t>
  </si>
  <si>
    <t>LTF</t>
  </si>
  <si>
    <t>NIFTYNXT50</t>
  </si>
  <si>
    <t>Short_Buildup</t>
  </si>
  <si>
    <t>Long_Unwinding</t>
  </si>
  <si>
    <t>UNITDSPR</t>
  </si>
  <si>
    <t>JIOFIN</t>
  </si>
  <si>
    <t>ZOMATO</t>
  </si>
  <si>
    <t>CYIENT</t>
  </si>
  <si>
    <t>POLICYBZR</t>
  </si>
  <si>
    <t>SUPREMEIND</t>
  </si>
  <si>
    <t>PAYTM</t>
  </si>
  <si>
    <t>HFCL</t>
  </si>
  <si>
    <t>KPITTECH</t>
  </si>
  <si>
    <t>INDIANB</t>
  </si>
  <si>
    <t>ADANIENSOL</t>
  </si>
  <si>
    <t>JSWENERGY</t>
  </si>
  <si>
    <t>JSL</t>
  </si>
  <si>
    <t>KALYANKJIL</t>
  </si>
  <si>
    <t>DMART</t>
  </si>
  <si>
    <t>BSE</t>
  </si>
  <si>
    <t>NHPC</t>
  </si>
  <si>
    <t>VBL</t>
  </si>
  <si>
    <t>OIL</t>
  </si>
  <si>
    <t>LODHA</t>
  </si>
  <si>
    <t>ATGL</t>
  </si>
  <si>
    <t>YESBANK</t>
  </si>
  <si>
    <t>NCC</t>
  </si>
  <si>
    <t>IRFC</t>
  </si>
  <si>
    <t>UNIONBANK</t>
  </si>
  <si>
    <t>IRB</t>
  </si>
  <si>
    <t>TIINDIA</t>
  </si>
  <si>
    <t>POONAWALLA</t>
  </si>
  <si>
    <t>CDSL</t>
  </si>
  <si>
    <t>APLAPOLLO</t>
  </si>
  <si>
    <t>SJVN</t>
  </si>
  <si>
    <t>DELHIVERY</t>
  </si>
  <si>
    <t>CESC</t>
  </si>
  <si>
    <t>BANKINDIA</t>
  </si>
  <si>
    <t>MAXHEALTH</t>
  </si>
  <si>
    <t>TATAELXSI</t>
  </si>
  <si>
    <t>PRESTIGE</t>
  </si>
  <si>
    <t>ADANIGREEN</t>
  </si>
  <si>
    <t>LICI</t>
  </si>
  <si>
    <t>HUDCO</t>
  </si>
  <si>
    <t>ANGELONE</t>
  </si>
  <si>
    <t>KEI</t>
  </si>
  <si>
    <t>CAMS</t>
  </si>
  <si>
    <t>CGPOWER</t>
  </si>
  <si>
    <t>NYKAA</t>
  </si>
  <si>
    <t>SONACOMS</t>
  </si>
  <si>
    <t>New_Age</t>
  </si>
  <si>
    <t>ALL</t>
  </si>
  <si>
    <t>BANKNIFTY FUTURES</t>
  </si>
  <si>
    <t>BANKNIFTY OPTIONS</t>
  </si>
  <si>
    <t>FINNIFTY FUTURES</t>
  </si>
  <si>
    <t>FINNIFTY OPTIONS</t>
  </si>
  <si>
    <t>INDEX FUTURES</t>
  </si>
  <si>
    <t>INDEX OPTIONS</t>
  </si>
  <si>
    <t>MIDCPNIFTY FUTURES</t>
  </si>
  <si>
    <t>MIDCPNIFTY OPTIONS</t>
  </si>
  <si>
    <t>NIFTY FUTURES</t>
  </si>
  <si>
    <t>NIFTY OPTIONS</t>
  </si>
  <si>
    <t>NIFTYNXT50 FUTURES</t>
  </si>
  <si>
    <t>NIFTYNXT50 OPTIONS</t>
  </si>
  <si>
    <t>STOCK FUTURES</t>
  </si>
  <si>
    <t>STOCK OPTIONS</t>
  </si>
  <si>
    <t>GMRAIRPORT</t>
  </si>
  <si>
    <t>Client</t>
  </si>
  <si>
    <t>DII</t>
  </si>
  <si>
    <t>FII</t>
  </si>
  <si>
    <t>Pro</t>
  </si>
  <si>
    <t>Yesterday</t>
  </si>
  <si>
    <t>Today</t>
  </si>
  <si>
    <t>Long</t>
  </si>
  <si>
    <t>Short</t>
  </si>
  <si>
    <t>Net</t>
  </si>
  <si>
    <t>Index Call Option</t>
  </si>
  <si>
    <t>Index Put Option</t>
  </si>
  <si>
    <t>Stock Call Option</t>
  </si>
  <si>
    <t>Stock Put Option</t>
  </si>
  <si>
    <t>PHOENIXLTD</t>
  </si>
  <si>
    <t>SOLARINDS</t>
  </si>
  <si>
    <t>Scrip Name</t>
  </si>
  <si>
    <t>Lot</t>
  </si>
  <si>
    <t>T</t>
  </si>
  <si>
    <t>T-1</t>
  </si>
  <si>
    <t>Change %</t>
  </si>
  <si>
    <t>Fut. Price</t>
  </si>
  <si>
    <t>PCR Vol</t>
  </si>
  <si>
    <t>Value</t>
  </si>
  <si>
    <t>Rs.cr</t>
  </si>
  <si>
    <t>Fut. OI</t>
  </si>
  <si>
    <t>CE OI</t>
  </si>
  <si>
    <t>PE OI</t>
  </si>
  <si>
    <t>Tot. OI</t>
  </si>
  <si>
    <t xml:space="preserve">OI nos. </t>
  </si>
  <si>
    <t>in Lacs</t>
  </si>
  <si>
    <t>Tot. OI (Rs.cr.)</t>
  </si>
  <si>
    <t>TATATECH</t>
  </si>
  <si>
    <t>IREDA</t>
  </si>
  <si>
    <t>PATANJALI</t>
  </si>
  <si>
    <t>ETERNAL</t>
  </si>
  <si>
    <t>HINDZINC</t>
  </si>
  <si>
    <t>INOXWIND</t>
  </si>
  <si>
    <t>PNBHOUSING</t>
  </si>
  <si>
    <t>BDL</t>
  </si>
  <si>
    <t>MANKIND</t>
  </si>
  <si>
    <t>MAZDOCK</t>
  </si>
  <si>
    <t>UNOMINDA</t>
  </si>
  <si>
    <t>RVNL</t>
  </si>
  <si>
    <t>KAYNES</t>
  </si>
  <si>
    <t>FORTIS</t>
  </si>
  <si>
    <t>PPLPHARMA</t>
  </si>
  <si>
    <t>BLUESTARCO</t>
  </si>
  <si>
    <t>PGEL</t>
  </si>
  <si>
    <t>AMBER</t>
  </si>
  <si>
    <t>360ONE</t>
  </si>
  <si>
    <t>KFINTECH</t>
  </si>
  <si>
    <t>SUZLON</t>
  </si>
  <si>
    <t>NUVAMA</t>
  </si>
  <si>
    <t>SAMMAANCAP</t>
  </si>
  <si>
    <t>POWERINDIA</t>
  </si>
  <si>
    <t>INDIAVIX</t>
  </si>
  <si>
    <t>TMPV</t>
  </si>
  <si>
    <t>PREMIERENE</t>
  </si>
  <si>
    <t>BAJAJHLDNG</t>
  </si>
  <si>
    <t>WAAREEENER</t>
  </si>
  <si>
    <t>SWIGGY</t>
  </si>
  <si>
    <t>F&amp;O Market Trading Kit for 28 Jan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</si>
</sst>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409]d\-mmm;@"/>
    <numFmt numFmtId="166" formatCode="#,##0.0"/>
    <numFmt numFmtId="167" formatCode="0.0%"/>
    <numFmt numFmtId="168" formatCode="0.00;[Red]0.00"/>
    <numFmt numFmtId="169" formatCode="0.000"/>
  </numFmts>
  <fonts count="49" x14ac:knownFonts="1">
    <font>
      <sz val="11"/>
      <color theme="1"/>
      <name val="Calibri"/>
      <family val="2"/>
      <scheme val="minor"/>
    </font>
    <font>
      <sz val="10"/>
      <name val="Arial"/>
      <family val="2"/>
    </font>
    <font>
      <b/>
      <sz val="10"/>
      <name val="Arial"/>
      <family val="2"/>
    </font>
    <font>
      <sz val="8"/>
      <name val="Arial"/>
      <family val="2"/>
    </font>
    <font>
      <b/>
      <sz val="8"/>
      <name val="Arial"/>
      <family val="2"/>
    </font>
    <font>
      <sz val="8"/>
      <color indexed="8"/>
      <name val="Arial"/>
      <family val="2"/>
    </font>
    <font>
      <b/>
      <sz val="10"/>
      <color indexed="8"/>
      <name val="Arial"/>
      <family val="2"/>
    </font>
    <font>
      <b/>
      <sz val="8"/>
      <color indexed="9"/>
      <name val="Arial"/>
      <family val="2"/>
    </font>
    <font>
      <b/>
      <sz val="8"/>
      <color indexed="8"/>
      <name val="Arial"/>
      <family val="2"/>
    </font>
    <font>
      <b/>
      <sz val="11"/>
      <color indexed="8"/>
      <name val="Arial"/>
      <family val="2"/>
    </font>
    <font>
      <b/>
      <sz val="11"/>
      <name val="Arial"/>
      <family val="2"/>
    </font>
    <font>
      <sz val="11"/>
      <name val="Arial"/>
      <family val="2"/>
    </font>
    <font>
      <sz val="8"/>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sz val="12"/>
      <color theme="1"/>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Calibri"/>
      <family val="2"/>
      <scheme val="minor"/>
    </font>
    <font>
      <b/>
      <sz val="7.2"/>
      <color theme="1"/>
      <name val="Calibri"/>
      <family val="2"/>
      <scheme val="minor"/>
    </font>
    <font>
      <sz val="7"/>
      <color theme="1"/>
      <name val="Arial"/>
      <family val="2"/>
    </font>
    <font>
      <b/>
      <sz val="7.2"/>
      <color theme="1"/>
      <name val="Arial"/>
      <family val="2"/>
    </font>
    <font>
      <b/>
      <sz val="12.1"/>
      <color theme="1"/>
      <name val="Segoe UI"/>
      <family val="2"/>
    </font>
    <font>
      <sz val="11"/>
      <color theme="1"/>
      <name val="Segoe UI"/>
      <family val="2"/>
    </font>
    <font>
      <b/>
      <sz val="8"/>
      <color theme="1"/>
      <name val="Arial"/>
      <family val="2"/>
    </font>
    <font>
      <b/>
      <sz val="8"/>
      <color theme="1"/>
      <name val="Calibri"/>
      <family val="2"/>
      <scheme val="minor"/>
    </font>
    <font>
      <sz val="11"/>
      <color theme="1"/>
      <name val="Arial"/>
      <family val="2"/>
    </font>
    <font>
      <sz val="10"/>
      <color theme="1"/>
      <name val="Calibri"/>
      <family val="2"/>
      <scheme val="minor"/>
    </font>
    <font>
      <b/>
      <sz val="10"/>
      <color rgb="FF000000"/>
      <name val="Arial"/>
      <family val="2"/>
    </font>
    <font>
      <sz val="10"/>
      <color rgb="FF000000"/>
      <name val="Arial"/>
      <family val="2"/>
    </font>
    <font>
      <b/>
      <sz val="10"/>
      <color rgb="FFC80000"/>
      <name val="Arial"/>
      <family val="2"/>
    </font>
    <font>
      <sz val="10"/>
      <color rgb="FFFF0000"/>
      <name val="Arial"/>
      <family val="2"/>
    </font>
    <font>
      <b/>
      <sz val="10"/>
      <color theme="1"/>
      <name val="Calibri"/>
      <family val="2"/>
      <scheme val="minor"/>
    </font>
    <font>
      <b/>
      <sz val="11"/>
      <color theme="4" tint="-0.499984740745262"/>
      <name val="Arial"/>
      <family val="2"/>
    </font>
    <font>
      <b/>
      <sz val="10"/>
      <color rgb="FFFFFFFF"/>
      <name val="Arial"/>
      <family val="2"/>
    </font>
  </fonts>
  <fills count="51">
    <fill>
      <patternFill patternType="none"/>
    </fill>
    <fill>
      <patternFill patternType="gray125"/>
    </fill>
    <fill>
      <patternFill patternType="solid">
        <fgColor indexed="40"/>
        <bgColor indexed="64"/>
      </patternFill>
    </fill>
    <fill>
      <patternFill patternType="solid">
        <fgColor indexed="51"/>
        <bgColor indexed="64"/>
      </patternFill>
    </fill>
    <fill>
      <patternFill patternType="solid">
        <fgColor indexed="2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59999389629810485"/>
        <bgColor indexed="64"/>
      </patternFill>
    </fill>
    <fill>
      <patternFill patternType="solid">
        <fgColor rgb="FFFFFFFF"/>
        <bgColor indexed="64"/>
      </patternFill>
    </fill>
    <fill>
      <patternFill patternType="solid">
        <fgColor rgb="FFFF7C80"/>
        <bgColor indexed="64"/>
      </patternFill>
    </fill>
    <fill>
      <patternFill patternType="solid">
        <fgColor rgb="FFFFCF37"/>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D9F2F2"/>
        <bgColor indexed="64"/>
      </patternFill>
    </fill>
    <fill>
      <patternFill patternType="solid">
        <fgColor rgb="FFE8F4FD"/>
        <bgColor indexed="64"/>
      </patternFill>
    </fill>
    <fill>
      <patternFill patternType="solid">
        <fgColor rgb="FFFFE6EB"/>
        <bgColor indexed="64"/>
      </patternFill>
    </fill>
    <fill>
      <patternFill patternType="solid">
        <fgColor rgb="FFFFF6E6"/>
        <bgColor indexed="64"/>
      </patternFill>
    </fill>
    <fill>
      <patternFill patternType="solid">
        <fgColor rgb="FFFFA500"/>
        <bgColor indexed="64"/>
      </patternFill>
    </fill>
    <fill>
      <patternFill patternType="solid">
        <fgColor rgb="FFFF6384"/>
        <bgColor indexed="64"/>
      </patternFill>
    </fill>
    <fill>
      <patternFill patternType="solid">
        <fgColor rgb="FF36A2EB"/>
        <bgColor indexed="64"/>
      </patternFill>
    </fill>
    <fill>
      <patternFill patternType="solid">
        <fgColor rgb="FF4BC0C0"/>
        <bgColor indexed="64"/>
      </patternFill>
    </fill>
    <fill>
      <patternFill patternType="solid">
        <fgColor rgb="FFE0E0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0"/>
      </left>
      <right style="thin">
        <color indexed="60"/>
      </right>
      <top style="thin">
        <color indexed="60"/>
      </top>
      <bottom style="thin">
        <color indexed="60"/>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rgb="FFDDDDDD"/>
      </right>
      <top/>
      <bottom/>
      <diagonal/>
    </border>
    <border>
      <left/>
      <right style="medium">
        <color rgb="FFDDDDDD"/>
      </right>
      <top style="medium">
        <color rgb="FFDDDDDD"/>
      </top>
      <bottom style="medium">
        <color rgb="FFDDDDDD"/>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DDDDDD"/>
      </right>
      <top/>
      <bottom style="medium">
        <color rgb="FFDDDDDD"/>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s>
  <cellStyleXfs count="53">
    <xf numFmtId="0" fontId="0" fillId="0" borderId="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5" fillId="29" borderId="0" applyNumberFormat="0" applyBorder="0" applyAlignment="0" applyProtection="0"/>
    <xf numFmtId="0" fontId="16" fillId="30" borderId="27" applyNumberFormat="0" applyAlignment="0" applyProtection="0"/>
    <xf numFmtId="0" fontId="17" fillId="31" borderId="28" applyNumberFormat="0" applyAlignment="0" applyProtection="0"/>
    <xf numFmtId="0" fontId="18" fillId="0" borderId="0" applyNumberFormat="0" applyFill="0" applyBorder="0" applyAlignment="0" applyProtection="0"/>
    <xf numFmtId="0" fontId="19" fillId="32" borderId="0" applyNumberFormat="0" applyBorder="0" applyAlignment="0" applyProtection="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33" borderId="27" applyNumberFormat="0" applyAlignment="0" applyProtection="0"/>
    <xf numFmtId="0" fontId="24" fillId="0" borderId="32" applyNumberFormat="0" applyFill="0" applyAlignment="0" applyProtection="0"/>
    <xf numFmtId="0" fontId="25" fillId="34" borderId="0" applyNumberFormat="0" applyBorder="0" applyAlignment="0" applyProtection="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35" borderId="33" applyNumberFormat="0" applyFont="0" applyAlignment="0" applyProtection="0"/>
    <xf numFmtId="0" fontId="27" fillId="30" borderId="34" applyNumberFormat="0" applyAlignment="0" applyProtection="0"/>
    <xf numFmtId="9" fontId="13"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xf numFmtId="0" fontId="29" fillId="0" borderId="35" applyNumberFormat="0" applyFill="0" applyAlignment="0" applyProtection="0"/>
    <xf numFmtId="0" fontId="30" fillId="0" borderId="0" applyNumberFormat="0" applyFill="0" applyBorder="0" applyAlignment="0" applyProtection="0"/>
  </cellStyleXfs>
  <cellXfs count="341">
    <xf numFmtId="0" fontId="0" fillId="0" borderId="0" xfId="0"/>
    <xf numFmtId="2" fontId="3" fillId="0" borderId="0" xfId="0" applyNumberFormat="1" applyFont="1" applyAlignment="1">
      <alignment horizontal="left" vertical="center"/>
    </xf>
    <xf numFmtId="164"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center" vertical="center"/>
    </xf>
    <xf numFmtId="2" fontId="3" fillId="0" borderId="1" xfId="0" applyNumberFormat="1" applyFont="1" applyBorder="1" applyAlignment="1">
      <alignment horizontal="left" vertical="center"/>
    </xf>
    <xf numFmtId="2" fontId="3" fillId="0" borderId="1" xfId="0" applyNumberFormat="1" applyFont="1" applyBorder="1" applyAlignment="1">
      <alignment horizontal="right" vertical="center"/>
    </xf>
    <xf numFmtId="0" fontId="4" fillId="0" borderId="0" xfId="0" applyFont="1"/>
    <xf numFmtId="164" fontId="5" fillId="0" borderId="0" xfId="0" applyNumberFormat="1" applyFont="1" applyAlignment="1"/>
    <xf numFmtId="164" fontId="5" fillId="0" borderId="0" xfId="0" applyNumberFormat="1" applyFont="1" applyAlignment="1">
      <alignment horizontal="right"/>
    </xf>
    <xf numFmtId="2" fontId="3" fillId="0" borderId="1" xfId="0" applyNumberFormat="1" applyFont="1" applyBorder="1"/>
    <xf numFmtId="168" fontId="3" fillId="0" borderId="1" xfId="0" applyNumberFormat="1" applyFont="1" applyBorder="1"/>
    <xf numFmtId="164" fontId="5" fillId="3" borderId="2" xfId="0" applyNumberFormat="1" applyFont="1" applyFill="1" applyBorder="1" applyAlignment="1"/>
    <xf numFmtId="164" fontId="5" fillId="3" borderId="3" xfId="0" applyNumberFormat="1" applyFont="1" applyFill="1" applyBorder="1" applyAlignment="1"/>
    <xf numFmtId="2" fontId="5" fillId="0" borderId="1" xfId="38" applyNumberFormat="1" applyFont="1" applyBorder="1"/>
    <xf numFmtId="10" fontId="5" fillId="0" borderId="1" xfId="0" applyNumberFormat="1" applyFont="1" applyBorder="1"/>
    <xf numFmtId="164" fontId="3" fillId="4" borderId="0" xfId="0" applyNumberFormat="1" applyFont="1" applyFill="1" applyBorder="1" applyAlignment="1" applyProtection="1">
      <alignment horizontal="right" vertical="top"/>
    </xf>
    <xf numFmtId="164" fontId="3" fillId="4" borderId="0" xfId="0" applyNumberFormat="1" applyFont="1" applyFill="1" applyBorder="1" applyAlignment="1" applyProtection="1">
      <alignment horizontal="right" vertical="center"/>
    </xf>
    <xf numFmtId="0" fontId="0" fillId="0" borderId="1" xfId="0" applyBorder="1"/>
    <xf numFmtId="164" fontId="4" fillId="4" borderId="1" xfId="0" applyNumberFormat="1" applyFont="1" applyFill="1" applyBorder="1" applyAlignment="1" applyProtection="1">
      <alignment horizontal="center" vertical="center"/>
    </xf>
    <xf numFmtId="9" fontId="4" fillId="4" borderId="1" xfId="48" applyFont="1" applyFill="1" applyBorder="1" applyAlignment="1" applyProtection="1">
      <alignment horizontal="center" vertical="center"/>
    </xf>
    <xf numFmtId="164" fontId="8" fillId="3" borderId="2" xfId="0" applyNumberFormat="1" applyFont="1" applyFill="1" applyBorder="1" applyAlignment="1"/>
    <xf numFmtId="165" fontId="4" fillId="2" borderId="1" xfId="0" applyNumberFormat="1" applyFont="1" applyFill="1" applyBorder="1" applyAlignment="1">
      <alignment horizontal="center" vertical="top"/>
    </xf>
    <xf numFmtId="0" fontId="4" fillId="2" borderId="1" xfId="0" applyFont="1" applyFill="1" applyBorder="1"/>
    <xf numFmtId="0" fontId="4" fillId="2" borderId="1" xfId="0" applyFont="1" applyFill="1" applyBorder="1" applyAlignment="1">
      <alignment horizontal="center"/>
    </xf>
    <xf numFmtId="0" fontId="4" fillId="2" borderId="1" xfId="0" applyFont="1" applyFill="1" applyBorder="1" applyAlignment="1">
      <alignment horizontal="right"/>
    </xf>
    <xf numFmtId="2" fontId="4" fillId="2" borderId="1" xfId="49" applyNumberFormat="1" applyFont="1" applyFill="1" applyBorder="1" applyAlignment="1">
      <alignment horizontal="center"/>
    </xf>
    <xf numFmtId="0" fontId="3" fillId="2" borderId="1" xfId="0" applyFont="1" applyFill="1" applyBorder="1"/>
    <xf numFmtId="164" fontId="8" fillId="2" borderId="1" xfId="0" applyNumberFormat="1" applyFont="1" applyFill="1" applyBorder="1" applyAlignment="1"/>
    <xf numFmtId="164" fontId="8" fillId="2" borderId="1" xfId="0" applyNumberFormat="1" applyFont="1" applyFill="1" applyBorder="1"/>
    <xf numFmtId="164" fontId="8" fillId="2" borderId="4" xfId="0" applyNumberFormat="1" applyFont="1" applyFill="1" applyBorder="1" applyAlignment="1"/>
    <xf numFmtId="164" fontId="8" fillId="2" borderId="5" xfId="0" applyNumberFormat="1" applyFont="1" applyFill="1" applyBorder="1" applyAlignment="1"/>
    <xf numFmtId="165" fontId="4" fillId="2" borderId="6" xfId="0" applyNumberFormat="1" applyFont="1" applyFill="1" applyBorder="1" applyAlignment="1" applyProtection="1">
      <alignment horizontal="center" vertical="center"/>
    </xf>
    <xf numFmtId="164" fontId="8" fillId="2" borderId="1" xfId="0" applyNumberFormat="1" applyFont="1" applyFill="1" applyBorder="1" applyAlignment="1">
      <alignment horizontal="right" vertical="center"/>
    </xf>
    <xf numFmtId="2" fontId="3" fillId="0" borderId="1" xfId="0" applyNumberFormat="1" applyFont="1" applyBorder="1" applyAlignment="1">
      <alignment horizontal="right" vertical="center" indent="1"/>
    </xf>
    <xf numFmtId="3" fontId="4" fillId="2" borderId="1" xfId="0" applyNumberFormat="1" applyFont="1" applyFill="1" applyBorder="1" applyAlignment="1">
      <alignment horizontal="center" vertical="top"/>
    </xf>
    <xf numFmtId="0" fontId="7" fillId="2" borderId="1" xfId="0" applyFont="1" applyFill="1" applyBorder="1" applyAlignment="1">
      <alignment horizontal="right"/>
    </xf>
    <xf numFmtId="0" fontId="7" fillId="2" borderId="1" xfId="0" applyFont="1" applyFill="1" applyBorder="1"/>
    <xf numFmtId="2" fontId="4" fillId="0" borderId="1" xfId="0" applyNumberFormat="1" applyFont="1" applyFill="1" applyBorder="1"/>
    <xf numFmtId="1" fontId="0" fillId="0" borderId="1" xfId="0" applyNumberFormat="1" applyBorder="1"/>
    <xf numFmtId="10" fontId="4" fillId="0" borderId="1" xfId="48" applyNumberFormat="1" applyFont="1" applyFill="1" applyBorder="1"/>
    <xf numFmtId="2" fontId="4" fillId="36" borderId="1" xfId="0" applyNumberFormat="1" applyFont="1" applyFill="1" applyBorder="1"/>
    <xf numFmtId="10" fontId="4" fillId="36" borderId="1" xfId="48" applyNumberFormat="1" applyFont="1" applyFill="1" applyBorder="1"/>
    <xf numFmtId="167" fontId="0" fillId="0" borderId="1" xfId="0" applyNumberFormat="1" applyBorder="1"/>
    <xf numFmtId="0" fontId="3" fillId="0" borderId="0" xfId="0" applyFont="1" applyBorder="1" applyAlignment="1"/>
    <xf numFmtId="0" fontId="3" fillId="0" borderId="0" xfId="0" applyFont="1" applyBorder="1" applyAlignment="1">
      <alignment horizontal="right"/>
    </xf>
    <xf numFmtId="0" fontId="4" fillId="3" borderId="1" xfId="0" applyFont="1" applyFill="1" applyBorder="1" applyAlignment="1">
      <alignment horizontal="center"/>
    </xf>
    <xf numFmtId="0" fontId="2" fillId="0" borderId="0" xfId="43" applyFont="1" applyAlignment="1"/>
    <xf numFmtId="0" fontId="3" fillId="0" borderId="0" xfId="0" applyFont="1" applyBorder="1" applyAlignment="1">
      <alignment vertical="top"/>
    </xf>
    <xf numFmtId="0" fontId="5" fillId="0" borderId="0" xfId="0" applyFont="1" applyBorder="1"/>
    <xf numFmtId="0" fontId="31" fillId="0" borderId="1" xfId="0" applyFont="1" applyBorder="1"/>
    <xf numFmtId="2" fontId="31" fillId="0" borderId="1" xfId="0" applyNumberFormat="1" applyFont="1" applyBorder="1"/>
    <xf numFmtId="1" fontId="31" fillId="0" borderId="1" xfId="0" applyNumberFormat="1" applyFont="1" applyBorder="1"/>
    <xf numFmtId="0" fontId="5" fillId="0" borderId="0" xfId="0" applyFont="1" applyFill="1"/>
    <xf numFmtId="0" fontId="5" fillId="0" borderId="0" xfId="0" applyFont="1"/>
    <xf numFmtId="0" fontId="8" fillId="0" borderId="0" xfId="0" applyFont="1"/>
    <xf numFmtId="0" fontId="32" fillId="0" borderId="0" xfId="0" applyFont="1" applyAlignment="1">
      <alignment vertical="top"/>
    </xf>
    <xf numFmtId="0" fontId="32" fillId="0" borderId="0" xfId="0" applyFont="1"/>
    <xf numFmtId="0" fontId="33" fillId="0" borderId="0" xfId="0" applyFont="1" applyAlignment="1">
      <alignment horizontal="justify" vertical="center"/>
    </xf>
    <xf numFmtId="0" fontId="34" fillId="0" borderId="0" xfId="0" applyFont="1"/>
    <xf numFmtId="0" fontId="35" fillId="0" borderId="0" xfId="0" applyFont="1" applyAlignment="1">
      <alignment horizontal="justify" vertical="top"/>
    </xf>
    <xf numFmtId="0" fontId="36" fillId="37" borderId="0" xfId="0" applyFont="1" applyFill="1" applyBorder="1" applyAlignment="1">
      <alignment horizontal="center" vertical="top" wrapText="1"/>
    </xf>
    <xf numFmtId="3" fontId="37" fillId="37" borderId="0" xfId="0" applyNumberFormat="1" applyFont="1" applyFill="1" applyBorder="1" applyAlignment="1">
      <alignment horizontal="right" vertical="top" indent="1"/>
    </xf>
    <xf numFmtId="168" fontId="4" fillId="2" borderId="1" xfId="0" applyNumberFormat="1" applyFont="1" applyFill="1" applyBorder="1"/>
    <xf numFmtId="0" fontId="5" fillId="0" borderId="0" xfId="0" applyFont="1" applyFill="1" applyBorder="1"/>
    <xf numFmtId="0" fontId="0" fillId="0" borderId="0" xfId="0" applyAlignment="1">
      <alignment vertical="center"/>
    </xf>
    <xf numFmtId="164" fontId="4"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0" fillId="0" borderId="0" xfId="0" applyAlignment="1">
      <alignment horizontal="center" wrapText="1"/>
    </xf>
    <xf numFmtId="2" fontId="3" fillId="38" borderId="1" xfId="0" applyNumberFormat="1" applyFont="1" applyFill="1" applyBorder="1" applyAlignment="1">
      <alignment horizontal="left" vertical="center"/>
    </xf>
    <xf numFmtId="0" fontId="0" fillId="38" borderId="1" xfId="0" applyFill="1" applyBorder="1"/>
    <xf numFmtId="0" fontId="26" fillId="0" borderId="0" xfId="0" applyFont="1" applyAlignment="1">
      <alignment vertical="center"/>
    </xf>
    <xf numFmtId="3" fontId="4" fillId="2" borderId="1" xfId="0" applyNumberFormat="1" applyFont="1" applyFill="1" applyBorder="1" applyAlignment="1">
      <alignment horizontal="center" vertical="center" wrapText="1"/>
    </xf>
    <xf numFmtId="0" fontId="0" fillId="0" borderId="0" xfId="0" applyAlignment="1">
      <alignment vertical="center" wrapText="1"/>
    </xf>
    <xf numFmtId="3" fontId="4" fillId="2" borderId="1" xfId="0" applyNumberFormat="1" applyFont="1" applyFill="1" applyBorder="1" applyAlignment="1">
      <alignment horizontal="center" vertical="center"/>
    </xf>
    <xf numFmtId="0" fontId="29" fillId="0" borderId="0" xfId="0" applyFont="1"/>
    <xf numFmtId="2" fontId="3" fillId="0" borderId="7" xfId="0" applyNumberFormat="1" applyFont="1" applyBorder="1" applyAlignment="1">
      <alignment horizontal="right" vertical="center"/>
    </xf>
    <xf numFmtId="0" fontId="4" fillId="2" borderId="1" xfId="0" applyFont="1" applyFill="1" applyBorder="1" applyAlignment="1">
      <alignment horizontal="center" vertical="center"/>
    </xf>
    <xf numFmtId="164" fontId="4" fillId="2" borderId="7"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2" fontId="3" fillId="0" borderId="1" xfId="0" applyNumberFormat="1" applyFont="1" applyBorder="1" applyAlignment="1">
      <alignment horizontal="left" vertical="center" wrapText="1"/>
    </xf>
    <xf numFmtId="1" fontId="3" fillId="0" borderId="1" xfId="0" applyNumberFormat="1" applyFont="1" applyBorder="1" applyAlignment="1">
      <alignment horizontal="left" vertical="center" wrapText="1"/>
    </xf>
    <xf numFmtId="2" fontId="3" fillId="0" borderId="1" xfId="0" applyNumberFormat="1" applyFont="1" applyBorder="1" applyAlignment="1">
      <alignment horizontal="right" vertical="center" wrapText="1"/>
    </xf>
    <xf numFmtId="1" fontId="3" fillId="0" borderId="1" xfId="0" applyNumberFormat="1" applyFont="1" applyBorder="1" applyAlignment="1">
      <alignment horizontal="right" vertical="center"/>
    </xf>
    <xf numFmtId="0" fontId="0" fillId="0" borderId="1" xfId="0" applyBorder="1" applyAlignment="1">
      <alignment horizontal="right"/>
    </xf>
    <xf numFmtId="0" fontId="29" fillId="0" borderId="0" xfId="0" applyFont="1" applyAlignment="1">
      <alignment vertical="center" wrapText="1"/>
    </xf>
    <xf numFmtId="0" fontId="0" fillId="0" borderId="0" xfId="0" applyFont="1" applyBorder="1" applyAlignment="1">
      <alignment vertical="center"/>
    </xf>
    <xf numFmtId="0" fontId="31" fillId="0" borderId="1" xfId="0" applyFont="1" applyBorder="1" applyAlignment="1">
      <alignment horizontal="right"/>
    </xf>
    <xf numFmtId="10" fontId="31" fillId="0" borderId="1" xfId="48" applyNumberFormat="1" applyFont="1" applyBorder="1" applyAlignment="1">
      <alignment horizontal="right"/>
    </xf>
    <xf numFmtId="0" fontId="31" fillId="0" borderId="0" xfId="0" applyFont="1" applyAlignment="1">
      <alignment vertical="center"/>
    </xf>
    <xf numFmtId="0" fontId="31" fillId="0" borderId="0" xfId="0" applyFont="1" applyAlignment="1">
      <alignment horizontal="right" vertical="center" wrapText="1"/>
    </xf>
    <xf numFmtId="2" fontId="3" fillId="0" borderId="1" xfId="0" applyNumberFormat="1" applyFont="1" applyBorder="1" applyAlignment="1">
      <alignment vertical="center"/>
    </xf>
    <xf numFmtId="0" fontId="31" fillId="0" borderId="1" xfId="0" applyFont="1" applyBorder="1" applyAlignment="1"/>
    <xf numFmtId="10" fontId="31" fillId="0" borderId="1" xfId="48" applyNumberFormat="1" applyFont="1" applyBorder="1" applyAlignment="1"/>
    <xf numFmtId="0" fontId="29" fillId="0" borderId="0" xfId="0" applyFont="1" applyAlignment="1">
      <alignment horizontal="center" vertical="center"/>
    </xf>
    <xf numFmtId="166" fontId="4" fillId="2" borderId="1" xfId="0" applyNumberFormat="1" applyFont="1" applyFill="1" applyBorder="1" applyAlignment="1">
      <alignment horizontal="center" vertical="center"/>
    </xf>
    <xf numFmtId="0" fontId="4" fillId="3" borderId="1" xfId="0" applyFont="1" applyFill="1" applyBorder="1" applyAlignment="1">
      <alignment horizontal="center" wrapText="1"/>
    </xf>
    <xf numFmtId="2" fontId="4" fillId="39" borderId="7" xfId="0" applyNumberFormat="1" applyFont="1" applyFill="1" applyBorder="1" applyAlignment="1">
      <alignment horizontal="left" vertical="center"/>
    </xf>
    <xf numFmtId="2" fontId="4" fillId="39" borderId="1" xfId="0" applyNumberFormat="1" applyFont="1" applyFill="1" applyBorder="1" applyAlignment="1">
      <alignment horizontal="left" vertical="center"/>
    </xf>
    <xf numFmtId="0" fontId="29" fillId="39" borderId="1" xfId="0" applyFont="1" applyFill="1" applyBorder="1"/>
    <xf numFmtId="0" fontId="38" fillId="39" borderId="1" xfId="0" applyFont="1" applyFill="1" applyBorder="1"/>
    <xf numFmtId="2" fontId="38" fillId="39" borderId="1" xfId="0" applyNumberFormat="1" applyFont="1" applyFill="1" applyBorder="1"/>
    <xf numFmtId="0" fontId="38" fillId="39" borderId="1" xfId="0" applyFont="1" applyFill="1" applyBorder="1" applyAlignment="1">
      <alignment vertical="center"/>
    </xf>
    <xf numFmtId="0" fontId="29" fillId="39" borderId="1" xfId="0" applyFont="1" applyFill="1" applyBorder="1" applyAlignment="1">
      <alignment vertical="center"/>
    </xf>
    <xf numFmtId="0" fontId="31" fillId="0" borderId="7" xfId="0" applyFont="1" applyBorder="1"/>
    <xf numFmtId="0" fontId="0" fillId="0" borderId="0" xfId="0" applyBorder="1" applyAlignment="1">
      <alignment horizontal="center" vertical="center"/>
    </xf>
    <xf numFmtId="0" fontId="38" fillId="39" borderId="7" xfId="0" applyFont="1" applyFill="1" applyBorder="1"/>
    <xf numFmtId="0" fontId="4" fillId="2" borderId="7" xfId="0" applyFont="1" applyFill="1" applyBorder="1" applyAlignment="1">
      <alignment horizontal="center" vertical="center"/>
    </xf>
    <xf numFmtId="0" fontId="29" fillId="0" borderId="0" xfId="0" applyFont="1" applyAlignment="1">
      <alignment vertical="center"/>
    </xf>
    <xf numFmtId="3" fontId="3" fillId="2" borderId="7" xfId="0" applyNumberFormat="1" applyFont="1" applyFill="1" applyBorder="1" applyAlignment="1">
      <alignment horizontal="center" vertical="center" wrapText="1"/>
    </xf>
    <xf numFmtId="0" fontId="31" fillId="0" borderId="0" xfId="0" applyFont="1" applyAlignment="1">
      <alignment horizontal="justify" vertical="center"/>
    </xf>
    <xf numFmtId="0" fontId="31" fillId="0" borderId="0" xfId="0" applyFont="1" applyAlignment="1">
      <alignment horizontal="justify" vertical="center" wrapText="1"/>
    </xf>
    <xf numFmtId="0" fontId="38" fillId="0" borderId="0" xfId="0" applyFont="1" applyAlignment="1">
      <alignment horizontal="justify" vertical="center"/>
    </xf>
    <xf numFmtId="0" fontId="38" fillId="0" borderId="0" xfId="0" applyFont="1" applyAlignment="1">
      <alignment vertical="center"/>
    </xf>
    <xf numFmtId="3" fontId="4" fillId="38" borderId="1" xfId="0" applyNumberFormat="1" applyFont="1" applyFill="1" applyBorder="1" applyAlignment="1" applyProtection="1">
      <alignment vertical="center"/>
    </xf>
    <xf numFmtId="4" fontId="4" fillId="38" borderId="1" xfId="0" applyNumberFormat="1" applyFont="1" applyFill="1" applyBorder="1" applyAlignment="1" applyProtection="1">
      <alignment vertical="center"/>
    </xf>
    <xf numFmtId="3" fontId="4" fillId="38" borderId="1" xfId="0" applyNumberFormat="1" applyFont="1" applyFill="1" applyBorder="1" applyAlignment="1" applyProtection="1">
      <alignment horizontal="left" vertical="top"/>
    </xf>
    <xf numFmtId="2" fontId="4" fillId="38" borderId="1" xfId="0" applyNumberFormat="1" applyFont="1" applyFill="1" applyBorder="1" applyAlignment="1">
      <alignment horizontal="right" vertical="center"/>
    </xf>
    <xf numFmtId="2" fontId="39" fillId="38" borderId="1" xfId="0" applyNumberFormat="1" applyFont="1" applyFill="1" applyBorder="1" applyAlignment="1">
      <alignment horizontal="right"/>
    </xf>
    <xf numFmtId="0" fontId="38" fillId="38" borderId="1" xfId="0" applyFont="1" applyFill="1" applyBorder="1" applyAlignment="1">
      <alignment horizontal="left" vertical="center" wrapText="1"/>
    </xf>
    <xf numFmtId="1" fontId="38" fillId="38" borderId="1" xfId="0" applyNumberFormat="1" applyFont="1" applyFill="1" applyBorder="1" applyAlignment="1">
      <alignment horizontal="right" vertical="center" wrapText="1"/>
    </xf>
    <xf numFmtId="2" fontId="38" fillId="38" borderId="1" xfId="0" applyNumberFormat="1" applyFont="1" applyFill="1" applyBorder="1" applyAlignment="1">
      <alignment horizontal="right" vertical="center" wrapText="1"/>
    </xf>
    <xf numFmtId="164" fontId="38" fillId="38" borderId="1" xfId="0" applyNumberFormat="1" applyFont="1" applyFill="1" applyBorder="1" applyAlignment="1">
      <alignment horizontal="right" vertical="center" wrapText="1"/>
    </xf>
    <xf numFmtId="0" fontId="38" fillId="38" borderId="1" xfId="0" applyFont="1" applyFill="1" applyBorder="1" applyAlignment="1">
      <alignment vertical="center"/>
    </xf>
    <xf numFmtId="2" fontId="38" fillId="38" borderId="1" xfId="0" applyNumberFormat="1" applyFont="1" applyFill="1" applyBorder="1" applyAlignment="1">
      <alignment vertical="center"/>
    </xf>
    <xf numFmtId="9" fontId="38" fillId="38" borderId="1" xfId="0" applyNumberFormat="1" applyFont="1" applyFill="1" applyBorder="1" applyAlignment="1">
      <alignment vertical="center"/>
    </xf>
    <xf numFmtId="164"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vertical="center"/>
    </xf>
    <xf numFmtId="1" fontId="38" fillId="38" borderId="1" xfId="0" applyNumberFormat="1" applyFont="1" applyFill="1" applyBorder="1" applyAlignment="1">
      <alignment vertical="center"/>
    </xf>
    <xf numFmtId="167" fontId="38" fillId="38" borderId="1" xfId="48" applyNumberFormat="1" applyFont="1" applyFill="1" applyBorder="1" applyAlignment="1">
      <alignment vertical="center"/>
    </xf>
    <xf numFmtId="169"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xf>
    <xf numFmtId="0" fontId="4" fillId="38" borderId="1" xfId="0" applyNumberFormat="1" applyFont="1" applyFill="1" applyBorder="1" applyAlignment="1" applyProtection="1">
      <alignment horizontal="right"/>
    </xf>
    <xf numFmtId="9" fontId="4" fillId="38" borderId="1" xfId="48" applyFont="1" applyFill="1" applyBorder="1" applyAlignment="1" applyProtection="1">
      <alignment horizontal="right"/>
    </xf>
    <xf numFmtId="3" fontId="4" fillId="38" borderId="1" xfId="0" applyNumberFormat="1" applyFont="1" applyFill="1" applyBorder="1" applyAlignment="1" applyProtection="1">
      <alignment horizontal="right" vertical="top"/>
    </xf>
    <xf numFmtId="10" fontId="4" fillId="38" borderId="1" xfId="48" applyNumberFormat="1" applyFont="1" applyFill="1" applyBorder="1" applyAlignment="1" applyProtection="1">
      <alignment horizontal="right" vertical="top"/>
    </xf>
    <xf numFmtId="0" fontId="4" fillId="38" borderId="1" xfId="0" applyNumberFormat="1" applyFont="1" applyFill="1" applyBorder="1" applyAlignment="1" applyProtection="1">
      <alignment horizontal="right" vertical="center"/>
    </xf>
    <xf numFmtId="0" fontId="3" fillId="38" borderId="1" xfId="0" applyNumberFormat="1" applyFont="1" applyFill="1" applyBorder="1" applyAlignment="1" applyProtection="1">
      <alignment horizontal="right" vertical="center"/>
    </xf>
    <xf numFmtId="2" fontId="4" fillId="38" borderId="1" xfId="0" applyNumberFormat="1" applyFont="1" applyFill="1" applyBorder="1" applyAlignment="1" applyProtection="1">
      <alignment horizontal="right" vertical="center"/>
    </xf>
    <xf numFmtId="1" fontId="4" fillId="38" borderId="1" xfId="0" applyNumberFormat="1" applyFont="1" applyFill="1" applyBorder="1" applyAlignment="1" applyProtection="1">
      <alignment horizontal="right" vertical="center"/>
    </xf>
    <xf numFmtId="9" fontId="3" fillId="0" borderId="1" xfId="48" applyFont="1" applyBorder="1" applyAlignment="1">
      <alignment vertical="center"/>
    </xf>
    <xf numFmtId="164" fontId="31" fillId="0" borderId="1" xfId="0" applyNumberFormat="1" applyFont="1" applyBorder="1"/>
    <xf numFmtId="10" fontId="3" fillId="0" borderId="1" xfId="48" applyNumberFormat="1" applyFont="1" applyBorder="1" applyAlignment="1">
      <alignment horizontal="right" vertical="center"/>
    </xf>
    <xf numFmtId="1" fontId="3" fillId="0" borderId="1" xfId="0" applyNumberFormat="1" applyFont="1" applyBorder="1" applyAlignment="1">
      <alignment vertical="center"/>
    </xf>
    <xf numFmtId="2" fontId="31" fillId="0" borderId="7" xfId="0" applyNumberFormat="1" applyFont="1" applyBorder="1"/>
    <xf numFmtId="2" fontId="31" fillId="0" borderId="1" xfId="0" applyNumberFormat="1" applyFont="1" applyBorder="1" applyAlignment="1">
      <alignment vertical="center"/>
    </xf>
    <xf numFmtId="9" fontId="31" fillId="0" borderId="1" xfId="48" applyFont="1" applyBorder="1" applyAlignment="1">
      <alignment vertical="center"/>
    </xf>
    <xf numFmtId="10" fontId="5" fillId="0" borderId="1" xfId="48" applyNumberFormat="1" applyFont="1" applyBorder="1"/>
    <xf numFmtId="10" fontId="5" fillId="0" borderId="1" xfId="48" applyNumberFormat="1" applyFont="1" applyBorder="1" applyAlignment="1"/>
    <xf numFmtId="10" fontId="4" fillId="2" borderId="1" xfId="48" applyNumberFormat="1" applyFont="1" applyFill="1" applyBorder="1"/>
    <xf numFmtId="9" fontId="38" fillId="38" borderId="1" xfId="48" applyFont="1" applyFill="1" applyBorder="1" applyAlignment="1">
      <alignment vertical="center"/>
    </xf>
    <xf numFmtId="167" fontId="4" fillId="0" borderId="1" xfId="48" applyNumberFormat="1" applyFont="1" applyFill="1" applyBorder="1"/>
    <xf numFmtId="10" fontId="4" fillId="2" borderId="1" xfId="0" applyNumberFormat="1" applyFont="1" applyFill="1" applyBorder="1"/>
    <xf numFmtId="0" fontId="0" fillId="0" borderId="0" xfId="0" applyAlignment="1">
      <alignment horizontal="center"/>
    </xf>
    <xf numFmtId="2" fontId="0" fillId="0" borderId="0" xfId="0" applyNumberFormat="1"/>
    <xf numFmtId="1" fontId="0" fillId="0" borderId="0" xfId="0" applyNumberFormat="1"/>
    <xf numFmtId="2" fontId="8" fillId="0" borderId="1" xfId="38" applyNumberFormat="1" applyFont="1" applyBorder="1"/>
    <xf numFmtId="10" fontId="8" fillId="0" borderId="1" xfId="0" applyNumberFormat="1" applyFont="1" applyBorder="1"/>
    <xf numFmtId="1" fontId="8" fillId="0" borderId="1" xfId="38" applyNumberFormat="1" applyFont="1" applyBorder="1"/>
    <xf numFmtId="0" fontId="8" fillId="0" borderId="1" xfId="38" applyNumberFormat="1" applyFont="1" applyBorder="1"/>
    <xf numFmtId="10" fontId="0" fillId="0" borderId="0" xfId="0" applyNumberFormat="1"/>
    <xf numFmtId="0" fontId="36" fillId="37" borderId="36" xfId="0" applyFont="1" applyFill="1" applyBorder="1" applyAlignment="1">
      <alignment horizontal="center" vertical="top" wrapText="1"/>
    </xf>
    <xf numFmtId="3" fontId="0" fillId="0" borderId="0" xfId="0" applyNumberFormat="1"/>
    <xf numFmtId="0" fontId="4" fillId="2" borderId="1" xfId="0" applyFont="1" applyFill="1" applyBorder="1" applyAlignment="1">
      <alignment vertical="center"/>
    </xf>
    <xf numFmtId="0" fontId="0" fillId="0" borderId="8" xfId="0" applyBorder="1"/>
    <xf numFmtId="0" fontId="36" fillId="37" borderId="37" xfId="0" applyFont="1" applyFill="1" applyBorder="1" applyAlignment="1">
      <alignment horizontal="center" vertical="top" wrapText="1"/>
    </xf>
    <xf numFmtId="1" fontId="3" fillId="0" borderId="1" xfId="0" applyNumberFormat="1" applyFont="1" applyBorder="1" applyAlignment="1">
      <alignment horizontal="right" vertical="center" wrapText="1"/>
    </xf>
    <xf numFmtId="167" fontId="3" fillId="0" borderId="1" xfId="48" applyNumberFormat="1" applyFont="1" applyBorder="1" applyAlignment="1">
      <alignment horizontal="right" vertical="center" wrapText="1"/>
    </xf>
    <xf numFmtId="0" fontId="30" fillId="0" borderId="0" xfId="0" applyFont="1"/>
    <xf numFmtId="0" fontId="5" fillId="0" borderId="0" xfId="0" applyFont="1" applyAlignment="1">
      <alignment horizontal="justify" vertical="center" wrapText="1"/>
    </xf>
    <xf numFmtId="2" fontId="3" fillId="0" borderId="0" xfId="0" applyNumberFormat="1" applyFont="1" applyAlignment="1">
      <alignment horizontal="right" vertical="center"/>
    </xf>
    <xf numFmtId="0" fontId="0" fillId="0" borderId="0" xfId="0" applyAlignment="1">
      <alignment horizontal="right"/>
    </xf>
    <xf numFmtId="0" fontId="40" fillId="0" borderId="0" xfId="0" applyFont="1"/>
    <xf numFmtId="0" fontId="40" fillId="0" borderId="9" xfId="0" applyFont="1" applyBorder="1"/>
    <xf numFmtId="10" fontId="31" fillId="0" borderId="1" xfId="48" applyNumberFormat="1" applyFont="1" applyBorder="1"/>
    <xf numFmtId="0" fontId="4" fillId="2" borderId="1" xfId="0" applyFont="1" applyFill="1" applyBorder="1" applyAlignment="1">
      <alignment horizontal="left" vertical="center"/>
    </xf>
    <xf numFmtId="0" fontId="0" fillId="0" borderId="0" xfId="0" applyBorder="1"/>
    <xf numFmtId="164" fontId="31" fillId="40" borderId="1" xfId="0" applyNumberFormat="1" applyFont="1" applyFill="1" applyBorder="1"/>
    <xf numFmtId="0" fontId="3" fillId="2" borderId="7"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xf numFmtId="2" fontId="3" fillId="0" borderId="7" xfId="0" applyNumberFormat="1" applyFont="1" applyFill="1" applyBorder="1" applyAlignment="1">
      <alignment horizontal="right" vertical="center"/>
    </xf>
    <xf numFmtId="0" fontId="29" fillId="0" borderId="0" xfId="0" applyNumberFormat="1" applyFont="1" applyAlignment="1">
      <alignment vertical="top" wrapText="1"/>
    </xf>
    <xf numFmtId="0" fontId="29"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10" xfId="0" applyNumberFormat="1" applyBorder="1" applyAlignment="1">
      <alignment vertical="top" wrapText="1"/>
    </xf>
    <xf numFmtId="0" fontId="0" fillId="0" borderId="11" xfId="0" applyBorder="1" applyAlignment="1">
      <alignment vertical="top" wrapText="1"/>
    </xf>
    <xf numFmtId="0" fontId="29" fillId="0" borderId="0" xfId="0" applyFont="1" applyAlignment="1">
      <alignment horizontal="center" vertical="top" wrapText="1"/>
    </xf>
    <xf numFmtId="0" fontId="0" fillId="0" borderId="0" xfId="0" applyAlignment="1">
      <alignment horizontal="center" vertical="top" wrapText="1"/>
    </xf>
    <xf numFmtId="0" fontId="29" fillId="0" borderId="0" xfId="0" applyNumberFormat="1" applyFont="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4" fontId="5" fillId="0" borderId="0" xfId="0" applyNumberFormat="1" applyFont="1"/>
    <xf numFmtId="4" fontId="8" fillId="0" borderId="0" xfId="0" applyNumberFormat="1" applyFont="1"/>
    <xf numFmtId="4" fontId="5" fillId="0" borderId="0" xfId="0" applyNumberFormat="1" applyFont="1" applyBorder="1"/>
    <xf numFmtId="0" fontId="0" fillId="41" borderId="0" xfId="0" applyFill="1"/>
    <xf numFmtId="49" fontId="12" fillId="0" borderId="13" xfId="0" applyNumberFormat="1" applyFont="1" applyFill="1" applyBorder="1" applyAlignment="1" applyProtection="1">
      <alignment horizontal="left" vertical="center" wrapText="1"/>
    </xf>
    <xf numFmtId="4" fontId="12" fillId="0" borderId="13" xfId="0" applyNumberFormat="1" applyFont="1" applyFill="1" applyBorder="1" applyAlignment="1" applyProtection="1">
      <alignment horizontal="right" vertical="center" wrapText="1"/>
    </xf>
    <xf numFmtId="14" fontId="12" fillId="0" borderId="13" xfId="0" applyNumberFormat="1" applyFont="1" applyFill="1" applyBorder="1" applyAlignment="1" applyProtection="1">
      <alignment horizontal="center" vertical="center" wrapText="1"/>
    </xf>
    <xf numFmtId="49" fontId="12" fillId="0" borderId="13" xfId="0" applyNumberFormat="1" applyFont="1" applyFill="1" applyBorder="1" applyAlignment="1" applyProtection="1">
      <alignment horizontal="right" vertical="center" wrapText="1"/>
    </xf>
    <xf numFmtId="0" fontId="41" fillId="0" borderId="0" xfId="0" applyFont="1"/>
    <xf numFmtId="0" fontId="42" fillId="42" borderId="38" xfId="0" applyFont="1" applyFill="1" applyBorder="1" applyAlignment="1">
      <alignment horizontal="center" wrapText="1"/>
    </xf>
    <xf numFmtId="0" fontId="42" fillId="43" borderId="38" xfId="0" applyFont="1" applyFill="1" applyBorder="1" applyAlignment="1">
      <alignment horizontal="center" wrapText="1"/>
    </xf>
    <xf numFmtId="0" fontId="42" fillId="44" borderId="38" xfId="0" applyFont="1" applyFill="1" applyBorder="1" applyAlignment="1">
      <alignment horizontal="center" wrapText="1"/>
    </xf>
    <xf numFmtId="0" fontId="42" fillId="45" borderId="38" xfId="0" applyFont="1" applyFill="1" applyBorder="1" applyAlignment="1">
      <alignment horizontal="center" wrapText="1"/>
    </xf>
    <xf numFmtId="0" fontId="42" fillId="0" borderId="39" xfId="0" applyFont="1" applyBorder="1" applyAlignment="1">
      <alignment horizontal="left" wrapText="1"/>
    </xf>
    <xf numFmtId="0" fontId="43" fillId="0" borderId="0" xfId="0" applyFont="1" applyAlignment="1">
      <alignment horizontal="right" wrapText="1" indent="1"/>
    </xf>
    <xf numFmtId="0" fontId="43" fillId="0" borderId="40" xfId="0" applyFont="1" applyBorder="1" applyAlignment="1">
      <alignment horizontal="right" wrapText="1" indent="1"/>
    </xf>
    <xf numFmtId="0" fontId="44" fillId="0" borderId="39" xfId="0" applyFont="1" applyBorder="1" applyAlignment="1">
      <alignment horizontal="left" wrapText="1"/>
    </xf>
    <xf numFmtId="0" fontId="42" fillId="0" borderId="40" xfId="0" applyFont="1" applyBorder="1" applyAlignment="1">
      <alignment horizontal="right" wrapText="1" indent="1"/>
    </xf>
    <xf numFmtId="0" fontId="45" fillId="0" borderId="0" xfId="0" applyFont="1" applyAlignment="1">
      <alignment horizontal="right" wrapText="1" indent="1"/>
    </xf>
    <xf numFmtId="0" fontId="42" fillId="0" borderId="41" xfId="0" applyFont="1" applyBorder="1" applyAlignment="1">
      <alignment horizontal="left" wrapText="1"/>
    </xf>
    <xf numFmtId="0" fontId="45" fillId="0" borderId="42" xfId="0" applyFont="1" applyBorder="1" applyAlignment="1">
      <alignment horizontal="right" wrapText="1" indent="1"/>
    </xf>
    <xf numFmtId="0" fontId="42" fillId="0" borderId="43" xfId="0" applyFont="1" applyBorder="1" applyAlignment="1">
      <alignment horizontal="right" wrapText="1" indent="1"/>
    </xf>
    <xf numFmtId="0" fontId="43" fillId="0" borderId="42" xfId="0" applyFont="1" applyBorder="1" applyAlignment="1">
      <alignment horizontal="right" wrapText="1" indent="1"/>
    </xf>
    <xf numFmtId="0" fontId="46" fillId="0" borderId="1" xfId="0" applyFont="1" applyBorder="1"/>
    <xf numFmtId="2" fontId="46" fillId="0" borderId="1" xfId="0" applyNumberFormat="1" applyFont="1" applyBorder="1"/>
    <xf numFmtId="0" fontId="41" fillId="0" borderId="1" xfId="0" applyFont="1" applyBorder="1"/>
    <xf numFmtId="3" fontId="41" fillId="0" borderId="1" xfId="0" applyNumberFormat="1" applyFont="1" applyBorder="1"/>
    <xf numFmtId="4" fontId="41" fillId="0" borderId="1" xfId="0" applyNumberFormat="1" applyFont="1" applyBorder="1"/>
    <xf numFmtId="0" fontId="41" fillId="0" borderId="1" xfId="0" applyNumberFormat="1" applyFont="1" applyBorder="1"/>
    <xf numFmtId="0" fontId="41" fillId="0" borderId="1" xfId="0" applyFont="1" applyBorder="1" applyAlignment="1">
      <alignment horizontal="center"/>
    </xf>
    <xf numFmtId="0" fontId="46" fillId="0" borderId="1" xfId="0" applyFont="1" applyBorder="1" applyAlignment="1">
      <alignment horizontal="center"/>
    </xf>
    <xf numFmtId="4" fontId="46" fillId="0" borderId="1" xfId="0" applyNumberFormat="1" applyFont="1" applyBorder="1"/>
    <xf numFmtId="4" fontId="0" fillId="0" borderId="1" xfId="0" applyNumberFormat="1" applyBorder="1"/>
    <xf numFmtId="10" fontId="0" fillId="0" borderId="1" xfId="0" applyNumberFormat="1" applyBorder="1"/>
    <xf numFmtId="15" fontId="37" fillId="37" borderId="44" xfId="0" applyNumberFormat="1" applyFont="1" applyFill="1" applyBorder="1" applyAlignment="1">
      <alignment horizontal="right" vertical="top" indent="1"/>
    </xf>
    <xf numFmtId="0" fontId="37" fillId="37" borderId="44" xfId="0" applyFont="1" applyFill="1" applyBorder="1" applyAlignment="1">
      <alignment horizontal="left" vertical="top" indent="1"/>
    </xf>
    <xf numFmtId="0" fontId="37" fillId="37" borderId="44" xfId="0" applyFont="1" applyFill="1" applyBorder="1" applyAlignment="1">
      <alignment horizontal="right" vertical="top" indent="1"/>
    </xf>
    <xf numFmtId="10" fontId="37" fillId="37" borderId="44" xfId="0" applyNumberFormat="1" applyFont="1" applyFill="1" applyBorder="1" applyAlignment="1">
      <alignment horizontal="right" vertical="top" indent="1"/>
    </xf>
    <xf numFmtId="3" fontId="37" fillId="37" borderId="44" xfId="0" applyNumberFormat="1" applyFont="1" applyFill="1" applyBorder="1" applyAlignment="1">
      <alignment horizontal="right" vertical="top" indent="1"/>
    </xf>
    <xf numFmtId="4" fontId="37" fillId="37" borderId="44" xfId="0" applyNumberFormat="1" applyFont="1" applyFill="1" applyBorder="1" applyAlignment="1">
      <alignment horizontal="right" vertical="top" indent="1"/>
    </xf>
    <xf numFmtId="4" fontId="0" fillId="0" borderId="0" xfId="0" applyNumberFormat="1"/>
    <xf numFmtId="164" fontId="4" fillId="4" borderId="4" xfId="0" applyNumberFormat="1" applyFont="1" applyFill="1" applyBorder="1" applyAlignment="1" applyProtection="1">
      <alignment horizontal="center" vertical="center"/>
    </xf>
    <xf numFmtId="164" fontId="4" fillId="4" borderId="14" xfId="0" applyNumberFormat="1" applyFont="1" applyFill="1" applyBorder="1" applyAlignment="1" applyProtection="1">
      <alignment horizontal="center" vertical="center"/>
    </xf>
    <xf numFmtId="164" fontId="4" fillId="4" borderId="5" xfId="0" applyNumberFormat="1" applyFont="1" applyFill="1" applyBorder="1" applyAlignment="1" applyProtection="1">
      <alignment horizontal="center" vertical="center"/>
    </xf>
    <xf numFmtId="164" fontId="3" fillId="4" borderId="14" xfId="0" applyNumberFormat="1" applyFont="1" applyFill="1" applyBorder="1" applyAlignment="1" applyProtection="1">
      <alignment horizontal="right" vertical="top"/>
    </xf>
    <xf numFmtId="164" fontId="8" fillId="2" borderId="4" xfId="0" applyNumberFormat="1" applyFont="1" applyFill="1" applyBorder="1" applyAlignment="1">
      <alignment horizontal="left"/>
    </xf>
    <xf numFmtId="164" fontId="8" fillId="2" borderId="5" xfId="0" applyNumberFormat="1" applyFont="1" applyFill="1" applyBorder="1" applyAlignment="1">
      <alignment horizontal="left"/>
    </xf>
    <xf numFmtId="0" fontId="4" fillId="3" borderId="15" xfId="0" applyFont="1" applyFill="1" applyBorder="1" applyAlignment="1">
      <alignment horizontal="center"/>
    </xf>
    <xf numFmtId="164" fontId="8" fillId="2" borderId="4" xfId="0" applyNumberFormat="1" applyFont="1" applyFill="1" applyBorder="1" applyAlignment="1">
      <alignment horizontal="center" vertical="center"/>
    </xf>
    <xf numFmtId="164" fontId="8" fillId="2" borderId="14"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xf numFmtId="164" fontId="47" fillId="0" borderId="8" xfId="40" applyNumberFormat="1" applyFont="1" applyBorder="1" applyAlignment="1">
      <alignment horizontal="center" vertical="center"/>
    </xf>
    <xf numFmtId="164" fontId="47" fillId="0" borderId="16" xfId="40" applyNumberFormat="1" applyFont="1" applyBorder="1" applyAlignment="1">
      <alignment horizontal="center" vertical="center"/>
    </xf>
    <xf numFmtId="164" fontId="47" fillId="0" borderId="9" xfId="40" applyNumberFormat="1" applyFont="1" applyBorder="1" applyAlignment="1">
      <alignment horizontal="center" vertical="center"/>
    </xf>
    <xf numFmtId="164" fontId="2" fillId="0" borderId="17" xfId="40" applyNumberFormat="1" applyFont="1" applyBorder="1" applyAlignment="1">
      <alignment horizontal="center" vertical="center"/>
    </xf>
    <xf numFmtId="164" fontId="2" fillId="0" borderId="18" xfId="40" applyNumberFormat="1" applyFont="1" applyBorder="1" applyAlignment="1">
      <alignment horizontal="center" vertical="center"/>
    </xf>
    <xf numFmtId="164" fontId="2" fillId="0" borderId="19" xfId="40" applyNumberFormat="1" applyFont="1" applyBorder="1" applyAlignment="1">
      <alignment horizontal="center" vertical="center"/>
    </xf>
    <xf numFmtId="164" fontId="4" fillId="2" borderId="20" xfId="0" applyNumberFormat="1" applyFont="1" applyFill="1" applyBorder="1" applyAlignment="1">
      <alignment horizontal="center" vertical="center"/>
    </xf>
    <xf numFmtId="164" fontId="4" fillId="2" borderId="7"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xf>
    <xf numFmtId="164" fontId="4" fillId="2" borderId="14" xfId="0" applyNumberFormat="1" applyFont="1" applyFill="1" applyBorder="1" applyAlignment="1">
      <alignment horizontal="center" vertical="center"/>
    </xf>
    <xf numFmtId="164" fontId="4" fillId="2" borderId="5"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4" fillId="2" borderId="5" xfId="0" applyNumberFormat="1" applyFont="1" applyFill="1" applyBorder="1" applyAlignment="1">
      <alignment horizontal="center" vertical="center" wrapText="1"/>
    </xf>
    <xf numFmtId="3" fontId="4" fillId="38" borderId="1" xfId="0" applyNumberFormat="1" applyFont="1" applyFill="1" applyBorder="1" applyAlignment="1" applyProtection="1">
      <alignment horizontal="left" vertical="center"/>
    </xf>
    <xf numFmtId="3" fontId="4" fillId="2" borderId="1" xfId="0" applyNumberFormat="1" applyFont="1" applyFill="1" applyBorder="1" applyAlignment="1">
      <alignment horizontal="center" vertical="center"/>
    </xf>
    <xf numFmtId="3" fontId="9" fillId="0" borderId="1" xfId="0" applyNumberFormat="1" applyFont="1" applyBorder="1" applyAlignment="1">
      <alignment horizontal="center" vertical="center"/>
    </xf>
    <xf numFmtId="3" fontId="10" fillId="0" borderId="8" xfId="0" applyNumberFormat="1" applyFont="1" applyBorder="1" applyAlignment="1">
      <alignment horizontal="center" vertical="center"/>
    </xf>
    <xf numFmtId="3" fontId="10" fillId="0" borderId="16" xfId="0" applyNumberFormat="1" applyFont="1" applyBorder="1" applyAlignment="1">
      <alignment horizontal="center" vertical="center"/>
    </xf>
    <xf numFmtId="3" fontId="10" fillId="0" borderId="9" xfId="0" applyNumberFormat="1" applyFont="1" applyBorder="1" applyAlignment="1">
      <alignment horizontal="center" vertical="center"/>
    </xf>
    <xf numFmtId="3" fontId="4" fillId="2" borderId="7" xfId="0" applyNumberFormat="1" applyFont="1" applyFill="1" applyBorder="1" applyAlignment="1">
      <alignment horizontal="center" vertical="center"/>
    </xf>
    <xf numFmtId="3" fontId="9" fillId="0" borderId="7"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16" xfId="0" applyFont="1" applyBorder="1" applyAlignment="1">
      <alignment horizontal="center" vertical="center"/>
    </xf>
    <xf numFmtId="0" fontId="11" fillId="0" borderId="16" xfId="0" applyFont="1" applyBorder="1" applyAlignment="1">
      <alignment vertical="center"/>
    </xf>
    <xf numFmtId="0" fontId="11" fillId="0" borderId="9" xfId="0" applyFont="1" applyBorder="1" applyAlignment="1">
      <alignment vertical="center"/>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7" fillId="3" borderId="0" xfId="0" applyFont="1" applyFill="1" applyBorder="1" applyAlignment="1">
      <alignment horizontal="left"/>
    </xf>
    <xf numFmtId="3" fontId="10" fillId="0" borderId="8" xfId="41" applyNumberFormat="1" applyFont="1" applyBorder="1" applyAlignment="1">
      <alignment horizontal="center" vertical="center"/>
    </xf>
    <xf numFmtId="3" fontId="10" fillId="0" borderId="16" xfId="41" applyNumberFormat="1" applyFont="1" applyBorder="1" applyAlignment="1">
      <alignment horizontal="center" vertical="center"/>
    </xf>
    <xf numFmtId="3" fontId="10" fillId="0" borderId="16" xfId="49" applyNumberFormat="1" applyFont="1" applyFill="1" applyBorder="1" applyAlignment="1">
      <alignment horizontal="center" vertical="center"/>
    </xf>
    <xf numFmtId="3" fontId="11" fillId="0" borderId="16" xfId="0" applyNumberFormat="1" applyFont="1" applyBorder="1" applyAlignment="1">
      <alignment horizontal="center" vertical="center"/>
    </xf>
    <xf numFmtId="3" fontId="11" fillId="0" borderId="9" xfId="0" applyNumberFormat="1" applyFont="1" applyBorder="1" applyAlignment="1">
      <alignment horizontal="center" vertical="center"/>
    </xf>
    <xf numFmtId="0" fontId="10" fillId="0" borderId="8" xfId="41" applyFont="1" applyBorder="1" applyAlignment="1">
      <alignment horizontal="center" vertical="center"/>
    </xf>
    <xf numFmtId="0" fontId="10" fillId="0" borderId="16" xfId="41" applyFont="1" applyBorder="1" applyAlignment="1">
      <alignment horizontal="center" vertical="center"/>
    </xf>
    <xf numFmtId="9" fontId="10" fillId="0" borderId="16" xfId="49" applyFont="1" applyFill="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4" fillId="2" borderId="2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5" xfId="0" applyFont="1" applyFill="1" applyBorder="1" applyAlignment="1">
      <alignment horizontal="center" vertical="center"/>
    </xf>
    <xf numFmtId="166" fontId="10" fillId="0" borderId="8" xfId="45" applyNumberFormat="1" applyFont="1" applyBorder="1" applyAlignment="1">
      <alignment horizontal="center" vertical="center" wrapText="1"/>
    </xf>
    <xf numFmtId="166" fontId="10" fillId="0" borderId="16" xfId="45" applyNumberFormat="1" applyFont="1" applyBorder="1" applyAlignment="1">
      <alignment horizontal="center" vertical="center" wrapText="1"/>
    </xf>
    <xf numFmtId="0" fontId="11" fillId="0" borderId="16" xfId="0" applyFont="1" applyBorder="1" applyAlignment="1">
      <alignment vertical="center" wrapText="1"/>
    </xf>
    <xf numFmtId="0" fontId="11" fillId="0" borderId="9" xfId="0" applyFont="1" applyBorder="1" applyAlignment="1">
      <alignment vertical="center" wrapText="1"/>
    </xf>
    <xf numFmtId="166" fontId="4" fillId="2" borderId="7" xfId="0" applyNumberFormat="1" applyFont="1" applyFill="1" applyBorder="1" applyAlignment="1">
      <alignment horizontal="center" vertical="center"/>
    </xf>
    <xf numFmtId="166" fontId="4" fillId="2" borderId="1" xfId="0" applyNumberFormat="1" applyFont="1" applyFill="1" applyBorder="1" applyAlignment="1">
      <alignment horizontal="center" vertical="center"/>
    </xf>
    <xf numFmtId="0" fontId="9" fillId="0" borderId="8" xfId="0" applyFont="1" applyBorder="1" applyAlignment="1">
      <alignment horizontal="center" vertical="center"/>
    </xf>
    <xf numFmtId="0" fontId="9" fillId="0" borderId="16" xfId="0" applyFont="1" applyBorder="1" applyAlignment="1">
      <alignment horizontal="center" vertical="center"/>
    </xf>
    <xf numFmtId="0" fontId="9" fillId="0" borderId="9" xfId="0" applyFont="1" applyBorder="1" applyAlignment="1">
      <alignment horizontal="center" vertical="center"/>
    </xf>
    <xf numFmtId="0" fontId="4" fillId="2" borderId="4" xfId="0" applyFont="1" applyFill="1" applyBorder="1" applyAlignment="1">
      <alignment horizontal="center" vertical="center"/>
    </xf>
    <xf numFmtId="3" fontId="10" fillId="0" borderId="8" xfId="42" applyNumberFormat="1" applyFont="1" applyBorder="1" applyAlignment="1">
      <alignment horizontal="center" vertical="center"/>
    </xf>
    <xf numFmtId="3" fontId="4" fillId="2" borderId="7" xfId="0" applyNumberFormat="1" applyFont="1" applyFill="1" applyBorder="1" applyAlignment="1">
      <alignment horizontal="center" vertical="top"/>
    </xf>
    <xf numFmtId="3" fontId="4" fillId="2" borderId="1" xfId="0" applyNumberFormat="1" applyFont="1" applyFill="1" applyBorder="1" applyAlignment="1">
      <alignment horizontal="center" vertical="top"/>
    </xf>
    <xf numFmtId="0" fontId="4" fillId="2" borderId="1" xfId="0" applyFont="1" applyFill="1" applyBorder="1" applyAlignment="1">
      <alignment horizontal="center" vertical="center"/>
    </xf>
    <xf numFmtId="0" fontId="8" fillId="0" borderId="1" xfId="0" applyFont="1" applyBorder="1" applyAlignment="1">
      <alignment horizontal="center" vertical="center"/>
    </xf>
    <xf numFmtId="0" fontId="10" fillId="0" borderId="8" xfId="44" applyFont="1" applyBorder="1" applyAlignment="1">
      <alignment horizontal="center" vertical="center"/>
    </xf>
    <xf numFmtId="0" fontId="10" fillId="0" borderId="16" xfId="44" applyFont="1" applyBorder="1" applyAlignment="1">
      <alignment horizontal="center" vertical="center"/>
    </xf>
    <xf numFmtId="0" fontId="10" fillId="0" borderId="9" xfId="0" applyFont="1" applyBorder="1" applyAlignment="1">
      <alignment horizontal="center" vertical="center"/>
    </xf>
    <xf numFmtId="0" fontId="10" fillId="0" borderId="8" xfId="43" applyFont="1" applyBorder="1" applyAlignment="1">
      <alignment horizontal="center" vertical="center"/>
    </xf>
    <xf numFmtId="0" fontId="10" fillId="0" borderId="16" xfId="43" applyFont="1" applyBorder="1" applyAlignment="1">
      <alignment horizontal="center" vertical="center"/>
    </xf>
    <xf numFmtId="0" fontId="10" fillId="0" borderId="9" xfId="43" applyFont="1" applyBorder="1" applyAlignment="1">
      <alignment horizontal="center" vertical="center"/>
    </xf>
    <xf numFmtId="164" fontId="9" fillId="0" borderId="8" xfId="0" applyNumberFormat="1" applyFont="1" applyBorder="1" applyAlignment="1">
      <alignment horizontal="center" vertical="center"/>
    </xf>
    <xf numFmtId="164" fontId="9" fillId="0" borderId="16" xfId="0" applyNumberFormat="1" applyFont="1" applyBorder="1" applyAlignment="1">
      <alignment horizontal="center" vertical="center"/>
    </xf>
    <xf numFmtId="164" fontId="9" fillId="0" borderId="9" xfId="0" applyNumberFormat="1" applyFont="1" applyBorder="1" applyAlignment="1">
      <alignment horizontal="center" vertical="center"/>
    </xf>
    <xf numFmtId="164" fontId="4" fillId="2" borderId="1" xfId="0" applyNumberFormat="1" applyFont="1" applyFill="1" applyBorder="1" applyAlignment="1">
      <alignment horizontal="center" vertical="center"/>
    </xf>
    <xf numFmtId="164" fontId="4" fillId="2" borderId="24" xfId="0" applyNumberFormat="1" applyFont="1" applyFill="1" applyBorder="1" applyAlignment="1">
      <alignment horizontal="center" vertical="center"/>
    </xf>
    <xf numFmtId="164" fontId="4" fillId="2" borderId="21" xfId="0" applyNumberFormat="1" applyFont="1" applyFill="1" applyBorder="1" applyAlignment="1">
      <alignment horizontal="center" vertical="center"/>
    </xf>
    <xf numFmtId="0" fontId="10" fillId="0" borderId="25" xfId="43" applyFont="1" applyBorder="1" applyAlignment="1">
      <alignment horizontal="center" vertical="center"/>
    </xf>
    <xf numFmtId="0" fontId="10" fillId="0" borderId="26" xfId="43" applyFont="1" applyBorder="1" applyAlignment="1">
      <alignment horizontal="center" vertical="center"/>
    </xf>
    <xf numFmtId="0" fontId="2" fillId="0" borderId="8"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9" xfId="0" applyFont="1" applyFill="1" applyBorder="1" applyAlignment="1">
      <alignment horizontal="center" vertical="center"/>
    </xf>
    <xf numFmtId="3" fontId="6" fillId="0" borderId="8" xfId="0" applyNumberFormat="1" applyFont="1" applyBorder="1" applyAlignment="1">
      <alignment horizontal="center" vertical="center"/>
    </xf>
    <xf numFmtId="3" fontId="6" fillId="0" borderId="16" xfId="0" applyNumberFormat="1" applyFont="1" applyBorder="1" applyAlignment="1">
      <alignment horizontal="center" vertical="center"/>
    </xf>
    <xf numFmtId="3" fontId="6" fillId="0" borderId="9" xfId="0" applyNumberFormat="1" applyFont="1" applyBorder="1" applyAlignment="1">
      <alignment horizontal="center" vertical="center"/>
    </xf>
    <xf numFmtId="3" fontId="3" fillId="2" borderId="7" xfId="0" applyNumberFormat="1" applyFont="1" applyFill="1" applyBorder="1" applyAlignment="1">
      <alignment horizontal="center" vertical="center" wrapText="1"/>
    </xf>
    <xf numFmtId="0" fontId="48" fillId="46" borderId="45" xfId="0" applyFont="1" applyFill="1" applyBorder="1" applyAlignment="1">
      <alignment horizontal="center" vertical="center" wrapText="1"/>
    </xf>
    <xf numFmtId="0" fontId="48" fillId="46" borderId="46" xfId="0" applyFont="1" applyFill="1" applyBorder="1" applyAlignment="1">
      <alignment horizontal="center" vertical="center" wrapText="1"/>
    </xf>
    <xf numFmtId="0" fontId="48" fillId="46" borderId="47" xfId="0" applyFont="1" applyFill="1" applyBorder="1" applyAlignment="1">
      <alignment horizontal="center" vertical="center" wrapText="1"/>
    </xf>
    <xf numFmtId="0" fontId="48" fillId="47" borderId="45" xfId="0" applyFont="1" applyFill="1" applyBorder="1" applyAlignment="1">
      <alignment horizontal="center" vertical="center" wrapText="1"/>
    </xf>
    <xf numFmtId="0" fontId="48" fillId="47" borderId="46" xfId="0" applyFont="1" applyFill="1" applyBorder="1" applyAlignment="1">
      <alignment horizontal="center" vertical="center" wrapText="1"/>
    </xf>
    <xf numFmtId="0" fontId="48" fillId="47" borderId="47" xfId="0" applyFont="1" applyFill="1" applyBorder="1" applyAlignment="1">
      <alignment horizontal="center" vertical="center" wrapText="1"/>
    </xf>
    <xf numFmtId="0" fontId="48" fillId="48" borderId="45" xfId="0" applyFont="1" applyFill="1" applyBorder="1" applyAlignment="1">
      <alignment horizontal="center" vertical="center" wrapText="1"/>
    </xf>
    <xf numFmtId="0" fontId="48" fillId="48" borderId="46" xfId="0" applyFont="1" applyFill="1" applyBorder="1" applyAlignment="1">
      <alignment horizontal="center" vertical="center" wrapText="1"/>
    </xf>
    <xf numFmtId="0" fontId="48" fillId="48" borderId="47" xfId="0" applyFont="1" applyFill="1" applyBorder="1" applyAlignment="1">
      <alignment horizontal="center" vertical="center" wrapText="1"/>
    </xf>
    <xf numFmtId="0" fontId="48" fillId="49" borderId="45" xfId="0" applyFont="1" applyFill="1" applyBorder="1" applyAlignment="1">
      <alignment horizontal="center" vertical="center" wrapText="1"/>
    </xf>
    <xf numFmtId="0" fontId="48" fillId="49" borderId="46" xfId="0" applyFont="1" applyFill="1" applyBorder="1" applyAlignment="1">
      <alignment horizontal="center" vertical="center" wrapText="1"/>
    </xf>
    <xf numFmtId="0" fontId="48" fillId="49" borderId="47" xfId="0" applyFont="1" applyFill="1" applyBorder="1" applyAlignment="1">
      <alignment horizontal="center" vertical="center" wrapText="1"/>
    </xf>
    <xf numFmtId="0" fontId="42" fillId="50" borderId="48" xfId="0" applyFont="1" applyFill="1" applyBorder="1" applyAlignment="1">
      <alignment horizontal="center" vertical="center" wrapText="1"/>
    </xf>
    <xf numFmtId="0" fontId="42" fillId="50" borderId="41" xfId="0" applyFont="1" applyFill="1" applyBorder="1" applyAlignment="1">
      <alignment horizontal="center" vertical="center" wrapTex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4" xfId="38"/>
    <cellStyle name="Normal 24" xfId="39"/>
    <cellStyle name="Normal 3" xfId="40"/>
    <cellStyle name="Normal 5" xfId="41"/>
    <cellStyle name="Normal 6" xfId="42"/>
    <cellStyle name="Normal 7" xfId="43"/>
    <cellStyle name="Normal 8" xfId="44"/>
    <cellStyle name="Normal 9" xfId="45"/>
    <cellStyle name="Note" xfId="46" builtinId="10" customBuiltin="1"/>
    <cellStyle name="Output" xfId="47" builtinId="21" customBuiltin="1"/>
    <cellStyle name="Percent" xfId="48" builtinId="5"/>
    <cellStyle name="Percent 5" xfId="49"/>
    <cellStyle name="Title" xfId="50" builtinId="15" customBuiltin="1"/>
    <cellStyle name="Total" xfId="51" builtinId="25" customBuiltin="1"/>
    <cellStyle name="Warning Text" xfId="5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queryTables/queryTable1.xml><?xml version="1.0" encoding="utf-8"?>
<queryTable xmlns="http://schemas.openxmlformats.org/spreadsheetml/2006/main" name="Expry Roll  (20)" preserveFormatting="0" connectionId="2"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stats (2)" preserveFormatting="0" connectionId="4"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Expry Roll  (19)" preserveFormatting="0" connectionId="1"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fii" preserveFormatting="0" connectionId="3"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8"/>
  <sheetViews>
    <sheetView tabSelected="1" zoomScale="85" zoomScaleNormal="85" workbookViewId="0">
      <pane ySplit="10" topLeftCell="A222" activePane="bottomLeft" state="frozen"/>
      <selection activeCell="Q163" sqref="Q163"/>
      <selection pane="bottomLeft" activeCell="I247" sqref="I247"/>
    </sheetView>
  </sheetViews>
  <sheetFormatPr defaultRowHeight="15" x14ac:dyDescent="0.25"/>
  <cols>
    <col min="1" max="1" width="18.140625" customWidth="1"/>
    <col min="2" max="2" width="12.140625" bestFit="1" customWidth="1"/>
    <col min="3" max="3" width="10" customWidth="1"/>
    <col min="4" max="4" width="9.7109375" bestFit="1" customWidth="1"/>
    <col min="6" max="6" width="10" bestFit="1" customWidth="1"/>
    <col min="7" max="7" width="10.7109375" bestFit="1" customWidth="1"/>
    <col min="8" max="9" width="9.7109375" bestFit="1" customWidth="1"/>
    <col min="11" max="11" width="6.28515625" customWidth="1"/>
    <col min="12" max="12" width="10.28515625" customWidth="1"/>
    <col min="13" max="13" width="11" bestFit="1" customWidth="1"/>
    <col min="14" max="14" width="11.42578125" bestFit="1" customWidth="1"/>
    <col min="15" max="15" width="7.85546875" customWidth="1"/>
    <col min="16" max="16" width="7.42578125" customWidth="1"/>
    <col min="17" max="17" width="7" customWidth="1"/>
    <col min="18" max="18" width="7.140625" customWidth="1"/>
    <col min="19" max="19" width="6.28515625" bestFit="1" customWidth="1"/>
  </cols>
  <sheetData>
    <row r="1" spans="1:19" hidden="1" x14ac:dyDescent="0.25"/>
    <row r="2" spans="1:19" hidden="1" x14ac:dyDescent="0.25"/>
    <row r="3" spans="1:19" hidden="1" x14ac:dyDescent="0.25"/>
    <row r="4" spans="1:19" hidden="1" x14ac:dyDescent="0.25"/>
    <row r="5" spans="1:19" ht="15.75" thickBot="1" x14ac:dyDescent="0.3"/>
    <row r="6" spans="1:19" ht="21" customHeight="1" thickBot="1" x14ac:dyDescent="0.3">
      <c r="A6" s="243" t="s">
        <v>693</v>
      </c>
      <c r="B6" s="244"/>
      <c r="C6" s="244"/>
      <c r="D6" s="244"/>
      <c r="E6" s="244"/>
      <c r="F6" s="244"/>
      <c r="G6" s="244"/>
      <c r="H6" s="244"/>
      <c r="I6" s="244"/>
      <c r="J6" s="244"/>
      <c r="K6" s="244"/>
      <c r="L6" s="244"/>
      <c r="M6" s="244"/>
      <c r="N6" s="244"/>
      <c r="O6" s="244"/>
      <c r="P6" s="244"/>
      <c r="Q6" s="244"/>
      <c r="R6" s="244"/>
      <c r="S6" s="245"/>
    </row>
    <row r="7" spans="1:19" x14ac:dyDescent="0.25">
      <c r="A7" s="246"/>
      <c r="B7" s="247"/>
      <c r="C7" s="247"/>
      <c r="D7" s="247"/>
      <c r="E7" s="247"/>
      <c r="F7" s="247"/>
      <c r="G7" s="247"/>
      <c r="H7" s="247"/>
      <c r="I7" s="247"/>
      <c r="J7" s="247"/>
      <c r="K7" s="247"/>
      <c r="L7" s="247"/>
      <c r="M7" s="247"/>
      <c r="N7" s="247"/>
      <c r="O7" s="247"/>
      <c r="P7" s="247"/>
      <c r="Q7" s="247"/>
      <c r="R7" s="247"/>
      <c r="S7" s="248"/>
    </row>
    <row r="8" spans="1:19" s="64" customFormat="1" ht="15" customHeight="1" x14ac:dyDescent="0.25">
      <c r="A8" s="249"/>
      <c r="B8" s="2"/>
      <c r="C8" s="251" t="s">
        <v>308</v>
      </c>
      <c r="D8" s="252"/>
      <c r="E8" s="252"/>
      <c r="F8" s="252"/>
      <c r="G8" s="253"/>
      <c r="H8" s="251" t="s">
        <v>309</v>
      </c>
      <c r="I8" s="252"/>
      <c r="J8" s="252"/>
      <c r="K8" s="253"/>
      <c r="L8" s="254" t="s">
        <v>310</v>
      </c>
      <c r="M8" s="255"/>
      <c r="N8" s="255"/>
      <c r="O8" s="256"/>
      <c r="P8" s="251" t="s">
        <v>311</v>
      </c>
      <c r="Q8" s="252"/>
      <c r="R8" s="252"/>
      <c r="S8" s="253"/>
    </row>
    <row r="9" spans="1:19" s="64" customFormat="1" x14ac:dyDescent="0.25">
      <c r="A9" s="250"/>
      <c r="B9" s="2"/>
      <c r="C9" s="2" t="s">
        <v>312</v>
      </c>
      <c r="D9" s="251" t="s">
        <v>313</v>
      </c>
      <c r="E9" s="252"/>
      <c r="F9" s="252"/>
      <c r="G9" s="253"/>
      <c r="H9" s="251" t="s">
        <v>314</v>
      </c>
      <c r="I9" s="252"/>
      <c r="J9" s="252"/>
      <c r="K9" s="253"/>
      <c r="L9" s="251" t="s">
        <v>315</v>
      </c>
      <c r="M9" s="252"/>
      <c r="N9" s="252"/>
      <c r="O9" s="253"/>
      <c r="P9" s="251" t="s">
        <v>316</v>
      </c>
      <c r="Q9" s="253"/>
      <c r="R9" s="251" t="s">
        <v>317</v>
      </c>
      <c r="S9" s="253"/>
    </row>
    <row r="10" spans="1:19" s="67" customFormat="1" ht="27" customHeight="1" x14ac:dyDescent="0.25">
      <c r="A10" s="65" t="s">
        <v>318</v>
      </c>
      <c r="B10" s="65" t="s">
        <v>319</v>
      </c>
      <c r="C10" s="66">
        <f>'Data Vlaue (Cr)'!A2</f>
        <v>46050</v>
      </c>
      <c r="D10" s="66">
        <f>'Data Vlaue (Cr)'!A2</f>
        <v>46050</v>
      </c>
      <c r="E10" s="65" t="s">
        <v>322</v>
      </c>
      <c r="F10" s="65" t="s">
        <v>320</v>
      </c>
      <c r="G10" s="65" t="s">
        <v>321</v>
      </c>
      <c r="H10" s="66">
        <f>D10</f>
        <v>46050</v>
      </c>
      <c r="I10" s="65" t="s">
        <v>322</v>
      </c>
      <c r="J10" s="65" t="s">
        <v>323</v>
      </c>
      <c r="K10" s="65" t="s">
        <v>324</v>
      </c>
      <c r="L10" s="66">
        <f>D10</f>
        <v>46050</v>
      </c>
      <c r="M10" s="65" t="s">
        <v>322</v>
      </c>
      <c r="N10" s="65" t="s">
        <v>323</v>
      </c>
      <c r="O10" s="65" t="s">
        <v>324</v>
      </c>
      <c r="P10" s="66">
        <f>D10</f>
        <v>46050</v>
      </c>
      <c r="Q10" s="65" t="s">
        <v>324</v>
      </c>
      <c r="R10" s="66">
        <f>D10</f>
        <v>46050</v>
      </c>
      <c r="S10" s="65" t="s">
        <v>324</v>
      </c>
    </row>
    <row r="11" spans="1:19" x14ac:dyDescent="0.25">
      <c r="A11" s="96" t="str">
        <f>'Data Vlaue (Cr)'!C2</f>
        <v>360ONE</v>
      </c>
      <c r="B11" s="75">
        <f>VLOOKUP($A11,'Data Vlaue (Cr)'!$C:$FB,2)</f>
        <v>500</v>
      </c>
      <c r="C11" s="75">
        <f>VLOOKUP($A11,'Data Vlaue (Cr)'!$C:$FB,8)</f>
        <v>1139.9000000000001</v>
      </c>
      <c r="D11" s="75">
        <f>VLOOKUP($A11,'Data Vlaue (Cr)'!$C:$FB,4)</f>
        <v>1142.0999999999999</v>
      </c>
      <c r="E11" s="75">
        <f>VLOOKUP($A11,'Data Vlaue (Cr)'!$C:$FB,5)</f>
        <v>1118.5999999999999</v>
      </c>
      <c r="F11" s="75">
        <f>D11-C11</f>
        <v>2.1999999999998181</v>
      </c>
      <c r="G11" s="75">
        <f>(D11-E11)/D11*100</f>
        <v>2.0576131687242798</v>
      </c>
      <c r="H11" s="75">
        <f>VLOOKUP($A11,'Data Vlaue (Cr)'!$C:$FB,99)</f>
        <v>391</v>
      </c>
      <c r="I11" s="75">
        <f>VLOOKUP($A11,'Data Vlaue (Cr)'!$C:$FB,100)</f>
        <v>395</v>
      </c>
      <c r="J11" s="75">
        <f>H11-I11</f>
        <v>-4</v>
      </c>
      <c r="K11" s="75">
        <f>J11/H11*100</f>
        <v>-1.0230179028132993</v>
      </c>
      <c r="L11" s="75">
        <f>VLOOKUP($A11,'Data Vlaue (Cr)'!$C:$FB,67)</f>
        <v>195</v>
      </c>
      <c r="M11" s="75">
        <f>VLOOKUP($A11,'Data Vlaue (Cr)'!$C:$FB,68)</f>
        <v>422</v>
      </c>
      <c r="N11" s="75">
        <f>L11-M11</f>
        <v>-227</v>
      </c>
      <c r="O11" s="75">
        <f>N11/L11*100</f>
        <v>-116.41025641025642</v>
      </c>
      <c r="P11" s="75">
        <f>VLOOKUP($A11,'Data Vlaue (Cr)'!$C:$FB,119)</f>
        <v>0.6</v>
      </c>
      <c r="Q11" s="75">
        <f>VLOOKUP($A11,'Data Vlaue (Cr)'!$C:$FB,122)*100</f>
        <v>11.110000000000001</v>
      </c>
      <c r="R11" s="75">
        <f>VLOOKUP($A11,'Data Vlaue (Cr)'!$C:$FB,125)</f>
        <v>0.43</v>
      </c>
      <c r="S11" s="75">
        <f>VLOOKUP($A11,'Data Vlaue (Cr)'!$C:$FB,128)*100</f>
        <v>-2.27</v>
      </c>
    </row>
    <row r="12" spans="1:19" x14ac:dyDescent="0.25">
      <c r="A12" s="96" t="str">
        <f>'Data Vlaue (Cr)'!C3</f>
        <v>ABB</v>
      </c>
      <c r="B12" s="75">
        <f>VLOOKUP($A12,'Data Vlaue (Cr)'!$C:$FB,2)</f>
        <v>125</v>
      </c>
      <c r="C12" s="75">
        <f>VLOOKUP($A12,'Data Vlaue (Cr)'!$C:$FB,8)</f>
        <v>5043.5</v>
      </c>
      <c r="D12" s="75">
        <f>VLOOKUP($A12,'Data Vlaue (Cr)'!$C:$FB,4)</f>
        <v>5068</v>
      </c>
      <c r="E12" s="75">
        <f>VLOOKUP($A12,'Data Vlaue (Cr)'!$C:$FB,5)</f>
        <v>4736.5</v>
      </c>
      <c r="F12" s="75">
        <f t="shared" ref="F12:F75" si="0">D12-C12</f>
        <v>24.5</v>
      </c>
      <c r="G12" s="75">
        <f t="shared" ref="G12:G74" si="1">(D12-E12)/D12*100</f>
        <v>6.5410418310970799</v>
      </c>
      <c r="H12" s="75">
        <f>VLOOKUP($A12,'Data Vlaue (Cr)'!$C:$FB,99)</f>
        <v>1664</v>
      </c>
      <c r="I12" s="75">
        <f>VLOOKUP($A12,'Data Vlaue (Cr)'!$C:$FB,100)</f>
        <v>1469</v>
      </c>
      <c r="J12" s="75">
        <f t="shared" ref="J12:J75" si="2">H12-I12</f>
        <v>195</v>
      </c>
      <c r="K12" s="75">
        <f t="shared" ref="K12:K75" si="3">J12/H12*100</f>
        <v>11.71875</v>
      </c>
      <c r="L12" s="75">
        <f>VLOOKUP($A12,'Data Vlaue (Cr)'!$C:$FB,67)</f>
        <v>3735</v>
      </c>
      <c r="M12" s="75">
        <f>VLOOKUP($A12,'Data Vlaue (Cr)'!$C:$FB,68)</f>
        <v>1565</v>
      </c>
      <c r="N12" s="75">
        <f t="shared" ref="N12:N75" si="4">L12-M12</f>
        <v>2170</v>
      </c>
      <c r="O12" s="75">
        <f t="shared" ref="O12:O75" si="5">N12/L12*100</f>
        <v>58.099062918340024</v>
      </c>
      <c r="P12" s="75">
        <f>VLOOKUP($A12,'Data Vlaue (Cr)'!$C:$FB,119)</f>
        <v>0.97</v>
      </c>
      <c r="Q12" s="75">
        <f>VLOOKUP($A12,'Data Vlaue (Cr)'!$C:$FB,122)*100</f>
        <v>-27.61</v>
      </c>
      <c r="R12" s="75">
        <f>VLOOKUP($A12,'Data Vlaue (Cr)'!$C:$FB,125)</f>
        <v>0.33</v>
      </c>
      <c r="S12" s="75">
        <f>VLOOKUP($A12,'Data Vlaue (Cr)'!$C:$FB,128)*100</f>
        <v>-61.629999999999995</v>
      </c>
    </row>
    <row r="13" spans="1:19" x14ac:dyDescent="0.25">
      <c r="A13" s="96" t="str">
        <f>'Data Vlaue (Cr)'!C4</f>
        <v>ABCAPITAL</v>
      </c>
      <c r="B13" s="75">
        <f>VLOOKUP($A13,'Data Vlaue (Cr)'!$C:$FB,2)</f>
        <v>3100</v>
      </c>
      <c r="C13" s="75">
        <f>VLOOKUP($A13,'Data Vlaue (Cr)'!$C:$FB,8)</f>
        <v>348.3</v>
      </c>
      <c r="D13" s="75">
        <f>VLOOKUP($A13,'Data Vlaue (Cr)'!$C:$FB,4)</f>
        <v>350.65</v>
      </c>
      <c r="E13" s="75">
        <f>VLOOKUP($A13,'Data Vlaue (Cr)'!$C:$FB,5)</f>
        <v>351.2</v>
      </c>
      <c r="F13" s="75">
        <f t="shared" si="0"/>
        <v>2.3499999999999659</v>
      </c>
      <c r="G13" s="75">
        <f t="shared" si="1"/>
        <v>-0.15685156138600068</v>
      </c>
      <c r="H13" s="75">
        <f>VLOOKUP($A13,'Data Vlaue (Cr)'!$C:$FB,99)</f>
        <v>3163</v>
      </c>
      <c r="I13" s="75">
        <f>VLOOKUP($A13,'Data Vlaue (Cr)'!$C:$FB,100)</f>
        <v>3070</v>
      </c>
      <c r="J13" s="75">
        <f t="shared" si="2"/>
        <v>93</v>
      </c>
      <c r="K13" s="75">
        <f t="shared" si="3"/>
        <v>2.9402466013278534</v>
      </c>
      <c r="L13" s="75">
        <f>VLOOKUP($A13,'Data Vlaue (Cr)'!$C:$FB,67)</f>
        <v>1130</v>
      </c>
      <c r="M13" s="75">
        <f>VLOOKUP($A13,'Data Vlaue (Cr)'!$C:$FB,68)</f>
        <v>2693</v>
      </c>
      <c r="N13" s="75">
        <f t="shared" si="4"/>
        <v>-1563</v>
      </c>
      <c r="O13" s="75">
        <f t="shared" si="5"/>
        <v>-138.31858407079648</v>
      </c>
      <c r="P13" s="75">
        <f>VLOOKUP($A13,'Data Vlaue (Cr)'!$C:$FB,119)</f>
        <v>0.75</v>
      </c>
      <c r="Q13" s="75">
        <f>VLOOKUP($A13,'Data Vlaue (Cr)'!$C:$FB,122)*100</f>
        <v>-6.25</v>
      </c>
      <c r="R13" s="75">
        <f>VLOOKUP($A13,'Data Vlaue (Cr)'!$C:$FB,125)</f>
        <v>0.5</v>
      </c>
      <c r="S13" s="75">
        <f>VLOOKUP($A13,'Data Vlaue (Cr)'!$C:$FB,128)*100</f>
        <v>-54.55</v>
      </c>
    </row>
    <row r="14" spans="1:19" x14ac:dyDescent="0.25">
      <c r="A14" s="96" t="str">
        <f>'Data Vlaue (Cr)'!C5</f>
        <v>ADANIENSOL</v>
      </c>
      <c r="B14" s="75">
        <f>VLOOKUP($A14,'Data Vlaue (Cr)'!$C:$FB,2)</f>
        <v>675</v>
      </c>
      <c r="C14" s="75">
        <f>VLOOKUP($A14,'Data Vlaue (Cr)'!$C:$FB,8)</f>
        <v>882</v>
      </c>
      <c r="D14" s="75">
        <f>VLOOKUP($A14,'Data Vlaue (Cr)'!$C:$FB,4)</f>
        <v>885.4</v>
      </c>
      <c r="E14" s="75">
        <f>VLOOKUP($A14,'Data Vlaue (Cr)'!$C:$FB,5)</f>
        <v>853.4</v>
      </c>
      <c r="F14" s="75">
        <f t="shared" si="0"/>
        <v>3.3999999999999773</v>
      </c>
      <c r="G14" s="75">
        <f t="shared" si="1"/>
        <v>3.6141856787892479</v>
      </c>
      <c r="H14" s="75">
        <f>VLOOKUP($A14,'Data Vlaue (Cr)'!$C:$FB,99)</f>
        <v>2319</v>
      </c>
      <c r="I14" s="75">
        <f>VLOOKUP($A14,'Data Vlaue (Cr)'!$C:$FB,100)</f>
        <v>2249</v>
      </c>
      <c r="J14" s="75">
        <f t="shared" si="2"/>
        <v>70</v>
      </c>
      <c r="K14" s="75">
        <f t="shared" si="3"/>
        <v>3.0185424752048298</v>
      </c>
      <c r="L14" s="75">
        <f>VLOOKUP($A14,'Data Vlaue (Cr)'!$C:$FB,67)</f>
        <v>1045</v>
      </c>
      <c r="M14" s="75">
        <f>VLOOKUP($A14,'Data Vlaue (Cr)'!$C:$FB,68)</f>
        <v>2504</v>
      </c>
      <c r="N14" s="75">
        <f t="shared" si="4"/>
        <v>-1459</v>
      </c>
      <c r="O14" s="75">
        <f>N14/L14*100</f>
        <v>-139.61722488038276</v>
      </c>
      <c r="P14" s="75">
        <f>VLOOKUP($A14,'Data Vlaue (Cr)'!$C:$FB,119)</f>
        <v>0.66</v>
      </c>
      <c r="Q14" s="75">
        <f>VLOOKUP($A14,'Data Vlaue (Cr)'!$C:$FB,122)*100</f>
        <v>3.1300000000000003</v>
      </c>
      <c r="R14" s="75">
        <f>VLOOKUP($A14,'Data Vlaue (Cr)'!$C:$FB,125)</f>
        <v>0.49</v>
      </c>
      <c r="S14" s="75">
        <f>VLOOKUP($A14,'Data Vlaue (Cr)'!$C:$FB,128)*100</f>
        <v>-27.939999999999998</v>
      </c>
    </row>
    <row r="15" spans="1:19" x14ac:dyDescent="0.25">
      <c r="A15" s="96" t="str">
        <f>'Data Vlaue (Cr)'!C6</f>
        <v>ADANIENT</v>
      </c>
      <c r="B15" s="75">
        <f>VLOOKUP($A15,'Data Vlaue (Cr)'!$C:$FB,2)</f>
        <v>309</v>
      </c>
      <c r="C15" s="75">
        <f>VLOOKUP($A15,'Data Vlaue (Cr)'!$C:$FB,8)</f>
        <v>1994.7</v>
      </c>
      <c r="D15" s="75">
        <f>VLOOKUP($A15,'Data Vlaue (Cr)'!$C:$FB,4)</f>
        <v>2004.4</v>
      </c>
      <c r="E15" s="75">
        <f>VLOOKUP($A15,'Data Vlaue (Cr)'!$C:$FB,5)</f>
        <v>1969.6</v>
      </c>
      <c r="F15" s="75">
        <f t="shared" si="0"/>
        <v>9.7000000000000455</v>
      </c>
      <c r="G15" s="75">
        <f t="shared" si="1"/>
        <v>1.7361804031131602</v>
      </c>
      <c r="H15" s="75">
        <f>VLOOKUP($A15,'Data Vlaue (Cr)'!$C:$FB,99)</f>
        <v>6247</v>
      </c>
      <c r="I15" s="75">
        <f>VLOOKUP($A15,'Data Vlaue (Cr)'!$C:$FB,100)</f>
        <v>6021</v>
      </c>
      <c r="J15" s="75">
        <f t="shared" si="2"/>
        <v>226</v>
      </c>
      <c r="K15" s="75">
        <f t="shared" si="3"/>
        <v>3.6177365135264927</v>
      </c>
      <c r="L15" s="75">
        <f>VLOOKUP($A15,'Data Vlaue (Cr)'!$C:$FB,67)</f>
        <v>3599</v>
      </c>
      <c r="M15" s="75">
        <f>VLOOKUP($A15,'Data Vlaue (Cr)'!$C:$FB,68)</f>
        <v>15964</v>
      </c>
      <c r="N15" s="75">
        <f t="shared" si="4"/>
        <v>-12365</v>
      </c>
      <c r="O15" s="75">
        <f t="shared" si="5"/>
        <v>-343.56765768268963</v>
      </c>
      <c r="P15" s="75">
        <f>VLOOKUP($A15,'Data Vlaue (Cr)'!$C:$FB,119)</f>
        <v>1.08</v>
      </c>
      <c r="Q15" s="75">
        <f>VLOOKUP($A15,'Data Vlaue (Cr)'!$C:$FB,122)*100</f>
        <v>5.88</v>
      </c>
      <c r="R15" s="75">
        <f>VLOOKUP($A15,'Data Vlaue (Cr)'!$C:$FB,125)</f>
        <v>0.68</v>
      </c>
      <c r="S15" s="75">
        <f>VLOOKUP($A15,'Data Vlaue (Cr)'!$C:$FB,128)*100</f>
        <v>25.929999999999996</v>
      </c>
    </row>
    <row r="16" spans="1:19" x14ac:dyDescent="0.25">
      <c r="A16" s="96" t="str">
        <f>'Data Vlaue (Cr)'!C7</f>
        <v>ADANIGREEN</v>
      </c>
      <c r="B16" s="75">
        <f>VLOOKUP($A16,'Data Vlaue (Cr)'!$C:$FB,2)</f>
        <v>600</v>
      </c>
      <c r="C16" s="75">
        <f>VLOOKUP($A16,'Data Vlaue (Cr)'!$C:$FB,8)</f>
        <v>822.9</v>
      </c>
      <c r="D16" s="75">
        <f>VLOOKUP($A16,'Data Vlaue (Cr)'!$C:$FB,4)</f>
        <v>825.8</v>
      </c>
      <c r="E16" s="75">
        <f>VLOOKUP($A16,'Data Vlaue (Cr)'!$C:$FB,5)</f>
        <v>804.4</v>
      </c>
      <c r="F16" s="75">
        <f t="shared" si="0"/>
        <v>2.8999999999999773</v>
      </c>
      <c r="G16" s="75">
        <f t="shared" si="1"/>
        <v>2.5914264955194937</v>
      </c>
      <c r="H16" s="75">
        <f>VLOOKUP($A16,'Data Vlaue (Cr)'!$C:$FB,99)</f>
        <v>2891</v>
      </c>
      <c r="I16" s="75">
        <f>VLOOKUP($A16,'Data Vlaue (Cr)'!$C:$FB,100)</f>
        <v>2711</v>
      </c>
      <c r="J16" s="75">
        <f t="shared" si="2"/>
        <v>180</v>
      </c>
      <c r="K16" s="75">
        <f t="shared" si="3"/>
        <v>6.2262193012798335</v>
      </c>
      <c r="L16" s="75">
        <f>VLOOKUP($A16,'Data Vlaue (Cr)'!$C:$FB,67)</f>
        <v>1871</v>
      </c>
      <c r="M16" s="75">
        <f>VLOOKUP($A16,'Data Vlaue (Cr)'!$C:$FB,68)</f>
        <v>8081</v>
      </c>
      <c r="N16" s="75">
        <f t="shared" si="4"/>
        <v>-6210</v>
      </c>
      <c r="O16" s="75">
        <f t="shared" si="5"/>
        <v>-331.90807055050777</v>
      </c>
      <c r="P16" s="75">
        <f>VLOOKUP($A16,'Data Vlaue (Cr)'!$C:$FB,119)</f>
        <v>0.81</v>
      </c>
      <c r="Q16" s="75">
        <f>VLOOKUP($A16,'Data Vlaue (Cr)'!$C:$FB,122)*100</f>
        <v>-1.22</v>
      </c>
      <c r="R16" s="75">
        <f>VLOOKUP($A16,'Data Vlaue (Cr)'!$C:$FB,125)</f>
        <v>0.51</v>
      </c>
      <c r="S16" s="75">
        <f>VLOOKUP($A16,'Data Vlaue (Cr)'!$C:$FB,128)*100</f>
        <v>-13.56</v>
      </c>
    </row>
    <row r="17" spans="1:19" x14ac:dyDescent="0.25">
      <c r="A17" s="96" t="str">
        <f>'Data Vlaue (Cr)'!C8</f>
        <v>ADANIPORTS</v>
      </c>
      <c r="B17" s="75">
        <f>VLOOKUP($A17,'Data Vlaue (Cr)'!$C:$FB,2)</f>
        <v>475</v>
      </c>
      <c r="C17" s="75">
        <f>VLOOKUP($A17,'Data Vlaue (Cr)'!$C:$FB,8)</f>
        <v>1381.9</v>
      </c>
      <c r="D17" s="75">
        <f>VLOOKUP($A17,'Data Vlaue (Cr)'!$C:$FB,4)</f>
        <v>1386.9</v>
      </c>
      <c r="E17" s="75">
        <f>VLOOKUP($A17,'Data Vlaue (Cr)'!$C:$FB,5)</f>
        <v>1371.3</v>
      </c>
      <c r="F17" s="75">
        <f t="shared" si="0"/>
        <v>5</v>
      </c>
      <c r="G17" s="75">
        <f t="shared" si="1"/>
        <v>1.124810728963886</v>
      </c>
      <c r="H17" s="75">
        <f>VLOOKUP($A17,'Data Vlaue (Cr)'!$C:$FB,99)</f>
        <v>4720</v>
      </c>
      <c r="I17" s="75">
        <f>VLOOKUP($A17,'Data Vlaue (Cr)'!$C:$FB,100)</f>
        <v>4607</v>
      </c>
      <c r="J17" s="75">
        <f t="shared" si="2"/>
        <v>113</v>
      </c>
      <c r="K17" s="75">
        <f t="shared" si="3"/>
        <v>2.3940677966101696</v>
      </c>
      <c r="L17" s="75">
        <f>VLOOKUP($A17,'Data Vlaue (Cr)'!$C:$FB,67)</f>
        <v>2184</v>
      </c>
      <c r="M17" s="75">
        <f>VLOOKUP($A17,'Data Vlaue (Cr)'!$C:$FB,68)</f>
        <v>8045</v>
      </c>
      <c r="N17" s="75">
        <f t="shared" si="4"/>
        <v>-5861</v>
      </c>
      <c r="O17" s="75">
        <f t="shared" si="5"/>
        <v>-268.36080586080584</v>
      </c>
      <c r="P17" s="75">
        <f>VLOOKUP($A17,'Data Vlaue (Cr)'!$C:$FB,119)</f>
        <v>0.95</v>
      </c>
      <c r="Q17" s="75">
        <f>VLOOKUP($A17,'Data Vlaue (Cr)'!$C:$FB,122)*100</f>
        <v>-9.5200000000000014</v>
      </c>
      <c r="R17" s="75">
        <f>VLOOKUP($A17,'Data Vlaue (Cr)'!$C:$FB,125)</f>
        <v>0.62</v>
      </c>
      <c r="S17" s="75">
        <f>VLOOKUP($A17,'Data Vlaue (Cr)'!$C:$FB,128)*100</f>
        <v>-18.420000000000002</v>
      </c>
    </row>
    <row r="18" spans="1:19" x14ac:dyDescent="0.25">
      <c r="A18" s="96" t="str">
        <f>'Data Vlaue (Cr)'!C9</f>
        <v>ALKEM</v>
      </c>
      <c r="B18" s="75">
        <f>VLOOKUP($A18,'Data Vlaue (Cr)'!$C:$FB,2)</f>
        <v>125</v>
      </c>
      <c r="C18" s="75">
        <f>VLOOKUP($A18,'Data Vlaue (Cr)'!$C:$FB,8)</f>
        <v>5722.5</v>
      </c>
      <c r="D18" s="75">
        <f>VLOOKUP($A18,'Data Vlaue (Cr)'!$C:$FB,4)</f>
        <v>5703</v>
      </c>
      <c r="E18" s="75">
        <f>VLOOKUP($A18,'Data Vlaue (Cr)'!$C:$FB,5)</f>
        <v>5750</v>
      </c>
      <c r="F18" s="75">
        <f t="shared" si="0"/>
        <v>-19.5</v>
      </c>
      <c r="G18" s="75">
        <f t="shared" si="1"/>
        <v>-0.82412765211292305</v>
      </c>
      <c r="H18" s="75">
        <f>VLOOKUP($A18,'Data Vlaue (Cr)'!$C:$FB,99)</f>
        <v>776</v>
      </c>
      <c r="I18" s="75">
        <f>VLOOKUP($A18,'Data Vlaue (Cr)'!$C:$FB,100)</f>
        <v>759</v>
      </c>
      <c r="J18" s="75">
        <f t="shared" si="2"/>
        <v>17</v>
      </c>
      <c r="K18" s="75">
        <f t="shared" si="3"/>
        <v>2.1907216494845358</v>
      </c>
      <c r="L18" s="75">
        <f>VLOOKUP($A18,'Data Vlaue (Cr)'!$C:$FB,67)</f>
        <v>191</v>
      </c>
      <c r="M18" s="75">
        <f>VLOOKUP($A18,'Data Vlaue (Cr)'!$C:$FB,68)</f>
        <v>1310</v>
      </c>
      <c r="N18" s="75">
        <f t="shared" si="4"/>
        <v>-1119</v>
      </c>
      <c r="O18" s="75">
        <f t="shared" si="5"/>
        <v>-585.86387434554968</v>
      </c>
      <c r="P18" s="75">
        <f>VLOOKUP($A18,'Data Vlaue (Cr)'!$C:$FB,119)</f>
        <v>0.92</v>
      </c>
      <c r="Q18" s="75">
        <f>VLOOKUP($A18,'Data Vlaue (Cr)'!$C:$FB,122)*100</f>
        <v>15</v>
      </c>
      <c r="R18" s="75">
        <f>VLOOKUP($A18,'Data Vlaue (Cr)'!$C:$FB,125)</f>
        <v>0.85</v>
      </c>
      <c r="S18" s="75">
        <f>VLOOKUP($A18,'Data Vlaue (Cr)'!$C:$FB,128)*100</f>
        <v>-50.870000000000005</v>
      </c>
    </row>
    <row r="19" spans="1:19" x14ac:dyDescent="0.25">
      <c r="A19" s="96" t="str">
        <f>'Data Vlaue (Cr)'!C10</f>
        <v>AMBER</v>
      </c>
      <c r="B19" s="75">
        <f>VLOOKUP($A19,'Data Vlaue (Cr)'!$C:$FB,2)</f>
        <v>100</v>
      </c>
      <c r="C19" s="75">
        <f>VLOOKUP($A19,'Data Vlaue (Cr)'!$C:$FB,8)</f>
        <v>5614</v>
      </c>
      <c r="D19" s="75">
        <f>VLOOKUP($A19,'Data Vlaue (Cr)'!$C:$FB,4)</f>
        <v>5650</v>
      </c>
      <c r="E19" s="75">
        <f>VLOOKUP($A19,'Data Vlaue (Cr)'!$C:$FB,5)</f>
        <v>5555.5</v>
      </c>
      <c r="F19" s="75">
        <f t="shared" si="0"/>
        <v>36</v>
      </c>
      <c r="G19" s="75">
        <f t="shared" si="1"/>
        <v>1.6725663716814159</v>
      </c>
      <c r="H19" s="75">
        <f>VLOOKUP($A19,'Data Vlaue (Cr)'!$C:$FB,99)</f>
        <v>867</v>
      </c>
      <c r="I19" s="75">
        <f>VLOOKUP($A19,'Data Vlaue (Cr)'!$C:$FB,100)</f>
        <v>839</v>
      </c>
      <c r="J19" s="75">
        <f t="shared" si="2"/>
        <v>28</v>
      </c>
      <c r="K19" s="75">
        <f t="shared" si="3"/>
        <v>3.2295271049596308</v>
      </c>
      <c r="L19" s="75">
        <f>VLOOKUP($A19,'Data Vlaue (Cr)'!$C:$FB,67)</f>
        <v>247</v>
      </c>
      <c r="M19" s="75">
        <f>VLOOKUP($A19,'Data Vlaue (Cr)'!$C:$FB,68)</f>
        <v>1385</v>
      </c>
      <c r="N19" s="75">
        <f t="shared" si="4"/>
        <v>-1138</v>
      </c>
      <c r="O19" s="75">
        <f t="shared" si="5"/>
        <v>-460.72874493927128</v>
      </c>
      <c r="P19" s="75">
        <f>VLOOKUP($A19,'Data Vlaue (Cr)'!$C:$FB,119)</f>
        <v>0.81</v>
      </c>
      <c r="Q19" s="75">
        <f>VLOOKUP($A19,'Data Vlaue (Cr)'!$C:$FB,122)*100</f>
        <v>-13.83</v>
      </c>
      <c r="R19" s="75">
        <f>VLOOKUP($A19,'Data Vlaue (Cr)'!$C:$FB,125)</f>
        <v>0.38</v>
      </c>
      <c r="S19" s="75">
        <f>VLOOKUP($A19,'Data Vlaue (Cr)'!$C:$FB,128)*100</f>
        <v>-57.3</v>
      </c>
    </row>
    <row r="20" spans="1:19" x14ac:dyDescent="0.25">
      <c r="A20" s="96" t="str">
        <f>'Data Vlaue (Cr)'!C11</f>
        <v>AMBUJACEM</v>
      </c>
      <c r="B20" s="75">
        <f>VLOOKUP($A20,'Data Vlaue (Cr)'!$C:$FB,2)</f>
        <v>1050</v>
      </c>
      <c r="C20" s="75">
        <f>VLOOKUP($A20,'Data Vlaue (Cr)'!$C:$FB,8)</f>
        <v>533.95000000000005</v>
      </c>
      <c r="D20" s="75">
        <f>VLOOKUP($A20,'Data Vlaue (Cr)'!$C:$FB,4)</f>
        <v>537.25</v>
      </c>
      <c r="E20" s="75">
        <f>VLOOKUP($A20,'Data Vlaue (Cr)'!$C:$FB,5)</f>
        <v>536.15</v>
      </c>
      <c r="F20" s="75">
        <f t="shared" si="0"/>
        <v>3.2999999999999545</v>
      </c>
      <c r="G20" s="75">
        <f t="shared" si="1"/>
        <v>0.20474639367147932</v>
      </c>
      <c r="H20" s="75">
        <f>VLOOKUP($A20,'Data Vlaue (Cr)'!$C:$FB,99)</f>
        <v>3367</v>
      </c>
      <c r="I20" s="75">
        <f>VLOOKUP($A20,'Data Vlaue (Cr)'!$C:$FB,100)</f>
        <v>3307</v>
      </c>
      <c r="J20" s="75">
        <f t="shared" si="2"/>
        <v>60</v>
      </c>
      <c r="K20" s="75">
        <f t="shared" si="3"/>
        <v>1.7820017820017822</v>
      </c>
      <c r="L20" s="75">
        <f>VLOOKUP($A20,'Data Vlaue (Cr)'!$C:$FB,67)</f>
        <v>606</v>
      </c>
      <c r="M20" s="75">
        <f>VLOOKUP($A20,'Data Vlaue (Cr)'!$C:$FB,68)</f>
        <v>3699</v>
      </c>
      <c r="N20" s="75">
        <f t="shared" si="4"/>
        <v>-3093</v>
      </c>
      <c r="O20" s="75">
        <f t="shared" si="5"/>
        <v>-510.39603960396039</v>
      </c>
      <c r="P20" s="75">
        <f>VLOOKUP($A20,'Data Vlaue (Cr)'!$C:$FB,119)</f>
        <v>1.1599999999999999</v>
      </c>
      <c r="Q20" s="75">
        <f>VLOOKUP($A20,'Data Vlaue (Cr)'!$C:$FB,122)*100</f>
        <v>-7.1999999999999993</v>
      </c>
      <c r="R20" s="75">
        <f>VLOOKUP($A20,'Data Vlaue (Cr)'!$C:$FB,125)</f>
        <v>0.59</v>
      </c>
      <c r="S20" s="75">
        <f>VLOOKUP($A20,'Data Vlaue (Cr)'!$C:$FB,128)*100</f>
        <v>-44.86</v>
      </c>
    </row>
    <row r="21" spans="1:19" x14ac:dyDescent="0.25">
      <c r="A21" s="96" t="str">
        <f>'Data Vlaue (Cr)'!C12</f>
        <v>ANGELONE</v>
      </c>
      <c r="B21" s="75">
        <f>VLOOKUP($A21,'Data Vlaue (Cr)'!$C:$FB,2)</f>
        <v>250</v>
      </c>
      <c r="C21" s="75">
        <f>VLOOKUP($A21,'Data Vlaue (Cr)'!$C:$FB,8)</f>
        <v>2615.1</v>
      </c>
      <c r="D21" s="75">
        <f>VLOOKUP($A21,'Data Vlaue (Cr)'!$C:$FB,4)</f>
        <v>2629.1</v>
      </c>
      <c r="E21" s="75">
        <f>VLOOKUP($A21,'Data Vlaue (Cr)'!$C:$FB,5)</f>
        <v>2551.4</v>
      </c>
      <c r="F21" s="75">
        <f t="shared" si="0"/>
        <v>14</v>
      </c>
      <c r="G21" s="75">
        <f t="shared" si="1"/>
        <v>2.9553839717013357</v>
      </c>
      <c r="H21" s="75">
        <f>VLOOKUP($A21,'Data Vlaue (Cr)'!$C:$FB,99)</f>
        <v>1231</v>
      </c>
      <c r="I21" s="75">
        <f>VLOOKUP($A21,'Data Vlaue (Cr)'!$C:$FB,100)</f>
        <v>1186</v>
      </c>
      <c r="J21" s="75">
        <f t="shared" si="2"/>
        <v>45</v>
      </c>
      <c r="K21" s="75">
        <f t="shared" si="3"/>
        <v>3.6555645816409426</v>
      </c>
      <c r="L21" s="75">
        <f>VLOOKUP($A21,'Data Vlaue (Cr)'!$C:$FB,67)</f>
        <v>1480</v>
      </c>
      <c r="M21" s="75">
        <f>VLOOKUP($A21,'Data Vlaue (Cr)'!$C:$FB,68)</f>
        <v>2058</v>
      </c>
      <c r="N21" s="75">
        <f t="shared" si="4"/>
        <v>-578</v>
      </c>
      <c r="O21" s="75">
        <f t="shared" si="5"/>
        <v>-39.054054054054056</v>
      </c>
      <c r="P21" s="75">
        <f>VLOOKUP($A21,'Data Vlaue (Cr)'!$C:$FB,119)</f>
        <v>0.72</v>
      </c>
      <c r="Q21" s="75">
        <f>VLOOKUP($A21,'Data Vlaue (Cr)'!$C:$FB,122)*100</f>
        <v>-25</v>
      </c>
      <c r="R21" s="75">
        <f>VLOOKUP($A21,'Data Vlaue (Cr)'!$C:$FB,125)</f>
        <v>0.35</v>
      </c>
      <c r="S21" s="75">
        <f>VLOOKUP($A21,'Data Vlaue (Cr)'!$C:$FB,128)*100</f>
        <v>-61.96</v>
      </c>
    </row>
    <row r="22" spans="1:19" x14ac:dyDescent="0.25">
      <c r="A22" s="96" t="str">
        <f>'Data Vlaue (Cr)'!C13</f>
        <v>APLAPOLLO</v>
      </c>
      <c r="B22" s="75">
        <f>VLOOKUP($A22,'Data Vlaue (Cr)'!$C:$FB,2)</f>
        <v>350</v>
      </c>
      <c r="C22" s="75">
        <f>VLOOKUP($A22,'Data Vlaue (Cr)'!$C:$FB,8)</f>
        <v>2091</v>
      </c>
      <c r="D22" s="75">
        <f>VLOOKUP($A22,'Data Vlaue (Cr)'!$C:$FB,4)</f>
        <v>2098.5</v>
      </c>
      <c r="E22" s="75">
        <f>VLOOKUP($A22,'Data Vlaue (Cr)'!$C:$FB,5)</f>
        <v>2069.1999999999998</v>
      </c>
      <c r="F22" s="75">
        <f t="shared" si="0"/>
        <v>7.5</v>
      </c>
      <c r="G22" s="75">
        <f t="shared" si="1"/>
        <v>1.3962354062425628</v>
      </c>
      <c r="H22" s="75">
        <f>VLOOKUP($A22,'Data Vlaue (Cr)'!$C:$FB,99)</f>
        <v>2416</v>
      </c>
      <c r="I22" s="75">
        <f>VLOOKUP($A22,'Data Vlaue (Cr)'!$C:$FB,100)</f>
        <v>2503</v>
      </c>
      <c r="J22" s="75">
        <f t="shared" si="2"/>
        <v>-87</v>
      </c>
      <c r="K22" s="75">
        <f t="shared" si="3"/>
        <v>-3.6009933774834435</v>
      </c>
      <c r="L22" s="75">
        <f>VLOOKUP($A22,'Data Vlaue (Cr)'!$C:$FB,67)</f>
        <v>1038</v>
      </c>
      <c r="M22" s="75">
        <f>VLOOKUP($A22,'Data Vlaue (Cr)'!$C:$FB,68)</f>
        <v>5253</v>
      </c>
      <c r="N22" s="75">
        <f t="shared" si="4"/>
        <v>-4215</v>
      </c>
      <c r="O22" s="75">
        <f t="shared" si="5"/>
        <v>-406.06936416184976</v>
      </c>
      <c r="P22" s="75">
        <f>VLOOKUP($A22,'Data Vlaue (Cr)'!$C:$FB,119)</f>
        <v>0.55000000000000004</v>
      </c>
      <c r="Q22" s="75">
        <f>VLOOKUP($A22,'Data Vlaue (Cr)'!$C:$FB,122)*100</f>
        <v>14.580000000000002</v>
      </c>
      <c r="R22" s="75">
        <f>VLOOKUP($A22,'Data Vlaue (Cr)'!$C:$FB,125)</f>
        <v>0.32</v>
      </c>
      <c r="S22" s="75">
        <f>VLOOKUP($A22,'Data Vlaue (Cr)'!$C:$FB,128)*100</f>
        <v>-17.95</v>
      </c>
    </row>
    <row r="23" spans="1:19" x14ac:dyDescent="0.25">
      <c r="A23" s="96" t="str">
        <f>'Data Vlaue (Cr)'!C14</f>
        <v>APOLLOHOSP</v>
      </c>
      <c r="B23" s="75">
        <f>VLOOKUP($A23,'Data Vlaue (Cr)'!$C:$FB,2)</f>
        <v>125</v>
      </c>
      <c r="C23" s="75">
        <f>VLOOKUP($A23,'Data Vlaue (Cr)'!$C:$FB,8)</f>
        <v>6877.5</v>
      </c>
      <c r="D23" s="75">
        <f>VLOOKUP($A23,'Data Vlaue (Cr)'!$C:$FB,4)</f>
        <v>6892</v>
      </c>
      <c r="E23" s="75">
        <f>VLOOKUP($A23,'Data Vlaue (Cr)'!$C:$FB,5)</f>
        <v>6831.5</v>
      </c>
      <c r="F23" s="75">
        <f t="shared" si="0"/>
        <v>14.5</v>
      </c>
      <c r="G23" s="75">
        <f t="shared" si="1"/>
        <v>0.87782936738247241</v>
      </c>
      <c r="H23" s="75">
        <f>VLOOKUP($A23,'Data Vlaue (Cr)'!$C:$FB,99)</f>
        <v>3378</v>
      </c>
      <c r="I23" s="75">
        <f>VLOOKUP($A23,'Data Vlaue (Cr)'!$C:$FB,100)</f>
        <v>3200</v>
      </c>
      <c r="J23" s="75">
        <f t="shared" si="2"/>
        <v>178</v>
      </c>
      <c r="K23" s="75">
        <f t="shared" si="3"/>
        <v>5.2693901716992304</v>
      </c>
      <c r="L23" s="75">
        <f>VLOOKUP($A23,'Data Vlaue (Cr)'!$C:$FB,67)</f>
        <v>1751</v>
      </c>
      <c r="M23" s="75">
        <f>VLOOKUP($A23,'Data Vlaue (Cr)'!$C:$FB,68)</f>
        <v>3641</v>
      </c>
      <c r="N23" s="75">
        <f t="shared" si="4"/>
        <v>-1890</v>
      </c>
      <c r="O23" s="75">
        <f t="shared" si="5"/>
        <v>-107.93832095945174</v>
      </c>
      <c r="P23" s="75">
        <f>VLOOKUP($A23,'Data Vlaue (Cr)'!$C:$FB,119)</f>
        <v>0.76</v>
      </c>
      <c r="Q23" s="75">
        <f>VLOOKUP($A23,'Data Vlaue (Cr)'!$C:$FB,122)*100</f>
        <v>-5</v>
      </c>
      <c r="R23" s="75">
        <f>VLOOKUP($A23,'Data Vlaue (Cr)'!$C:$FB,125)</f>
        <v>0.31</v>
      </c>
      <c r="S23" s="75">
        <f>VLOOKUP($A23,'Data Vlaue (Cr)'!$C:$FB,128)*100</f>
        <v>-39.22</v>
      </c>
    </row>
    <row r="24" spans="1:19" x14ac:dyDescent="0.25">
      <c r="A24" s="96" t="str">
        <f>'Data Vlaue (Cr)'!C15</f>
        <v>ASHOKLEY</v>
      </c>
      <c r="B24" s="75">
        <f>VLOOKUP($A24,'Data Vlaue (Cr)'!$C:$FB,2)</f>
        <v>5000</v>
      </c>
      <c r="C24" s="75">
        <f>VLOOKUP($A24,'Data Vlaue (Cr)'!$C:$FB,8)</f>
        <v>195.33</v>
      </c>
      <c r="D24" s="75">
        <f>VLOOKUP($A24,'Data Vlaue (Cr)'!$C:$FB,4)</f>
        <v>193.64</v>
      </c>
      <c r="E24" s="75">
        <f>VLOOKUP($A24,'Data Vlaue (Cr)'!$C:$FB,5)</f>
        <v>192.87</v>
      </c>
      <c r="F24" s="75">
        <f t="shared" si="0"/>
        <v>-1.6900000000000261</v>
      </c>
      <c r="G24" s="75">
        <f t="shared" si="1"/>
        <v>0.397645114645725</v>
      </c>
      <c r="H24" s="75">
        <f>VLOOKUP($A24,'Data Vlaue (Cr)'!$C:$FB,99)</f>
        <v>4285</v>
      </c>
      <c r="I24" s="75">
        <f>VLOOKUP($A24,'Data Vlaue (Cr)'!$C:$FB,100)</f>
        <v>4238</v>
      </c>
      <c r="J24" s="75">
        <f t="shared" si="2"/>
        <v>47</v>
      </c>
      <c r="K24" s="75">
        <f t="shared" si="3"/>
        <v>1.0968494749124855</v>
      </c>
      <c r="L24" s="75">
        <f>VLOOKUP($A24,'Data Vlaue (Cr)'!$C:$FB,67)</f>
        <v>3282</v>
      </c>
      <c r="M24" s="75">
        <f>VLOOKUP($A24,'Data Vlaue (Cr)'!$C:$FB,68)</f>
        <v>4108</v>
      </c>
      <c r="N24" s="75">
        <f t="shared" si="4"/>
        <v>-826</v>
      </c>
      <c r="O24" s="75">
        <f t="shared" si="5"/>
        <v>-25.167580743449115</v>
      </c>
      <c r="P24" s="75">
        <f>VLOOKUP($A24,'Data Vlaue (Cr)'!$C:$FB,119)</f>
        <v>0.61</v>
      </c>
      <c r="Q24" s="75">
        <f>VLOOKUP($A24,'Data Vlaue (Cr)'!$C:$FB,122)*100</f>
        <v>5.17</v>
      </c>
      <c r="R24" s="75">
        <f>VLOOKUP($A24,'Data Vlaue (Cr)'!$C:$FB,125)</f>
        <v>0.36</v>
      </c>
      <c r="S24" s="75">
        <f>VLOOKUP($A24,'Data Vlaue (Cr)'!$C:$FB,128)*100</f>
        <v>-26.529999999999998</v>
      </c>
    </row>
    <row r="25" spans="1:19" x14ac:dyDescent="0.25">
      <c r="A25" s="96" t="str">
        <f>'Data Vlaue (Cr)'!C16</f>
        <v>ASIANPAINT</v>
      </c>
      <c r="B25" s="75">
        <f>VLOOKUP($A25,'Data Vlaue (Cr)'!$C:$FB,2)</f>
        <v>250</v>
      </c>
      <c r="C25" s="75">
        <f>VLOOKUP($A25,'Data Vlaue (Cr)'!$C:$FB,8)</f>
        <v>2511.8000000000002</v>
      </c>
      <c r="D25" s="75">
        <f>VLOOKUP($A25,'Data Vlaue (Cr)'!$C:$FB,4)</f>
        <v>2513.9</v>
      </c>
      <c r="E25" s="75">
        <f>VLOOKUP($A25,'Data Vlaue (Cr)'!$C:$FB,5)</f>
        <v>2630</v>
      </c>
      <c r="F25" s="75">
        <f t="shared" si="0"/>
        <v>2.0999999999999091</v>
      </c>
      <c r="G25" s="75">
        <f t="shared" si="1"/>
        <v>-4.6183221289629621</v>
      </c>
      <c r="H25" s="75">
        <f>VLOOKUP($A25,'Data Vlaue (Cr)'!$C:$FB,99)</f>
        <v>5593</v>
      </c>
      <c r="I25" s="75">
        <f>VLOOKUP($A25,'Data Vlaue (Cr)'!$C:$FB,100)</f>
        <v>4678</v>
      </c>
      <c r="J25" s="75">
        <f t="shared" si="2"/>
        <v>915</v>
      </c>
      <c r="K25" s="75">
        <f t="shared" si="3"/>
        <v>16.359735383515108</v>
      </c>
      <c r="L25" s="75">
        <f>VLOOKUP($A25,'Data Vlaue (Cr)'!$C:$FB,67)</f>
        <v>12441</v>
      </c>
      <c r="M25" s="75">
        <f>VLOOKUP($A25,'Data Vlaue (Cr)'!$C:$FB,68)</f>
        <v>16645</v>
      </c>
      <c r="N25" s="75">
        <f t="shared" si="4"/>
        <v>-4204</v>
      </c>
      <c r="O25" s="75">
        <f t="shared" si="5"/>
        <v>-33.791495860461382</v>
      </c>
      <c r="P25" s="75">
        <f>VLOOKUP($A25,'Data Vlaue (Cr)'!$C:$FB,119)</f>
        <v>0.64</v>
      </c>
      <c r="Q25" s="75">
        <f>VLOOKUP($A25,'Data Vlaue (Cr)'!$C:$FB,122)*100</f>
        <v>-29.67</v>
      </c>
      <c r="R25" s="75">
        <f>VLOOKUP($A25,'Data Vlaue (Cr)'!$C:$FB,125)</f>
        <v>0.7</v>
      </c>
      <c r="S25" s="75">
        <f>VLOOKUP($A25,'Data Vlaue (Cr)'!$C:$FB,128)*100</f>
        <v>-27.839999999999996</v>
      </c>
    </row>
    <row r="26" spans="1:19" x14ac:dyDescent="0.25">
      <c r="A26" s="96" t="str">
        <f>'Data Vlaue (Cr)'!C17</f>
        <v>ASTRAL</v>
      </c>
      <c r="B26" s="75">
        <f>VLOOKUP($A26,'Data Vlaue (Cr)'!$C:$FB,2)</f>
        <v>425</v>
      </c>
      <c r="C26" s="75">
        <f>VLOOKUP($A26,'Data Vlaue (Cr)'!$C:$FB,8)</f>
        <v>1452.9</v>
      </c>
      <c r="D26" s="75">
        <f>VLOOKUP($A26,'Data Vlaue (Cr)'!$C:$FB,4)</f>
        <v>1456.2</v>
      </c>
      <c r="E26" s="75">
        <f>VLOOKUP($A26,'Data Vlaue (Cr)'!$C:$FB,5)</f>
        <v>1397.7</v>
      </c>
      <c r="F26" s="75">
        <f t="shared" si="0"/>
        <v>3.2999999999999545</v>
      </c>
      <c r="G26" s="75">
        <f t="shared" si="1"/>
        <v>4.0173053152039557</v>
      </c>
      <c r="H26" s="75">
        <f>VLOOKUP($A26,'Data Vlaue (Cr)'!$C:$FB,99)</f>
        <v>1310</v>
      </c>
      <c r="I26" s="75">
        <f>VLOOKUP($A26,'Data Vlaue (Cr)'!$C:$FB,100)</f>
        <v>1251</v>
      </c>
      <c r="J26" s="75">
        <f t="shared" si="2"/>
        <v>59</v>
      </c>
      <c r="K26" s="75">
        <f t="shared" si="3"/>
        <v>4.5038167938931295</v>
      </c>
      <c r="L26" s="75">
        <f>VLOOKUP($A26,'Data Vlaue (Cr)'!$C:$FB,67)</f>
        <v>706</v>
      </c>
      <c r="M26" s="75">
        <f>VLOOKUP($A26,'Data Vlaue (Cr)'!$C:$FB,68)</f>
        <v>944</v>
      </c>
      <c r="N26" s="75">
        <f t="shared" si="4"/>
        <v>-238</v>
      </c>
      <c r="O26" s="75">
        <f t="shared" si="5"/>
        <v>-33.711048158640224</v>
      </c>
      <c r="P26" s="75">
        <f>VLOOKUP($A26,'Data Vlaue (Cr)'!$C:$FB,119)</f>
        <v>0.64</v>
      </c>
      <c r="Q26" s="75">
        <f>VLOOKUP($A26,'Data Vlaue (Cr)'!$C:$FB,122)*100</f>
        <v>-18.990000000000002</v>
      </c>
      <c r="R26" s="75">
        <f>VLOOKUP($A26,'Data Vlaue (Cr)'!$C:$FB,125)</f>
        <v>0.56000000000000005</v>
      </c>
      <c r="S26" s="75">
        <f>VLOOKUP($A26,'Data Vlaue (Cr)'!$C:$FB,128)*100</f>
        <v>3.6999999999999997</v>
      </c>
    </row>
    <row r="27" spans="1:19" x14ac:dyDescent="0.25">
      <c r="A27" s="96" t="str">
        <f>'Data Vlaue (Cr)'!C18</f>
        <v>AUBANK</v>
      </c>
      <c r="B27" s="75">
        <f>VLOOKUP($A27,'Data Vlaue (Cr)'!$C:$FB,2)</f>
        <v>1000</v>
      </c>
      <c r="C27" s="75">
        <f>VLOOKUP($A27,'Data Vlaue (Cr)'!$C:$FB,8)</f>
        <v>962.35</v>
      </c>
      <c r="D27" s="75">
        <f>VLOOKUP($A27,'Data Vlaue (Cr)'!$C:$FB,4)</f>
        <v>967.6</v>
      </c>
      <c r="E27" s="75">
        <f>VLOOKUP($A27,'Data Vlaue (Cr)'!$C:$FB,5)</f>
        <v>968.3</v>
      </c>
      <c r="F27" s="75">
        <f t="shared" si="0"/>
        <v>5.25</v>
      </c>
      <c r="G27" s="75">
        <f t="shared" si="1"/>
        <v>-7.2343943778413786E-2</v>
      </c>
      <c r="H27" s="75">
        <f>VLOOKUP($A27,'Data Vlaue (Cr)'!$C:$FB,99)</f>
        <v>2943</v>
      </c>
      <c r="I27" s="75">
        <f>VLOOKUP($A27,'Data Vlaue (Cr)'!$C:$FB,100)</f>
        <v>2897</v>
      </c>
      <c r="J27" s="75">
        <f t="shared" si="2"/>
        <v>46</v>
      </c>
      <c r="K27" s="75">
        <f t="shared" si="3"/>
        <v>1.5630309208290858</v>
      </c>
      <c r="L27" s="75">
        <f>VLOOKUP($A27,'Data Vlaue (Cr)'!$C:$FB,67)</f>
        <v>1026</v>
      </c>
      <c r="M27" s="75">
        <f>VLOOKUP($A27,'Data Vlaue (Cr)'!$C:$FB,68)</f>
        <v>3365</v>
      </c>
      <c r="N27" s="75">
        <f t="shared" si="4"/>
        <v>-2339</v>
      </c>
      <c r="O27" s="75">
        <f t="shared" si="5"/>
        <v>-227.97270955165692</v>
      </c>
      <c r="P27" s="75">
        <f>VLOOKUP($A27,'Data Vlaue (Cr)'!$C:$FB,119)</f>
        <v>0.74</v>
      </c>
      <c r="Q27" s="75">
        <f>VLOOKUP($A27,'Data Vlaue (Cr)'!$C:$FB,122)*100</f>
        <v>-9.76</v>
      </c>
      <c r="R27" s="75">
        <f>VLOOKUP($A27,'Data Vlaue (Cr)'!$C:$FB,125)</f>
        <v>0.5</v>
      </c>
      <c r="S27" s="75">
        <f>VLOOKUP($A27,'Data Vlaue (Cr)'!$C:$FB,128)*100</f>
        <v>-47.370000000000005</v>
      </c>
    </row>
    <row r="28" spans="1:19" x14ac:dyDescent="0.25">
      <c r="A28" s="96" t="str">
        <f>'Data Vlaue (Cr)'!C19</f>
        <v>AUROPHARMA</v>
      </c>
      <c r="B28" s="75">
        <f>VLOOKUP($A28,'Data Vlaue (Cr)'!$C:$FB,2)</f>
        <v>550</v>
      </c>
      <c r="C28" s="75">
        <f>VLOOKUP($A28,'Data Vlaue (Cr)'!$C:$FB,8)</f>
        <v>1139.9000000000001</v>
      </c>
      <c r="D28" s="75">
        <f>VLOOKUP($A28,'Data Vlaue (Cr)'!$C:$FB,4)</f>
        <v>1142</v>
      </c>
      <c r="E28" s="75">
        <f>VLOOKUP($A28,'Data Vlaue (Cr)'!$C:$FB,5)</f>
        <v>1136.4000000000001</v>
      </c>
      <c r="F28" s="75">
        <f t="shared" si="0"/>
        <v>2.0999999999999091</v>
      </c>
      <c r="G28" s="75">
        <f t="shared" si="1"/>
        <v>0.49036777583186592</v>
      </c>
      <c r="H28" s="75">
        <f>VLOOKUP($A28,'Data Vlaue (Cr)'!$C:$FB,99)</f>
        <v>2715</v>
      </c>
      <c r="I28" s="75">
        <f>VLOOKUP($A28,'Data Vlaue (Cr)'!$C:$FB,100)</f>
        <v>2669</v>
      </c>
      <c r="J28" s="75">
        <f t="shared" si="2"/>
        <v>46</v>
      </c>
      <c r="K28" s="75">
        <f t="shared" si="3"/>
        <v>1.694290976058932</v>
      </c>
      <c r="L28" s="75">
        <f>VLOOKUP($A28,'Data Vlaue (Cr)'!$C:$FB,67)</f>
        <v>334</v>
      </c>
      <c r="M28" s="75">
        <f>VLOOKUP($A28,'Data Vlaue (Cr)'!$C:$FB,68)</f>
        <v>1445</v>
      </c>
      <c r="N28" s="75">
        <f t="shared" si="4"/>
        <v>-1111</v>
      </c>
      <c r="O28" s="75">
        <f t="shared" si="5"/>
        <v>-332.63473053892216</v>
      </c>
      <c r="P28" s="75">
        <f>VLOOKUP($A28,'Data Vlaue (Cr)'!$C:$FB,119)</f>
        <v>1.1599999999999999</v>
      </c>
      <c r="Q28" s="75">
        <f>VLOOKUP($A28,'Data Vlaue (Cr)'!$C:$FB,122)*100</f>
        <v>-8.66</v>
      </c>
      <c r="R28" s="75">
        <f>VLOOKUP($A28,'Data Vlaue (Cr)'!$C:$FB,125)</f>
        <v>0.52</v>
      </c>
      <c r="S28" s="75">
        <f>VLOOKUP($A28,'Data Vlaue (Cr)'!$C:$FB,128)*100</f>
        <v>-28.77</v>
      </c>
    </row>
    <row r="29" spans="1:19" x14ac:dyDescent="0.25">
      <c r="A29" s="96" t="str">
        <f>'Data Vlaue (Cr)'!C20</f>
        <v>AXISBANK</v>
      </c>
      <c r="B29" s="75">
        <f>VLOOKUP($A29,'Data Vlaue (Cr)'!$C:$FB,2)</f>
        <v>625</v>
      </c>
      <c r="C29" s="75">
        <f>VLOOKUP($A29,'Data Vlaue (Cr)'!$C:$FB,8)</f>
        <v>1319.8</v>
      </c>
      <c r="D29" s="75">
        <f>VLOOKUP($A29,'Data Vlaue (Cr)'!$C:$FB,4)</f>
        <v>1323.6</v>
      </c>
      <c r="E29" s="75">
        <f>VLOOKUP($A29,'Data Vlaue (Cr)'!$C:$FB,5)</f>
        <v>1323</v>
      </c>
      <c r="F29" s="75">
        <f t="shared" si="0"/>
        <v>3.7999999999999545</v>
      </c>
      <c r="G29" s="75">
        <f t="shared" si="1"/>
        <v>4.5330915684489957E-2</v>
      </c>
      <c r="H29" s="75">
        <f>VLOOKUP($A29,'Data Vlaue (Cr)'!$C:$FB,99)</f>
        <v>13956</v>
      </c>
      <c r="I29" s="75">
        <f>VLOOKUP($A29,'Data Vlaue (Cr)'!$C:$FB,100)</f>
        <v>13827</v>
      </c>
      <c r="J29" s="75">
        <f t="shared" si="2"/>
        <v>129</v>
      </c>
      <c r="K29" s="75">
        <f t="shared" si="3"/>
        <v>0.92433361994840924</v>
      </c>
      <c r="L29" s="75">
        <f>VLOOKUP($A29,'Data Vlaue (Cr)'!$C:$FB,67)</f>
        <v>14290</v>
      </c>
      <c r="M29" s="75">
        <f>VLOOKUP($A29,'Data Vlaue (Cr)'!$C:$FB,68)</f>
        <v>51582</v>
      </c>
      <c r="N29" s="75">
        <f t="shared" si="4"/>
        <v>-37292</v>
      </c>
      <c r="O29" s="75">
        <f t="shared" si="5"/>
        <v>-260.96571028691392</v>
      </c>
      <c r="P29" s="75">
        <f>VLOOKUP($A29,'Data Vlaue (Cr)'!$C:$FB,119)</f>
        <v>0.88</v>
      </c>
      <c r="Q29" s="75">
        <f>VLOOKUP($A29,'Data Vlaue (Cr)'!$C:$FB,122)*100</f>
        <v>-23.48</v>
      </c>
      <c r="R29" s="75">
        <f>VLOOKUP($A29,'Data Vlaue (Cr)'!$C:$FB,125)</f>
        <v>0.69</v>
      </c>
      <c r="S29" s="75">
        <f>VLOOKUP($A29,'Data Vlaue (Cr)'!$C:$FB,128)*100</f>
        <v>46.81</v>
      </c>
    </row>
    <row r="30" spans="1:19" x14ac:dyDescent="0.25">
      <c r="A30" s="96" t="str">
        <f>'Data Vlaue (Cr)'!C21</f>
        <v>BAJAJ-AUTO</v>
      </c>
      <c r="B30" s="75">
        <f>VLOOKUP($A30,'Data Vlaue (Cr)'!$C:$FB,2)</f>
        <v>75</v>
      </c>
      <c r="C30" s="75">
        <f>VLOOKUP($A30,'Data Vlaue (Cr)'!$C:$FB,8)</f>
        <v>9433.5</v>
      </c>
      <c r="D30" s="75">
        <f>VLOOKUP($A30,'Data Vlaue (Cr)'!$C:$FB,4)</f>
        <v>9459</v>
      </c>
      <c r="E30" s="75">
        <f>VLOOKUP($A30,'Data Vlaue (Cr)'!$C:$FB,5)</f>
        <v>9531.5</v>
      </c>
      <c r="F30" s="75">
        <f t="shared" si="0"/>
        <v>25.5</v>
      </c>
      <c r="G30" s="75">
        <f t="shared" si="1"/>
        <v>-0.76646579976741724</v>
      </c>
      <c r="H30" s="75">
        <f>VLOOKUP($A30,'Data Vlaue (Cr)'!$C:$FB,99)</f>
        <v>4012</v>
      </c>
      <c r="I30" s="75">
        <f>VLOOKUP($A30,'Data Vlaue (Cr)'!$C:$FB,100)</f>
        <v>3838</v>
      </c>
      <c r="J30" s="75">
        <f t="shared" si="2"/>
        <v>174</v>
      </c>
      <c r="K30" s="75">
        <f t="shared" si="3"/>
        <v>4.3369890329012968</v>
      </c>
      <c r="L30" s="75">
        <f>VLOOKUP($A30,'Data Vlaue (Cr)'!$C:$FB,67)</f>
        <v>3364</v>
      </c>
      <c r="M30" s="75">
        <f>VLOOKUP($A30,'Data Vlaue (Cr)'!$C:$FB,68)</f>
        <v>4441</v>
      </c>
      <c r="N30" s="75">
        <f t="shared" si="4"/>
        <v>-1077</v>
      </c>
      <c r="O30" s="75">
        <f t="shared" si="5"/>
        <v>-32.015457788347206</v>
      </c>
      <c r="P30" s="75">
        <f>VLOOKUP($A30,'Data Vlaue (Cr)'!$C:$FB,119)</f>
        <v>0.87</v>
      </c>
      <c r="Q30" s="75">
        <f>VLOOKUP($A30,'Data Vlaue (Cr)'!$C:$FB,122)*100</f>
        <v>4.82</v>
      </c>
      <c r="R30" s="75">
        <f>VLOOKUP($A30,'Data Vlaue (Cr)'!$C:$FB,125)</f>
        <v>1.1200000000000001</v>
      </c>
      <c r="S30" s="75">
        <f>VLOOKUP($A30,'Data Vlaue (Cr)'!$C:$FB,128)*100</f>
        <v>80.650000000000006</v>
      </c>
    </row>
    <row r="31" spans="1:19" x14ac:dyDescent="0.25">
      <c r="A31" s="96" t="str">
        <f>'Data Vlaue (Cr)'!C22</f>
        <v>BAJAJFINSV</v>
      </c>
      <c r="B31" s="75">
        <f>VLOOKUP($A31,'Data Vlaue (Cr)'!$C:$FB,2)</f>
        <v>250</v>
      </c>
      <c r="C31" s="75">
        <f>VLOOKUP($A31,'Data Vlaue (Cr)'!$C:$FB,8)</f>
        <v>1940.3</v>
      </c>
      <c r="D31" s="75">
        <f>VLOOKUP($A31,'Data Vlaue (Cr)'!$C:$FB,4)</f>
        <v>1951.2</v>
      </c>
      <c r="E31" s="75">
        <f>VLOOKUP($A31,'Data Vlaue (Cr)'!$C:$FB,5)</f>
        <v>1927.7</v>
      </c>
      <c r="F31" s="75">
        <f t="shared" si="0"/>
        <v>10.900000000000091</v>
      </c>
      <c r="G31" s="75">
        <f t="shared" si="1"/>
        <v>1.2043870438704387</v>
      </c>
      <c r="H31" s="75">
        <f>VLOOKUP($A31,'Data Vlaue (Cr)'!$C:$FB,99)</f>
        <v>3631</v>
      </c>
      <c r="I31" s="75">
        <f>VLOOKUP($A31,'Data Vlaue (Cr)'!$C:$FB,100)</f>
        <v>3555</v>
      </c>
      <c r="J31" s="75">
        <f t="shared" si="2"/>
        <v>76</v>
      </c>
      <c r="K31" s="75">
        <f t="shared" si="3"/>
        <v>2.0930873037730651</v>
      </c>
      <c r="L31" s="75">
        <f>VLOOKUP($A31,'Data Vlaue (Cr)'!$C:$FB,67)</f>
        <v>820</v>
      </c>
      <c r="M31" s="75">
        <f>VLOOKUP($A31,'Data Vlaue (Cr)'!$C:$FB,68)</f>
        <v>3808</v>
      </c>
      <c r="N31" s="75">
        <f t="shared" si="4"/>
        <v>-2988</v>
      </c>
      <c r="O31" s="75">
        <f t="shared" si="5"/>
        <v>-364.39024390243901</v>
      </c>
      <c r="P31" s="75">
        <f>VLOOKUP($A31,'Data Vlaue (Cr)'!$C:$FB,119)</f>
        <v>1.07</v>
      </c>
      <c r="Q31" s="75">
        <f>VLOOKUP($A31,'Data Vlaue (Cr)'!$C:$FB,122)*100</f>
        <v>0.94000000000000006</v>
      </c>
      <c r="R31" s="75">
        <f>VLOOKUP($A31,'Data Vlaue (Cr)'!$C:$FB,125)</f>
        <v>0.56999999999999995</v>
      </c>
      <c r="S31" s="75">
        <f>VLOOKUP($A31,'Data Vlaue (Cr)'!$C:$FB,128)*100</f>
        <v>-38.04</v>
      </c>
    </row>
    <row r="32" spans="1:19" x14ac:dyDescent="0.25">
      <c r="A32" s="96" t="str">
        <f>'Data Vlaue (Cr)'!C23</f>
        <v>BAJAJHLDNG</v>
      </c>
      <c r="B32" s="75">
        <f>VLOOKUP($A32,'Data Vlaue (Cr)'!$C:$FB,2)</f>
        <v>50</v>
      </c>
      <c r="C32" s="75">
        <f>VLOOKUP($A32,'Data Vlaue (Cr)'!$C:$FB,8)</f>
        <v>10704</v>
      </c>
      <c r="D32" s="75">
        <f>VLOOKUP($A32,'Data Vlaue (Cr)'!$C:$FB,4)</f>
        <v>10732</v>
      </c>
      <c r="E32" s="75">
        <f>VLOOKUP($A32,'Data Vlaue (Cr)'!$C:$FB,5)</f>
        <v>10678</v>
      </c>
      <c r="F32" s="75">
        <f t="shared" si="0"/>
        <v>28</v>
      </c>
      <c r="G32" s="75">
        <f t="shared" si="1"/>
        <v>0.5031680954155795</v>
      </c>
      <c r="H32" s="75">
        <f>VLOOKUP($A32,'Data Vlaue (Cr)'!$C:$FB,99)</f>
        <v>272</v>
      </c>
      <c r="I32" s="75">
        <f>VLOOKUP($A32,'Data Vlaue (Cr)'!$C:$FB,100)</f>
        <v>245</v>
      </c>
      <c r="J32" s="75">
        <f t="shared" si="2"/>
        <v>27</v>
      </c>
      <c r="K32" s="75">
        <f t="shared" si="3"/>
        <v>9.9264705882352935</v>
      </c>
      <c r="L32" s="75">
        <f>VLOOKUP($A32,'Data Vlaue (Cr)'!$C:$FB,67)</f>
        <v>99</v>
      </c>
      <c r="M32" s="75">
        <f>VLOOKUP($A32,'Data Vlaue (Cr)'!$C:$FB,68)</f>
        <v>684</v>
      </c>
      <c r="N32" s="75">
        <f t="shared" si="4"/>
        <v>-585</v>
      </c>
      <c r="O32" s="75">
        <f t="shared" si="5"/>
        <v>-590.90909090909088</v>
      </c>
      <c r="P32" s="75">
        <f>VLOOKUP($A32,'Data Vlaue (Cr)'!$C:$FB,119)</f>
        <v>0.71</v>
      </c>
      <c r="Q32" s="75">
        <f>VLOOKUP($A32,'Data Vlaue (Cr)'!$C:$FB,122)*100</f>
        <v>-26.8</v>
      </c>
      <c r="R32" s="75">
        <f>VLOOKUP($A32,'Data Vlaue (Cr)'!$C:$FB,125)</f>
        <v>0.36</v>
      </c>
      <c r="S32" s="75">
        <f>VLOOKUP($A32,'Data Vlaue (Cr)'!$C:$FB,128)*100</f>
        <v>-81.63</v>
      </c>
    </row>
    <row r="33" spans="1:19" x14ac:dyDescent="0.25">
      <c r="A33" s="96" t="str">
        <f>'Data Vlaue (Cr)'!C24</f>
        <v>BAJFINANCE</v>
      </c>
      <c r="B33" s="75">
        <f>VLOOKUP($A33,'Data Vlaue (Cr)'!$C:$FB,2)</f>
        <v>750</v>
      </c>
      <c r="C33" s="75">
        <f>VLOOKUP($A33,'Data Vlaue (Cr)'!$C:$FB,8)</f>
        <v>935.15</v>
      </c>
      <c r="D33" s="75">
        <f>VLOOKUP($A33,'Data Vlaue (Cr)'!$C:$FB,4)</f>
        <v>938.65</v>
      </c>
      <c r="E33" s="75">
        <f>VLOOKUP($A33,'Data Vlaue (Cr)'!$C:$FB,5)</f>
        <v>921.25</v>
      </c>
      <c r="F33" s="75">
        <f t="shared" si="0"/>
        <v>3.5</v>
      </c>
      <c r="G33" s="75">
        <f t="shared" si="1"/>
        <v>1.8537260959889179</v>
      </c>
      <c r="H33" s="75">
        <f>VLOOKUP($A33,'Data Vlaue (Cr)'!$C:$FB,99)</f>
        <v>10798</v>
      </c>
      <c r="I33" s="75">
        <f>VLOOKUP($A33,'Data Vlaue (Cr)'!$C:$FB,100)</f>
        <v>10757</v>
      </c>
      <c r="J33" s="75">
        <f t="shared" si="2"/>
        <v>41</v>
      </c>
      <c r="K33" s="75">
        <f t="shared" si="3"/>
        <v>0.37969994443415445</v>
      </c>
      <c r="L33" s="75">
        <f>VLOOKUP($A33,'Data Vlaue (Cr)'!$C:$FB,67)</f>
        <v>3008</v>
      </c>
      <c r="M33" s="75">
        <f>VLOOKUP($A33,'Data Vlaue (Cr)'!$C:$FB,68)</f>
        <v>9030</v>
      </c>
      <c r="N33" s="75">
        <f t="shared" si="4"/>
        <v>-6022</v>
      </c>
      <c r="O33" s="75">
        <f t="shared" si="5"/>
        <v>-200.19946808510639</v>
      </c>
      <c r="P33" s="75">
        <f>VLOOKUP($A33,'Data Vlaue (Cr)'!$C:$FB,119)</f>
        <v>1.1599999999999999</v>
      </c>
      <c r="Q33" s="75">
        <f>VLOOKUP($A33,'Data Vlaue (Cr)'!$C:$FB,122)*100</f>
        <v>-5.6899999999999995</v>
      </c>
      <c r="R33" s="75">
        <f>VLOOKUP($A33,'Data Vlaue (Cr)'!$C:$FB,125)</f>
        <v>0.45</v>
      </c>
      <c r="S33" s="75">
        <f>VLOOKUP($A33,'Data Vlaue (Cr)'!$C:$FB,128)*100</f>
        <v>-43.04</v>
      </c>
    </row>
    <row r="34" spans="1:19" x14ac:dyDescent="0.25">
      <c r="A34" s="96" t="str">
        <f>'Data Vlaue (Cr)'!C25</f>
        <v>BANDHANBNK</v>
      </c>
      <c r="B34" s="75">
        <f>VLOOKUP($A34,'Data Vlaue (Cr)'!$C:$FB,2)</f>
        <v>3600</v>
      </c>
      <c r="C34" s="75">
        <f>VLOOKUP($A34,'Data Vlaue (Cr)'!$C:$FB,8)</f>
        <v>153.35</v>
      </c>
      <c r="D34" s="75">
        <f>VLOOKUP($A34,'Data Vlaue (Cr)'!$C:$FB,4)</f>
        <v>154.37</v>
      </c>
      <c r="E34" s="75">
        <f>VLOOKUP($A34,'Data Vlaue (Cr)'!$C:$FB,5)</f>
        <v>149.81</v>
      </c>
      <c r="F34" s="75">
        <f t="shared" si="0"/>
        <v>1.0200000000000102</v>
      </c>
      <c r="G34" s="75">
        <f t="shared" si="1"/>
        <v>2.9539418280754046</v>
      </c>
      <c r="H34" s="180">
        <f>VLOOKUP($A34,'Data Vlaue (Cr)'!$C:$FB,99)</f>
        <v>2058</v>
      </c>
      <c r="I34" s="180">
        <f>VLOOKUP($A34,'Data Vlaue (Cr)'!$C:$FB,100)</f>
        <v>1938</v>
      </c>
      <c r="J34" s="180">
        <f t="shared" si="2"/>
        <v>120</v>
      </c>
      <c r="K34" s="180">
        <f t="shared" si="3"/>
        <v>5.8309037900874632</v>
      </c>
      <c r="L34" s="180">
        <f>VLOOKUP($A34,'Data Vlaue (Cr)'!$C:$FB,67)</f>
        <v>1030</v>
      </c>
      <c r="M34" s="180">
        <f>VLOOKUP($A34,'Data Vlaue (Cr)'!$C:$FB,68)</f>
        <v>2812</v>
      </c>
      <c r="N34" s="180">
        <f t="shared" si="4"/>
        <v>-1782</v>
      </c>
      <c r="O34" s="180">
        <f t="shared" si="5"/>
        <v>-173.00970873786409</v>
      </c>
      <c r="P34" s="180">
        <f>VLOOKUP($A34,'Data Vlaue (Cr)'!$C:$FB,119)</f>
        <v>0.86</v>
      </c>
      <c r="Q34" s="180">
        <f>VLOOKUP($A34,'Data Vlaue (Cr)'!$C:$FB,122)*100</f>
        <v>-27.12</v>
      </c>
      <c r="R34" s="180">
        <f>VLOOKUP($A34,'Data Vlaue (Cr)'!$C:$FB,125)</f>
        <v>0.32</v>
      </c>
      <c r="S34" s="180">
        <f>VLOOKUP($A34,'Data Vlaue (Cr)'!$C:$FB,128)*100</f>
        <v>-62.79</v>
      </c>
    </row>
    <row r="35" spans="1:19" x14ac:dyDescent="0.25">
      <c r="A35" s="96" t="str">
        <f>'Data Vlaue (Cr)'!C26</f>
        <v>BANKBARODA</v>
      </c>
      <c r="B35" s="75">
        <f>VLOOKUP($A35,'Data Vlaue (Cr)'!$C:$FB,2)</f>
        <v>2925</v>
      </c>
      <c r="C35" s="75">
        <f>VLOOKUP($A35,'Data Vlaue (Cr)'!$C:$FB,8)</f>
        <v>306.2</v>
      </c>
      <c r="D35" s="75">
        <f>VLOOKUP($A35,'Data Vlaue (Cr)'!$C:$FB,4)</f>
        <v>308.2</v>
      </c>
      <c r="E35" s="75">
        <f>VLOOKUP($A35,'Data Vlaue (Cr)'!$C:$FB,5)</f>
        <v>304.10000000000002</v>
      </c>
      <c r="F35" s="75">
        <f t="shared" si="0"/>
        <v>2</v>
      </c>
      <c r="G35" s="75">
        <f t="shared" si="1"/>
        <v>1.3303049967553426</v>
      </c>
      <c r="H35" s="75">
        <f>VLOOKUP($A35,'Data Vlaue (Cr)'!$C:$FB,99)</f>
        <v>3891</v>
      </c>
      <c r="I35" s="75">
        <f>VLOOKUP($A35,'Data Vlaue (Cr)'!$C:$FB,100)</f>
        <v>3790</v>
      </c>
      <c r="J35" s="75">
        <f t="shared" si="2"/>
        <v>101</v>
      </c>
      <c r="K35" s="75">
        <f t="shared" si="3"/>
        <v>2.5957337445386792</v>
      </c>
      <c r="L35" s="75">
        <f>VLOOKUP($A35,'Data Vlaue (Cr)'!$C:$FB,67)</f>
        <v>2083</v>
      </c>
      <c r="M35" s="75">
        <f>VLOOKUP($A35,'Data Vlaue (Cr)'!$C:$FB,68)</f>
        <v>3891</v>
      </c>
      <c r="N35" s="75">
        <f t="shared" si="4"/>
        <v>-1808</v>
      </c>
      <c r="O35" s="75">
        <f t="shared" si="5"/>
        <v>-86.797887662025914</v>
      </c>
      <c r="P35" s="75">
        <f>VLOOKUP($A35,'Data Vlaue (Cr)'!$C:$FB,119)</f>
        <v>0.99</v>
      </c>
      <c r="Q35" s="75">
        <f>VLOOKUP($A35,'Data Vlaue (Cr)'!$C:$FB,122)*100</f>
        <v>-3.88</v>
      </c>
      <c r="R35" s="75">
        <f>VLOOKUP($A35,'Data Vlaue (Cr)'!$C:$FB,125)</f>
        <v>0.45</v>
      </c>
      <c r="S35" s="75">
        <f>VLOOKUP($A35,'Data Vlaue (Cr)'!$C:$FB,128)*100</f>
        <v>-36.620000000000005</v>
      </c>
    </row>
    <row r="36" spans="1:19" x14ac:dyDescent="0.25">
      <c r="A36" s="96" t="str">
        <f>'Data Vlaue (Cr)'!C27</f>
        <v>BANKINDIA</v>
      </c>
      <c r="B36" s="75">
        <f>VLOOKUP($A36,'Data Vlaue (Cr)'!$C:$FB,2)</f>
        <v>5200</v>
      </c>
      <c r="C36" s="75">
        <f>VLOOKUP($A36,'Data Vlaue (Cr)'!$C:$FB,8)</f>
        <v>167.34</v>
      </c>
      <c r="D36" s="75">
        <f>VLOOKUP($A36,'Data Vlaue (Cr)'!$C:$FB,4)</f>
        <v>167.87</v>
      </c>
      <c r="E36" s="75">
        <f>VLOOKUP($A36,'Data Vlaue (Cr)'!$C:$FB,5)</f>
        <v>164.13</v>
      </c>
      <c r="F36" s="75">
        <f t="shared" si="0"/>
        <v>0.53000000000000114</v>
      </c>
      <c r="G36" s="75">
        <f t="shared" si="1"/>
        <v>2.2279144576160177</v>
      </c>
      <c r="H36" s="75">
        <f>VLOOKUP($A36,'Data Vlaue (Cr)'!$C:$FB,99)</f>
        <v>1311</v>
      </c>
      <c r="I36" s="75">
        <f>VLOOKUP($A36,'Data Vlaue (Cr)'!$C:$FB,100)</f>
        <v>1244</v>
      </c>
      <c r="J36" s="75">
        <f t="shared" si="2"/>
        <v>67</v>
      </c>
      <c r="K36" s="75">
        <f t="shared" si="3"/>
        <v>5.110602593440122</v>
      </c>
      <c r="L36" s="75">
        <f>VLOOKUP($A36,'Data Vlaue (Cr)'!$C:$FB,67)</f>
        <v>1070</v>
      </c>
      <c r="M36" s="75">
        <f>VLOOKUP($A36,'Data Vlaue (Cr)'!$C:$FB,68)</f>
        <v>1368</v>
      </c>
      <c r="N36" s="75">
        <f t="shared" si="4"/>
        <v>-298</v>
      </c>
      <c r="O36" s="75">
        <f t="shared" si="5"/>
        <v>-27.850467289719628</v>
      </c>
      <c r="P36" s="75">
        <f>VLOOKUP($A36,'Data Vlaue (Cr)'!$C:$FB,119)</f>
        <v>0.85</v>
      </c>
      <c r="Q36" s="75">
        <f>VLOOKUP($A36,'Data Vlaue (Cr)'!$C:$FB,122)*100</f>
        <v>44.07</v>
      </c>
      <c r="R36" s="75">
        <f>VLOOKUP($A36,'Data Vlaue (Cr)'!$C:$FB,125)</f>
        <v>0.66</v>
      </c>
      <c r="S36" s="75">
        <f>VLOOKUP($A36,'Data Vlaue (Cr)'!$C:$FB,128)*100</f>
        <v>17.86</v>
      </c>
    </row>
    <row r="37" spans="1:19" x14ac:dyDescent="0.25">
      <c r="A37" s="96" t="str">
        <f>'Data Vlaue (Cr)'!C28</f>
        <v>BANKNIFTY</v>
      </c>
      <c r="B37" s="75">
        <f>VLOOKUP($A37,'Data Vlaue (Cr)'!$C:$FB,2)</f>
        <v>30</v>
      </c>
      <c r="C37" s="75">
        <f>VLOOKUP($A37,'Data Vlaue (Cr)'!$C:$FB,8)</f>
        <v>59598.8</v>
      </c>
      <c r="D37" s="75">
        <f>VLOOKUP($A37,'Data Vlaue (Cr)'!$C:$FB,4)</f>
        <v>59866.400000000001</v>
      </c>
      <c r="E37" s="75">
        <f>VLOOKUP($A37,'Data Vlaue (Cr)'!$C:$FB,5)</f>
        <v>59629.599999999999</v>
      </c>
      <c r="F37" s="75">
        <f t="shared" si="0"/>
        <v>267.59999999999854</v>
      </c>
      <c r="G37" s="75">
        <f t="shared" si="1"/>
        <v>0.39554741891946554</v>
      </c>
      <c r="H37" s="75">
        <f>VLOOKUP($A37,'Data Vlaue (Cr)'!$C:$FB,99)</f>
        <v>109667</v>
      </c>
      <c r="I37" s="75">
        <f>VLOOKUP($A37,'Data Vlaue (Cr)'!$C:$FB,100)</f>
        <v>89183</v>
      </c>
      <c r="J37" s="75">
        <f t="shared" si="2"/>
        <v>20484</v>
      </c>
      <c r="K37" s="75">
        <f t="shared" si="3"/>
        <v>18.678362679748695</v>
      </c>
      <c r="L37" s="75">
        <f>VLOOKUP($A37,'Data Vlaue (Cr)'!$C:$FB,67)</f>
        <v>333238</v>
      </c>
      <c r="M37" s="75">
        <f>VLOOKUP($A37,'Data Vlaue (Cr)'!$C:$FB,68)</f>
        <v>13713667</v>
      </c>
      <c r="N37" s="75">
        <f t="shared" si="4"/>
        <v>-13380429</v>
      </c>
      <c r="O37" s="75">
        <f t="shared" si="5"/>
        <v>-4015.277069241803</v>
      </c>
      <c r="P37" s="75">
        <f>VLOOKUP($A37,'Data Vlaue (Cr)'!$C:$FB,119)</f>
        <v>1.1399999999999999</v>
      </c>
      <c r="Q37" s="75">
        <f>VLOOKUP($A37,'Data Vlaue (Cr)'!$C:$FB,122)*100</f>
        <v>1.79</v>
      </c>
      <c r="R37" s="75">
        <f>VLOOKUP($A37,'Data Vlaue (Cr)'!$C:$FB,125)</f>
        <v>0.94</v>
      </c>
      <c r="S37" s="75">
        <f>VLOOKUP($A37,'Data Vlaue (Cr)'!$C:$FB,128)*100</f>
        <v>9.3000000000000007</v>
      </c>
    </row>
    <row r="38" spans="1:19" x14ac:dyDescent="0.25">
      <c r="A38" s="96" t="str">
        <f>'Data Vlaue (Cr)'!C29</f>
        <v>BDL</v>
      </c>
      <c r="B38" s="75">
        <f>VLOOKUP($A38,'Data Vlaue (Cr)'!$C:$FB,2)</f>
        <v>350</v>
      </c>
      <c r="C38" s="75">
        <f>VLOOKUP($A38,'Data Vlaue (Cr)'!$C:$FB,8)</f>
        <v>1570</v>
      </c>
      <c r="D38" s="75">
        <f>VLOOKUP($A38,'Data Vlaue (Cr)'!$C:$FB,4)</f>
        <v>1576.6</v>
      </c>
      <c r="E38" s="75">
        <f>VLOOKUP($A38,'Data Vlaue (Cr)'!$C:$FB,5)</f>
        <v>1474</v>
      </c>
      <c r="F38" s="75">
        <f t="shared" si="0"/>
        <v>6.5999999999999091</v>
      </c>
      <c r="G38" s="75">
        <f t="shared" si="1"/>
        <v>6.5076747431180966</v>
      </c>
      <c r="H38" s="75">
        <f>VLOOKUP($A38,'Data Vlaue (Cr)'!$C:$FB,99)</f>
        <v>1363</v>
      </c>
      <c r="I38" s="75">
        <f>VLOOKUP($A38,'Data Vlaue (Cr)'!$C:$FB,100)</f>
        <v>1121</v>
      </c>
      <c r="J38" s="75">
        <f t="shared" si="2"/>
        <v>242</v>
      </c>
      <c r="K38" s="75">
        <f t="shared" si="3"/>
        <v>17.754952311078505</v>
      </c>
      <c r="L38" s="75">
        <f>VLOOKUP($A38,'Data Vlaue (Cr)'!$C:$FB,67)</f>
        <v>2342</v>
      </c>
      <c r="M38" s="75">
        <f>VLOOKUP($A38,'Data Vlaue (Cr)'!$C:$FB,68)</f>
        <v>2108</v>
      </c>
      <c r="N38" s="75">
        <f t="shared" si="4"/>
        <v>234</v>
      </c>
      <c r="O38" s="75">
        <f t="shared" si="5"/>
        <v>9.9914602903501279</v>
      </c>
      <c r="P38" s="75">
        <f>VLOOKUP($A38,'Data Vlaue (Cr)'!$C:$FB,119)</f>
        <v>0.74</v>
      </c>
      <c r="Q38" s="75">
        <f>VLOOKUP($A38,'Data Vlaue (Cr)'!$C:$FB,122)*100</f>
        <v>-26</v>
      </c>
      <c r="R38" s="75">
        <f>VLOOKUP($A38,'Data Vlaue (Cr)'!$C:$FB,125)</f>
        <v>0.22</v>
      </c>
      <c r="S38" s="75">
        <f>VLOOKUP($A38,'Data Vlaue (Cr)'!$C:$FB,128)*100</f>
        <v>-46.339999999999996</v>
      </c>
    </row>
    <row r="39" spans="1:19" x14ac:dyDescent="0.25">
      <c r="A39" s="96" t="str">
        <f>'Data Vlaue (Cr)'!C30</f>
        <v>BEL</v>
      </c>
      <c r="B39" s="75">
        <f>VLOOKUP($A39,'Data Vlaue (Cr)'!$C:$FB,2)</f>
        <v>1425</v>
      </c>
      <c r="C39" s="75">
        <f>VLOOKUP($A39,'Data Vlaue (Cr)'!$C:$FB,8)</f>
        <v>453</v>
      </c>
      <c r="D39" s="75">
        <f>VLOOKUP($A39,'Data Vlaue (Cr)'!$C:$FB,4)</f>
        <v>455.95</v>
      </c>
      <c r="E39" s="75">
        <f>VLOOKUP($A39,'Data Vlaue (Cr)'!$C:$FB,5)</f>
        <v>417.4</v>
      </c>
      <c r="F39" s="75">
        <f t="shared" si="0"/>
        <v>2.9499999999999886</v>
      </c>
      <c r="G39" s="75">
        <f t="shared" si="1"/>
        <v>8.454874437986625</v>
      </c>
      <c r="H39" s="75">
        <f>VLOOKUP($A39,'Data Vlaue (Cr)'!$C:$FB,99)</f>
        <v>9370</v>
      </c>
      <c r="I39" s="75">
        <f>VLOOKUP($A39,'Data Vlaue (Cr)'!$C:$FB,100)</f>
        <v>7335</v>
      </c>
      <c r="J39" s="75">
        <f t="shared" si="2"/>
        <v>2035</v>
      </c>
      <c r="K39" s="75">
        <f t="shared" si="3"/>
        <v>21.718249733191037</v>
      </c>
      <c r="L39" s="75">
        <f>VLOOKUP($A39,'Data Vlaue (Cr)'!$C:$FB,67)</f>
        <v>28875</v>
      </c>
      <c r="M39" s="75">
        <f>VLOOKUP($A39,'Data Vlaue (Cr)'!$C:$FB,68)</f>
        <v>8437</v>
      </c>
      <c r="N39" s="75">
        <f t="shared" si="4"/>
        <v>20438</v>
      </c>
      <c r="O39" s="75">
        <f t="shared" si="5"/>
        <v>70.780952380952371</v>
      </c>
      <c r="P39" s="75">
        <f>VLOOKUP($A39,'Data Vlaue (Cr)'!$C:$FB,119)</f>
        <v>0.67</v>
      </c>
      <c r="Q39" s="75">
        <f>VLOOKUP($A39,'Data Vlaue (Cr)'!$C:$FB,122)*100</f>
        <v>-5.63</v>
      </c>
      <c r="R39" s="75">
        <f>VLOOKUP($A39,'Data Vlaue (Cr)'!$C:$FB,125)</f>
        <v>0.38</v>
      </c>
      <c r="S39" s="75">
        <f>VLOOKUP($A39,'Data Vlaue (Cr)'!$C:$FB,128)*100</f>
        <v>-19.149999999999999</v>
      </c>
    </row>
    <row r="40" spans="1:19" x14ac:dyDescent="0.25">
      <c r="A40" s="96" t="str">
        <f>'Data Vlaue (Cr)'!C31</f>
        <v>BHARATFORG</v>
      </c>
      <c r="B40" s="75">
        <f>VLOOKUP($A40,'Data Vlaue (Cr)'!$C:$FB,2)</f>
        <v>500</v>
      </c>
      <c r="C40" s="75">
        <f>VLOOKUP($A40,'Data Vlaue (Cr)'!$C:$FB,8)</f>
        <v>1459.1</v>
      </c>
      <c r="D40" s="75">
        <f>VLOOKUP($A40,'Data Vlaue (Cr)'!$C:$FB,4)</f>
        <v>1461.1</v>
      </c>
      <c r="E40" s="75">
        <f>VLOOKUP($A40,'Data Vlaue (Cr)'!$C:$FB,5)</f>
        <v>1424.5</v>
      </c>
      <c r="F40" s="75">
        <f t="shared" si="0"/>
        <v>2</v>
      </c>
      <c r="G40" s="75">
        <f t="shared" si="1"/>
        <v>2.5049620149202596</v>
      </c>
      <c r="H40" s="75">
        <f>VLOOKUP($A40,'Data Vlaue (Cr)'!$C:$FB,99)</f>
        <v>1350</v>
      </c>
      <c r="I40" s="75">
        <f>VLOOKUP($A40,'Data Vlaue (Cr)'!$C:$FB,100)</f>
        <v>1217</v>
      </c>
      <c r="J40" s="75">
        <f t="shared" si="2"/>
        <v>133</v>
      </c>
      <c r="K40" s="75">
        <f t="shared" si="3"/>
        <v>9.8518518518518512</v>
      </c>
      <c r="L40" s="75">
        <f>VLOOKUP($A40,'Data Vlaue (Cr)'!$C:$FB,67)</f>
        <v>1402</v>
      </c>
      <c r="M40" s="75">
        <f>VLOOKUP($A40,'Data Vlaue (Cr)'!$C:$FB,68)</f>
        <v>1588</v>
      </c>
      <c r="N40" s="75">
        <f t="shared" si="4"/>
        <v>-186</v>
      </c>
      <c r="O40" s="75">
        <f t="shared" si="5"/>
        <v>-13.266761768901569</v>
      </c>
      <c r="P40" s="75">
        <f>VLOOKUP($A40,'Data Vlaue (Cr)'!$C:$FB,119)</f>
        <v>0.7</v>
      </c>
      <c r="Q40" s="75">
        <f>VLOOKUP($A40,'Data Vlaue (Cr)'!$C:$FB,122)*100</f>
        <v>-23.080000000000002</v>
      </c>
      <c r="R40" s="75">
        <f>VLOOKUP($A40,'Data Vlaue (Cr)'!$C:$FB,125)</f>
        <v>0.25</v>
      </c>
      <c r="S40" s="75">
        <f>VLOOKUP($A40,'Data Vlaue (Cr)'!$C:$FB,128)*100</f>
        <v>-50.980000000000004</v>
      </c>
    </row>
    <row r="41" spans="1:19" x14ac:dyDescent="0.25">
      <c r="A41" s="96" t="str">
        <f>'Data Vlaue (Cr)'!C32</f>
        <v>BHARTIARTL</v>
      </c>
      <c r="B41" s="75">
        <f>VLOOKUP($A41,'Data Vlaue (Cr)'!$C:$FB,2)</f>
        <v>475</v>
      </c>
      <c r="C41" s="75">
        <f>VLOOKUP($A41,'Data Vlaue (Cr)'!$C:$FB,8)</f>
        <v>1957.7</v>
      </c>
      <c r="D41" s="75">
        <f>VLOOKUP($A41,'Data Vlaue (Cr)'!$C:$FB,4)</f>
        <v>1968.8</v>
      </c>
      <c r="E41" s="75">
        <f>VLOOKUP($A41,'Data Vlaue (Cr)'!$C:$FB,5)</f>
        <v>1987.3</v>
      </c>
      <c r="F41" s="75">
        <f t="shared" si="0"/>
        <v>11.099999999999909</v>
      </c>
      <c r="G41" s="75">
        <f t="shared" si="1"/>
        <v>-0.93965867533522962</v>
      </c>
      <c r="H41" s="75">
        <f>VLOOKUP($A41,'Data Vlaue (Cr)'!$C:$FB,99)</f>
        <v>12745</v>
      </c>
      <c r="I41" s="75">
        <f>VLOOKUP($A41,'Data Vlaue (Cr)'!$C:$FB,100)</f>
        <v>11795</v>
      </c>
      <c r="J41" s="75">
        <f t="shared" si="2"/>
        <v>950</v>
      </c>
      <c r="K41" s="75">
        <f t="shared" si="3"/>
        <v>7.4539034915653195</v>
      </c>
      <c r="L41" s="75">
        <f>VLOOKUP($A41,'Data Vlaue (Cr)'!$C:$FB,67)</f>
        <v>4862</v>
      </c>
      <c r="M41" s="75">
        <f>VLOOKUP($A41,'Data Vlaue (Cr)'!$C:$FB,68)</f>
        <v>9061</v>
      </c>
      <c r="N41" s="75">
        <f t="shared" si="4"/>
        <v>-4199</v>
      </c>
      <c r="O41" s="75">
        <f t="shared" si="5"/>
        <v>-86.36363636363636</v>
      </c>
      <c r="P41" s="75">
        <f>VLOOKUP($A41,'Data Vlaue (Cr)'!$C:$FB,119)</f>
        <v>0.73</v>
      </c>
      <c r="Q41" s="75">
        <f>VLOOKUP($A41,'Data Vlaue (Cr)'!$C:$FB,122)*100</f>
        <v>-3.95</v>
      </c>
      <c r="R41" s="75">
        <f>VLOOKUP($A41,'Data Vlaue (Cr)'!$C:$FB,125)</f>
        <v>0.48</v>
      </c>
      <c r="S41" s="75">
        <f>VLOOKUP($A41,'Data Vlaue (Cr)'!$C:$FB,128)*100</f>
        <v>-11.110000000000001</v>
      </c>
    </row>
    <row r="42" spans="1:19" x14ac:dyDescent="0.25">
      <c r="A42" s="96" t="str">
        <f>'Data Vlaue (Cr)'!C33</f>
        <v>BHEL</v>
      </c>
      <c r="B42" s="75">
        <f>VLOOKUP($A42,'Data Vlaue (Cr)'!$C:$FB,2)</f>
        <v>2625</v>
      </c>
      <c r="C42" s="75">
        <f>VLOOKUP($A42,'Data Vlaue (Cr)'!$C:$FB,8)</f>
        <v>259.64999999999998</v>
      </c>
      <c r="D42" s="75">
        <f>VLOOKUP($A42,'Data Vlaue (Cr)'!$C:$FB,4)</f>
        <v>260.8</v>
      </c>
      <c r="E42" s="75">
        <f>VLOOKUP($A42,'Data Vlaue (Cr)'!$C:$FB,5)</f>
        <v>248.85</v>
      </c>
      <c r="F42" s="75">
        <f t="shared" si="0"/>
        <v>1.1500000000000341</v>
      </c>
      <c r="G42" s="75">
        <f t="shared" si="1"/>
        <v>4.5820552147239324</v>
      </c>
      <c r="H42" s="75">
        <f>VLOOKUP($A42,'Data Vlaue (Cr)'!$C:$FB,99)</f>
        <v>3628</v>
      </c>
      <c r="I42" s="75">
        <f>VLOOKUP($A42,'Data Vlaue (Cr)'!$C:$FB,100)</f>
        <v>3290</v>
      </c>
      <c r="J42" s="75">
        <f t="shared" si="2"/>
        <v>338</v>
      </c>
      <c r="K42" s="75">
        <f t="shared" si="3"/>
        <v>9.3164277839029772</v>
      </c>
      <c r="L42" s="75">
        <f>VLOOKUP($A42,'Data Vlaue (Cr)'!$C:$FB,67)</f>
        <v>3472</v>
      </c>
      <c r="M42" s="75">
        <f>VLOOKUP($A42,'Data Vlaue (Cr)'!$C:$FB,68)</f>
        <v>4262</v>
      </c>
      <c r="N42" s="75">
        <f t="shared" si="4"/>
        <v>-790</v>
      </c>
      <c r="O42" s="75">
        <f t="shared" si="5"/>
        <v>-22.753456221198157</v>
      </c>
      <c r="P42" s="75">
        <f>VLOOKUP($A42,'Data Vlaue (Cr)'!$C:$FB,119)</f>
        <v>0.47</v>
      </c>
      <c r="Q42" s="75">
        <f>VLOOKUP($A42,'Data Vlaue (Cr)'!$C:$FB,122)*100</f>
        <v>-12.959999999999999</v>
      </c>
      <c r="R42" s="75">
        <f>VLOOKUP($A42,'Data Vlaue (Cr)'!$C:$FB,125)</f>
        <v>0.28999999999999998</v>
      </c>
      <c r="S42" s="75">
        <f>VLOOKUP($A42,'Data Vlaue (Cr)'!$C:$FB,128)*100</f>
        <v>-58.57</v>
      </c>
    </row>
    <row r="43" spans="1:19" x14ac:dyDescent="0.25">
      <c r="A43" s="96" t="str">
        <f>'Data Vlaue (Cr)'!C34</f>
        <v>BIOCON</v>
      </c>
      <c r="B43" s="75">
        <f>VLOOKUP($A43,'Data Vlaue (Cr)'!$C:$FB,2)</f>
        <v>2500</v>
      </c>
      <c r="C43" s="75">
        <f>VLOOKUP($A43,'Data Vlaue (Cr)'!$C:$FB,8)</f>
        <v>370.5</v>
      </c>
      <c r="D43" s="75">
        <f>VLOOKUP($A43,'Data Vlaue (Cr)'!$C:$FB,4)</f>
        <v>371.85</v>
      </c>
      <c r="E43" s="75">
        <f>VLOOKUP($A43,'Data Vlaue (Cr)'!$C:$FB,5)</f>
        <v>367</v>
      </c>
      <c r="F43" s="75">
        <f t="shared" si="0"/>
        <v>1.3500000000000227</v>
      </c>
      <c r="G43" s="75">
        <f t="shared" si="1"/>
        <v>1.3042893639908626</v>
      </c>
      <c r="H43" s="75">
        <f>VLOOKUP($A43,'Data Vlaue (Cr)'!$C:$FB,99)</f>
        <v>2051</v>
      </c>
      <c r="I43" s="75">
        <f>VLOOKUP($A43,'Data Vlaue (Cr)'!$C:$FB,100)</f>
        <v>1980</v>
      </c>
      <c r="J43" s="75">
        <f t="shared" si="2"/>
        <v>71</v>
      </c>
      <c r="K43" s="75">
        <f t="shared" si="3"/>
        <v>3.4617259873232569</v>
      </c>
      <c r="L43" s="75">
        <f>VLOOKUP($A43,'Data Vlaue (Cr)'!$C:$FB,67)</f>
        <v>735</v>
      </c>
      <c r="M43" s="75">
        <f>VLOOKUP($A43,'Data Vlaue (Cr)'!$C:$FB,68)</f>
        <v>2912</v>
      </c>
      <c r="N43" s="75">
        <f t="shared" si="4"/>
        <v>-2177</v>
      </c>
      <c r="O43" s="75">
        <f t="shared" si="5"/>
        <v>-296.1904761904762</v>
      </c>
      <c r="P43" s="75">
        <f>VLOOKUP($A43,'Data Vlaue (Cr)'!$C:$FB,119)</f>
        <v>0.98</v>
      </c>
      <c r="Q43" s="75">
        <f>VLOOKUP($A43,'Data Vlaue (Cr)'!$C:$FB,122)*100</f>
        <v>-4.8500000000000005</v>
      </c>
      <c r="R43" s="75">
        <f>VLOOKUP($A43,'Data Vlaue (Cr)'!$C:$FB,125)</f>
        <v>0.39</v>
      </c>
      <c r="S43" s="75">
        <f>VLOOKUP($A43,'Data Vlaue (Cr)'!$C:$FB,128)*100</f>
        <v>-43.480000000000004</v>
      </c>
    </row>
    <row r="44" spans="1:19" x14ac:dyDescent="0.25">
      <c r="A44" s="96" t="str">
        <f>'Data Vlaue (Cr)'!C35</f>
        <v>BLUESTARCO</v>
      </c>
      <c r="B44" s="75">
        <f>VLOOKUP($A44,'Data Vlaue (Cr)'!$C:$FB,2)</f>
        <v>325</v>
      </c>
      <c r="C44" s="75">
        <f>VLOOKUP($A44,'Data Vlaue (Cr)'!$C:$FB,8)</f>
        <v>1701.5</v>
      </c>
      <c r="D44" s="75">
        <f>VLOOKUP($A44,'Data Vlaue (Cr)'!$C:$FB,4)</f>
        <v>1711.9</v>
      </c>
      <c r="E44" s="75">
        <f>VLOOKUP($A44,'Data Vlaue (Cr)'!$C:$FB,5)</f>
        <v>1675</v>
      </c>
      <c r="F44" s="75">
        <f t="shared" si="0"/>
        <v>10.400000000000091</v>
      </c>
      <c r="G44" s="75">
        <f t="shared" si="1"/>
        <v>2.1554997371341833</v>
      </c>
      <c r="H44" s="75">
        <f>VLOOKUP($A44,'Data Vlaue (Cr)'!$C:$FB,99)</f>
        <v>499</v>
      </c>
      <c r="I44" s="75">
        <f>VLOOKUP($A44,'Data Vlaue (Cr)'!$C:$FB,100)</f>
        <v>446</v>
      </c>
      <c r="J44" s="75">
        <f t="shared" si="2"/>
        <v>53</v>
      </c>
      <c r="K44" s="75">
        <f t="shared" si="3"/>
        <v>10.62124248496994</v>
      </c>
      <c r="L44" s="75">
        <f>VLOOKUP($A44,'Data Vlaue (Cr)'!$C:$FB,67)</f>
        <v>238</v>
      </c>
      <c r="M44" s="75">
        <f>VLOOKUP($A44,'Data Vlaue (Cr)'!$C:$FB,68)</f>
        <v>734</v>
      </c>
      <c r="N44" s="75">
        <f t="shared" si="4"/>
        <v>-496</v>
      </c>
      <c r="O44" s="75">
        <f t="shared" si="5"/>
        <v>-208.40336134453784</v>
      </c>
      <c r="P44" s="75">
        <f>VLOOKUP($A44,'Data Vlaue (Cr)'!$C:$FB,119)</f>
        <v>1.01</v>
      </c>
      <c r="Q44" s="75">
        <f>VLOOKUP($A44,'Data Vlaue (Cr)'!$C:$FB,122)*100</f>
        <v>-27.339999999999996</v>
      </c>
      <c r="R44" s="75">
        <f>VLOOKUP($A44,'Data Vlaue (Cr)'!$C:$FB,125)</f>
        <v>0.91</v>
      </c>
      <c r="S44" s="75">
        <f>VLOOKUP($A44,'Data Vlaue (Cr)'!$C:$FB,128)*100</f>
        <v>-72.84</v>
      </c>
    </row>
    <row r="45" spans="1:19" x14ac:dyDescent="0.25">
      <c r="A45" s="96" t="str">
        <f>'Data Vlaue (Cr)'!C36</f>
        <v>BOSCHLTD</v>
      </c>
      <c r="B45" s="75">
        <f>VLOOKUP($A45,'Data Vlaue (Cr)'!$C:$FB,2)</f>
        <v>25</v>
      </c>
      <c r="C45" s="75">
        <f>VLOOKUP($A45,'Data Vlaue (Cr)'!$C:$FB,8)</f>
        <v>36185</v>
      </c>
      <c r="D45" s="75">
        <f>VLOOKUP($A45,'Data Vlaue (Cr)'!$C:$FB,4)</f>
        <v>36100</v>
      </c>
      <c r="E45" s="75">
        <f>VLOOKUP($A45,'Data Vlaue (Cr)'!$C:$FB,5)</f>
        <v>35400</v>
      </c>
      <c r="F45" s="75">
        <f t="shared" si="0"/>
        <v>-85</v>
      </c>
      <c r="G45" s="75">
        <f t="shared" si="1"/>
        <v>1.9390581717451523</v>
      </c>
      <c r="H45" s="75">
        <f>VLOOKUP($A45,'Data Vlaue (Cr)'!$C:$FB,99)</f>
        <v>987</v>
      </c>
      <c r="I45" s="75">
        <f>VLOOKUP($A45,'Data Vlaue (Cr)'!$C:$FB,100)</f>
        <v>893</v>
      </c>
      <c r="J45" s="75">
        <f t="shared" si="2"/>
        <v>94</v>
      </c>
      <c r="K45" s="75">
        <f t="shared" si="3"/>
        <v>9.5238095238095237</v>
      </c>
      <c r="L45" s="75">
        <f>VLOOKUP($A45,'Data Vlaue (Cr)'!$C:$FB,67)</f>
        <v>500</v>
      </c>
      <c r="M45" s="75">
        <f>VLOOKUP($A45,'Data Vlaue (Cr)'!$C:$FB,68)</f>
        <v>2339</v>
      </c>
      <c r="N45" s="75">
        <f t="shared" si="4"/>
        <v>-1839</v>
      </c>
      <c r="O45" s="75">
        <f t="shared" si="5"/>
        <v>-367.8</v>
      </c>
      <c r="P45" s="75">
        <f>VLOOKUP($A45,'Data Vlaue (Cr)'!$C:$FB,119)</f>
        <v>0.74</v>
      </c>
      <c r="Q45" s="75">
        <f>VLOOKUP($A45,'Data Vlaue (Cr)'!$C:$FB,122)*100</f>
        <v>-6.3299999999999992</v>
      </c>
      <c r="R45" s="75">
        <f>VLOOKUP($A45,'Data Vlaue (Cr)'!$C:$FB,125)</f>
        <v>0.34</v>
      </c>
      <c r="S45" s="75">
        <f>VLOOKUP($A45,'Data Vlaue (Cr)'!$C:$FB,128)*100</f>
        <v>61.9</v>
      </c>
    </row>
    <row r="46" spans="1:19" x14ac:dyDescent="0.25">
      <c r="A46" s="96" t="str">
        <f>'Data Vlaue (Cr)'!C37</f>
        <v>BPCL</v>
      </c>
      <c r="B46" s="75">
        <f>VLOOKUP($A46,'Data Vlaue (Cr)'!$C:$FB,2)</f>
        <v>1975</v>
      </c>
      <c r="C46" s="75">
        <f>VLOOKUP($A46,'Data Vlaue (Cr)'!$C:$FB,8)</f>
        <v>362.35</v>
      </c>
      <c r="D46" s="75">
        <f>VLOOKUP($A46,'Data Vlaue (Cr)'!$C:$FB,4)</f>
        <v>364.5</v>
      </c>
      <c r="E46" s="75">
        <f>VLOOKUP($A46,'Data Vlaue (Cr)'!$C:$FB,5)</f>
        <v>359.05</v>
      </c>
      <c r="F46" s="75">
        <f t="shared" si="0"/>
        <v>2.1499999999999773</v>
      </c>
      <c r="G46" s="75">
        <f t="shared" si="1"/>
        <v>1.4951989026063068</v>
      </c>
      <c r="H46" s="75">
        <f>VLOOKUP($A46,'Data Vlaue (Cr)'!$C:$FB,99)</f>
        <v>1775</v>
      </c>
      <c r="I46" s="75">
        <f>VLOOKUP($A46,'Data Vlaue (Cr)'!$C:$FB,100)</f>
        <v>1620</v>
      </c>
      <c r="J46" s="75">
        <f t="shared" si="2"/>
        <v>155</v>
      </c>
      <c r="K46" s="75">
        <f t="shared" si="3"/>
        <v>8.7323943661971821</v>
      </c>
      <c r="L46" s="75">
        <f>VLOOKUP($A46,'Data Vlaue (Cr)'!$C:$FB,67)</f>
        <v>1643</v>
      </c>
      <c r="M46" s="75">
        <f>VLOOKUP($A46,'Data Vlaue (Cr)'!$C:$FB,68)</f>
        <v>3672</v>
      </c>
      <c r="N46" s="75">
        <f t="shared" si="4"/>
        <v>-2029</v>
      </c>
      <c r="O46" s="75">
        <f t="shared" si="5"/>
        <v>-123.49360925136945</v>
      </c>
      <c r="P46" s="75">
        <f>VLOOKUP($A46,'Data Vlaue (Cr)'!$C:$FB,119)</f>
        <v>0.82</v>
      </c>
      <c r="Q46" s="75">
        <f>VLOOKUP($A46,'Data Vlaue (Cr)'!$C:$FB,122)*100</f>
        <v>20.59</v>
      </c>
      <c r="R46" s="75">
        <f>VLOOKUP($A46,'Data Vlaue (Cr)'!$C:$FB,125)</f>
        <v>0.5</v>
      </c>
      <c r="S46" s="75">
        <f>VLOOKUP($A46,'Data Vlaue (Cr)'!$C:$FB,128)*100</f>
        <v>-16.669999999999998</v>
      </c>
    </row>
    <row r="47" spans="1:19" x14ac:dyDescent="0.25">
      <c r="A47" s="96" t="str">
        <f>'Data Vlaue (Cr)'!C38</f>
        <v>BRITANNIA</v>
      </c>
      <c r="B47" s="75">
        <f>VLOOKUP($A47,'Data Vlaue (Cr)'!$C:$FB,2)</f>
        <v>125</v>
      </c>
      <c r="C47" s="75">
        <f>VLOOKUP($A47,'Data Vlaue (Cr)'!$C:$FB,8)</f>
        <v>5748.5</v>
      </c>
      <c r="D47" s="75">
        <f>VLOOKUP($A47,'Data Vlaue (Cr)'!$C:$FB,4)</f>
        <v>5768.5</v>
      </c>
      <c r="E47" s="75">
        <f>VLOOKUP($A47,'Data Vlaue (Cr)'!$C:$FB,5)</f>
        <v>5927</v>
      </c>
      <c r="F47" s="75">
        <f t="shared" si="0"/>
        <v>20</v>
      </c>
      <c r="G47" s="75">
        <f t="shared" si="1"/>
        <v>-2.74768137297391</v>
      </c>
      <c r="H47" s="75">
        <f>VLOOKUP($A47,'Data Vlaue (Cr)'!$C:$FB,99)</f>
        <v>2279</v>
      </c>
      <c r="I47" s="75">
        <f>VLOOKUP($A47,'Data Vlaue (Cr)'!$C:$FB,100)</f>
        <v>2020</v>
      </c>
      <c r="J47" s="75">
        <f t="shared" si="2"/>
        <v>259</v>
      </c>
      <c r="K47" s="75">
        <f t="shared" si="3"/>
        <v>11.364633611232996</v>
      </c>
      <c r="L47" s="75">
        <f>VLOOKUP($A47,'Data Vlaue (Cr)'!$C:$FB,67)</f>
        <v>1255</v>
      </c>
      <c r="M47" s="75">
        <f>VLOOKUP($A47,'Data Vlaue (Cr)'!$C:$FB,68)</f>
        <v>1749</v>
      </c>
      <c r="N47" s="75">
        <f t="shared" si="4"/>
        <v>-494</v>
      </c>
      <c r="O47" s="75">
        <f t="shared" si="5"/>
        <v>-39.362549800796813</v>
      </c>
      <c r="P47" s="75">
        <f>VLOOKUP($A47,'Data Vlaue (Cr)'!$C:$FB,119)</f>
        <v>0.56999999999999995</v>
      </c>
      <c r="Q47" s="75">
        <f>VLOOKUP($A47,'Data Vlaue (Cr)'!$C:$FB,122)*100</f>
        <v>-17.39</v>
      </c>
      <c r="R47" s="75">
        <f>VLOOKUP($A47,'Data Vlaue (Cr)'!$C:$FB,125)</f>
        <v>0.53</v>
      </c>
      <c r="S47" s="75">
        <f>VLOOKUP($A47,'Data Vlaue (Cr)'!$C:$FB,128)*100</f>
        <v>-20.9</v>
      </c>
    </row>
    <row r="48" spans="1:19" x14ac:dyDescent="0.25">
      <c r="A48" s="96" t="str">
        <f>'Data Vlaue (Cr)'!C39</f>
        <v>BSE</v>
      </c>
      <c r="B48" s="75">
        <f>VLOOKUP($A48,'Data Vlaue (Cr)'!$C:$FB,2)</f>
        <v>375</v>
      </c>
      <c r="C48" s="75">
        <f>VLOOKUP($A48,'Data Vlaue (Cr)'!$C:$FB,8)</f>
        <v>2821.5</v>
      </c>
      <c r="D48" s="75">
        <f>VLOOKUP($A48,'Data Vlaue (Cr)'!$C:$FB,4)</f>
        <v>2839.5</v>
      </c>
      <c r="E48" s="75">
        <f>VLOOKUP($A48,'Data Vlaue (Cr)'!$C:$FB,5)</f>
        <v>2780.6</v>
      </c>
      <c r="F48" s="75">
        <f t="shared" si="0"/>
        <v>18</v>
      </c>
      <c r="G48" s="75">
        <f t="shared" si="1"/>
        <v>2.0743088571931709</v>
      </c>
      <c r="H48" s="75">
        <f>VLOOKUP($A48,'Data Vlaue (Cr)'!$C:$FB,99)</f>
        <v>4839</v>
      </c>
      <c r="I48" s="75">
        <f>VLOOKUP($A48,'Data Vlaue (Cr)'!$C:$FB,100)</f>
        <v>4130</v>
      </c>
      <c r="J48" s="75">
        <f t="shared" si="2"/>
        <v>709</v>
      </c>
      <c r="K48" s="75">
        <f t="shared" si="3"/>
        <v>14.651787559413101</v>
      </c>
      <c r="L48" s="75">
        <f>VLOOKUP($A48,'Data Vlaue (Cr)'!$C:$FB,67)</f>
        <v>5187</v>
      </c>
      <c r="M48" s="75">
        <f>VLOOKUP($A48,'Data Vlaue (Cr)'!$C:$FB,68)</f>
        <v>10631</v>
      </c>
      <c r="N48" s="75">
        <f t="shared" si="4"/>
        <v>-5444</v>
      </c>
      <c r="O48" s="75">
        <f t="shared" si="5"/>
        <v>-104.95469442837863</v>
      </c>
      <c r="P48" s="75">
        <f>VLOOKUP($A48,'Data Vlaue (Cr)'!$C:$FB,119)</f>
        <v>0.66</v>
      </c>
      <c r="Q48" s="75">
        <f>VLOOKUP($A48,'Data Vlaue (Cr)'!$C:$FB,122)*100</f>
        <v>-17.5</v>
      </c>
      <c r="R48" s="75">
        <f>VLOOKUP($A48,'Data Vlaue (Cr)'!$C:$FB,125)</f>
        <v>0.39</v>
      </c>
      <c r="S48" s="75">
        <f>VLOOKUP($A48,'Data Vlaue (Cr)'!$C:$FB,128)*100</f>
        <v>-23.53</v>
      </c>
    </row>
    <row r="49" spans="1:19" x14ac:dyDescent="0.25">
      <c r="A49" s="96" t="str">
        <f>'Data Vlaue (Cr)'!C40</f>
        <v>CAMS</v>
      </c>
      <c r="B49" s="75">
        <f>VLOOKUP($A49,'Data Vlaue (Cr)'!$C:$FB,2)</f>
        <v>750</v>
      </c>
      <c r="C49" s="75">
        <f>VLOOKUP($A49,'Data Vlaue (Cr)'!$C:$FB,8)</f>
        <v>709.4</v>
      </c>
      <c r="D49" s="75">
        <f>VLOOKUP($A49,'Data Vlaue (Cr)'!$C:$FB,4)</f>
        <v>710.65</v>
      </c>
      <c r="E49" s="75">
        <f>VLOOKUP($A49,'Data Vlaue (Cr)'!$C:$FB,5)</f>
        <v>698.35</v>
      </c>
      <c r="F49" s="75">
        <f t="shared" si="0"/>
        <v>1.25</v>
      </c>
      <c r="G49" s="75">
        <f t="shared" si="1"/>
        <v>1.730809821993943</v>
      </c>
      <c r="H49" s="75">
        <f>VLOOKUP($A49,'Data Vlaue (Cr)'!$C:$FB,99)</f>
        <v>736</v>
      </c>
      <c r="I49" s="75">
        <f>VLOOKUP($A49,'Data Vlaue (Cr)'!$C:$FB,100)</f>
        <v>686</v>
      </c>
      <c r="J49" s="75">
        <f t="shared" si="2"/>
        <v>50</v>
      </c>
      <c r="K49" s="75">
        <f t="shared" si="3"/>
        <v>6.7934782608695645</v>
      </c>
      <c r="L49" s="75">
        <f>VLOOKUP($A49,'Data Vlaue (Cr)'!$C:$FB,67)</f>
        <v>334</v>
      </c>
      <c r="M49" s="75">
        <f>VLOOKUP($A49,'Data Vlaue (Cr)'!$C:$FB,68)</f>
        <v>1293</v>
      </c>
      <c r="N49" s="75">
        <f t="shared" si="4"/>
        <v>-959</v>
      </c>
      <c r="O49" s="75">
        <f t="shared" si="5"/>
        <v>-287.12574850299404</v>
      </c>
      <c r="P49" s="75">
        <f>VLOOKUP($A49,'Data Vlaue (Cr)'!$C:$FB,119)</f>
        <v>0.99</v>
      </c>
      <c r="Q49" s="75">
        <f>VLOOKUP($A49,'Data Vlaue (Cr)'!$C:$FB,122)*100</f>
        <v>-2.94</v>
      </c>
      <c r="R49" s="75">
        <f>VLOOKUP($A49,'Data Vlaue (Cr)'!$C:$FB,125)</f>
        <v>0.55000000000000004</v>
      </c>
      <c r="S49" s="75">
        <f>VLOOKUP($A49,'Data Vlaue (Cr)'!$C:$FB,128)*100</f>
        <v>12.24</v>
      </c>
    </row>
    <row r="50" spans="1:19" x14ac:dyDescent="0.25">
      <c r="A50" s="96" t="str">
        <f>'Data Vlaue (Cr)'!C41</f>
        <v>CANBK</v>
      </c>
      <c r="B50" s="75">
        <f>VLOOKUP($A50,'Data Vlaue (Cr)'!$C:$FB,2)</f>
        <v>6750</v>
      </c>
      <c r="C50" s="75">
        <f>VLOOKUP($A50,'Data Vlaue (Cr)'!$C:$FB,8)</f>
        <v>157.74</v>
      </c>
      <c r="D50" s="75">
        <f>VLOOKUP($A50,'Data Vlaue (Cr)'!$C:$FB,4)</f>
        <v>158.41999999999999</v>
      </c>
      <c r="E50" s="75">
        <f>VLOOKUP($A50,'Data Vlaue (Cr)'!$C:$FB,5)</f>
        <v>155.29</v>
      </c>
      <c r="F50" s="75">
        <f t="shared" si="0"/>
        <v>0.6799999999999784</v>
      </c>
      <c r="G50" s="75">
        <f t="shared" si="1"/>
        <v>1.9757606362832949</v>
      </c>
      <c r="H50" s="75">
        <f>VLOOKUP($A50,'Data Vlaue (Cr)'!$C:$FB,99)</f>
        <v>3971</v>
      </c>
      <c r="I50" s="75">
        <f>VLOOKUP($A50,'Data Vlaue (Cr)'!$C:$FB,100)</f>
        <v>3476</v>
      </c>
      <c r="J50" s="75">
        <f t="shared" si="2"/>
        <v>495</v>
      </c>
      <c r="K50" s="75">
        <f t="shared" si="3"/>
        <v>12.465373961218837</v>
      </c>
      <c r="L50" s="75">
        <f>VLOOKUP($A50,'Data Vlaue (Cr)'!$C:$FB,67)</f>
        <v>4238</v>
      </c>
      <c r="M50" s="75">
        <f>VLOOKUP($A50,'Data Vlaue (Cr)'!$C:$FB,68)</f>
        <v>5054</v>
      </c>
      <c r="N50" s="75">
        <f t="shared" si="4"/>
        <v>-816</v>
      </c>
      <c r="O50" s="75">
        <f t="shared" si="5"/>
        <v>-19.254365266635208</v>
      </c>
      <c r="P50" s="75">
        <f>VLOOKUP($A50,'Data Vlaue (Cr)'!$C:$FB,119)</f>
        <v>1.03</v>
      </c>
      <c r="Q50" s="75">
        <f>VLOOKUP($A50,'Data Vlaue (Cr)'!$C:$FB,122)*100</f>
        <v>1.9800000000000002</v>
      </c>
      <c r="R50" s="75">
        <f>VLOOKUP($A50,'Data Vlaue (Cr)'!$C:$FB,125)</f>
        <v>0.56999999999999995</v>
      </c>
      <c r="S50" s="75">
        <f>VLOOKUP($A50,'Data Vlaue (Cr)'!$C:$FB,128)*100</f>
        <v>-26.919999999999998</v>
      </c>
    </row>
    <row r="51" spans="1:19" x14ac:dyDescent="0.25">
      <c r="A51" s="96" t="str">
        <f>'Data Vlaue (Cr)'!C42</f>
        <v>CDSL</v>
      </c>
      <c r="B51" s="75">
        <f>VLOOKUP($A51,'Data Vlaue (Cr)'!$C:$FB,2)</f>
        <v>475</v>
      </c>
      <c r="C51" s="75">
        <f>VLOOKUP($A51,'Data Vlaue (Cr)'!$C:$FB,8)</f>
        <v>1356.9</v>
      </c>
      <c r="D51" s="75">
        <f>VLOOKUP($A51,'Data Vlaue (Cr)'!$C:$FB,4)</f>
        <v>1365.5</v>
      </c>
      <c r="E51" s="75">
        <f>VLOOKUP($A51,'Data Vlaue (Cr)'!$C:$FB,5)</f>
        <v>1328.8</v>
      </c>
      <c r="F51" s="75">
        <f t="shared" si="0"/>
        <v>8.5999999999999091</v>
      </c>
      <c r="G51" s="75">
        <f t="shared" si="1"/>
        <v>2.6876601977297727</v>
      </c>
      <c r="H51" s="75">
        <f>VLOOKUP($A51,'Data Vlaue (Cr)'!$C:$FB,99)</f>
        <v>2611</v>
      </c>
      <c r="I51" s="75">
        <f>VLOOKUP($A51,'Data Vlaue (Cr)'!$C:$FB,100)</f>
        <v>2336</v>
      </c>
      <c r="J51" s="75">
        <f t="shared" si="2"/>
        <v>275</v>
      </c>
      <c r="K51" s="75">
        <f t="shared" si="3"/>
        <v>10.532363079279969</v>
      </c>
      <c r="L51" s="75">
        <f>VLOOKUP($A51,'Data Vlaue (Cr)'!$C:$FB,67)</f>
        <v>1658</v>
      </c>
      <c r="M51" s="75">
        <f>VLOOKUP($A51,'Data Vlaue (Cr)'!$C:$FB,68)</f>
        <v>3483</v>
      </c>
      <c r="N51" s="75">
        <f t="shared" si="4"/>
        <v>-1825</v>
      </c>
      <c r="O51" s="75">
        <f t="shared" si="5"/>
        <v>-110.07237635705668</v>
      </c>
      <c r="P51" s="75">
        <f>VLOOKUP($A51,'Data Vlaue (Cr)'!$C:$FB,119)</f>
        <v>0.83</v>
      </c>
      <c r="Q51" s="75">
        <f>VLOOKUP($A51,'Data Vlaue (Cr)'!$C:$FB,122)*100</f>
        <v>-17</v>
      </c>
      <c r="R51" s="75">
        <f>VLOOKUP($A51,'Data Vlaue (Cr)'!$C:$FB,125)</f>
        <v>0.32</v>
      </c>
      <c r="S51" s="75">
        <f>VLOOKUP($A51,'Data Vlaue (Cr)'!$C:$FB,128)*100</f>
        <v>-65.959999999999994</v>
      </c>
    </row>
    <row r="52" spans="1:19" x14ac:dyDescent="0.25">
      <c r="A52" s="96" t="str">
        <f>'Data Vlaue (Cr)'!C43</f>
        <v>CGPOWER</v>
      </c>
      <c r="B52" s="75">
        <f>VLOOKUP($A52,'Data Vlaue (Cr)'!$C:$FB,2)</f>
        <v>850</v>
      </c>
      <c r="C52" s="75">
        <f>VLOOKUP($A52,'Data Vlaue (Cr)'!$C:$FB,8)</f>
        <v>581.95000000000005</v>
      </c>
      <c r="D52" s="75">
        <f>VLOOKUP($A52,'Data Vlaue (Cr)'!$C:$FB,4)</f>
        <v>583.29999999999995</v>
      </c>
      <c r="E52" s="75">
        <f>VLOOKUP($A52,'Data Vlaue (Cr)'!$C:$FB,5)</f>
        <v>533.35</v>
      </c>
      <c r="F52" s="75">
        <f t="shared" si="0"/>
        <v>1.3499999999999091</v>
      </c>
      <c r="G52" s="75">
        <f t="shared" si="1"/>
        <v>8.5633464769415291</v>
      </c>
      <c r="H52" s="75">
        <f>VLOOKUP($A52,'Data Vlaue (Cr)'!$C:$FB,99)</f>
        <v>1753</v>
      </c>
      <c r="I52" s="75">
        <f>VLOOKUP($A52,'Data Vlaue (Cr)'!$C:$FB,100)</f>
        <v>1608</v>
      </c>
      <c r="J52" s="75">
        <f t="shared" si="2"/>
        <v>145</v>
      </c>
      <c r="K52" s="75">
        <f t="shared" si="3"/>
        <v>8.2715345122646884</v>
      </c>
      <c r="L52" s="75">
        <f>VLOOKUP($A52,'Data Vlaue (Cr)'!$C:$FB,67)</f>
        <v>5129</v>
      </c>
      <c r="M52" s="75">
        <f>VLOOKUP($A52,'Data Vlaue (Cr)'!$C:$FB,68)</f>
        <v>4044</v>
      </c>
      <c r="N52" s="75">
        <f t="shared" si="4"/>
        <v>1085</v>
      </c>
      <c r="O52" s="75">
        <f t="shared" si="5"/>
        <v>21.154221095730161</v>
      </c>
      <c r="P52" s="75">
        <f>VLOOKUP($A52,'Data Vlaue (Cr)'!$C:$FB,119)</f>
        <v>0.96</v>
      </c>
      <c r="Q52" s="75">
        <f>VLOOKUP($A52,'Data Vlaue (Cr)'!$C:$FB,122)*100</f>
        <v>41.18</v>
      </c>
      <c r="R52" s="75">
        <f>VLOOKUP($A52,'Data Vlaue (Cr)'!$C:$FB,125)</f>
        <v>0.33</v>
      </c>
      <c r="S52" s="75">
        <f>VLOOKUP($A52,'Data Vlaue (Cr)'!$C:$FB,128)*100</f>
        <v>-52.86</v>
      </c>
    </row>
    <row r="53" spans="1:19" x14ac:dyDescent="0.25">
      <c r="A53" s="96" t="str">
        <f>'Data Vlaue (Cr)'!C44</f>
        <v>CHOLAFIN</v>
      </c>
      <c r="B53" s="75">
        <f>VLOOKUP($A53,'Data Vlaue (Cr)'!$C:$FB,2)</f>
        <v>625</v>
      </c>
      <c r="C53" s="75">
        <f>VLOOKUP($A53,'Data Vlaue (Cr)'!$C:$FB,8)</f>
        <v>1636.8</v>
      </c>
      <c r="D53" s="75">
        <f>VLOOKUP($A53,'Data Vlaue (Cr)'!$C:$FB,4)</f>
        <v>1646.4</v>
      </c>
      <c r="E53" s="75">
        <f>VLOOKUP($A53,'Data Vlaue (Cr)'!$C:$FB,5)</f>
        <v>1649.4</v>
      </c>
      <c r="F53" s="75">
        <f t="shared" si="0"/>
        <v>9.6000000000001364</v>
      </c>
      <c r="G53" s="75">
        <f t="shared" si="1"/>
        <v>-0.18221574344023322</v>
      </c>
      <c r="H53" s="75">
        <f>VLOOKUP($A53,'Data Vlaue (Cr)'!$C:$FB,99)</f>
        <v>2917</v>
      </c>
      <c r="I53" s="75">
        <f>VLOOKUP($A53,'Data Vlaue (Cr)'!$C:$FB,100)</f>
        <v>2775</v>
      </c>
      <c r="J53" s="75">
        <f t="shared" si="2"/>
        <v>142</v>
      </c>
      <c r="K53" s="75">
        <f t="shared" si="3"/>
        <v>4.8680150839904011</v>
      </c>
      <c r="L53" s="75">
        <f>VLOOKUP($A53,'Data Vlaue (Cr)'!$C:$FB,67)</f>
        <v>621</v>
      </c>
      <c r="M53" s="75">
        <f>VLOOKUP($A53,'Data Vlaue (Cr)'!$C:$FB,68)</f>
        <v>2253</v>
      </c>
      <c r="N53" s="75">
        <f t="shared" si="4"/>
        <v>-1632</v>
      </c>
      <c r="O53" s="75">
        <f t="shared" si="5"/>
        <v>-262.80193236714979</v>
      </c>
      <c r="P53" s="75">
        <f>VLOOKUP($A53,'Data Vlaue (Cr)'!$C:$FB,119)</f>
        <v>1.05</v>
      </c>
      <c r="Q53" s="75">
        <f>VLOOKUP($A53,'Data Vlaue (Cr)'!$C:$FB,122)*100</f>
        <v>-5.41</v>
      </c>
      <c r="R53" s="75">
        <f>VLOOKUP($A53,'Data Vlaue (Cr)'!$C:$FB,125)</f>
        <v>0.83</v>
      </c>
      <c r="S53" s="75">
        <f>VLOOKUP($A53,'Data Vlaue (Cr)'!$C:$FB,128)*100</f>
        <v>0</v>
      </c>
    </row>
    <row r="54" spans="1:19" x14ac:dyDescent="0.25">
      <c r="A54" s="96" t="str">
        <f>'Data Vlaue (Cr)'!C45</f>
        <v>CIPLA</v>
      </c>
      <c r="B54" s="75">
        <f>VLOOKUP($A54,'Data Vlaue (Cr)'!$C:$FB,2)</f>
        <v>375</v>
      </c>
      <c r="C54" s="75">
        <f>VLOOKUP($A54,'Data Vlaue (Cr)'!$C:$FB,8)</f>
        <v>1328.4</v>
      </c>
      <c r="D54" s="75">
        <f>VLOOKUP($A54,'Data Vlaue (Cr)'!$C:$FB,4)</f>
        <v>1334.3</v>
      </c>
      <c r="E54" s="75">
        <f>VLOOKUP($A54,'Data Vlaue (Cr)'!$C:$FB,5)</f>
        <v>1320.6</v>
      </c>
      <c r="F54" s="75">
        <f t="shared" si="0"/>
        <v>5.8999999999998636</v>
      </c>
      <c r="G54" s="75">
        <f t="shared" si="1"/>
        <v>1.0267556021884168</v>
      </c>
      <c r="H54" s="75">
        <f>VLOOKUP($A54,'Data Vlaue (Cr)'!$C:$FB,99)</f>
        <v>2804</v>
      </c>
      <c r="I54" s="75">
        <f>VLOOKUP($A54,'Data Vlaue (Cr)'!$C:$FB,100)</f>
        <v>2757</v>
      </c>
      <c r="J54" s="75">
        <f t="shared" si="2"/>
        <v>47</v>
      </c>
      <c r="K54" s="75">
        <f t="shared" si="3"/>
        <v>1.6761768901569187</v>
      </c>
      <c r="L54" s="75">
        <f>VLOOKUP($A54,'Data Vlaue (Cr)'!$C:$FB,67)</f>
        <v>1022</v>
      </c>
      <c r="M54" s="75">
        <f>VLOOKUP($A54,'Data Vlaue (Cr)'!$C:$FB,68)</f>
        <v>3672</v>
      </c>
      <c r="N54" s="75">
        <f t="shared" si="4"/>
        <v>-2650</v>
      </c>
      <c r="O54" s="75">
        <f t="shared" si="5"/>
        <v>-259.29549902152644</v>
      </c>
      <c r="P54" s="75">
        <f>VLOOKUP($A54,'Data Vlaue (Cr)'!$C:$FB,119)</f>
        <v>0.83</v>
      </c>
      <c r="Q54" s="75">
        <f>VLOOKUP($A54,'Data Vlaue (Cr)'!$C:$FB,122)*100</f>
        <v>-8.7900000000000009</v>
      </c>
      <c r="R54" s="75">
        <f>VLOOKUP($A54,'Data Vlaue (Cr)'!$C:$FB,125)</f>
        <v>0.53</v>
      </c>
      <c r="S54" s="75">
        <f>VLOOKUP($A54,'Data Vlaue (Cr)'!$C:$FB,128)*100</f>
        <v>-41.760000000000005</v>
      </c>
    </row>
    <row r="55" spans="1:19" x14ac:dyDescent="0.25">
      <c r="A55" s="96" t="str">
        <f>'Data Vlaue (Cr)'!C46</f>
        <v>COALINDIA</v>
      </c>
      <c r="B55" s="75">
        <f>VLOOKUP($A55,'Data Vlaue (Cr)'!$C:$FB,2)</f>
        <v>1350</v>
      </c>
      <c r="C55" s="75">
        <f>VLOOKUP($A55,'Data Vlaue (Cr)'!$C:$FB,8)</f>
        <v>444.05</v>
      </c>
      <c r="D55" s="75">
        <f>VLOOKUP($A55,'Data Vlaue (Cr)'!$C:$FB,4)</f>
        <v>440.55</v>
      </c>
      <c r="E55" s="75">
        <f>VLOOKUP($A55,'Data Vlaue (Cr)'!$C:$FB,5)</f>
        <v>420.4</v>
      </c>
      <c r="F55" s="75">
        <f t="shared" si="0"/>
        <v>-3.5</v>
      </c>
      <c r="G55" s="75">
        <f t="shared" si="1"/>
        <v>4.5738281693337948</v>
      </c>
      <c r="H55" s="75">
        <f>VLOOKUP($A55,'Data Vlaue (Cr)'!$C:$FB,99)</f>
        <v>3163</v>
      </c>
      <c r="I55" s="75">
        <f>VLOOKUP($A55,'Data Vlaue (Cr)'!$C:$FB,100)</f>
        <v>2793</v>
      </c>
      <c r="J55" s="75">
        <f t="shared" si="2"/>
        <v>370</v>
      </c>
      <c r="K55" s="75">
        <f t="shared" si="3"/>
        <v>11.697755295605438</v>
      </c>
      <c r="L55" s="75">
        <f>VLOOKUP($A55,'Data Vlaue (Cr)'!$C:$FB,67)</f>
        <v>6163</v>
      </c>
      <c r="M55" s="75">
        <f>VLOOKUP($A55,'Data Vlaue (Cr)'!$C:$FB,68)</f>
        <v>3953</v>
      </c>
      <c r="N55" s="75">
        <f t="shared" si="4"/>
        <v>2210</v>
      </c>
      <c r="O55" s="75">
        <f t="shared" si="5"/>
        <v>35.859159500243386</v>
      </c>
      <c r="P55" s="75">
        <f>VLOOKUP($A55,'Data Vlaue (Cr)'!$C:$FB,119)</f>
        <v>0.61</v>
      </c>
      <c r="Q55" s="75">
        <f>VLOOKUP($A55,'Data Vlaue (Cr)'!$C:$FB,122)*100</f>
        <v>1.67</v>
      </c>
      <c r="R55" s="75">
        <f>VLOOKUP($A55,'Data Vlaue (Cr)'!$C:$FB,125)</f>
        <v>0.3</v>
      </c>
      <c r="S55" s="75">
        <f>VLOOKUP($A55,'Data Vlaue (Cr)'!$C:$FB,128)*100</f>
        <v>-42.309999999999995</v>
      </c>
    </row>
    <row r="56" spans="1:19" x14ac:dyDescent="0.25">
      <c r="A56" s="96" t="str">
        <f>'Data Vlaue (Cr)'!C47</f>
        <v>COFORGE</v>
      </c>
      <c r="B56" s="75">
        <f>VLOOKUP($A56,'Data Vlaue (Cr)'!$C:$FB,2)</f>
        <v>375</v>
      </c>
      <c r="C56" s="75">
        <f>VLOOKUP($A56,'Data Vlaue (Cr)'!$C:$FB,8)</f>
        <v>1694.2</v>
      </c>
      <c r="D56" s="75">
        <f>VLOOKUP($A56,'Data Vlaue (Cr)'!$C:$FB,4)</f>
        <v>1693</v>
      </c>
      <c r="E56" s="75">
        <f>VLOOKUP($A56,'Data Vlaue (Cr)'!$C:$FB,5)</f>
        <v>1670.8</v>
      </c>
      <c r="F56" s="75">
        <f t="shared" si="0"/>
        <v>-1.2000000000000455</v>
      </c>
      <c r="G56" s="75">
        <f t="shared" si="1"/>
        <v>1.3112817483756674</v>
      </c>
      <c r="H56" s="75">
        <f>VLOOKUP($A56,'Data Vlaue (Cr)'!$C:$FB,99)</f>
        <v>2903</v>
      </c>
      <c r="I56" s="75">
        <f>VLOOKUP($A56,'Data Vlaue (Cr)'!$C:$FB,100)</f>
        <v>2810</v>
      </c>
      <c r="J56" s="75">
        <f t="shared" si="2"/>
        <v>93</v>
      </c>
      <c r="K56" s="75">
        <f t="shared" si="3"/>
        <v>3.2035825008611782</v>
      </c>
      <c r="L56" s="75">
        <f>VLOOKUP($A56,'Data Vlaue (Cr)'!$C:$FB,67)</f>
        <v>1668</v>
      </c>
      <c r="M56" s="75">
        <f>VLOOKUP($A56,'Data Vlaue (Cr)'!$C:$FB,68)</f>
        <v>4751</v>
      </c>
      <c r="N56" s="75">
        <f t="shared" si="4"/>
        <v>-3083</v>
      </c>
      <c r="O56" s="75">
        <f t="shared" si="5"/>
        <v>-184.83213429256594</v>
      </c>
      <c r="P56" s="75">
        <f>VLOOKUP($A56,'Data Vlaue (Cr)'!$C:$FB,119)</f>
        <v>0.73</v>
      </c>
      <c r="Q56" s="75">
        <f>VLOOKUP($A56,'Data Vlaue (Cr)'!$C:$FB,122)*100</f>
        <v>-9.879999999999999</v>
      </c>
      <c r="R56" s="75">
        <f>VLOOKUP($A56,'Data Vlaue (Cr)'!$C:$FB,125)</f>
        <v>0.94</v>
      </c>
      <c r="S56" s="75">
        <f>VLOOKUP($A56,'Data Vlaue (Cr)'!$C:$FB,128)*100</f>
        <v>88</v>
      </c>
    </row>
    <row r="57" spans="1:19" x14ac:dyDescent="0.25">
      <c r="A57" s="96" t="str">
        <f>'Data Vlaue (Cr)'!C48</f>
        <v>COLPAL</v>
      </c>
      <c r="B57" s="75">
        <f>VLOOKUP($A57,'Data Vlaue (Cr)'!$C:$FB,2)</f>
        <v>225</v>
      </c>
      <c r="C57" s="75">
        <f>VLOOKUP($A57,'Data Vlaue (Cr)'!$C:$FB,8)</f>
        <v>2154.4</v>
      </c>
      <c r="D57" s="75">
        <f>VLOOKUP($A57,'Data Vlaue (Cr)'!$C:$FB,4)</f>
        <v>2160.6999999999998</v>
      </c>
      <c r="E57" s="75">
        <f>VLOOKUP($A57,'Data Vlaue (Cr)'!$C:$FB,5)</f>
        <v>2162.1999999999998</v>
      </c>
      <c r="F57" s="75">
        <f t="shared" si="0"/>
        <v>6.2999999999997272</v>
      </c>
      <c r="G57" s="75">
        <f t="shared" si="1"/>
        <v>-6.9421946591382427E-2</v>
      </c>
      <c r="H57" s="75">
        <f>VLOOKUP($A57,'Data Vlaue (Cr)'!$C:$FB,99)</f>
        <v>1496</v>
      </c>
      <c r="I57" s="75">
        <f>VLOOKUP($A57,'Data Vlaue (Cr)'!$C:$FB,100)</f>
        <v>1443</v>
      </c>
      <c r="J57" s="75">
        <f t="shared" si="2"/>
        <v>53</v>
      </c>
      <c r="K57" s="75">
        <f t="shared" si="3"/>
        <v>3.5427807486631018</v>
      </c>
      <c r="L57" s="75">
        <f>VLOOKUP($A57,'Data Vlaue (Cr)'!$C:$FB,67)</f>
        <v>550</v>
      </c>
      <c r="M57" s="75">
        <f>VLOOKUP($A57,'Data Vlaue (Cr)'!$C:$FB,68)</f>
        <v>1233</v>
      </c>
      <c r="N57" s="75">
        <f t="shared" si="4"/>
        <v>-683</v>
      </c>
      <c r="O57" s="75">
        <f t="shared" si="5"/>
        <v>-124.18181818181817</v>
      </c>
      <c r="P57" s="75">
        <f>VLOOKUP($A57,'Data Vlaue (Cr)'!$C:$FB,119)</f>
        <v>0.99</v>
      </c>
      <c r="Q57" s="75">
        <f>VLOOKUP($A57,'Data Vlaue (Cr)'!$C:$FB,122)*100</f>
        <v>7.61</v>
      </c>
      <c r="R57" s="75">
        <f>VLOOKUP($A57,'Data Vlaue (Cr)'!$C:$FB,125)</f>
        <v>0.68</v>
      </c>
      <c r="S57" s="75">
        <f>VLOOKUP($A57,'Data Vlaue (Cr)'!$C:$FB,128)*100</f>
        <v>19.3</v>
      </c>
    </row>
    <row r="58" spans="1:19" x14ac:dyDescent="0.25">
      <c r="A58" s="96" t="str">
        <f>'Data Vlaue (Cr)'!C49</f>
        <v>CONCOR</v>
      </c>
      <c r="B58" s="75">
        <f>VLOOKUP($A58,'Data Vlaue (Cr)'!$C:$FB,2)</f>
        <v>1250</v>
      </c>
      <c r="C58" s="75">
        <f>VLOOKUP($A58,'Data Vlaue (Cr)'!$C:$FB,8)</f>
        <v>496.35</v>
      </c>
      <c r="D58" s="75">
        <f>VLOOKUP($A58,'Data Vlaue (Cr)'!$C:$FB,4)</f>
        <v>496.4</v>
      </c>
      <c r="E58" s="75">
        <f>VLOOKUP($A58,'Data Vlaue (Cr)'!$C:$FB,5)</f>
        <v>484.2</v>
      </c>
      <c r="F58" s="75">
        <f t="shared" si="0"/>
        <v>4.9999999999954525E-2</v>
      </c>
      <c r="G58" s="75">
        <f t="shared" si="1"/>
        <v>2.4576954069298931</v>
      </c>
      <c r="H58" s="75">
        <f>VLOOKUP($A58,'Data Vlaue (Cr)'!$C:$FB,99)</f>
        <v>2300</v>
      </c>
      <c r="I58" s="75">
        <f>VLOOKUP($A58,'Data Vlaue (Cr)'!$C:$FB,100)</f>
        <v>2181</v>
      </c>
      <c r="J58" s="75">
        <f t="shared" si="2"/>
        <v>119</v>
      </c>
      <c r="K58" s="75">
        <f t="shared" si="3"/>
        <v>5.1739130434782608</v>
      </c>
      <c r="L58" s="75">
        <f>VLOOKUP($A58,'Data Vlaue (Cr)'!$C:$FB,67)</f>
        <v>794</v>
      </c>
      <c r="M58" s="75">
        <f>VLOOKUP($A58,'Data Vlaue (Cr)'!$C:$FB,68)</f>
        <v>1966</v>
      </c>
      <c r="N58" s="75">
        <f t="shared" si="4"/>
        <v>-1172</v>
      </c>
      <c r="O58" s="75">
        <f t="shared" si="5"/>
        <v>-147.60705289672543</v>
      </c>
      <c r="P58" s="75">
        <f>VLOOKUP($A58,'Data Vlaue (Cr)'!$C:$FB,119)</f>
        <v>1.1100000000000001</v>
      </c>
      <c r="Q58" s="75">
        <f>VLOOKUP($A58,'Data Vlaue (Cr)'!$C:$FB,122)*100</f>
        <v>-8.2600000000000016</v>
      </c>
      <c r="R58" s="75">
        <f>VLOOKUP($A58,'Data Vlaue (Cr)'!$C:$FB,125)</f>
        <v>0.36</v>
      </c>
      <c r="S58" s="75">
        <f>VLOOKUP($A58,'Data Vlaue (Cr)'!$C:$FB,128)*100</f>
        <v>-59.550000000000004</v>
      </c>
    </row>
    <row r="59" spans="1:19" x14ac:dyDescent="0.25">
      <c r="A59" s="96" t="str">
        <f>'Data Vlaue (Cr)'!C50</f>
        <v>CROMPTON</v>
      </c>
      <c r="B59" s="75">
        <f>VLOOKUP($A59,'Data Vlaue (Cr)'!$C:$FB,2)</f>
        <v>1800</v>
      </c>
      <c r="C59" s="75">
        <f>VLOOKUP($A59,'Data Vlaue (Cr)'!$C:$FB,8)</f>
        <v>225.4</v>
      </c>
      <c r="D59" s="75">
        <f>VLOOKUP($A59,'Data Vlaue (Cr)'!$C:$FB,4)</f>
        <v>226.9</v>
      </c>
      <c r="E59" s="75">
        <f>VLOOKUP($A59,'Data Vlaue (Cr)'!$C:$FB,5)</f>
        <v>223.55</v>
      </c>
      <c r="F59" s="75">
        <f t="shared" si="0"/>
        <v>1.5</v>
      </c>
      <c r="G59" s="75">
        <f t="shared" si="1"/>
        <v>1.4764213309828091</v>
      </c>
      <c r="H59" s="75">
        <f>VLOOKUP($A59,'Data Vlaue (Cr)'!$C:$FB,99)</f>
        <v>1523</v>
      </c>
      <c r="I59" s="75">
        <f>VLOOKUP($A59,'Data Vlaue (Cr)'!$C:$FB,100)</f>
        <v>1459</v>
      </c>
      <c r="J59" s="75">
        <f t="shared" si="2"/>
        <v>64</v>
      </c>
      <c r="K59" s="75">
        <f t="shared" si="3"/>
        <v>4.2022324359816148</v>
      </c>
      <c r="L59" s="75">
        <f>VLOOKUP($A59,'Data Vlaue (Cr)'!$C:$FB,67)</f>
        <v>382</v>
      </c>
      <c r="M59" s="75">
        <f>VLOOKUP($A59,'Data Vlaue (Cr)'!$C:$FB,68)</f>
        <v>1320</v>
      </c>
      <c r="N59" s="75">
        <f t="shared" si="4"/>
        <v>-938</v>
      </c>
      <c r="O59" s="75">
        <f t="shared" si="5"/>
        <v>-245.54973821989529</v>
      </c>
      <c r="P59" s="75">
        <f>VLOOKUP($A59,'Data Vlaue (Cr)'!$C:$FB,119)</f>
        <v>0.63</v>
      </c>
      <c r="Q59" s="75">
        <f>VLOOKUP($A59,'Data Vlaue (Cr)'!$C:$FB,122)*100</f>
        <v>-8.6999999999999993</v>
      </c>
      <c r="R59" s="75">
        <f>VLOOKUP($A59,'Data Vlaue (Cr)'!$C:$FB,125)</f>
        <v>0.36</v>
      </c>
      <c r="S59" s="75">
        <f>VLOOKUP($A59,'Data Vlaue (Cr)'!$C:$FB,128)*100</f>
        <v>-74.83</v>
      </c>
    </row>
    <row r="60" spans="1:19" x14ac:dyDescent="0.25">
      <c r="A60" s="96" t="str">
        <f>'Data Vlaue (Cr)'!C51</f>
        <v>CUMMINSIND</v>
      </c>
      <c r="B60" s="75">
        <f>VLOOKUP($A60,'Data Vlaue (Cr)'!$C:$FB,2)</f>
        <v>200</v>
      </c>
      <c r="C60" s="75">
        <f>VLOOKUP($A60,'Data Vlaue (Cr)'!$C:$FB,8)</f>
        <v>4024</v>
      </c>
      <c r="D60" s="75">
        <f>VLOOKUP($A60,'Data Vlaue (Cr)'!$C:$FB,4)</f>
        <v>4025.9</v>
      </c>
      <c r="E60" s="75">
        <f>VLOOKUP($A60,'Data Vlaue (Cr)'!$C:$FB,5)</f>
        <v>3934.4</v>
      </c>
      <c r="F60" s="75">
        <f t="shared" si="0"/>
        <v>1.9000000000000909</v>
      </c>
      <c r="G60" s="75">
        <f t="shared" si="1"/>
        <v>2.2727837253781762</v>
      </c>
      <c r="H60" s="75">
        <f>VLOOKUP($A60,'Data Vlaue (Cr)'!$C:$FB,99)</f>
        <v>1639</v>
      </c>
      <c r="I60" s="75">
        <f>VLOOKUP($A60,'Data Vlaue (Cr)'!$C:$FB,100)</f>
        <v>1571</v>
      </c>
      <c r="J60" s="75">
        <f t="shared" si="2"/>
        <v>68</v>
      </c>
      <c r="K60" s="75">
        <f t="shared" si="3"/>
        <v>4.1488712629652227</v>
      </c>
      <c r="L60" s="75">
        <f>VLOOKUP($A60,'Data Vlaue (Cr)'!$C:$FB,67)</f>
        <v>567</v>
      </c>
      <c r="M60" s="75">
        <f>VLOOKUP($A60,'Data Vlaue (Cr)'!$C:$FB,68)</f>
        <v>1816</v>
      </c>
      <c r="N60" s="75">
        <f t="shared" si="4"/>
        <v>-1249</v>
      </c>
      <c r="O60" s="75">
        <f t="shared" si="5"/>
        <v>-220.28218694885359</v>
      </c>
      <c r="P60" s="75">
        <f>VLOOKUP($A60,'Data Vlaue (Cr)'!$C:$FB,119)</f>
        <v>1.05</v>
      </c>
      <c r="Q60" s="75">
        <f>VLOOKUP($A60,'Data Vlaue (Cr)'!$C:$FB,122)*100</f>
        <v>-12.5</v>
      </c>
      <c r="R60" s="75">
        <f>VLOOKUP($A60,'Data Vlaue (Cr)'!$C:$FB,125)</f>
        <v>0.44</v>
      </c>
      <c r="S60" s="75">
        <f>VLOOKUP($A60,'Data Vlaue (Cr)'!$C:$FB,128)*100</f>
        <v>-42.86</v>
      </c>
    </row>
    <row r="61" spans="1:19" x14ac:dyDescent="0.25">
      <c r="A61" s="96" t="str">
        <f>'Data Vlaue (Cr)'!C52</f>
        <v>DABUR</v>
      </c>
      <c r="B61" s="75">
        <f>VLOOKUP($A61,'Data Vlaue (Cr)'!$C:$FB,2)</f>
        <v>1250</v>
      </c>
      <c r="C61" s="75">
        <f>VLOOKUP($A61,'Data Vlaue (Cr)'!$C:$FB,8)</f>
        <v>515.75</v>
      </c>
      <c r="D61" s="75">
        <f>VLOOKUP($A61,'Data Vlaue (Cr)'!$C:$FB,4)</f>
        <v>517.65</v>
      </c>
      <c r="E61" s="75">
        <f>VLOOKUP($A61,'Data Vlaue (Cr)'!$C:$FB,5)</f>
        <v>516.75</v>
      </c>
      <c r="F61" s="75">
        <f t="shared" si="0"/>
        <v>1.8999999999999773</v>
      </c>
      <c r="G61" s="75">
        <f t="shared" si="1"/>
        <v>0.17386264850767455</v>
      </c>
      <c r="H61" s="75">
        <f>VLOOKUP($A61,'Data Vlaue (Cr)'!$C:$FB,99)</f>
        <v>1658</v>
      </c>
      <c r="I61" s="75">
        <f>VLOOKUP($A61,'Data Vlaue (Cr)'!$C:$FB,100)</f>
        <v>1478</v>
      </c>
      <c r="J61" s="75">
        <f t="shared" si="2"/>
        <v>180</v>
      </c>
      <c r="K61" s="75">
        <f t="shared" si="3"/>
        <v>10.856453558504221</v>
      </c>
      <c r="L61" s="75">
        <f>VLOOKUP($A61,'Data Vlaue (Cr)'!$C:$FB,67)</f>
        <v>953</v>
      </c>
      <c r="M61" s="75">
        <f>VLOOKUP($A61,'Data Vlaue (Cr)'!$C:$FB,68)</f>
        <v>1113</v>
      </c>
      <c r="N61" s="75">
        <f t="shared" si="4"/>
        <v>-160</v>
      </c>
      <c r="O61" s="75">
        <f t="shared" si="5"/>
        <v>-16.789087093389295</v>
      </c>
      <c r="P61" s="75">
        <f>VLOOKUP($A61,'Data Vlaue (Cr)'!$C:$FB,119)</f>
        <v>0.65</v>
      </c>
      <c r="Q61" s="75">
        <f>VLOOKUP($A61,'Data Vlaue (Cr)'!$C:$FB,122)*100</f>
        <v>-14.469999999999999</v>
      </c>
      <c r="R61" s="75">
        <f>VLOOKUP($A61,'Data Vlaue (Cr)'!$C:$FB,125)</f>
        <v>0.51</v>
      </c>
      <c r="S61" s="75">
        <f>VLOOKUP($A61,'Data Vlaue (Cr)'!$C:$FB,128)*100</f>
        <v>-17.740000000000002</v>
      </c>
    </row>
    <row r="62" spans="1:19" x14ac:dyDescent="0.25">
      <c r="A62" s="96" t="str">
        <f>'Data Vlaue (Cr)'!C53</f>
        <v>DALBHARAT</v>
      </c>
      <c r="B62" s="75">
        <f>VLOOKUP($A62,'Data Vlaue (Cr)'!$C:$FB,2)</f>
        <v>325</v>
      </c>
      <c r="C62" s="75">
        <f>VLOOKUP($A62,'Data Vlaue (Cr)'!$C:$FB,8)</f>
        <v>2074.4</v>
      </c>
      <c r="D62" s="75">
        <f>VLOOKUP($A62,'Data Vlaue (Cr)'!$C:$FB,4)</f>
        <v>2087.5</v>
      </c>
      <c r="E62" s="75">
        <f>VLOOKUP($A62,'Data Vlaue (Cr)'!$C:$FB,5)</f>
        <v>2123.1999999999998</v>
      </c>
      <c r="F62" s="75">
        <f t="shared" si="0"/>
        <v>13.099999999999909</v>
      </c>
      <c r="G62" s="75">
        <f t="shared" si="1"/>
        <v>-1.7101796407185541</v>
      </c>
      <c r="H62" s="75">
        <f>VLOOKUP($A62,'Data Vlaue (Cr)'!$C:$FB,99)</f>
        <v>778</v>
      </c>
      <c r="I62" s="75">
        <f>VLOOKUP($A62,'Data Vlaue (Cr)'!$C:$FB,100)</f>
        <v>745</v>
      </c>
      <c r="J62" s="75">
        <f t="shared" si="2"/>
        <v>33</v>
      </c>
      <c r="K62" s="75">
        <f t="shared" si="3"/>
        <v>4.2416452442159382</v>
      </c>
      <c r="L62" s="75">
        <f>VLOOKUP($A62,'Data Vlaue (Cr)'!$C:$FB,67)</f>
        <v>295</v>
      </c>
      <c r="M62" s="75">
        <f>VLOOKUP($A62,'Data Vlaue (Cr)'!$C:$FB,68)</f>
        <v>999</v>
      </c>
      <c r="N62" s="75">
        <f t="shared" si="4"/>
        <v>-704</v>
      </c>
      <c r="O62" s="75">
        <f t="shared" si="5"/>
        <v>-238.64406779661019</v>
      </c>
      <c r="P62" s="75">
        <f>VLOOKUP($A62,'Data Vlaue (Cr)'!$C:$FB,119)</f>
        <v>0.7</v>
      </c>
      <c r="Q62" s="75">
        <f>VLOOKUP($A62,'Data Vlaue (Cr)'!$C:$FB,122)*100</f>
        <v>-5.41</v>
      </c>
      <c r="R62" s="75">
        <f>VLOOKUP($A62,'Data Vlaue (Cr)'!$C:$FB,125)</f>
        <v>1.1200000000000001</v>
      </c>
      <c r="S62" s="75">
        <f>VLOOKUP($A62,'Data Vlaue (Cr)'!$C:$FB,128)*100</f>
        <v>49.33</v>
      </c>
    </row>
    <row r="63" spans="1:19" x14ac:dyDescent="0.25">
      <c r="A63" s="96" t="str">
        <f>'Data Vlaue (Cr)'!C54</f>
        <v>DELHIVERY</v>
      </c>
      <c r="B63" s="75">
        <f>VLOOKUP($A63,'Data Vlaue (Cr)'!$C:$FB,2)</f>
        <v>2075</v>
      </c>
      <c r="C63" s="75">
        <f>VLOOKUP($A63,'Data Vlaue (Cr)'!$C:$FB,8)</f>
        <v>407.75</v>
      </c>
      <c r="D63" s="75">
        <f>VLOOKUP($A63,'Data Vlaue (Cr)'!$C:$FB,4)</f>
        <v>410.35</v>
      </c>
      <c r="E63" s="75">
        <f>VLOOKUP($A63,'Data Vlaue (Cr)'!$C:$FB,5)</f>
        <v>403</v>
      </c>
      <c r="F63" s="75">
        <f t="shared" si="0"/>
        <v>2.6000000000000227</v>
      </c>
      <c r="G63" s="75">
        <f t="shared" si="1"/>
        <v>1.7911538930181607</v>
      </c>
      <c r="H63" s="75">
        <f>VLOOKUP($A63,'Data Vlaue (Cr)'!$C:$FB,99)</f>
        <v>1336</v>
      </c>
      <c r="I63" s="75">
        <f>VLOOKUP($A63,'Data Vlaue (Cr)'!$C:$FB,100)</f>
        <v>1184</v>
      </c>
      <c r="J63" s="75">
        <f t="shared" si="2"/>
        <v>152</v>
      </c>
      <c r="K63" s="75">
        <f t="shared" si="3"/>
        <v>11.377245508982035</v>
      </c>
      <c r="L63" s="75">
        <f>VLOOKUP($A63,'Data Vlaue (Cr)'!$C:$FB,67)</f>
        <v>824</v>
      </c>
      <c r="M63" s="75">
        <f>VLOOKUP($A63,'Data Vlaue (Cr)'!$C:$FB,68)</f>
        <v>1849</v>
      </c>
      <c r="N63" s="75">
        <f t="shared" si="4"/>
        <v>-1025</v>
      </c>
      <c r="O63" s="75">
        <f t="shared" si="5"/>
        <v>-124.39320388349515</v>
      </c>
      <c r="P63" s="75">
        <f>VLOOKUP($A63,'Data Vlaue (Cr)'!$C:$FB,119)</f>
        <v>0.89</v>
      </c>
      <c r="Q63" s="75">
        <f>VLOOKUP($A63,'Data Vlaue (Cr)'!$C:$FB,122)*100</f>
        <v>-27.639999999999997</v>
      </c>
      <c r="R63" s="75">
        <f>VLOOKUP($A63,'Data Vlaue (Cr)'!$C:$FB,125)</f>
        <v>0.52</v>
      </c>
      <c r="S63" s="75">
        <f>VLOOKUP($A63,'Data Vlaue (Cr)'!$C:$FB,128)*100</f>
        <v>44.440000000000005</v>
      </c>
    </row>
    <row r="64" spans="1:19" x14ac:dyDescent="0.25">
      <c r="A64" s="96" t="str">
        <f>'Data Vlaue (Cr)'!C55</f>
        <v>DIVISLAB</v>
      </c>
      <c r="B64" s="75">
        <f>VLOOKUP($A64,'Data Vlaue (Cr)'!$C:$FB,2)</f>
        <v>100</v>
      </c>
      <c r="C64" s="75">
        <f>VLOOKUP($A64,'Data Vlaue (Cr)'!$C:$FB,8)</f>
        <v>6188</v>
      </c>
      <c r="D64" s="75">
        <f>VLOOKUP($A64,'Data Vlaue (Cr)'!$C:$FB,4)</f>
        <v>6220.5</v>
      </c>
      <c r="E64" s="75">
        <f>VLOOKUP($A64,'Data Vlaue (Cr)'!$C:$FB,5)</f>
        <v>6088</v>
      </c>
      <c r="F64" s="75">
        <f t="shared" si="0"/>
        <v>32.5</v>
      </c>
      <c r="G64" s="75">
        <f t="shared" si="1"/>
        <v>2.1300538541917851</v>
      </c>
      <c r="H64" s="75">
        <f>VLOOKUP($A64,'Data Vlaue (Cr)'!$C:$FB,99)</f>
        <v>2528</v>
      </c>
      <c r="I64" s="75">
        <f>VLOOKUP($A64,'Data Vlaue (Cr)'!$C:$FB,100)</f>
        <v>2368</v>
      </c>
      <c r="J64" s="75">
        <f t="shared" si="2"/>
        <v>160</v>
      </c>
      <c r="K64" s="75">
        <f t="shared" si="3"/>
        <v>6.3291139240506329</v>
      </c>
      <c r="L64" s="75">
        <f>VLOOKUP($A64,'Data Vlaue (Cr)'!$C:$FB,67)</f>
        <v>871</v>
      </c>
      <c r="M64" s="75">
        <f>VLOOKUP($A64,'Data Vlaue (Cr)'!$C:$FB,68)</f>
        <v>1950</v>
      </c>
      <c r="N64" s="75">
        <f t="shared" si="4"/>
        <v>-1079</v>
      </c>
      <c r="O64" s="75">
        <f t="shared" si="5"/>
        <v>-123.88059701492537</v>
      </c>
      <c r="P64" s="75">
        <f>VLOOKUP($A64,'Data Vlaue (Cr)'!$C:$FB,119)</f>
        <v>0.63</v>
      </c>
      <c r="Q64" s="75">
        <f>VLOOKUP($A64,'Data Vlaue (Cr)'!$C:$FB,122)*100</f>
        <v>-27.589999999999996</v>
      </c>
      <c r="R64" s="75">
        <f>VLOOKUP($A64,'Data Vlaue (Cr)'!$C:$FB,125)</f>
        <v>0.46</v>
      </c>
      <c r="S64" s="75">
        <f>VLOOKUP($A64,'Data Vlaue (Cr)'!$C:$FB,128)*100</f>
        <v>-37.840000000000003</v>
      </c>
    </row>
    <row r="65" spans="1:19" x14ac:dyDescent="0.25">
      <c r="A65" s="96" t="str">
        <f>'Data Vlaue (Cr)'!C56</f>
        <v>DIXON</v>
      </c>
      <c r="B65" s="75">
        <f>VLOOKUP($A65,'Data Vlaue (Cr)'!$C:$FB,2)</f>
        <v>50</v>
      </c>
      <c r="C65" s="75">
        <f>VLOOKUP($A65,'Data Vlaue (Cr)'!$C:$FB,8)</f>
        <v>10279</v>
      </c>
      <c r="D65" s="75">
        <f>VLOOKUP($A65,'Data Vlaue (Cr)'!$C:$FB,4)</f>
        <v>10324</v>
      </c>
      <c r="E65" s="75">
        <f>VLOOKUP($A65,'Data Vlaue (Cr)'!$C:$FB,5)</f>
        <v>10226</v>
      </c>
      <c r="F65" s="75">
        <f t="shared" si="0"/>
        <v>45</v>
      </c>
      <c r="G65" s="75">
        <f t="shared" si="1"/>
        <v>0.94924447888415342</v>
      </c>
      <c r="H65" s="75">
        <f>VLOOKUP($A65,'Data Vlaue (Cr)'!$C:$FB,99)</f>
        <v>4958</v>
      </c>
      <c r="I65" s="75">
        <f>VLOOKUP($A65,'Data Vlaue (Cr)'!$C:$FB,100)</f>
        <v>4566</v>
      </c>
      <c r="J65" s="75">
        <f t="shared" si="2"/>
        <v>392</v>
      </c>
      <c r="K65" s="75">
        <f t="shared" si="3"/>
        <v>7.9064138765631302</v>
      </c>
      <c r="L65" s="75">
        <f>VLOOKUP($A65,'Data Vlaue (Cr)'!$C:$FB,67)</f>
        <v>3172</v>
      </c>
      <c r="M65" s="75">
        <f>VLOOKUP($A65,'Data Vlaue (Cr)'!$C:$FB,68)</f>
        <v>12215</v>
      </c>
      <c r="N65" s="75">
        <f t="shared" si="4"/>
        <v>-9043</v>
      </c>
      <c r="O65" s="75">
        <f t="shared" si="5"/>
        <v>-285.08827238335437</v>
      </c>
      <c r="P65" s="75">
        <f>VLOOKUP($A65,'Data Vlaue (Cr)'!$C:$FB,119)</f>
        <v>0.88</v>
      </c>
      <c r="Q65" s="75">
        <f>VLOOKUP($A65,'Data Vlaue (Cr)'!$C:$FB,122)*100</f>
        <v>-4.3499999999999996</v>
      </c>
      <c r="R65" s="75">
        <f>VLOOKUP($A65,'Data Vlaue (Cr)'!$C:$FB,125)</f>
        <v>0.51</v>
      </c>
      <c r="S65" s="75">
        <f>VLOOKUP($A65,'Data Vlaue (Cr)'!$C:$FB,128)*100</f>
        <v>-16.39</v>
      </c>
    </row>
    <row r="66" spans="1:19" x14ac:dyDescent="0.25">
      <c r="A66" s="96" t="str">
        <f>'Data Vlaue (Cr)'!C57</f>
        <v>DLF</v>
      </c>
      <c r="B66" s="75">
        <f>VLOOKUP($A66,'Data Vlaue (Cr)'!$C:$FB,2)</f>
        <v>825</v>
      </c>
      <c r="C66" s="75">
        <f>VLOOKUP($A66,'Data Vlaue (Cr)'!$C:$FB,8)</f>
        <v>625.54999999999995</v>
      </c>
      <c r="D66" s="75">
        <f>VLOOKUP($A66,'Data Vlaue (Cr)'!$C:$FB,4)</f>
        <v>628.4</v>
      </c>
      <c r="E66" s="75">
        <f>VLOOKUP($A66,'Data Vlaue (Cr)'!$C:$FB,5)</f>
        <v>612.1</v>
      </c>
      <c r="F66" s="75">
        <f t="shared" si="0"/>
        <v>2.8500000000000227</v>
      </c>
      <c r="G66" s="75">
        <f t="shared" si="1"/>
        <v>2.5938892425206803</v>
      </c>
      <c r="H66" s="75">
        <f>VLOOKUP($A66,'Data Vlaue (Cr)'!$C:$FB,99)</f>
        <v>4880</v>
      </c>
      <c r="I66" s="75">
        <f>VLOOKUP($A66,'Data Vlaue (Cr)'!$C:$FB,100)</f>
        <v>4804</v>
      </c>
      <c r="J66" s="75">
        <f t="shared" si="2"/>
        <v>76</v>
      </c>
      <c r="K66" s="75">
        <f t="shared" si="3"/>
        <v>1.557377049180328</v>
      </c>
      <c r="L66" s="75">
        <f>VLOOKUP($A66,'Data Vlaue (Cr)'!$C:$FB,67)</f>
        <v>2713</v>
      </c>
      <c r="M66" s="75">
        <f>VLOOKUP($A66,'Data Vlaue (Cr)'!$C:$FB,68)</f>
        <v>5238</v>
      </c>
      <c r="N66" s="75">
        <f t="shared" si="4"/>
        <v>-2525</v>
      </c>
      <c r="O66" s="75">
        <f t="shared" si="5"/>
        <v>-93.070401769259121</v>
      </c>
      <c r="P66" s="75">
        <f>VLOOKUP($A66,'Data Vlaue (Cr)'!$C:$FB,119)</f>
        <v>0.8</v>
      </c>
      <c r="Q66" s="75">
        <f>VLOOKUP($A66,'Data Vlaue (Cr)'!$C:$FB,122)*100</f>
        <v>0</v>
      </c>
      <c r="R66" s="75">
        <f>VLOOKUP($A66,'Data Vlaue (Cr)'!$C:$FB,125)</f>
        <v>0.45</v>
      </c>
      <c r="S66" s="75">
        <f>VLOOKUP($A66,'Data Vlaue (Cr)'!$C:$FB,128)*100</f>
        <v>-29.69</v>
      </c>
    </row>
    <row r="67" spans="1:19" x14ac:dyDescent="0.25">
      <c r="A67" s="96" t="str">
        <f>'Data Vlaue (Cr)'!C58</f>
        <v>DMART</v>
      </c>
      <c r="B67" s="75">
        <f>VLOOKUP($A67,'Data Vlaue (Cr)'!$C:$FB,2)</f>
        <v>150</v>
      </c>
      <c r="C67" s="75">
        <f>VLOOKUP($A67,'Data Vlaue (Cr)'!$C:$FB,8)</f>
        <v>3735.7</v>
      </c>
      <c r="D67" s="75">
        <f>VLOOKUP($A67,'Data Vlaue (Cr)'!$C:$FB,4)</f>
        <v>3733.5</v>
      </c>
      <c r="E67" s="75">
        <f>VLOOKUP($A67,'Data Vlaue (Cr)'!$C:$FB,5)</f>
        <v>3679.5</v>
      </c>
      <c r="F67" s="75">
        <f t="shared" si="0"/>
        <v>-2.1999999999998181</v>
      </c>
      <c r="G67" s="75">
        <f t="shared" si="1"/>
        <v>1.4463640016070711</v>
      </c>
      <c r="H67" s="75">
        <f>VLOOKUP($A67,'Data Vlaue (Cr)'!$C:$FB,99)</f>
        <v>2619</v>
      </c>
      <c r="I67" s="75">
        <f>VLOOKUP($A67,'Data Vlaue (Cr)'!$C:$FB,100)</f>
        <v>2338</v>
      </c>
      <c r="J67" s="75">
        <f t="shared" si="2"/>
        <v>281</v>
      </c>
      <c r="K67" s="75">
        <f t="shared" si="3"/>
        <v>10.729285987017946</v>
      </c>
      <c r="L67" s="75">
        <f>VLOOKUP($A67,'Data Vlaue (Cr)'!$C:$FB,67)</f>
        <v>1312</v>
      </c>
      <c r="M67" s="75">
        <f>VLOOKUP($A67,'Data Vlaue (Cr)'!$C:$FB,68)</f>
        <v>2312</v>
      </c>
      <c r="N67" s="75">
        <f t="shared" si="4"/>
        <v>-1000</v>
      </c>
      <c r="O67" s="75">
        <f t="shared" si="5"/>
        <v>-76.219512195121951</v>
      </c>
      <c r="P67" s="75">
        <f>VLOOKUP($A67,'Data Vlaue (Cr)'!$C:$FB,119)</f>
        <v>0.56999999999999995</v>
      </c>
      <c r="Q67" s="75">
        <f>VLOOKUP($A67,'Data Vlaue (Cr)'!$C:$FB,122)*100</f>
        <v>-36.67</v>
      </c>
      <c r="R67" s="75">
        <f>VLOOKUP($A67,'Data Vlaue (Cr)'!$C:$FB,125)</f>
        <v>0.24</v>
      </c>
      <c r="S67" s="75">
        <f>VLOOKUP($A67,'Data Vlaue (Cr)'!$C:$FB,128)*100</f>
        <v>-41.46</v>
      </c>
    </row>
    <row r="68" spans="1:19" x14ac:dyDescent="0.25">
      <c r="A68" s="96" t="str">
        <f>'Data Vlaue (Cr)'!C59</f>
        <v>DRREDDY</v>
      </c>
      <c r="B68" s="75">
        <f>VLOOKUP($A68,'Data Vlaue (Cr)'!$C:$FB,2)</f>
        <v>625</v>
      </c>
      <c r="C68" s="75">
        <f>VLOOKUP($A68,'Data Vlaue (Cr)'!$C:$FB,8)</f>
        <v>1222.5</v>
      </c>
      <c r="D68" s="75">
        <f>VLOOKUP($A68,'Data Vlaue (Cr)'!$C:$FB,4)</f>
        <v>1230.4000000000001</v>
      </c>
      <c r="E68" s="75">
        <f>VLOOKUP($A68,'Data Vlaue (Cr)'!$C:$FB,5)</f>
        <v>1248.3</v>
      </c>
      <c r="F68" s="75">
        <f t="shared" si="0"/>
        <v>7.9000000000000909</v>
      </c>
      <c r="G68" s="75">
        <f t="shared" si="1"/>
        <v>-1.4548114434330188</v>
      </c>
      <c r="H68" s="75">
        <f>VLOOKUP($A68,'Data Vlaue (Cr)'!$C:$FB,99)</f>
        <v>2401</v>
      </c>
      <c r="I68" s="75">
        <f>VLOOKUP($A68,'Data Vlaue (Cr)'!$C:$FB,100)</f>
        <v>2265</v>
      </c>
      <c r="J68" s="75">
        <f t="shared" si="2"/>
        <v>136</v>
      </c>
      <c r="K68" s="75">
        <f t="shared" si="3"/>
        <v>5.6643065389421068</v>
      </c>
      <c r="L68" s="75">
        <f>VLOOKUP($A68,'Data Vlaue (Cr)'!$C:$FB,67)</f>
        <v>1311</v>
      </c>
      <c r="M68" s="75">
        <f>VLOOKUP($A68,'Data Vlaue (Cr)'!$C:$FB,68)</f>
        <v>3082</v>
      </c>
      <c r="N68" s="75">
        <f t="shared" si="4"/>
        <v>-1771</v>
      </c>
      <c r="O68" s="75">
        <f t="shared" si="5"/>
        <v>-135.08771929824562</v>
      </c>
      <c r="P68" s="75">
        <f>VLOOKUP($A68,'Data Vlaue (Cr)'!$C:$FB,119)</f>
        <v>0.89</v>
      </c>
      <c r="Q68" s="75">
        <f>VLOOKUP($A68,'Data Vlaue (Cr)'!$C:$FB,122)*100</f>
        <v>-1.1100000000000001</v>
      </c>
      <c r="R68" s="75">
        <f>VLOOKUP($A68,'Data Vlaue (Cr)'!$C:$FB,125)</f>
        <v>1</v>
      </c>
      <c r="S68" s="75">
        <f>VLOOKUP($A68,'Data Vlaue (Cr)'!$C:$FB,128)*100</f>
        <v>23.46</v>
      </c>
    </row>
    <row r="69" spans="1:19" x14ac:dyDescent="0.25">
      <c r="A69" s="96" t="str">
        <f>'Data Vlaue (Cr)'!C60</f>
        <v>EICHERMOT</v>
      </c>
      <c r="B69" s="75">
        <f>VLOOKUP($A69,'Data Vlaue (Cr)'!$C:$FB,2)</f>
        <v>100</v>
      </c>
      <c r="C69" s="75">
        <f>VLOOKUP($A69,'Data Vlaue (Cr)'!$C:$FB,8)</f>
        <v>7071</v>
      </c>
      <c r="D69" s="75">
        <f>VLOOKUP($A69,'Data Vlaue (Cr)'!$C:$FB,4)</f>
        <v>7115.5</v>
      </c>
      <c r="E69" s="75">
        <f>VLOOKUP($A69,'Data Vlaue (Cr)'!$C:$FB,5)</f>
        <v>7189.5</v>
      </c>
      <c r="F69" s="75">
        <f t="shared" si="0"/>
        <v>44.5</v>
      </c>
      <c r="G69" s="75">
        <f t="shared" si="1"/>
        <v>-1.0399831354086149</v>
      </c>
      <c r="H69" s="75">
        <f>VLOOKUP($A69,'Data Vlaue (Cr)'!$C:$FB,99)</f>
        <v>3222</v>
      </c>
      <c r="I69" s="75">
        <f>VLOOKUP($A69,'Data Vlaue (Cr)'!$C:$FB,100)</f>
        <v>2895</v>
      </c>
      <c r="J69" s="75">
        <f t="shared" si="2"/>
        <v>327</v>
      </c>
      <c r="K69" s="75">
        <f t="shared" si="3"/>
        <v>10.148975791433893</v>
      </c>
      <c r="L69" s="75">
        <f>VLOOKUP($A69,'Data Vlaue (Cr)'!$C:$FB,67)</f>
        <v>4892</v>
      </c>
      <c r="M69" s="75">
        <f>VLOOKUP($A69,'Data Vlaue (Cr)'!$C:$FB,68)</f>
        <v>3469</v>
      </c>
      <c r="N69" s="75">
        <f t="shared" si="4"/>
        <v>1423</v>
      </c>
      <c r="O69" s="75">
        <f t="shared" si="5"/>
        <v>29.088307440719539</v>
      </c>
      <c r="P69" s="75">
        <f>VLOOKUP($A69,'Data Vlaue (Cr)'!$C:$FB,119)</f>
        <v>1.03</v>
      </c>
      <c r="Q69" s="75">
        <f>VLOOKUP($A69,'Data Vlaue (Cr)'!$C:$FB,122)*100</f>
        <v>-0.96</v>
      </c>
      <c r="R69" s="75">
        <f>VLOOKUP($A69,'Data Vlaue (Cr)'!$C:$FB,125)</f>
        <v>1.28</v>
      </c>
      <c r="S69" s="75">
        <f>VLOOKUP($A69,'Data Vlaue (Cr)'!$C:$FB,128)*100</f>
        <v>236.83999999999997</v>
      </c>
    </row>
    <row r="70" spans="1:19" x14ac:dyDescent="0.25">
      <c r="A70" s="96" t="str">
        <f>'Data Vlaue (Cr)'!C61</f>
        <v>ETERNAL</v>
      </c>
      <c r="B70" s="75">
        <f>VLOOKUP($A70,'Data Vlaue (Cr)'!$C:$FB,2)</f>
        <v>2425</v>
      </c>
      <c r="C70" s="75">
        <f>VLOOKUP($A70,'Data Vlaue (Cr)'!$C:$FB,8)</f>
        <v>266.3</v>
      </c>
      <c r="D70" s="75">
        <f>VLOOKUP($A70,'Data Vlaue (Cr)'!$C:$FB,4)</f>
        <v>267.35000000000002</v>
      </c>
      <c r="E70" s="75">
        <f>VLOOKUP($A70,'Data Vlaue (Cr)'!$C:$FB,5)</f>
        <v>255.8</v>
      </c>
      <c r="F70" s="75">
        <f t="shared" si="0"/>
        <v>1.0500000000000114</v>
      </c>
      <c r="G70" s="75">
        <f t="shared" si="1"/>
        <v>4.3201795399289358</v>
      </c>
      <c r="H70" s="75">
        <f>VLOOKUP($A70,'Data Vlaue (Cr)'!$C:$FB,99)</f>
        <v>11510</v>
      </c>
      <c r="I70" s="75">
        <f>VLOOKUP($A70,'Data Vlaue (Cr)'!$C:$FB,100)</f>
        <v>11588</v>
      </c>
      <c r="J70" s="75">
        <f t="shared" si="2"/>
        <v>-78</v>
      </c>
      <c r="K70" s="75">
        <f t="shared" si="3"/>
        <v>-0.6776715899218072</v>
      </c>
      <c r="L70" s="75">
        <f>VLOOKUP($A70,'Data Vlaue (Cr)'!$C:$FB,67)</f>
        <v>7789</v>
      </c>
      <c r="M70" s="75">
        <f>VLOOKUP($A70,'Data Vlaue (Cr)'!$C:$FB,68)</f>
        <v>13245</v>
      </c>
      <c r="N70" s="75">
        <f t="shared" si="4"/>
        <v>-5456</v>
      </c>
      <c r="O70" s="75">
        <f t="shared" si="5"/>
        <v>-70.047502888689166</v>
      </c>
      <c r="P70" s="75">
        <f>VLOOKUP($A70,'Data Vlaue (Cr)'!$C:$FB,119)</f>
        <v>0.71</v>
      </c>
      <c r="Q70" s="75">
        <f>VLOOKUP($A70,'Data Vlaue (Cr)'!$C:$FB,122)*100</f>
        <v>2.9000000000000004</v>
      </c>
      <c r="R70" s="75">
        <f>VLOOKUP($A70,'Data Vlaue (Cr)'!$C:$FB,125)</f>
        <v>0.56000000000000005</v>
      </c>
      <c r="S70" s="75">
        <f>VLOOKUP($A70,'Data Vlaue (Cr)'!$C:$FB,128)*100</f>
        <v>-11.110000000000001</v>
      </c>
    </row>
    <row r="71" spans="1:19" x14ac:dyDescent="0.25">
      <c r="A71" s="96" t="str">
        <f>'Data Vlaue (Cr)'!C62</f>
        <v>EXIDEIND</v>
      </c>
      <c r="B71" s="75">
        <f>VLOOKUP($A71,'Data Vlaue (Cr)'!$C:$FB,2)</f>
        <v>1800</v>
      </c>
      <c r="C71" s="75">
        <f>VLOOKUP($A71,'Data Vlaue (Cr)'!$C:$FB,8)</f>
        <v>321.14999999999998</v>
      </c>
      <c r="D71" s="75">
        <f>VLOOKUP($A71,'Data Vlaue (Cr)'!$C:$FB,4)</f>
        <v>323.35000000000002</v>
      </c>
      <c r="E71" s="75">
        <f>VLOOKUP($A71,'Data Vlaue (Cr)'!$C:$FB,5)</f>
        <v>325.35000000000002</v>
      </c>
      <c r="F71" s="75">
        <f t="shared" si="0"/>
        <v>2.2000000000000455</v>
      </c>
      <c r="G71" s="75">
        <f t="shared" si="1"/>
        <v>-0.61852481830833461</v>
      </c>
      <c r="H71" s="75">
        <f>VLOOKUP($A71,'Data Vlaue (Cr)'!$C:$FB,99)</f>
        <v>1527</v>
      </c>
      <c r="I71" s="75">
        <f>VLOOKUP($A71,'Data Vlaue (Cr)'!$C:$FB,100)</f>
        <v>1374</v>
      </c>
      <c r="J71" s="75">
        <f t="shared" si="2"/>
        <v>153</v>
      </c>
      <c r="K71" s="75">
        <f t="shared" si="3"/>
        <v>10.019646365422396</v>
      </c>
      <c r="L71" s="75">
        <f>VLOOKUP($A71,'Data Vlaue (Cr)'!$C:$FB,67)</f>
        <v>506</v>
      </c>
      <c r="M71" s="75">
        <f>VLOOKUP($A71,'Data Vlaue (Cr)'!$C:$FB,68)</f>
        <v>1693</v>
      </c>
      <c r="N71" s="75">
        <f t="shared" si="4"/>
        <v>-1187</v>
      </c>
      <c r="O71" s="75">
        <f t="shared" si="5"/>
        <v>-234.58498023715416</v>
      </c>
      <c r="P71" s="75">
        <f>VLOOKUP($A71,'Data Vlaue (Cr)'!$C:$FB,119)</f>
        <v>1.06</v>
      </c>
      <c r="Q71" s="75">
        <f>VLOOKUP($A71,'Data Vlaue (Cr)'!$C:$FB,122)*100</f>
        <v>-14.52</v>
      </c>
      <c r="R71" s="75">
        <f>VLOOKUP($A71,'Data Vlaue (Cr)'!$C:$FB,125)</f>
        <v>0.59</v>
      </c>
      <c r="S71" s="75">
        <f>VLOOKUP($A71,'Data Vlaue (Cr)'!$C:$FB,128)*100</f>
        <v>-35.160000000000004</v>
      </c>
    </row>
    <row r="72" spans="1:19" x14ac:dyDescent="0.25">
      <c r="A72" s="96" t="str">
        <f>'Data Vlaue (Cr)'!C63</f>
        <v>FEDERALBNK</v>
      </c>
      <c r="B72" s="75">
        <f>VLOOKUP($A72,'Data Vlaue (Cr)'!$C:$FB,2)</f>
        <v>5000</v>
      </c>
      <c r="C72" s="75">
        <f>VLOOKUP($A72,'Data Vlaue (Cr)'!$C:$FB,8)</f>
        <v>284.45</v>
      </c>
      <c r="D72" s="75">
        <f>VLOOKUP($A72,'Data Vlaue (Cr)'!$C:$FB,4)</f>
        <v>286.10000000000002</v>
      </c>
      <c r="E72" s="75">
        <f>VLOOKUP($A72,'Data Vlaue (Cr)'!$C:$FB,5)</f>
        <v>286.3</v>
      </c>
      <c r="F72" s="75">
        <f t="shared" si="0"/>
        <v>1.6500000000000341</v>
      </c>
      <c r="G72" s="75">
        <f t="shared" si="1"/>
        <v>-6.9905627403001963E-2</v>
      </c>
      <c r="H72" s="75">
        <f>VLOOKUP($A72,'Data Vlaue (Cr)'!$C:$FB,99)</f>
        <v>2846</v>
      </c>
      <c r="I72" s="75">
        <f>VLOOKUP($A72,'Data Vlaue (Cr)'!$C:$FB,100)</f>
        <v>2743</v>
      </c>
      <c r="J72" s="75">
        <f t="shared" si="2"/>
        <v>103</v>
      </c>
      <c r="K72" s="75">
        <f t="shared" si="3"/>
        <v>3.6191145467322556</v>
      </c>
      <c r="L72" s="75">
        <f>VLOOKUP($A72,'Data Vlaue (Cr)'!$C:$FB,67)</f>
        <v>2041</v>
      </c>
      <c r="M72" s="75">
        <f>VLOOKUP($A72,'Data Vlaue (Cr)'!$C:$FB,68)</f>
        <v>3945</v>
      </c>
      <c r="N72" s="75">
        <f t="shared" si="4"/>
        <v>-1904</v>
      </c>
      <c r="O72" s="75">
        <f t="shared" si="5"/>
        <v>-93.287604115629591</v>
      </c>
      <c r="P72" s="75">
        <f>VLOOKUP($A72,'Data Vlaue (Cr)'!$C:$FB,119)</f>
        <v>1.1399999999999999</v>
      </c>
      <c r="Q72" s="75">
        <f>VLOOKUP($A72,'Data Vlaue (Cr)'!$C:$FB,122)*100</f>
        <v>0</v>
      </c>
      <c r="R72" s="75">
        <f>VLOOKUP($A72,'Data Vlaue (Cr)'!$C:$FB,125)</f>
        <v>0.59</v>
      </c>
      <c r="S72" s="75">
        <f>VLOOKUP($A72,'Data Vlaue (Cr)'!$C:$FB,128)*100</f>
        <v>-18.060000000000002</v>
      </c>
    </row>
    <row r="73" spans="1:19" x14ac:dyDescent="0.25">
      <c r="A73" s="96" t="str">
        <f>'Data Vlaue (Cr)'!C64</f>
        <v>FINNIFTY</v>
      </c>
      <c r="B73" s="75">
        <f>VLOOKUP($A73,'Data Vlaue (Cr)'!$C:$FB,2)</f>
        <v>60</v>
      </c>
      <c r="C73" s="75">
        <f>VLOOKUP($A73,'Data Vlaue (Cr)'!$C:$FB,8)</f>
        <v>27335.200000000001</v>
      </c>
      <c r="D73" s="75">
        <f>VLOOKUP($A73,'Data Vlaue (Cr)'!$C:$FB,4)</f>
        <v>27445.4</v>
      </c>
      <c r="E73" s="75">
        <f>VLOOKUP($A73,'Data Vlaue (Cr)'!$C:$FB,5)</f>
        <v>27198.2</v>
      </c>
      <c r="F73" s="75">
        <f t="shared" si="0"/>
        <v>110.20000000000073</v>
      </c>
      <c r="G73" s="75">
        <f t="shared" si="1"/>
        <v>0.90069738462547722</v>
      </c>
      <c r="H73" s="75">
        <f>VLOOKUP($A73,'Data Vlaue (Cr)'!$C:$FB,99)</f>
        <v>730</v>
      </c>
      <c r="I73" s="75">
        <f>VLOOKUP($A73,'Data Vlaue (Cr)'!$C:$FB,100)</f>
        <v>355</v>
      </c>
      <c r="J73" s="75">
        <f t="shared" si="2"/>
        <v>375</v>
      </c>
      <c r="K73" s="75">
        <f t="shared" si="3"/>
        <v>51.369863013698634</v>
      </c>
      <c r="L73" s="75">
        <f>VLOOKUP($A73,'Data Vlaue (Cr)'!$C:$FB,67)</f>
        <v>2945</v>
      </c>
      <c r="M73" s="75">
        <f>VLOOKUP($A73,'Data Vlaue (Cr)'!$C:$FB,68)</f>
        <v>671525</v>
      </c>
      <c r="N73" s="75">
        <f t="shared" si="4"/>
        <v>-668580</v>
      </c>
      <c r="O73" s="75">
        <f t="shared" si="5"/>
        <v>-22702.20713073005</v>
      </c>
      <c r="P73" s="75">
        <f>VLOOKUP($A73,'Data Vlaue (Cr)'!$C:$FB,119)</f>
        <v>0.78</v>
      </c>
      <c r="Q73" s="75">
        <f>VLOOKUP($A73,'Data Vlaue (Cr)'!$C:$FB,122)*100</f>
        <v>56.000000000000007</v>
      </c>
      <c r="R73" s="75">
        <f>VLOOKUP($A73,'Data Vlaue (Cr)'!$C:$FB,125)</f>
        <v>1.3</v>
      </c>
      <c r="S73" s="75">
        <f>VLOOKUP($A73,'Data Vlaue (Cr)'!$C:$FB,128)*100</f>
        <v>41.3</v>
      </c>
    </row>
    <row r="74" spans="1:19" x14ac:dyDescent="0.25">
      <c r="A74" s="96" t="str">
        <f>'Data Vlaue (Cr)'!C65</f>
        <v>FORTIS</v>
      </c>
      <c r="B74" s="75">
        <f>VLOOKUP($A74,'Data Vlaue (Cr)'!$C:$FB,2)</f>
        <v>775</v>
      </c>
      <c r="C74" s="75">
        <f>VLOOKUP($A74,'Data Vlaue (Cr)'!$C:$FB,8)</f>
        <v>849.05</v>
      </c>
      <c r="D74" s="75">
        <f>VLOOKUP($A74,'Data Vlaue (Cr)'!$C:$FB,4)</f>
        <v>852.15</v>
      </c>
      <c r="E74" s="75">
        <f>VLOOKUP($A74,'Data Vlaue (Cr)'!$C:$FB,5)</f>
        <v>844.25</v>
      </c>
      <c r="F74" s="75">
        <f t="shared" si="0"/>
        <v>3.1000000000000227</v>
      </c>
      <c r="G74" s="75">
        <f t="shared" si="1"/>
        <v>0.9270668309569885</v>
      </c>
      <c r="H74" s="75">
        <f>VLOOKUP($A74,'Data Vlaue (Cr)'!$C:$FB,99)</f>
        <v>1180</v>
      </c>
      <c r="I74" s="75">
        <f>VLOOKUP($A74,'Data Vlaue (Cr)'!$C:$FB,100)</f>
        <v>1137</v>
      </c>
      <c r="J74" s="75">
        <f t="shared" si="2"/>
        <v>43</v>
      </c>
      <c r="K74" s="75">
        <f t="shared" si="3"/>
        <v>3.6440677966101696</v>
      </c>
      <c r="L74" s="75">
        <f>VLOOKUP($A74,'Data Vlaue (Cr)'!$C:$FB,67)</f>
        <v>315</v>
      </c>
      <c r="M74" s="75">
        <f>VLOOKUP($A74,'Data Vlaue (Cr)'!$C:$FB,68)</f>
        <v>1148</v>
      </c>
      <c r="N74" s="75">
        <f t="shared" si="4"/>
        <v>-833</v>
      </c>
      <c r="O74" s="75">
        <f t="shared" si="5"/>
        <v>-264.44444444444446</v>
      </c>
      <c r="P74" s="75">
        <f>VLOOKUP($A74,'Data Vlaue (Cr)'!$C:$FB,119)</f>
        <v>0.98</v>
      </c>
      <c r="Q74" s="75">
        <f>VLOOKUP($A74,'Data Vlaue (Cr)'!$C:$FB,122)*100</f>
        <v>-20.97</v>
      </c>
      <c r="R74" s="75">
        <f>VLOOKUP($A74,'Data Vlaue (Cr)'!$C:$FB,125)</f>
        <v>0.46</v>
      </c>
      <c r="S74" s="75">
        <f>VLOOKUP($A74,'Data Vlaue (Cr)'!$C:$FB,128)*100</f>
        <v>-60.68</v>
      </c>
    </row>
    <row r="75" spans="1:19" x14ac:dyDescent="0.25">
      <c r="A75" s="96" t="str">
        <f>'Data Vlaue (Cr)'!C66</f>
        <v>GAIL</v>
      </c>
      <c r="B75" s="75">
        <f>VLOOKUP($A75,'Data Vlaue (Cr)'!$C:$FB,2)</f>
        <v>3150</v>
      </c>
      <c r="C75" s="75">
        <f>VLOOKUP($A75,'Data Vlaue (Cr)'!$C:$FB,8)</f>
        <v>168.14</v>
      </c>
      <c r="D75" s="75">
        <f>VLOOKUP($A75,'Data Vlaue (Cr)'!$C:$FB,4)</f>
        <v>168.87</v>
      </c>
      <c r="E75" s="75">
        <f>VLOOKUP($A75,'Data Vlaue (Cr)'!$C:$FB,5)</f>
        <v>161.03</v>
      </c>
      <c r="F75" s="75">
        <f t="shared" si="0"/>
        <v>0.73000000000001819</v>
      </c>
      <c r="G75" s="75">
        <f>(D75-E75)/D75*100</f>
        <v>4.6426245040563767</v>
      </c>
      <c r="H75" s="75">
        <f>VLOOKUP($A75,'Data Vlaue (Cr)'!$C:$FB,99)</f>
        <v>2438</v>
      </c>
      <c r="I75" s="75">
        <f>VLOOKUP($A75,'Data Vlaue (Cr)'!$C:$FB,100)</f>
        <v>2258</v>
      </c>
      <c r="J75" s="75">
        <f t="shared" si="2"/>
        <v>180</v>
      </c>
      <c r="K75" s="75">
        <f t="shared" si="3"/>
        <v>7.3831009023789989</v>
      </c>
      <c r="L75" s="75">
        <f>VLOOKUP($A75,'Data Vlaue (Cr)'!$C:$FB,67)</f>
        <v>1859</v>
      </c>
      <c r="M75" s="75">
        <f>VLOOKUP($A75,'Data Vlaue (Cr)'!$C:$FB,68)</f>
        <v>2580</v>
      </c>
      <c r="N75" s="75">
        <f t="shared" si="4"/>
        <v>-721</v>
      </c>
      <c r="O75" s="75">
        <f t="shared" si="5"/>
        <v>-38.78429263044648</v>
      </c>
      <c r="P75" s="75">
        <f>VLOOKUP($A75,'Data Vlaue (Cr)'!$C:$FB,119)</f>
        <v>0.98</v>
      </c>
      <c r="Q75" s="75">
        <f>VLOOKUP($A75,'Data Vlaue (Cr)'!$C:$FB,122)*100</f>
        <v>-20.330000000000002</v>
      </c>
      <c r="R75" s="75">
        <f>VLOOKUP($A75,'Data Vlaue (Cr)'!$C:$FB,125)</f>
        <v>0.38</v>
      </c>
      <c r="S75" s="75">
        <f>VLOOKUP($A75,'Data Vlaue (Cr)'!$C:$FB,128)*100</f>
        <v>-55.289999999999992</v>
      </c>
    </row>
    <row r="76" spans="1:19" x14ac:dyDescent="0.25">
      <c r="A76" s="96" t="str">
        <f>'Data Vlaue (Cr)'!C67</f>
        <v>GLENMARK</v>
      </c>
      <c r="B76" s="75">
        <f>VLOOKUP($A76,'Data Vlaue (Cr)'!$C:$FB,2)</f>
        <v>375</v>
      </c>
      <c r="C76" s="75">
        <f>VLOOKUP($A76,'Data Vlaue (Cr)'!$C:$FB,8)</f>
        <v>1993.5</v>
      </c>
      <c r="D76" s="75">
        <f>VLOOKUP($A76,'Data Vlaue (Cr)'!$C:$FB,4)</f>
        <v>2001.1</v>
      </c>
      <c r="E76" s="75">
        <f>VLOOKUP($A76,'Data Vlaue (Cr)'!$C:$FB,5)</f>
        <v>2012.6</v>
      </c>
      <c r="F76" s="75">
        <f t="shared" ref="F76:F139" si="6">D76-C76</f>
        <v>7.5999999999999091</v>
      </c>
      <c r="G76" s="75">
        <f t="shared" ref="G76:G139" si="7">(D76-E76)/D76*100</f>
        <v>-0.57468392384188693</v>
      </c>
      <c r="H76" s="75">
        <f>VLOOKUP($A76,'Data Vlaue (Cr)'!$C:$FB,99)</f>
        <v>2672</v>
      </c>
      <c r="I76" s="75">
        <f>VLOOKUP($A76,'Data Vlaue (Cr)'!$C:$FB,100)</f>
        <v>2591</v>
      </c>
      <c r="J76" s="75">
        <f t="shared" ref="J76:J139" si="8">H76-I76</f>
        <v>81</v>
      </c>
      <c r="K76" s="75">
        <f t="shared" ref="K76:K139" si="9">J76/H76*100</f>
        <v>3.0314371257485031</v>
      </c>
      <c r="L76" s="75">
        <f>VLOOKUP($A76,'Data Vlaue (Cr)'!$C:$FB,67)</f>
        <v>552</v>
      </c>
      <c r="M76" s="75">
        <f>VLOOKUP($A76,'Data Vlaue (Cr)'!$C:$FB,68)</f>
        <v>2389</v>
      </c>
      <c r="N76" s="75">
        <f t="shared" ref="N76:N139" si="10">L76-M76</f>
        <v>-1837</v>
      </c>
      <c r="O76" s="75">
        <f t="shared" ref="O76:O139" si="11">N76/L76*100</f>
        <v>-332.78985507246375</v>
      </c>
      <c r="P76" s="75">
        <f>VLOOKUP($A76,'Data Vlaue (Cr)'!$C:$FB,119)</f>
        <v>0.72</v>
      </c>
      <c r="Q76" s="75">
        <f>VLOOKUP($A76,'Data Vlaue (Cr)'!$C:$FB,122)*100</f>
        <v>-4</v>
      </c>
      <c r="R76" s="75">
        <f>VLOOKUP($A76,'Data Vlaue (Cr)'!$C:$FB,125)</f>
        <v>0.56999999999999995</v>
      </c>
      <c r="S76" s="75">
        <f>VLOOKUP($A76,'Data Vlaue (Cr)'!$C:$FB,128)*100</f>
        <v>3.64</v>
      </c>
    </row>
    <row r="77" spans="1:19" x14ac:dyDescent="0.25">
      <c r="A77" s="96" t="str">
        <f>'Data Vlaue (Cr)'!C68</f>
        <v>GMRAIRPORT</v>
      </c>
      <c r="B77" s="75">
        <f>VLOOKUP($A77,'Data Vlaue (Cr)'!$C:$FB,2)</f>
        <v>6975</v>
      </c>
      <c r="C77" s="75">
        <f>VLOOKUP($A77,'Data Vlaue (Cr)'!$C:$FB,8)</f>
        <v>93.91</v>
      </c>
      <c r="D77" s="75">
        <f>VLOOKUP($A77,'Data Vlaue (Cr)'!$C:$FB,4)</f>
        <v>94.57</v>
      </c>
      <c r="E77" s="75">
        <f>VLOOKUP($A77,'Data Vlaue (Cr)'!$C:$FB,5)</f>
        <v>93.31</v>
      </c>
      <c r="F77" s="75">
        <f t="shared" si="6"/>
        <v>0.65999999999999659</v>
      </c>
      <c r="G77" s="75">
        <f t="shared" si="7"/>
        <v>1.3323464100666078</v>
      </c>
      <c r="H77" s="75">
        <f>VLOOKUP($A77,'Data Vlaue (Cr)'!$C:$FB,99)</f>
        <v>2397</v>
      </c>
      <c r="I77" s="75">
        <f>VLOOKUP($A77,'Data Vlaue (Cr)'!$C:$FB,100)</f>
        <v>2336</v>
      </c>
      <c r="J77" s="75">
        <f t="shared" si="8"/>
        <v>61</v>
      </c>
      <c r="K77" s="75">
        <f t="shared" si="9"/>
        <v>2.5448477263245723</v>
      </c>
      <c r="L77" s="75">
        <f>VLOOKUP($A77,'Data Vlaue (Cr)'!$C:$FB,67)</f>
        <v>764</v>
      </c>
      <c r="M77" s="75">
        <f>VLOOKUP($A77,'Data Vlaue (Cr)'!$C:$FB,68)</f>
        <v>2542</v>
      </c>
      <c r="N77" s="75">
        <f t="shared" si="10"/>
        <v>-1778</v>
      </c>
      <c r="O77" s="75">
        <f t="shared" si="11"/>
        <v>-232.72251308900525</v>
      </c>
      <c r="P77" s="75">
        <f>VLOOKUP($A77,'Data Vlaue (Cr)'!$C:$FB,119)</f>
        <v>0.87</v>
      </c>
      <c r="Q77" s="75">
        <f>VLOOKUP($A77,'Data Vlaue (Cr)'!$C:$FB,122)*100</f>
        <v>-1.1400000000000001</v>
      </c>
      <c r="R77" s="75">
        <f>VLOOKUP($A77,'Data Vlaue (Cr)'!$C:$FB,125)</f>
        <v>0.21</v>
      </c>
      <c r="S77" s="75">
        <f>VLOOKUP($A77,'Data Vlaue (Cr)'!$C:$FB,128)*100</f>
        <v>-68.66</v>
      </c>
    </row>
    <row r="78" spans="1:19" x14ac:dyDescent="0.25">
      <c r="A78" s="96" t="str">
        <f>'Data Vlaue (Cr)'!C69</f>
        <v>GODREJCP</v>
      </c>
      <c r="B78" s="75">
        <f>VLOOKUP($A78,'Data Vlaue (Cr)'!$C:$FB,2)</f>
        <v>500</v>
      </c>
      <c r="C78" s="75">
        <f>VLOOKUP($A78,'Data Vlaue (Cr)'!$C:$FB,8)</f>
        <v>1171.8</v>
      </c>
      <c r="D78" s="75">
        <f>VLOOKUP($A78,'Data Vlaue (Cr)'!$C:$FB,4)</f>
        <v>1173.2</v>
      </c>
      <c r="E78" s="75">
        <f>VLOOKUP($A78,'Data Vlaue (Cr)'!$C:$FB,5)</f>
        <v>1173.9000000000001</v>
      </c>
      <c r="F78" s="75">
        <f t="shared" si="6"/>
        <v>1.4000000000000909</v>
      </c>
      <c r="G78" s="75">
        <f t="shared" si="7"/>
        <v>-5.9665871121722253E-2</v>
      </c>
      <c r="H78" s="75">
        <f>VLOOKUP($A78,'Data Vlaue (Cr)'!$C:$FB,99)</f>
        <v>1209</v>
      </c>
      <c r="I78" s="75">
        <f>VLOOKUP($A78,'Data Vlaue (Cr)'!$C:$FB,100)</f>
        <v>1135</v>
      </c>
      <c r="J78" s="75">
        <f t="shared" si="8"/>
        <v>74</v>
      </c>
      <c r="K78" s="75">
        <f t="shared" si="9"/>
        <v>6.1207609594706369</v>
      </c>
      <c r="L78" s="75">
        <f>VLOOKUP($A78,'Data Vlaue (Cr)'!$C:$FB,67)</f>
        <v>719</v>
      </c>
      <c r="M78" s="75">
        <f>VLOOKUP($A78,'Data Vlaue (Cr)'!$C:$FB,68)</f>
        <v>2735</v>
      </c>
      <c r="N78" s="75">
        <f t="shared" si="10"/>
        <v>-2016</v>
      </c>
      <c r="O78" s="75">
        <f t="shared" si="11"/>
        <v>-280.38942976356054</v>
      </c>
      <c r="P78" s="75">
        <f>VLOOKUP($A78,'Data Vlaue (Cr)'!$C:$FB,119)</f>
        <v>0.99</v>
      </c>
      <c r="Q78" s="75">
        <f>VLOOKUP($A78,'Data Vlaue (Cr)'!$C:$FB,122)*100</f>
        <v>30.259999999999998</v>
      </c>
      <c r="R78" s="75">
        <f>VLOOKUP($A78,'Data Vlaue (Cr)'!$C:$FB,125)</f>
        <v>0.91</v>
      </c>
      <c r="S78" s="75">
        <f>VLOOKUP($A78,'Data Vlaue (Cr)'!$C:$FB,128)*100</f>
        <v>-34.06</v>
      </c>
    </row>
    <row r="79" spans="1:19" x14ac:dyDescent="0.25">
      <c r="A79" s="96" t="str">
        <f>'Data Vlaue (Cr)'!C70</f>
        <v>GODREJPROP</v>
      </c>
      <c r="B79" s="75">
        <f>VLOOKUP($A79,'Data Vlaue (Cr)'!$C:$FB,2)</f>
        <v>275</v>
      </c>
      <c r="C79" s="75">
        <f>VLOOKUP($A79,'Data Vlaue (Cr)'!$C:$FB,8)</f>
        <v>1550.3</v>
      </c>
      <c r="D79" s="75">
        <f>VLOOKUP($A79,'Data Vlaue (Cr)'!$C:$FB,4)</f>
        <v>1560.7</v>
      </c>
      <c r="E79" s="75">
        <f>VLOOKUP($A79,'Data Vlaue (Cr)'!$C:$FB,5)</f>
        <v>1529</v>
      </c>
      <c r="F79" s="75">
        <f t="shared" si="6"/>
        <v>10.400000000000091</v>
      </c>
      <c r="G79" s="75">
        <f t="shared" si="7"/>
        <v>2.0311398731338528</v>
      </c>
      <c r="H79" s="75">
        <f>VLOOKUP($A79,'Data Vlaue (Cr)'!$C:$FB,99)</f>
        <v>3069</v>
      </c>
      <c r="I79" s="75">
        <f>VLOOKUP($A79,'Data Vlaue (Cr)'!$C:$FB,100)</f>
        <v>2894</v>
      </c>
      <c r="J79" s="75">
        <f t="shared" si="8"/>
        <v>175</v>
      </c>
      <c r="K79" s="75">
        <f t="shared" si="9"/>
        <v>5.7021831215379608</v>
      </c>
      <c r="L79" s="75">
        <f>VLOOKUP($A79,'Data Vlaue (Cr)'!$C:$FB,67)</f>
        <v>1518</v>
      </c>
      <c r="M79" s="75">
        <f>VLOOKUP($A79,'Data Vlaue (Cr)'!$C:$FB,68)</f>
        <v>4228</v>
      </c>
      <c r="N79" s="75">
        <f t="shared" si="10"/>
        <v>-2710</v>
      </c>
      <c r="O79" s="75">
        <f t="shared" si="11"/>
        <v>-178.52437417654809</v>
      </c>
      <c r="P79" s="75">
        <f>VLOOKUP($A79,'Data Vlaue (Cr)'!$C:$FB,119)</f>
        <v>0.61</v>
      </c>
      <c r="Q79" s="75">
        <f>VLOOKUP($A79,'Data Vlaue (Cr)'!$C:$FB,122)*100</f>
        <v>5.17</v>
      </c>
      <c r="R79" s="75">
        <f>VLOOKUP($A79,'Data Vlaue (Cr)'!$C:$FB,125)</f>
        <v>0.32</v>
      </c>
      <c r="S79" s="75">
        <f>VLOOKUP($A79,'Data Vlaue (Cr)'!$C:$FB,128)*100</f>
        <v>-53.620000000000005</v>
      </c>
    </row>
    <row r="80" spans="1:19" x14ac:dyDescent="0.25">
      <c r="A80" s="96" t="str">
        <f>'Data Vlaue (Cr)'!C71</f>
        <v>GRASIM</v>
      </c>
      <c r="B80" s="75">
        <f>VLOOKUP($A80,'Data Vlaue (Cr)'!$C:$FB,2)</f>
        <v>250</v>
      </c>
      <c r="C80" s="75">
        <f>VLOOKUP($A80,'Data Vlaue (Cr)'!$C:$FB,8)</f>
        <v>2839.1</v>
      </c>
      <c r="D80" s="75">
        <f>VLOOKUP($A80,'Data Vlaue (Cr)'!$C:$FB,4)</f>
        <v>2856.2</v>
      </c>
      <c r="E80" s="75">
        <f>VLOOKUP($A80,'Data Vlaue (Cr)'!$C:$FB,5)</f>
        <v>2876.5</v>
      </c>
      <c r="F80" s="75">
        <f t="shared" si="6"/>
        <v>17.099999999999909</v>
      </c>
      <c r="G80" s="75">
        <f t="shared" si="7"/>
        <v>-0.71073454239899803</v>
      </c>
      <c r="H80" s="75">
        <f>VLOOKUP($A80,'Data Vlaue (Cr)'!$C:$FB,99)</f>
        <v>4946</v>
      </c>
      <c r="I80" s="75">
        <f>VLOOKUP($A80,'Data Vlaue (Cr)'!$C:$FB,100)</f>
        <v>4815</v>
      </c>
      <c r="J80" s="75">
        <f t="shared" si="8"/>
        <v>131</v>
      </c>
      <c r="K80" s="75">
        <f t="shared" si="9"/>
        <v>2.6486049332794179</v>
      </c>
      <c r="L80" s="75">
        <f>VLOOKUP($A80,'Data Vlaue (Cr)'!$C:$FB,67)</f>
        <v>920</v>
      </c>
      <c r="M80" s="75">
        <f>VLOOKUP($A80,'Data Vlaue (Cr)'!$C:$FB,68)</f>
        <v>3937</v>
      </c>
      <c r="N80" s="75">
        <f t="shared" si="10"/>
        <v>-3017</v>
      </c>
      <c r="O80" s="75">
        <f t="shared" si="11"/>
        <v>-327.93478260869568</v>
      </c>
      <c r="P80" s="75">
        <f>VLOOKUP($A80,'Data Vlaue (Cr)'!$C:$FB,119)</f>
        <v>0.99</v>
      </c>
      <c r="Q80" s="75">
        <f>VLOOKUP($A80,'Data Vlaue (Cr)'!$C:$FB,122)*100</f>
        <v>3.1300000000000003</v>
      </c>
      <c r="R80" s="75">
        <f>VLOOKUP($A80,'Data Vlaue (Cr)'!$C:$FB,125)</f>
        <v>0.62</v>
      </c>
      <c r="S80" s="75">
        <f>VLOOKUP($A80,'Data Vlaue (Cr)'!$C:$FB,128)*100</f>
        <v>-11.43</v>
      </c>
    </row>
    <row r="81" spans="1:19" x14ac:dyDescent="0.25">
      <c r="A81" s="96" t="str">
        <f>'Data Vlaue (Cr)'!C72</f>
        <v>HAL</v>
      </c>
      <c r="B81" s="75">
        <f>VLOOKUP($A81,'Data Vlaue (Cr)'!$C:$FB,2)</f>
        <v>150</v>
      </c>
      <c r="C81" s="75">
        <f>VLOOKUP($A81,'Data Vlaue (Cr)'!$C:$FB,8)</f>
        <v>4624</v>
      </c>
      <c r="D81" s="75">
        <f>VLOOKUP($A81,'Data Vlaue (Cr)'!$C:$FB,4)</f>
        <v>4639.5</v>
      </c>
      <c r="E81" s="75">
        <f>VLOOKUP($A81,'Data Vlaue (Cr)'!$C:$FB,5)</f>
        <v>4350.6000000000004</v>
      </c>
      <c r="F81" s="75">
        <f t="shared" si="6"/>
        <v>15.5</v>
      </c>
      <c r="G81" s="75">
        <f t="shared" si="7"/>
        <v>6.2269641125121167</v>
      </c>
      <c r="H81" s="75">
        <f>VLOOKUP($A81,'Data Vlaue (Cr)'!$C:$FB,99)</f>
        <v>6750</v>
      </c>
      <c r="I81" s="75">
        <f>VLOOKUP($A81,'Data Vlaue (Cr)'!$C:$FB,100)</f>
        <v>6155</v>
      </c>
      <c r="J81" s="75">
        <f t="shared" si="8"/>
        <v>595</v>
      </c>
      <c r="K81" s="75">
        <f t="shared" si="9"/>
        <v>8.8148148148148149</v>
      </c>
      <c r="L81" s="75">
        <f>VLOOKUP($A81,'Data Vlaue (Cr)'!$C:$FB,67)</f>
        <v>10177</v>
      </c>
      <c r="M81" s="75">
        <f>VLOOKUP($A81,'Data Vlaue (Cr)'!$C:$FB,68)</f>
        <v>9122</v>
      </c>
      <c r="N81" s="75">
        <f t="shared" si="10"/>
        <v>1055</v>
      </c>
      <c r="O81" s="75">
        <f t="shared" si="11"/>
        <v>10.366512724771544</v>
      </c>
      <c r="P81" s="75">
        <f>VLOOKUP($A81,'Data Vlaue (Cr)'!$C:$FB,119)</f>
        <v>0.8</v>
      </c>
      <c r="Q81" s="75">
        <f>VLOOKUP($A81,'Data Vlaue (Cr)'!$C:$FB,122)*100</f>
        <v>-13.98</v>
      </c>
      <c r="R81" s="75">
        <f>VLOOKUP($A81,'Data Vlaue (Cr)'!$C:$FB,125)</f>
        <v>0.25</v>
      </c>
      <c r="S81" s="75">
        <f>VLOOKUP($A81,'Data Vlaue (Cr)'!$C:$FB,128)*100</f>
        <v>-46.81</v>
      </c>
    </row>
    <row r="82" spans="1:19" x14ac:dyDescent="0.25">
      <c r="A82" s="96" t="str">
        <f>'Data Vlaue (Cr)'!C73</f>
        <v>HAVELLS</v>
      </c>
      <c r="B82" s="75">
        <f>VLOOKUP($A82,'Data Vlaue (Cr)'!$C:$FB,2)</f>
        <v>500</v>
      </c>
      <c r="C82" s="75">
        <f>VLOOKUP($A82,'Data Vlaue (Cr)'!$C:$FB,8)</f>
        <v>1286.8</v>
      </c>
      <c r="D82" s="75">
        <f>VLOOKUP($A82,'Data Vlaue (Cr)'!$C:$FB,4)</f>
        <v>1295.5</v>
      </c>
      <c r="E82" s="75">
        <f>VLOOKUP($A82,'Data Vlaue (Cr)'!$C:$FB,5)</f>
        <v>1295.7</v>
      </c>
      <c r="F82" s="75">
        <f t="shared" si="6"/>
        <v>8.7000000000000455</v>
      </c>
      <c r="G82" s="75">
        <f t="shared" si="7"/>
        <v>-1.5438054805098068E-2</v>
      </c>
      <c r="H82" s="75">
        <f>VLOOKUP($A82,'Data Vlaue (Cr)'!$C:$FB,99)</f>
        <v>1679</v>
      </c>
      <c r="I82" s="75">
        <f>VLOOKUP($A82,'Data Vlaue (Cr)'!$C:$FB,100)</f>
        <v>1576</v>
      </c>
      <c r="J82" s="75">
        <f t="shared" si="8"/>
        <v>103</v>
      </c>
      <c r="K82" s="75">
        <f t="shared" si="9"/>
        <v>6.1346039309112568</v>
      </c>
      <c r="L82" s="75">
        <f>VLOOKUP($A82,'Data Vlaue (Cr)'!$C:$FB,67)</f>
        <v>426</v>
      </c>
      <c r="M82" s="75">
        <f>VLOOKUP($A82,'Data Vlaue (Cr)'!$C:$FB,68)</f>
        <v>2111</v>
      </c>
      <c r="N82" s="75">
        <f t="shared" si="10"/>
        <v>-1685</v>
      </c>
      <c r="O82" s="75">
        <f t="shared" si="11"/>
        <v>-395.5399061032864</v>
      </c>
      <c r="P82" s="75">
        <f>VLOOKUP($A82,'Data Vlaue (Cr)'!$C:$FB,119)</f>
        <v>0.94</v>
      </c>
      <c r="Q82" s="75">
        <f>VLOOKUP($A82,'Data Vlaue (Cr)'!$C:$FB,122)*100</f>
        <v>0</v>
      </c>
      <c r="R82" s="75">
        <f>VLOOKUP($A82,'Data Vlaue (Cr)'!$C:$FB,125)</f>
        <v>0.52</v>
      </c>
      <c r="S82" s="75">
        <f>VLOOKUP($A82,'Data Vlaue (Cr)'!$C:$FB,128)*100</f>
        <v>-49.02</v>
      </c>
    </row>
    <row r="83" spans="1:19" x14ac:dyDescent="0.25">
      <c r="A83" s="96" t="str">
        <f>'Data Vlaue (Cr)'!C74</f>
        <v>HCLTECH</v>
      </c>
      <c r="B83" s="75">
        <f>VLOOKUP($A83,'Data Vlaue (Cr)'!$C:$FB,2)</f>
        <v>350</v>
      </c>
      <c r="C83" s="75">
        <f>VLOOKUP($A83,'Data Vlaue (Cr)'!$C:$FB,8)</f>
        <v>1729.6</v>
      </c>
      <c r="D83" s="75">
        <f>VLOOKUP($A83,'Data Vlaue (Cr)'!$C:$FB,4)</f>
        <v>1735.8</v>
      </c>
      <c r="E83" s="75">
        <f>VLOOKUP($A83,'Data Vlaue (Cr)'!$C:$FB,5)</f>
        <v>1728.2</v>
      </c>
      <c r="F83" s="75">
        <f t="shared" si="6"/>
        <v>6.2000000000000455</v>
      </c>
      <c r="G83" s="75">
        <f t="shared" si="7"/>
        <v>0.4378384606521436</v>
      </c>
      <c r="H83" s="75">
        <f>VLOOKUP($A83,'Data Vlaue (Cr)'!$C:$FB,99)</f>
        <v>3663</v>
      </c>
      <c r="I83" s="75">
        <f>VLOOKUP($A83,'Data Vlaue (Cr)'!$C:$FB,100)</f>
        <v>3524</v>
      </c>
      <c r="J83" s="75">
        <f t="shared" si="8"/>
        <v>139</v>
      </c>
      <c r="K83" s="75">
        <f t="shared" si="9"/>
        <v>3.7947037947037945</v>
      </c>
      <c r="L83" s="75">
        <f>VLOOKUP($A83,'Data Vlaue (Cr)'!$C:$FB,67)</f>
        <v>1873</v>
      </c>
      <c r="M83" s="75">
        <f>VLOOKUP($A83,'Data Vlaue (Cr)'!$C:$FB,68)</f>
        <v>3468</v>
      </c>
      <c r="N83" s="75">
        <f t="shared" si="10"/>
        <v>-1595</v>
      </c>
      <c r="O83" s="75">
        <f t="shared" si="11"/>
        <v>-85.157501334757086</v>
      </c>
      <c r="P83" s="75">
        <f>VLOOKUP($A83,'Data Vlaue (Cr)'!$C:$FB,119)</f>
        <v>0.83</v>
      </c>
      <c r="Q83" s="75">
        <f>VLOOKUP($A83,'Data Vlaue (Cr)'!$C:$FB,122)*100</f>
        <v>7.79</v>
      </c>
      <c r="R83" s="75">
        <f>VLOOKUP($A83,'Data Vlaue (Cr)'!$C:$FB,125)</f>
        <v>0.56000000000000005</v>
      </c>
      <c r="S83" s="75">
        <f>VLOOKUP($A83,'Data Vlaue (Cr)'!$C:$FB,128)*100</f>
        <v>-8.2000000000000011</v>
      </c>
    </row>
    <row r="84" spans="1:19" x14ac:dyDescent="0.25">
      <c r="A84" s="96" t="str">
        <f>'Data Vlaue (Cr)'!C75</f>
        <v>HDFCAMC</v>
      </c>
      <c r="B84" s="75">
        <f>VLOOKUP($A84,'Data Vlaue (Cr)'!$C:$FB,2)</f>
        <v>300</v>
      </c>
      <c r="C84" s="75">
        <f>VLOOKUP($A84,'Data Vlaue (Cr)'!$C:$FB,8)</f>
        <v>2477.6</v>
      </c>
      <c r="D84" s="75">
        <f>VLOOKUP($A84,'Data Vlaue (Cr)'!$C:$FB,4)</f>
        <v>2489.8000000000002</v>
      </c>
      <c r="E84" s="75">
        <f>VLOOKUP($A84,'Data Vlaue (Cr)'!$C:$FB,5)</f>
        <v>2452.6</v>
      </c>
      <c r="F84" s="75">
        <f t="shared" si="6"/>
        <v>12.200000000000273</v>
      </c>
      <c r="G84" s="75">
        <f t="shared" si="7"/>
        <v>1.4940959113181889</v>
      </c>
      <c r="H84" s="75">
        <f>VLOOKUP($A84,'Data Vlaue (Cr)'!$C:$FB,99)</f>
        <v>2211</v>
      </c>
      <c r="I84" s="75">
        <f>VLOOKUP($A84,'Data Vlaue (Cr)'!$C:$FB,100)</f>
        <v>2085</v>
      </c>
      <c r="J84" s="75">
        <f t="shared" si="8"/>
        <v>126</v>
      </c>
      <c r="K84" s="75">
        <f t="shared" si="9"/>
        <v>5.6987788331071911</v>
      </c>
      <c r="L84" s="75">
        <f>VLOOKUP($A84,'Data Vlaue (Cr)'!$C:$FB,67)</f>
        <v>726</v>
      </c>
      <c r="M84" s="75">
        <f>VLOOKUP($A84,'Data Vlaue (Cr)'!$C:$FB,68)</f>
        <v>1413</v>
      </c>
      <c r="N84" s="75">
        <f t="shared" si="10"/>
        <v>-687</v>
      </c>
      <c r="O84" s="75">
        <f t="shared" si="11"/>
        <v>-94.628099173553721</v>
      </c>
      <c r="P84" s="75">
        <f>VLOOKUP($A84,'Data Vlaue (Cr)'!$C:$FB,119)</f>
        <v>0.63</v>
      </c>
      <c r="Q84" s="75">
        <f>VLOOKUP($A84,'Data Vlaue (Cr)'!$C:$FB,122)*100</f>
        <v>-1.5599999999999998</v>
      </c>
      <c r="R84" s="75">
        <f>VLOOKUP($A84,'Data Vlaue (Cr)'!$C:$FB,125)</f>
        <v>0.28999999999999998</v>
      </c>
      <c r="S84" s="75">
        <f>VLOOKUP($A84,'Data Vlaue (Cr)'!$C:$FB,128)*100</f>
        <v>-59.150000000000006</v>
      </c>
    </row>
    <row r="85" spans="1:19" x14ac:dyDescent="0.25">
      <c r="A85" s="96" t="str">
        <f>'Data Vlaue (Cr)'!C76</f>
        <v>HDFCBANK</v>
      </c>
      <c r="B85" s="75">
        <f>VLOOKUP($A85,'Data Vlaue (Cr)'!$C:$FB,2)</f>
        <v>550</v>
      </c>
      <c r="C85" s="75">
        <f>VLOOKUP($A85,'Data Vlaue (Cr)'!$C:$FB,8)</f>
        <v>932.7</v>
      </c>
      <c r="D85" s="75">
        <f>VLOOKUP($A85,'Data Vlaue (Cr)'!$C:$FB,4)</f>
        <v>936.2</v>
      </c>
      <c r="E85" s="75">
        <f>VLOOKUP($A85,'Data Vlaue (Cr)'!$C:$FB,5)</f>
        <v>932.8</v>
      </c>
      <c r="F85" s="75">
        <f t="shared" si="6"/>
        <v>3.5</v>
      </c>
      <c r="G85" s="75">
        <f t="shared" si="7"/>
        <v>0.36317026276437631</v>
      </c>
      <c r="H85" s="75">
        <f>VLOOKUP($A85,'Data Vlaue (Cr)'!$C:$FB,99)</f>
        <v>29986</v>
      </c>
      <c r="I85" s="75">
        <f>VLOOKUP($A85,'Data Vlaue (Cr)'!$C:$FB,100)</f>
        <v>30065</v>
      </c>
      <c r="J85" s="75">
        <f t="shared" si="8"/>
        <v>-79</v>
      </c>
      <c r="K85" s="75">
        <f t="shared" si="9"/>
        <v>-0.26345627959714535</v>
      </c>
      <c r="L85" s="75">
        <f>VLOOKUP($A85,'Data Vlaue (Cr)'!$C:$FB,67)</f>
        <v>12659</v>
      </c>
      <c r="M85" s="75">
        <f>VLOOKUP($A85,'Data Vlaue (Cr)'!$C:$FB,68)</f>
        <v>22492</v>
      </c>
      <c r="N85" s="75">
        <f t="shared" si="10"/>
        <v>-9833</v>
      </c>
      <c r="O85" s="75">
        <f t="shared" si="11"/>
        <v>-77.675961766332264</v>
      </c>
      <c r="P85" s="75">
        <f>VLOOKUP($A85,'Data Vlaue (Cr)'!$C:$FB,119)</f>
        <v>0.71</v>
      </c>
      <c r="Q85" s="75">
        <f>VLOOKUP($A85,'Data Vlaue (Cr)'!$C:$FB,122)*100</f>
        <v>2.9000000000000004</v>
      </c>
      <c r="R85" s="75">
        <f>VLOOKUP($A85,'Data Vlaue (Cr)'!$C:$FB,125)</f>
        <v>0.6</v>
      </c>
      <c r="S85" s="75">
        <f>VLOOKUP($A85,'Data Vlaue (Cr)'!$C:$FB,128)*100</f>
        <v>-7.6899999999999995</v>
      </c>
    </row>
    <row r="86" spans="1:19" x14ac:dyDescent="0.25">
      <c r="A86" s="96" t="str">
        <f>'Data Vlaue (Cr)'!C77</f>
        <v>HDFCLIFE</v>
      </c>
      <c r="B86" s="75">
        <f>VLOOKUP($A86,'Data Vlaue (Cr)'!$C:$FB,2)</f>
        <v>1100</v>
      </c>
      <c r="C86" s="75">
        <f>VLOOKUP($A86,'Data Vlaue (Cr)'!$C:$FB,8)</f>
        <v>728.6</v>
      </c>
      <c r="D86" s="75">
        <f>VLOOKUP($A86,'Data Vlaue (Cr)'!$C:$FB,4)</f>
        <v>730.5</v>
      </c>
      <c r="E86" s="75">
        <f>VLOOKUP($A86,'Data Vlaue (Cr)'!$C:$FB,5)</f>
        <v>724.4</v>
      </c>
      <c r="F86" s="75">
        <f t="shared" si="6"/>
        <v>1.8999999999999773</v>
      </c>
      <c r="G86" s="75">
        <f t="shared" si="7"/>
        <v>0.83504449007529391</v>
      </c>
      <c r="H86" s="75">
        <f>VLOOKUP($A86,'Data Vlaue (Cr)'!$C:$FB,99)</f>
        <v>3052</v>
      </c>
      <c r="I86" s="75">
        <f>VLOOKUP($A86,'Data Vlaue (Cr)'!$C:$FB,100)</f>
        <v>2924</v>
      </c>
      <c r="J86" s="75">
        <f t="shared" si="8"/>
        <v>128</v>
      </c>
      <c r="K86" s="75">
        <f t="shared" si="9"/>
        <v>4.1939711664482306</v>
      </c>
      <c r="L86" s="75">
        <f>VLOOKUP($A86,'Data Vlaue (Cr)'!$C:$FB,67)</f>
        <v>1195</v>
      </c>
      <c r="M86" s="75">
        <f>VLOOKUP($A86,'Data Vlaue (Cr)'!$C:$FB,68)</f>
        <v>2092</v>
      </c>
      <c r="N86" s="75">
        <f t="shared" si="10"/>
        <v>-897</v>
      </c>
      <c r="O86" s="75">
        <f t="shared" si="11"/>
        <v>-75.062761506276161</v>
      </c>
      <c r="P86" s="75">
        <f>VLOOKUP($A86,'Data Vlaue (Cr)'!$C:$FB,119)</f>
        <v>0.59</v>
      </c>
      <c r="Q86" s="75">
        <f>VLOOKUP($A86,'Data Vlaue (Cr)'!$C:$FB,122)*100</f>
        <v>-31.4</v>
      </c>
      <c r="R86" s="75">
        <f>VLOOKUP($A86,'Data Vlaue (Cr)'!$C:$FB,125)</f>
        <v>0.31</v>
      </c>
      <c r="S86" s="75">
        <f>VLOOKUP($A86,'Data Vlaue (Cr)'!$C:$FB,128)*100</f>
        <v>-52.31</v>
      </c>
    </row>
    <row r="87" spans="1:19" x14ac:dyDescent="0.25">
      <c r="A87" s="96" t="str">
        <f>'Data Vlaue (Cr)'!C78</f>
        <v>HEROMOTOCO</v>
      </c>
      <c r="B87" s="75">
        <f>VLOOKUP($A87,'Data Vlaue (Cr)'!$C:$FB,2)</f>
        <v>150</v>
      </c>
      <c r="C87" s="75">
        <f>VLOOKUP($A87,'Data Vlaue (Cr)'!$C:$FB,8)</f>
        <v>5512.5</v>
      </c>
      <c r="D87" s="75">
        <f>VLOOKUP($A87,'Data Vlaue (Cr)'!$C:$FB,4)</f>
        <v>5511</v>
      </c>
      <c r="E87" s="75">
        <f>VLOOKUP($A87,'Data Vlaue (Cr)'!$C:$FB,5)</f>
        <v>5366.5</v>
      </c>
      <c r="F87" s="75">
        <f t="shared" si="6"/>
        <v>-1.5</v>
      </c>
      <c r="G87" s="75">
        <f t="shared" si="7"/>
        <v>2.6220286699328614</v>
      </c>
      <c r="H87" s="75">
        <f>VLOOKUP($A87,'Data Vlaue (Cr)'!$C:$FB,99)</f>
        <v>2824</v>
      </c>
      <c r="I87" s="75">
        <f>VLOOKUP($A87,'Data Vlaue (Cr)'!$C:$FB,100)</f>
        <v>2701</v>
      </c>
      <c r="J87" s="75">
        <f t="shared" si="8"/>
        <v>123</v>
      </c>
      <c r="K87" s="75">
        <f t="shared" si="9"/>
        <v>4.3555240793201131</v>
      </c>
      <c r="L87" s="75">
        <f>VLOOKUP($A87,'Data Vlaue (Cr)'!$C:$FB,67)</f>
        <v>2627</v>
      </c>
      <c r="M87" s="75">
        <f>VLOOKUP($A87,'Data Vlaue (Cr)'!$C:$FB,68)</f>
        <v>3946</v>
      </c>
      <c r="N87" s="75">
        <f t="shared" si="10"/>
        <v>-1319</v>
      </c>
      <c r="O87" s="75">
        <f t="shared" si="11"/>
        <v>-50.209364293871339</v>
      </c>
      <c r="P87" s="75">
        <f>VLOOKUP($A87,'Data Vlaue (Cr)'!$C:$FB,119)</f>
        <v>0.74</v>
      </c>
      <c r="Q87" s="75">
        <f>VLOOKUP($A87,'Data Vlaue (Cr)'!$C:$FB,122)*100</f>
        <v>-2.63</v>
      </c>
      <c r="R87" s="75">
        <f>VLOOKUP($A87,'Data Vlaue (Cr)'!$C:$FB,125)</f>
        <v>0.46</v>
      </c>
      <c r="S87" s="75">
        <f>VLOOKUP($A87,'Data Vlaue (Cr)'!$C:$FB,128)*100</f>
        <v>-9.8000000000000007</v>
      </c>
    </row>
    <row r="88" spans="1:19" x14ac:dyDescent="0.25">
      <c r="A88" s="96" t="str">
        <f>'Data Vlaue (Cr)'!C79</f>
        <v>HINDALCO</v>
      </c>
      <c r="B88" s="75">
        <f>VLOOKUP($A88,'Data Vlaue (Cr)'!$C:$FB,2)</f>
        <v>700</v>
      </c>
      <c r="C88" s="75">
        <f>VLOOKUP($A88,'Data Vlaue (Cr)'!$C:$FB,8)</f>
        <v>998.2</v>
      </c>
      <c r="D88" s="75">
        <f>VLOOKUP($A88,'Data Vlaue (Cr)'!$C:$FB,4)</f>
        <v>998.85</v>
      </c>
      <c r="E88" s="75">
        <f>VLOOKUP($A88,'Data Vlaue (Cr)'!$C:$FB,5)</f>
        <v>963.65</v>
      </c>
      <c r="F88" s="75">
        <f t="shared" si="6"/>
        <v>0.64999999999997726</v>
      </c>
      <c r="G88" s="75">
        <f t="shared" si="7"/>
        <v>3.5240526605596485</v>
      </c>
      <c r="H88" s="75">
        <f>VLOOKUP($A88,'Data Vlaue (Cr)'!$C:$FB,99)</f>
        <v>5698</v>
      </c>
      <c r="I88" s="75">
        <f>VLOOKUP($A88,'Data Vlaue (Cr)'!$C:$FB,100)</f>
        <v>5525</v>
      </c>
      <c r="J88" s="75">
        <f t="shared" si="8"/>
        <v>173</v>
      </c>
      <c r="K88" s="75">
        <f t="shared" si="9"/>
        <v>3.0361530361530362</v>
      </c>
      <c r="L88" s="75">
        <f>VLOOKUP($A88,'Data Vlaue (Cr)'!$C:$FB,67)</f>
        <v>7445</v>
      </c>
      <c r="M88" s="75">
        <f>VLOOKUP($A88,'Data Vlaue (Cr)'!$C:$FB,68)</f>
        <v>6921</v>
      </c>
      <c r="N88" s="75">
        <f t="shared" si="10"/>
        <v>524</v>
      </c>
      <c r="O88" s="75">
        <f t="shared" si="11"/>
        <v>7.0382807253190061</v>
      </c>
      <c r="P88" s="75">
        <f>VLOOKUP($A88,'Data Vlaue (Cr)'!$C:$FB,119)</f>
        <v>0.89</v>
      </c>
      <c r="Q88" s="75">
        <f>VLOOKUP($A88,'Data Vlaue (Cr)'!$C:$FB,122)*100</f>
        <v>9.879999999999999</v>
      </c>
      <c r="R88" s="75">
        <f>VLOOKUP($A88,'Data Vlaue (Cr)'!$C:$FB,125)</f>
        <v>0.43</v>
      </c>
      <c r="S88" s="75">
        <f>VLOOKUP($A88,'Data Vlaue (Cr)'!$C:$FB,128)*100</f>
        <v>-21.82</v>
      </c>
    </row>
    <row r="89" spans="1:19" x14ac:dyDescent="0.25">
      <c r="A89" s="96" t="str">
        <f>'Data Vlaue (Cr)'!C80</f>
        <v>HINDPETRO</v>
      </c>
      <c r="B89" s="75">
        <f>VLOOKUP($A89,'Data Vlaue (Cr)'!$C:$FB,2)</f>
        <v>2025</v>
      </c>
      <c r="C89" s="75">
        <f>VLOOKUP($A89,'Data Vlaue (Cr)'!$C:$FB,8)</f>
        <v>433.25</v>
      </c>
      <c r="D89" s="75">
        <f>VLOOKUP($A89,'Data Vlaue (Cr)'!$C:$FB,4)</f>
        <v>434.75</v>
      </c>
      <c r="E89" s="75">
        <f>VLOOKUP($A89,'Data Vlaue (Cr)'!$C:$FB,5)</f>
        <v>421.85</v>
      </c>
      <c r="F89" s="75">
        <f t="shared" si="6"/>
        <v>1.5</v>
      </c>
      <c r="G89" s="75">
        <f t="shared" si="7"/>
        <v>2.9672225416906213</v>
      </c>
      <c r="H89" s="75">
        <f>VLOOKUP($A89,'Data Vlaue (Cr)'!$C:$FB,99)</f>
        <v>2263</v>
      </c>
      <c r="I89" s="75">
        <f>VLOOKUP($A89,'Data Vlaue (Cr)'!$C:$FB,100)</f>
        <v>2160</v>
      </c>
      <c r="J89" s="75">
        <f t="shared" si="8"/>
        <v>103</v>
      </c>
      <c r="K89" s="75">
        <f t="shared" si="9"/>
        <v>4.5514803358373834</v>
      </c>
      <c r="L89" s="75">
        <f>VLOOKUP($A89,'Data Vlaue (Cr)'!$C:$FB,67)</f>
        <v>1730</v>
      </c>
      <c r="M89" s="75">
        <f>VLOOKUP($A89,'Data Vlaue (Cr)'!$C:$FB,68)</f>
        <v>2229</v>
      </c>
      <c r="N89" s="75">
        <f t="shared" si="10"/>
        <v>-499</v>
      </c>
      <c r="O89" s="75">
        <f t="shared" si="11"/>
        <v>-28.843930635838149</v>
      </c>
      <c r="P89" s="75">
        <f>VLOOKUP($A89,'Data Vlaue (Cr)'!$C:$FB,119)</f>
        <v>0.9</v>
      </c>
      <c r="Q89" s="75">
        <f>VLOOKUP($A89,'Data Vlaue (Cr)'!$C:$FB,122)*100</f>
        <v>-6.25</v>
      </c>
      <c r="R89" s="75">
        <f>VLOOKUP($A89,'Data Vlaue (Cr)'!$C:$FB,125)</f>
        <v>0.44</v>
      </c>
      <c r="S89" s="75">
        <f>VLOOKUP($A89,'Data Vlaue (Cr)'!$C:$FB,128)*100</f>
        <v>-33.33</v>
      </c>
    </row>
    <row r="90" spans="1:19" x14ac:dyDescent="0.25">
      <c r="A90" s="96" t="str">
        <f>'Data Vlaue (Cr)'!C81</f>
        <v>HINDUNILVR</v>
      </c>
      <c r="B90" s="75">
        <f>VLOOKUP($A90,'Data Vlaue (Cr)'!$C:$FB,2)</f>
        <v>300</v>
      </c>
      <c r="C90" s="75">
        <f>VLOOKUP($A90,'Data Vlaue (Cr)'!$C:$FB,8)</f>
        <v>2378.4</v>
      </c>
      <c r="D90" s="75">
        <f>VLOOKUP($A90,'Data Vlaue (Cr)'!$C:$FB,4)</f>
        <v>2382.4</v>
      </c>
      <c r="E90" s="75">
        <f>VLOOKUP($A90,'Data Vlaue (Cr)'!$C:$FB,5)</f>
        <v>2417.6999999999998</v>
      </c>
      <c r="F90" s="75">
        <f t="shared" si="6"/>
        <v>4</v>
      </c>
      <c r="G90" s="75">
        <f t="shared" si="7"/>
        <v>-1.4816991269308144</v>
      </c>
      <c r="H90" s="75">
        <f>VLOOKUP($A90,'Data Vlaue (Cr)'!$C:$FB,99)</f>
        <v>4348</v>
      </c>
      <c r="I90" s="75">
        <f>VLOOKUP($A90,'Data Vlaue (Cr)'!$C:$FB,100)</f>
        <v>3968</v>
      </c>
      <c r="J90" s="75">
        <f t="shared" si="8"/>
        <v>380</v>
      </c>
      <c r="K90" s="75">
        <f t="shared" si="9"/>
        <v>8.7396504139834406</v>
      </c>
      <c r="L90" s="75">
        <f>VLOOKUP($A90,'Data Vlaue (Cr)'!$C:$FB,67)</f>
        <v>2643</v>
      </c>
      <c r="M90" s="75">
        <f>VLOOKUP($A90,'Data Vlaue (Cr)'!$C:$FB,68)</f>
        <v>4174</v>
      </c>
      <c r="N90" s="75">
        <f t="shared" si="10"/>
        <v>-1531</v>
      </c>
      <c r="O90" s="75">
        <f t="shared" si="11"/>
        <v>-57.926598562239882</v>
      </c>
      <c r="P90" s="75">
        <f>VLOOKUP($A90,'Data Vlaue (Cr)'!$C:$FB,119)</f>
        <v>1.02</v>
      </c>
      <c r="Q90" s="75">
        <f>VLOOKUP($A90,'Data Vlaue (Cr)'!$C:$FB,122)*100</f>
        <v>18.600000000000001</v>
      </c>
      <c r="R90" s="75">
        <f>VLOOKUP($A90,'Data Vlaue (Cr)'!$C:$FB,125)</f>
        <v>0.8</v>
      </c>
      <c r="S90" s="75">
        <f>VLOOKUP($A90,'Data Vlaue (Cr)'!$C:$FB,128)*100</f>
        <v>40.35</v>
      </c>
    </row>
    <row r="91" spans="1:19" x14ac:dyDescent="0.25">
      <c r="A91" s="96" t="str">
        <f>'Data Vlaue (Cr)'!C82</f>
        <v>HINDZINC</v>
      </c>
      <c r="B91" s="75">
        <f>VLOOKUP($A91,'Data Vlaue (Cr)'!$C:$FB,2)</f>
        <v>1225</v>
      </c>
      <c r="C91" s="75">
        <f>VLOOKUP($A91,'Data Vlaue (Cr)'!$C:$FB,8)</f>
        <v>708.2</v>
      </c>
      <c r="D91" s="75">
        <f>VLOOKUP($A91,'Data Vlaue (Cr)'!$C:$FB,4)</f>
        <v>706.35</v>
      </c>
      <c r="E91" s="75">
        <f>VLOOKUP($A91,'Data Vlaue (Cr)'!$C:$FB,5)</f>
        <v>725.9</v>
      </c>
      <c r="F91" s="75">
        <f t="shared" si="6"/>
        <v>-1.8500000000000227</v>
      </c>
      <c r="G91" s="75">
        <f t="shared" si="7"/>
        <v>-2.7677496991576347</v>
      </c>
      <c r="H91" s="75">
        <f>VLOOKUP($A91,'Data Vlaue (Cr)'!$C:$FB,99)</f>
        <v>6742</v>
      </c>
      <c r="I91" s="75">
        <f>VLOOKUP($A91,'Data Vlaue (Cr)'!$C:$FB,100)</f>
        <v>5325</v>
      </c>
      <c r="J91" s="75">
        <f t="shared" si="8"/>
        <v>1417</v>
      </c>
      <c r="K91" s="75">
        <f t="shared" si="9"/>
        <v>21.01750222485909</v>
      </c>
      <c r="L91" s="75">
        <f>VLOOKUP($A91,'Data Vlaue (Cr)'!$C:$FB,67)</f>
        <v>20006</v>
      </c>
      <c r="M91" s="75">
        <f>VLOOKUP($A91,'Data Vlaue (Cr)'!$C:$FB,68)</f>
        <v>20509</v>
      </c>
      <c r="N91" s="75">
        <f t="shared" si="10"/>
        <v>-503</v>
      </c>
      <c r="O91" s="75">
        <f t="shared" si="11"/>
        <v>-2.5142457262821152</v>
      </c>
      <c r="P91" s="75">
        <f>VLOOKUP($A91,'Data Vlaue (Cr)'!$C:$FB,119)</f>
        <v>0.73</v>
      </c>
      <c r="Q91" s="75">
        <f>VLOOKUP($A91,'Data Vlaue (Cr)'!$C:$FB,122)*100</f>
        <v>23.73</v>
      </c>
      <c r="R91" s="75">
        <f>VLOOKUP($A91,'Data Vlaue (Cr)'!$C:$FB,125)</f>
        <v>0.38</v>
      </c>
      <c r="S91" s="75">
        <f>VLOOKUP($A91,'Data Vlaue (Cr)'!$C:$FB,128)*100</f>
        <v>-22.45</v>
      </c>
    </row>
    <row r="92" spans="1:19" x14ac:dyDescent="0.25">
      <c r="A92" s="96" t="str">
        <f>'Data Vlaue (Cr)'!C83</f>
        <v>HUDCO</v>
      </c>
      <c r="B92" s="75">
        <f>VLOOKUP($A92,'Data Vlaue (Cr)'!$C:$FB,2)</f>
        <v>2775</v>
      </c>
      <c r="C92" s="75">
        <f>VLOOKUP($A92,'Data Vlaue (Cr)'!$C:$FB,8)</f>
        <v>204.33</v>
      </c>
      <c r="D92" s="75">
        <f>VLOOKUP($A92,'Data Vlaue (Cr)'!$C:$FB,4)</f>
        <v>204.7</v>
      </c>
      <c r="E92" s="75">
        <f>VLOOKUP($A92,'Data Vlaue (Cr)'!$C:$FB,5)</f>
        <v>198.39</v>
      </c>
      <c r="F92" s="75">
        <f t="shared" si="6"/>
        <v>0.36999999999997613</v>
      </c>
      <c r="G92" s="75">
        <f t="shared" si="7"/>
        <v>3.0825598436736703</v>
      </c>
      <c r="H92" s="75">
        <f>VLOOKUP($A92,'Data Vlaue (Cr)'!$C:$FB,99)</f>
        <v>1242</v>
      </c>
      <c r="I92" s="75">
        <f>VLOOKUP($A92,'Data Vlaue (Cr)'!$C:$FB,100)</f>
        <v>1153</v>
      </c>
      <c r="J92" s="75">
        <f t="shared" si="8"/>
        <v>89</v>
      </c>
      <c r="K92" s="75">
        <f t="shared" si="9"/>
        <v>7.1658615136876005</v>
      </c>
      <c r="L92" s="75">
        <f>VLOOKUP($A92,'Data Vlaue (Cr)'!$C:$FB,67)</f>
        <v>679</v>
      </c>
      <c r="M92" s="75">
        <f>VLOOKUP($A92,'Data Vlaue (Cr)'!$C:$FB,68)</f>
        <v>1758</v>
      </c>
      <c r="N92" s="75">
        <f t="shared" si="10"/>
        <v>-1079</v>
      </c>
      <c r="O92" s="75">
        <f t="shared" si="11"/>
        <v>-158.9101620029455</v>
      </c>
      <c r="P92" s="75">
        <f>VLOOKUP($A92,'Data Vlaue (Cr)'!$C:$FB,119)</f>
        <v>0.95</v>
      </c>
      <c r="Q92" s="75">
        <f>VLOOKUP($A92,'Data Vlaue (Cr)'!$C:$FB,122)*100</f>
        <v>-3.06</v>
      </c>
      <c r="R92" s="75">
        <f>VLOOKUP($A92,'Data Vlaue (Cr)'!$C:$FB,125)</f>
        <v>0.51</v>
      </c>
      <c r="S92" s="75">
        <f>VLOOKUP($A92,'Data Vlaue (Cr)'!$C:$FB,128)*100</f>
        <v>-45.739999999999995</v>
      </c>
    </row>
    <row r="93" spans="1:19" x14ac:dyDescent="0.25">
      <c r="A93" s="96" t="str">
        <f>'Data Vlaue (Cr)'!C84</f>
        <v>ICICIBANK</v>
      </c>
      <c r="B93" s="75">
        <f>VLOOKUP($A93,'Data Vlaue (Cr)'!$C:$FB,2)</f>
        <v>700</v>
      </c>
      <c r="C93" s="75">
        <f>VLOOKUP($A93,'Data Vlaue (Cr)'!$C:$FB,8)</f>
        <v>1367.7</v>
      </c>
      <c r="D93" s="75">
        <f>VLOOKUP($A93,'Data Vlaue (Cr)'!$C:$FB,4)</f>
        <v>1373.2</v>
      </c>
      <c r="E93" s="75">
        <f>VLOOKUP($A93,'Data Vlaue (Cr)'!$C:$FB,5)</f>
        <v>1371.1</v>
      </c>
      <c r="F93" s="75">
        <f t="shared" si="6"/>
        <v>5.5</v>
      </c>
      <c r="G93" s="75">
        <f t="shared" si="7"/>
        <v>0.15292746868629015</v>
      </c>
      <c r="H93" s="75">
        <f>VLOOKUP($A93,'Data Vlaue (Cr)'!$C:$FB,99)</f>
        <v>21919</v>
      </c>
      <c r="I93" s="75">
        <f>VLOOKUP($A93,'Data Vlaue (Cr)'!$C:$FB,100)</f>
        <v>21700</v>
      </c>
      <c r="J93" s="75">
        <f t="shared" si="8"/>
        <v>219</v>
      </c>
      <c r="K93" s="75">
        <f t="shared" si="9"/>
        <v>0.99913317213376518</v>
      </c>
      <c r="L93" s="75">
        <f>VLOOKUP($A93,'Data Vlaue (Cr)'!$C:$FB,67)</f>
        <v>8966</v>
      </c>
      <c r="M93" s="75">
        <f>VLOOKUP($A93,'Data Vlaue (Cr)'!$C:$FB,68)</f>
        <v>22164</v>
      </c>
      <c r="N93" s="75">
        <f t="shared" si="10"/>
        <v>-13198</v>
      </c>
      <c r="O93" s="75">
        <f t="shared" si="11"/>
        <v>-147.20053535578853</v>
      </c>
      <c r="P93" s="75">
        <f>VLOOKUP($A93,'Data Vlaue (Cr)'!$C:$FB,119)</f>
        <v>0.99</v>
      </c>
      <c r="Q93" s="75">
        <f>VLOOKUP($A93,'Data Vlaue (Cr)'!$C:$FB,122)*100</f>
        <v>2.06</v>
      </c>
      <c r="R93" s="75">
        <f>VLOOKUP($A93,'Data Vlaue (Cr)'!$C:$FB,125)</f>
        <v>0.68</v>
      </c>
      <c r="S93" s="75">
        <f>VLOOKUP($A93,'Data Vlaue (Cr)'!$C:$FB,128)*100</f>
        <v>13.33</v>
      </c>
    </row>
    <row r="94" spans="1:19" x14ac:dyDescent="0.25">
      <c r="A94" s="96" t="str">
        <f>'Data Vlaue (Cr)'!C85</f>
        <v>ICICIGI</v>
      </c>
      <c r="B94" s="75">
        <f>VLOOKUP($A94,'Data Vlaue (Cr)'!$C:$FB,2)</f>
        <v>325</v>
      </c>
      <c r="C94" s="75">
        <f>VLOOKUP($A94,'Data Vlaue (Cr)'!$C:$FB,8)</f>
        <v>1822.2</v>
      </c>
      <c r="D94" s="75">
        <f>VLOOKUP($A94,'Data Vlaue (Cr)'!$C:$FB,4)</f>
        <v>1826</v>
      </c>
      <c r="E94" s="75">
        <f>VLOOKUP($A94,'Data Vlaue (Cr)'!$C:$FB,5)</f>
        <v>1817.7</v>
      </c>
      <c r="F94" s="75">
        <f t="shared" si="6"/>
        <v>3.7999999999999545</v>
      </c>
      <c r="G94" s="75">
        <f t="shared" si="7"/>
        <v>0.45454545454545209</v>
      </c>
      <c r="H94" s="75">
        <f>VLOOKUP($A94,'Data Vlaue (Cr)'!$C:$FB,99)</f>
        <v>1133</v>
      </c>
      <c r="I94" s="75">
        <f>VLOOKUP($A94,'Data Vlaue (Cr)'!$C:$FB,100)</f>
        <v>1113</v>
      </c>
      <c r="J94" s="75">
        <f t="shared" si="8"/>
        <v>20</v>
      </c>
      <c r="K94" s="75">
        <f t="shared" si="9"/>
        <v>1.7652250661959399</v>
      </c>
      <c r="L94" s="75">
        <f>VLOOKUP($A94,'Data Vlaue (Cr)'!$C:$FB,67)</f>
        <v>176</v>
      </c>
      <c r="M94" s="75">
        <f>VLOOKUP($A94,'Data Vlaue (Cr)'!$C:$FB,68)</f>
        <v>746</v>
      </c>
      <c r="N94" s="75">
        <f t="shared" si="10"/>
        <v>-570</v>
      </c>
      <c r="O94" s="75">
        <f t="shared" si="11"/>
        <v>-323.86363636363637</v>
      </c>
      <c r="P94" s="75">
        <f>VLOOKUP($A94,'Data Vlaue (Cr)'!$C:$FB,119)</f>
        <v>1.24</v>
      </c>
      <c r="Q94" s="75">
        <f>VLOOKUP($A94,'Data Vlaue (Cr)'!$C:$FB,122)*100</f>
        <v>-10.79</v>
      </c>
      <c r="R94" s="75">
        <f>VLOOKUP($A94,'Data Vlaue (Cr)'!$C:$FB,125)</f>
        <v>1.05</v>
      </c>
      <c r="S94" s="75">
        <f>VLOOKUP($A94,'Data Vlaue (Cr)'!$C:$FB,128)*100</f>
        <v>-27.589999999999996</v>
      </c>
    </row>
    <row r="95" spans="1:19" x14ac:dyDescent="0.25">
      <c r="A95" s="96" t="str">
        <f>'Data Vlaue (Cr)'!C86</f>
        <v>ICICIPRULI</v>
      </c>
      <c r="B95" s="75">
        <f>VLOOKUP($A95,'Data Vlaue (Cr)'!$C:$FB,2)</f>
        <v>925</v>
      </c>
      <c r="C95" s="75">
        <f>VLOOKUP($A95,'Data Vlaue (Cr)'!$C:$FB,8)</f>
        <v>642.4</v>
      </c>
      <c r="D95" s="75">
        <f>VLOOKUP($A95,'Data Vlaue (Cr)'!$C:$FB,4)</f>
        <v>644.95000000000005</v>
      </c>
      <c r="E95" s="75">
        <f>VLOOKUP($A95,'Data Vlaue (Cr)'!$C:$FB,5)</f>
        <v>648.35</v>
      </c>
      <c r="F95" s="75">
        <f t="shared" si="6"/>
        <v>2.5500000000000682</v>
      </c>
      <c r="G95" s="75">
        <f t="shared" si="7"/>
        <v>-0.52717264904255789</v>
      </c>
      <c r="H95" s="75">
        <f>VLOOKUP($A95,'Data Vlaue (Cr)'!$C:$FB,99)</f>
        <v>1039</v>
      </c>
      <c r="I95" s="75">
        <f>VLOOKUP($A95,'Data Vlaue (Cr)'!$C:$FB,100)</f>
        <v>990</v>
      </c>
      <c r="J95" s="75">
        <f t="shared" si="8"/>
        <v>49</v>
      </c>
      <c r="K95" s="75">
        <f t="shared" si="9"/>
        <v>4.7160731472569779</v>
      </c>
      <c r="L95" s="75">
        <f>VLOOKUP($A95,'Data Vlaue (Cr)'!$C:$FB,67)</f>
        <v>240</v>
      </c>
      <c r="M95" s="75">
        <f>VLOOKUP($A95,'Data Vlaue (Cr)'!$C:$FB,68)</f>
        <v>640</v>
      </c>
      <c r="N95" s="75">
        <f t="shared" si="10"/>
        <v>-400</v>
      </c>
      <c r="O95" s="75">
        <f t="shared" si="11"/>
        <v>-166.66666666666669</v>
      </c>
      <c r="P95" s="75">
        <f>VLOOKUP($A95,'Data Vlaue (Cr)'!$C:$FB,119)</f>
        <v>0.96</v>
      </c>
      <c r="Q95" s="75">
        <f>VLOOKUP($A95,'Data Vlaue (Cr)'!$C:$FB,122)*100</f>
        <v>18.52</v>
      </c>
      <c r="R95" s="75">
        <f>VLOOKUP($A95,'Data Vlaue (Cr)'!$C:$FB,125)</f>
        <v>0.88</v>
      </c>
      <c r="S95" s="75">
        <f>VLOOKUP($A95,'Data Vlaue (Cr)'!$C:$FB,128)*100</f>
        <v>2.33</v>
      </c>
    </row>
    <row r="96" spans="1:19" x14ac:dyDescent="0.25">
      <c r="A96" s="96" t="str">
        <f>'Data Vlaue (Cr)'!C87</f>
        <v>IDEA</v>
      </c>
      <c r="B96" s="75">
        <f>VLOOKUP($A96,'Data Vlaue (Cr)'!$C:$FB,2)</f>
        <v>71475</v>
      </c>
      <c r="C96" s="75">
        <f>VLOOKUP($A96,'Data Vlaue (Cr)'!$C:$FB,8)</f>
        <v>9.9499999999999993</v>
      </c>
      <c r="D96" s="75">
        <f>VLOOKUP($A96,'Data Vlaue (Cr)'!$C:$FB,4)</f>
        <v>10.01</v>
      </c>
      <c r="E96" s="75">
        <f>VLOOKUP($A96,'Data Vlaue (Cr)'!$C:$FB,5)</f>
        <v>9.9</v>
      </c>
      <c r="F96" s="75">
        <f t="shared" si="6"/>
        <v>6.0000000000000497E-2</v>
      </c>
      <c r="G96" s="75">
        <f t="shared" si="7"/>
        <v>1.0989010989010932</v>
      </c>
      <c r="H96" s="75">
        <f>VLOOKUP($A96,'Data Vlaue (Cr)'!$C:$FB,99)</f>
        <v>9160</v>
      </c>
      <c r="I96" s="75">
        <f>VLOOKUP($A96,'Data Vlaue (Cr)'!$C:$FB,100)</f>
        <v>8788</v>
      </c>
      <c r="J96" s="75">
        <f t="shared" si="8"/>
        <v>372</v>
      </c>
      <c r="K96" s="75">
        <f t="shared" si="9"/>
        <v>4.0611353711790397</v>
      </c>
      <c r="L96" s="75">
        <f>VLOOKUP($A96,'Data Vlaue (Cr)'!$C:$FB,67)</f>
        <v>2997</v>
      </c>
      <c r="M96" s="75">
        <f>VLOOKUP($A96,'Data Vlaue (Cr)'!$C:$FB,68)</f>
        <v>7874</v>
      </c>
      <c r="N96" s="75">
        <f t="shared" si="10"/>
        <v>-4877</v>
      </c>
      <c r="O96" s="75">
        <f t="shared" si="11"/>
        <v>-162.72939606272939</v>
      </c>
      <c r="P96" s="75">
        <f>VLOOKUP($A96,'Data Vlaue (Cr)'!$C:$FB,119)</f>
        <v>0.72</v>
      </c>
      <c r="Q96" s="75">
        <f>VLOOKUP($A96,'Data Vlaue (Cr)'!$C:$FB,122)*100</f>
        <v>-4</v>
      </c>
      <c r="R96" s="75">
        <f>VLOOKUP($A96,'Data Vlaue (Cr)'!$C:$FB,125)</f>
        <v>0.26</v>
      </c>
      <c r="S96" s="75">
        <f>VLOOKUP($A96,'Data Vlaue (Cr)'!$C:$FB,128)*100</f>
        <v>-65.790000000000006</v>
      </c>
    </row>
    <row r="97" spans="1:19" x14ac:dyDescent="0.25">
      <c r="A97" s="96" t="str">
        <f>'Data Vlaue (Cr)'!C88</f>
        <v>IDFCFIRSTB</v>
      </c>
      <c r="B97" s="75">
        <f>VLOOKUP($A97,'Data Vlaue (Cr)'!$C:$FB,2)</f>
        <v>9275</v>
      </c>
      <c r="C97" s="75">
        <f>VLOOKUP($A97,'Data Vlaue (Cr)'!$C:$FB,8)</f>
        <v>82.93</v>
      </c>
      <c r="D97" s="75">
        <f>VLOOKUP($A97,'Data Vlaue (Cr)'!$C:$FB,4)</f>
        <v>83.23</v>
      </c>
      <c r="E97" s="75">
        <f>VLOOKUP($A97,'Data Vlaue (Cr)'!$C:$FB,5)</f>
        <v>83.81</v>
      </c>
      <c r="F97" s="75">
        <f t="shared" si="6"/>
        <v>0.29999999999999716</v>
      </c>
      <c r="G97" s="75">
        <f t="shared" si="7"/>
        <v>-0.69686411149825578</v>
      </c>
      <c r="H97" s="75">
        <f>VLOOKUP($A97,'Data Vlaue (Cr)'!$C:$FB,99)</f>
        <v>3667</v>
      </c>
      <c r="I97" s="75">
        <f>VLOOKUP($A97,'Data Vlaue (Cr)'!$C:$FB,100)</f>
        <v>3381</v>
      </c>
      <c r="J97" s="75">
        <f t="shared" si="8"/>
        <v>286</v>
      </c>
      <c r="K97" s="75">
        <f t="shared" si="9"/>
        <v>7.7992909735478593</v>
      </c>
      <c r="L97" s="75">
        <f>VLOOKUP($A97,'Data Vlaue (Cr)'!$C:$FB,67)</f>
        <v>1277</v>
      </c>
      <c r="M97" s="75">
        <f>VLOOKUP($A97,'Data Vlaue (Cr)'!$C:$FB,68)</f>
        <v>2830</v>
      </c>
      <c r="N97" s="75">
        <f t="shared" si="10"/>
        <v>-1553</v>
      </c>
      <c r="O97" s="75">
        <f t="shared" si="11"/>
        <v>-121.61315583398591</v>
      </c>
      <c r="P97" s="75">
        <f>VLOOKUP($A97,'Data Vlaue (Cr)'!$C:$FB,119)</f>
        <v>0.87</v>
      </c>
      <c r="Q97" s="75">
        <f>VLOOKUP($A97,'Data Vlaue (Cr)'!$C:$FB,122)*100</f>
        <v>16</v>
      </c>
      <c r="R97" s="75">
        <f>VLOOKUP($A97,'Data Vlaue (Cr)'!$C:$FB,125)</f>
        <v>0.72</v>
      </c>
      <c r="S97" s="75">
        <f>VLOOKUP($A97,'Data Vlaue (Cr)'!$C:$FB,128)*100</f>
        <v>-5.26</v>
      </c>
    </row>
    <row r="98" spans="1:19" x14ac:dyDescent="0.25">
      <c r="A98" s="96" t="str">
        <f>'Data Vlaue (Cr)'!C89</f>
        <v>IEX</v>
      </c>
      <c r="B98" s="75">
        <f>VLOOKUP($A98,'Data Vlaue (Cr)'!$C:$FB,2)</f>
        <v>3750</v>
      </c>
      <c r="C98" s="75">
        <f>VLOOKUP($A98,'Data Vlaue (Cr)'!$C:$FB,8)</f>
        <v>128.71</v>
      </c>
      <c r="D98" s="75">
        <f>VLOOKUP($A98,'Data Vlaue (Cr)'!$C:$FB,4)</f>
        <v>128.31</v>
      </c>
      <c r="E98" s="75">
        <f>VLOOKUP($A98,'Data Vlaue (Cr)'!$C:$FB,5)</f>
        <v>127.05</v>
      </c>
      <c r="F98" s="75">
        <f t="shared" si="6"/>
        <v>-0.40000000000000568</v>
      </c>
      <c r="G98" s="75">
        <f t="shared" si="7"/>
        <v>0.98199672667758175</v>
      </c>
      <c r="H98" s="75">
        <f>VLOOKUP($A98,'Data Vlaue (Cr)'!$C:$FB,99)</f>
        <v>1750</v>
      </c>
      <c r="I98" s="75">
        <f>VLOOKUP($A98,'Data Vlaue (Cr)'!$C:$FB,100)</f>
        <v>1653</v>
      </c>
      <c r="J98" s="75">
        <f t="shared" si="8"/>
        <v>97</v>
      </c>
      <c r="K98" s="75">
        <f t="shared" si="9"/>
        <v>5.5428571428571427</v>
      </c>
      <c r="L98" s="75">
        <f>VLOOKUP($A98,'Data Vlaue (Cr)'!$C:$FB,67)</f>
        <v>556</v>
      </c>
      <c r="M98" s="75">
        <f>VLOOKUP($A98,'Data Vlaue (Cr)'!$C:$FB,68)</f>
        <v>2113</v>
      </c>
      <c r="N98" s="75">
        <f t="shared" si="10"/>
        <v>-1557</v>
      </c>
      <c r="O98" s="75">
        <f t="shared" si="11"/>
        <v>-280.03597122302159</v>
      </c>
      <c r="P98" s="75">
        <f>VLOOKUP($A98,'Data Vlaue (Cr)'!$C:$FB,119)</f>
        <v>0.93</v>
      </c>
      <c r="Q98" s="75">
        <f>VLOOKUP($A98,'Data Vlaue (Cr)'!$C:$FB,122)*100</f>
        <v>-9.7100000000000009</v>
      </c>
      <c r="R98" s="75">
        <f>VLOOKUP($A98,'Data Vlaue (Cr)'!$C:$FB,125)</f>
        <v>0.42</v>
      </c>
      <c r="S98" s="75">
        <f>VLOOKUP($A98,'Data Vlaue (Cr)'!$C:$FB,128)*100</f>
        <v>-40</v>
      </c>
    </row>
    <row r="99" spans="1:19" x14ac:dyDescent="0.25">
      <c r="A99" s="96" t="str">
        <f>'Data Vlaue (Cr)'!C90</f>
        <v>INDHOTEL</v>
      </c>
      <c r="B99" s="75">
        <f>VLOOKUP($A99,'Data Vlaue (Cr)'!$C:$FB,2)</f>
        <v>1000</v>
      </c>
      <c r="C99" s="75">
        <f>VLOOKUP($A99,'Data Vlaue (Cr)'!$C:$FB,8)</f>
        <v>656.2</v>
      </c>
      <c r="D99" s="75">
        <f>VLOOKUP($A99,'Data Vlaue (Cr)'!$C:$FB,4)</f>
        <v>659.3</v>
      </c>
      <c r="E99" s="75">
        <f>VLOOKUP($A99,'Data Vlaue (Cr)'!$C:$FB,5)</f>
        <v>656.15</v>
      </c>
      <c r="F99" s="75">
        <f t="shared" si="6"/>
        <v>3.0999999999999091</v>
      </c>
      <c r="G99" s="75">
        <f t="shared" si="7"/>
        <v>0.47777946306688568</v>
      </c>
      <c r="H99" s="75">
        <f>VLOOKUP($A99,'Data Vlaue (Cr)'!$C:$FB,99)</f>
        <v>2565</v>
      </c>
      <c r="I99" s="75">
        <f>VLOOKUP($A99,'Data Vlaue (Cr)'!$C:$FB,100)</f>
        <v>2516</v>
      </c>
      <c r="J99" s="75">
        <f t="shared" si="8"/>
        <v>49</v>
      </c>
      <c r="K99" s="75">
        <f t="shared" si="9"/>
        <v>1.9103313840155944</v>
      </c>
      <c r="L99" s="75">
        <f>VLOOKUP($A99,'Data Vlaue (Cr)'!$C:$FB,67)</f>
        <v>513</v>
      </c>
      <c r="M99" s="75">
        <f>VLOOKUP($A99,'Data Vlaue (Cr)'!$C:$FB,68)</f>
        <v>2550</v>
      </c>
      <c r="N99" s="75">
        <f t="shared" si="10"/>
        <v>-2037</v>
      </c>
      <c r="O99" s="75">
        <f t="shared" si="11"/>
        <v>-397.0760233918129</v>
      </c>
      <c r="P99" s="75">
        <f>VLOOKUP($A99,'Data Vlaue (Cr)'!$C:$FB,119)</f>
        <v>1.05</v>
      </c>
      <c r="Q99" s="75">
        <f>VLOOKUP($A99,'Data Vlaue (Cr)'!$C:$FB,122)*100</f>
        <v>-4.55</v>
      </c>
      <c r="R99" s="75">
        <f>VLOOKUP($A99,'Data Vlaue (Cr)'!$C:$FB,125)</f>
        <v>0.37</v>
      </c>
      <c r="S99" s="75">
        <f>VLOOKUP($A99,'Data Vlaue (Cr)'!$C:$FB,128)*100</f>
        <v>-58.430000000000007</v>
      </c>
    </row>
    <row r="100" spans="1:19" x14ac:dyDescent="0.25">
      <c r="A100" s="96" t="str">
        <f>'Data Vlaue (Cr)'!C91</f>
        <v>INDIANB</v>
      </c>
      <c r="B100" s="75">
        <f>VLOOKUP($A100,'Data Vlaue (Cr)'!$C:$FB,2)</f>
        <v>1000</v>
      </c>
      <c r="C100" s="75">
        <f>VLOOKUP($A100,'Data Vlaue (Cr)'!$C:$FB,8)</f>
        <v>898.35</v>
      </c>
      <c r="D100" s="75">
        <f>VLOOKUP($A100,'Data Vlaue (Cr)'!$C:$FB,4)</f>
        <v>901</v>
      </c>
      <c r="E100" s="75">
        <f>VLOOKUP($A100,'Data Vlaue (Cr)'!$C:$FB,5)</f>
        <v>883</v>
      </c>
      <c r="F100" s="75">
        <f t="shared" si="6"/>
        <v>2.6499999999999773</v>
      </c>
      <c r="G100" s="75">
        <f t="shared" si="7"/>
        <v>1.9977802441731412</v>
      </c>
      <c r="H100" s="75">
        <f>VLOOKUP($A100,'Data Vlaue (Cr)'!$C:$FB,99)</f>
        <v>1264</v>
      </c>
      <c r="I100" s="75">
        <f>VLOOKUP($A100,'Data Vlaue (Cr)'!$C:$FB,100)</f>
        <v>1187</v>
      </c>
      <c r="J100" s="75">
        <f t="shared" si="8"/>
        <v>77</v>
      </c>
      <c r="K100" s="75">
        <f t="shared" si="9"/>
        <v>6.0917721518987342</v>
      </c>
      <c r="L100" s="75">
        <f>VLOOKUP($A100,'Data Vlaue (Cr)'!$C:$FB,67)</f>
        <v>811</v>
      </c>
      <c r="M100" s="75">
        <f>VLOOKUP($A100,'Data Vlaue (Cr)'!$C:$FB,68)</f>
        <v>1601</v>
      </c>
      <c r="N100" s="75">
        <f t="shared" si="10"/>
        <v>-790</v>
      </c>
      <c r="O100" s="75">
        <f t="shared" si="11"/>
        <v>-97.410604192355123</v>
      </c>
      <c r="P100" s="75">
        <f>VLOOKUP($A100,'Data Vlaue (Cr)'!$C:$FB,119)</f>
        <v>0.66</v>
      </c>
      <c r="Q100" s="75">
        <f>VLOOKUP($A100,'Data Vlaue (Cr)'!$C:$FB,122)*100</f>
        <v>6.45</v>
      </c>
      <c r="R100" s="75">
        <f>VLOOKUP($A100,'Data Vlaue (Cr)'!$C:$FB,125)</f>
        <v>0.3</v>
      </c>
      <c r="S100" s="75">
        <f>VLOOKUP($A100,'Data Vlaue (Cr)'!$C:$FB,128)*100</f>
        <v>-48.28</v>
      </c>
    </row>
    <row r="101" spans="1:19" x14ac:dyDescent="0.25">
      <c r="A101" s="96" t="str">
        <f>'Data Vlaue (Cr)'!C92</f>
        <v>INDIAVIX</v>
      </c>
      <c r="B101" s="75">
        <f>VLOOKUP($A101,'Data Vlaue (Cr)'!$C:$FB,2)</f>
        <v>1</v>
      </c>
      <c r="C101" s="75">
        <f>VLOOKUP($A101,'Data Vlaue (Cr)'!$C:$FB,8)</f>
        <v>13.53</v>
      </c>
      <c r="D101" s="75">
        <f>VLOOKUP($A101,'Data Vlaue (Cr)'!$C:$FB,4)</f>
        <v>13.53</v>
      </c>
      <c r="E101" s="75">
        <f>VLOOKUP($A101,'Data Vlaue (Cr)'!$C:$FB,5)</f>
        <v>0</v>
      </c>
      <c r="F101" s="75">
        <f t="shared" si="6"/>
        <v>0</v>
      </c>
      <c r="G101" s="75">
        <f t="shared" si="7"/>
        <v>100</v>
      </c>
      <c r="H101" s="75">
        <f>VLOOKUP($A101,'Data Vlaue (Cr)'!$C:$FB,99)</f>
        <v>0</v>
      </c>
      <c r="I101" s="75">
        <f>VLOOKUP($A101,'Data Vlaue (Cr)'!$C:$FB,100)</f>
        <v>0</v>
      </c>
      <c r="J101" s="75">
        <f t="shared" si="8"/>
        <v>0</v>
      </c>
      <c r="K101" s="75" t="e">
        <f t="shared" si="9"/>
        <v>#DIV/0!</v>
      </c>
      <c r="L101" s="75">
        <f>VLOOKUP($A101,'Data Vlaue (Cr)'!$C:$FB,67)</f>
        <v>0</v>
      </c>
      <c r="M101" s="75">
        <f>VLOOKUP($A101,'Data Vlaue (Cr)'!$C:$FB,68)</f>
        <v>0</v>
      </c>
      <c r="N101" s="75">
        <f t="shared" si="10"/>
        <v>0</v>
      </c>
      <c r="O101" s="75" t="e">
        <f t="shared" si="11"/>
        <v>#DIV/0!</v>
      </c>
      <c r="P101" s="75">
        <f>VLOOKUP($A101,'Data Vlaue (Cr)'!$C:$FB,119)</f>
        <v>0</v>
      </c>
      <c r="Q101" s="75">
        <f>VLOOKUP($A101,'Data Vlaue (Cr)'!$C:$FB,122)*100</f>
        <v>0</v>
      </c>
      <c r="R101" s="75">
        <f>VLOOKUP($A101,'Data Vlaue (Cr)'!$C:$FB,125)</f>
        <v>0</v>
      </c>
      <c r="S101" s="75">
        <f>VLOOKUP($A101,'Data Vlaue (Cr)'!$C:$FB,128)*100</f>
        <v>0</v>
      </c>
    </row>
    <row r="102" spans="1:19" x14ac:dyDescent="0.25">
      <c r="A102" s="96" t="str">
        <f>'Data Vlaue (Cr)'!C93</f>
        <v>INDIGO</v>
      </c>
      <c r="B102" s="75">
        <f>VLOOKUP($A102,'Data Vlaue (Cr)'!$C:$FB,2)</f>
        <v>150</v>
      </c>
      <c r="C102" s="75">
        <f>VLOOKUP($A102,'Data Vlaue (Cr)'!$C:$FB,8)</f>
        <v>4749</v>
      </c>
      <c r="D102" s="75">
        <f>VLOOKUP($A102,'Data Vlaue (Cr)'!$C:$FB,4)</f>
        <v>4780</v>
      </c>
      <c r="E102" s="75">
        <f>VLOOKUP($A102,'Data Vlaue (Cr)'!$C:$FB,5)</f>
        <v>4803</v>
      </c>
      <c r="F102" s="75">
        <f t="shared" si="6"/>
        <v>31</v>
      </c>
      <c r="G102" s="75">
        <f t="shared" si="7"/>
        <v>-0.48117154811715479</v>
      </c>
      <c r="H102" s="75">
        <f>VLOOKUP($A102,'Data Vlaue (Cr)'!$C:$FB,99)</f>
        <v>5963</v>
      </c>
      <c r="I102" s="75">
        <f>VLOOKUP($A102,'Data Vlaue (Cr)'!$C:$FB,100)</f>
        <v>5527</v>
      </c>
      <c r="J102" s="75">
        <f t="shared" si="8"/>
        <v>436</v>
      </c>
      <c r="K102" s="75">
        <f t="shared" si="9"/>
        <v>7.3117558276035552</v>
      </c>
      <c r="L102" s="75">
        <f>VLOOKUP($A102,'Data Vlaue (Cr)'!$C:$FB,67)</f>
        <v>2805</v>
      </c>
      <c r="M102" s="75">
        <f>VLOOKUP($A102,'Data Vlaue (Cr)'!$C:$FB,68)</f>
        <v>8152</v>
      </c>
      <c r="N102" s="75">
        <f t="shared" si="10"/>
        <v>-5347</v>
      </c>
      <c r="O102" s="75">
        <f t="shared" si="11"/>
        <v>-190.62388591800357</v>
      </c>
      <c r="P102" s="75">
        <f>VLOOKUP($A102,'Data Vlaue (Cr)'!$C:$FB,119)</f>
        <v>0.9</v>
      </c>
      <c r="Q102" s="75">
        <f>VLOOKUP($A102,'Data Vlaue (Cr)'!$C:$FB,122)*100</f>
        <v>1.1199999999999999</v>
      </c>
      <c r="R102" s="75">
        <f>VLOOKUP($A102,'Data Vlaue (Cr)'!$C:$FB,125)</f>
        <v>0.83</v>
      </c>
      <c r="S102" s="75">
        <f>VLOOKUP($A102,'Data Vlaue (Cr)'!$C:$FB,128)*100</f>
        <v>2.4699999999999998</v>
      </c>
    </row>
    <row r="103" spans="1:19" x14ac:dyDescent="0.25">
      <c r="A103" s="96" t="str">
        <f>'Data Vlaue (Cr)'!C94</f>
        <v>INDUSINDBK</v>
      </c>
      <c r="B103" s="75">
        <f>VLOOKUP($A103,'Data Vlaue (Cr)'!$C:$FB,2)</f>
        <v>700</v>
      </c>
      <c r="C103" s="75">
        <f>VLOOKUP($A103,'Data Vlaue (Cr)'!$C:$FB,8)</f>
        <v>901.7</v>
      </c>
      <c r="D103" s="75">
        <f>VLOOKUP($A103,'Data Vlaue (Cr)'!$C:$FB,4)</f>
        <v>903.85</v>
      </c>
      <c r="E103" s="75">
        <f>VLOOKUP($A103,'Data Vlaue (Cr)'!$C:$FB,5)</f>
        <v>899.5</v>
      </c>
      <c r="F103" s="75">
        <f t="shared" si="6"/>
        <v>2.1499999999999773</v>
      </c>
      <c r="G103" s="75">
        <f t="shared" si="7"/>
        <v>0.48127454776788436</v>
      </c>
      <c r="H103" s="75">
        <f>VLOOKUP($A103,'Data Vlaue (Cr)'!$C:$FB,99)</f>
        <v>4261</v>
      </c>
      <c r="I103" s="75">
        <f>VLOOKUP($A103,'Data Vlaue (Cr)'!$C:$FB,100)</f>
        <v>4149</v>
      </c>
      <c r="J103" s="75">
        <f t="shared" si="8"/>
        <v>112</v>
      </c>
      <c r="K103" s="75">
        <f t="shared" si="9"/>
        <v>2.6284909645623094</v>
      </c>
      <c r="L103" s="75">
        <f>VLOOKUP($A103,'Data Vlaue (Cr)'!$C:$FB,67)</f>
        <v>2054</v>
      </c>
      <c r="M103" s="75">
        <f>VLOOKUP($A103,'Data Vlaue (Cr)'!$C:$FB,68)</f>
        <v>9100</v>
      </c>
      <c r="N103" s="75">
        <f t="shared" si="10"/>
        <v>-7046</v>
      </c>
      <c r="O103" s="75">
        <f t="shared" si="11"/>
        <v>-343.03797468354429</v>
      </c>
      <c r="P103" s="75">
        <f>VLOOKUP($A103,'Data Vlaue (Cr)'!$C:$FB,119)</f>
        <v>0.83</v>
      </c>
      <c r="Q103" s="75">
        <f>VLOOKUP($A103,'Data Vlaue (Cr)'!$C:$FB,122)*100</f>
        <v>-4.5999999999999996</v>
      </c>
      <c r="R103" s="75">
        <f>VLOOKUP($A103,'Data Vlaue (Cr)'!$C:$FB,125)</f>
        <v>0.69</v>
      </c>
      <c r="S103" s="75">
        <f>VLOOKUP($A103,'Data Vlaue (Cr)'!$C:$FB,128)*100</f>
        <v>-20.69</v>
      </c>
    </row>
    <row r="104" spans="1:19" x14ac:dyDescent="0.25">
      <c r="A104" s="96" t="str">
        <f>'Data Vlaue (Cr)'!C95</f>
        <v>INDUSTOWER</v>
      </c>
      <c r="B104" s="75">
        <f>VLOOKUP($A104,'Data Vlaue (Cr)'!$C:$FB,2)</f>
        <v>1700</v>
      </c>
      <c r="C104" s="75">
        <f>VLOOKUP($A104,'Data Vlaue (Cr)'!$C:$FB,8)</f>
        <v>425.3</v>
      </c>
      <c r="D104" s="75">
        <f>VLOOKUP($A104,'Data Vlaue (Cr)'!$C:$FB,4)</f>
        <v>426.95</v>
      </c>
      <c r="E104" s="75">
        <f>VLOOKUP($A104,'Data Vlaue (Cr)'!$C:$FB,5)</f>
        <v>424.55</v>
      </c>
      <c r="F104" s="75">
        <f t="shared" si="6"/>
        <v>1.6499999999999773</v>
      </c>
      <c r="G104" s="75">
        <f t="shared" si="7"/>
        <v>0.56212671272982251</v>
      </c>
      <c r="H104" s="75">
        <f>VLOOKUP($A104,'Data Vlaue (Cr)'!$C:$FB,99)</f>
        <v>4686</v>
      </c>
      <c r="I104" s="75">
        <f>VLOOKUP($A104,'Data Vlaue (Cr)'!$C:$FB,100)</f>
        <v>4621</v>
      </c>
      <c r="J104" s="75">
        <f t="shared" si="8"/>
        <v>65</v>
      </c>
      <c r="K104" s="75">
        <f t="shared" si="9"/>
        <v>1.3871105420401195</v>
      </c>
      <c r="L104" s="75">
        <f>VLOOKUP($A104,'Data Vlaue (Cr)'!$C:$FB,67)</f>
        <v>1206</v>
      </c>
      <c r="M104" s="75">
        <f>VLOOKUP($A104,'Data Vlaue (Cr)'!$C:$FB,68)</f>
        <v>3911</v>
      </c>
      <c r="N104" s="75">
        <f t="shared" si="10"/>
        <v>-2705</v>
      </c>
      <c r="O104" s="75">
        <f t="shared" si="11"/>
        <v>-224.29519071310119</v>
      </c>
      <c r="P104" s="75">
        <f>VLOOKUP($A104,'Data Vlaue (Cr)'!$C:$FB,119)</f>
        <v>0.7</v>
      </c>
      <c r="Q104" s="75">
        <f>VLOOKUP($A104,'Data Vlaue (Cr)'!$C:$FB,122)*100</f>
        <v>-6.67</v>
      </c>
      <c r="R104" s="75">
        <f>VLOOKUP($A104,'Data Vlaue (Cr)'!$C:$FB,125)</f>
        <v>0.53</v>
      </c>
      <c r="S104" s="75">
        <f>VLOOKUP($A104,'Data Vlaue (Cr)'!$C:$FB,128)*100</f>
        <v>-19.7</v>
      </c>
    </row>
    <row r="105" spans="1:19" x14ac:dyDescent="0.25">
      <c r="A105" s="96" t="str">
        <f>'Data Vlaue (Cr)'!C96</f>
        <v>INFY</v>
      </c>
      <c r="B105" s="75">
        <f>VLOOKUP($A105,'Data Vlaue (Cr)'!$C:$FB,2)</f>
        <v>400</v>
      </c>
      <c r="C105" s="75">
        <f>VLOOKUP($A105,'Data Vlaue (Cr)'!$C:$FB,8)</f>
        <v>1666.5</v>
      </c>
      <c r="D105" s="75">
        <f>VLOOKUP($A105,'Data Vlaue (Cr)'!$C:$FB,4)</f>
        <v>1673.2</v>
      </c>
      <c r="E105" s="75">
        <f>VLOOKUP($A105,'Data Vlaue (Cr)'!$C:$FB,5)</f>
        <v>1695.6</v>
      </c>
      <c r="F105" s="75">
        <f t="shared" si="6"/>
        <v>6.7000000000000455</v>
      </c>
      <c r="G105" s="75">
        <f t="shared" si="7"/>
        <v>-1.3387520918001352</v>
      </c>
      <c r="H105" s="75">
        <f>VLOOKUP($A105,'Data Vlaue (Cr)'!$C:$FB,99)</f>
        <v>13087</v>
      </c>
      <c r="I105" s="75">
        <f>VLOOKUP($A105,'Data Vlaue (Cr)'!$C:$FB,100)</f>
        <v>12732</v>
      </c>
      <c r="J105" s="75">
        <f t="shared" si="8"/>
        <v>355</v>
      </c>
      <c r="K105" s="75">
        <f t="shared" si="9"/>
        <v>2.7126155727057384</v>
      </c>
      <c r="L105" s="75">
        <f>VLOOKUP($A105,'Data Vlaue (Cr)'!$C:$FB,67)</f>
        <v>6373</v>
      </c>
      <c r="M105" s="75">
        <f>VLOOKUP($A105,'Data Vlaue (Cr)'!$C:$FB,68)</f>
        <v>13955</v>
      </c>
      <c r="N105" s="75">
        <f t="shared" si="10"/>
        <v>-7582</v>
      </c>
      <c r="O105" s="75">
        <f t="shared" si="11"/>
        <v>-118.97065746116428</v>
      </c>
      <c r="P105" s="75">
        <f>VLOOKUP($A105,'Data Vlaue (Cr)'!$C:$FB,119)</f>
        <v>0.76</v>
      </c>
      <c r="Q105" s="75">
        <f>VLOOKUP($A105,'Data Vlaue (Cr)'!$C:$FB,122)*100</f>
        <v>-9.5200000000000014</v>
      </c>
      <c r="R105" s="75">
        <f>VLOOKUP($A105,'Data Vlaue (Cr)'!$C:$FB,125)</f>
        <v>0.64</v>
      </c>
      <c r="S105" s="75">
        <f>VLOOKUP($A105,'Data Vlaue (Cr)'!$C:$FB,128)*100</f>
        <v>23.080000000000002</v>
      </c>
    </row>
    <row r="106" spans="1:19" x14ac:dyDescent="0.25">
      <c r="A106" s="96" t="str">
        <f>'Data Vlaue (Cr)'!C97</f>
        <v>INOXWIND</v>
      </c>
      <c r="B106" s="75">
        <f>VLOOKUP($A106,'Data Vlaue (Cr)'!$C:$FB,2)</f>
        <v>3575</v>
      </c>
      <c r="C106" s="75">
        <f>VLOOKUP($A106,'Data Vlaue (Cr)'!$C:$FB,8)</f>
        <v>109.25</v>
      </c>
      <c r="D106" s="75">
        <f>VLOOKUP($A106,'Data Vlaue (Cr)'!$C:$FB,4)</f>
        <v>109.79</v>
      </c>
      <c r="E106" s="75">
        <f>VLOOKUP($A106,'Data Vlaue (Cr)'!$C:$FB,5)</f>
        <v>105.16</v>
      </c>
      <c r="F106" s="75">
        <f t="shared" si="6"/>
        <v>0.54000000000000625</v>
      </c>
      <c r="G106" s="75">
        <f t="shared" si="7"/>
        <v>4.2171418161945615</v>
      </c>
      <c r="H106" s="75">
        <f>VLOOKUP($A106,'Data Vlaue (Cr)'!$C:$FB,99)</f>
        <v>1311</v>
      </c>
      <c r="I106" s="75">
        <f>VLOOKUP($A106,'Data Vlaue (Cr)'!$C:$FB,100)</f>
        <v>1242</v>
      </c>
      <c r="J106" s="75">
        <f t="shared" si="8"/>
        <v>69</v>
      </c>
      <c r="K106" s="75">
        <f t="shared" si="9"/>
        <v>5.2631578947368416</v>
      </c>
      <c r="L106" s="75">
        <f>VLOOKUP($A106,'Data Vlaue (Cr)'!$C:$FB,67)</f>
        <v>380</v>
      </c>
      <c r="M106" s="75">
        <f>VLOOKUP($A106,'Data Vlaue (Cr)'!$C:$FB,68)</f>
        <v>1595</v>
      </c>
      <c r="N106" s="75">
        <f t="shared" si="10"/>
        <v>-1215</v>
      </c>
      <c r="O106" s="75">
        <f t="shared" si="11"/>
        <v>-319.73684210526312</v>
      </c>
      <c r="P106" s="75">
        <f>VLOOKUP($A106,'Data Vlaue (Cr)'!$C:$FB,119)</f>
        <v>1.1200000000000001</v>
      </c>
      <c r="Q106" s="75">
        <f>VLOOKUP($A106,'Data Vlaue (Cr)'!$C:$FB,122)*100</f>
        <v>-3.45</v>
      </c>
      <c r="R106" s="75">
        <f>VLOOKUP($A106,'Data Vlaue (Cr)'!$C:$FB,125)</f>
        <v>0.51</v>
      </c>
      <c r="S106" s="75">
        <f>VLOOKUP($A106,'Data Vlaue (Cr)'!$C:$FB,128)*100</f>
        <v>-53.21</v>
      </c>
    </row>
    <row r="107" spans="1:19" x14ac:dyDescent="0.25">
      <c r="A107" s="96" t="str">
        <f>'Data Vlaue (Cr)'!C98</f>
        <v>IOC</v>
      </c>
      <c r="B107" s="75">
        <f>VLOOKUP($A107,'Data Vlaue (Cr)'!$C:$FB,2)</f>
        <v>4875</v>
      </c>
      <c r="C107" s="75">
        <f>VLOOKUP($A107,'Data Vlaue (Cr)'!$C:$FB,8)</f>
        <v>162.85</v>
      </c>
      <c r="D107" s="75">
        <f>VLOOKUP($A107,'Data Vlaue (Cr)'!$C:$FB,4)</f>
        <v>163.75</v>
      </c>
      <c r="E107" s="75">
        <f>VLOOKUP($A107,'Data Vlaue (Cr)'!$C:$FB,5)</f>
        <v>159.63</v>
      </c>
      <c r="F107" s="75">
        <f t="shared" si="6"/>
        <v>0.90000000000000568</v>
      </c>
      <c r="G107" s="75">
        <f t="shared" si="7"/>
        <v>2.5160305343511475</v>
      </c>
      <c r="H107" s="75">
        <f>VLOOKUP($A107,'Data Vlaue (Cr)'!$C:$FB,99)</f>
        <v>2156</v>
      </c>
      <c r="I107" s="75">
        <f>VLOOKUP($A107,'Data Vlaue (Cr)'!$C:$FB,100)</f>
        <v>1958</v>
      </c>
      <c r="J107" s="75">
        <f t="shared" si="8"/>
        <v>198</v>
      </c>
      <c r="K107" s="75">
        <f t="shared" si="9"/>
        <v>9.183673469387756</v>
      </c>
      <c r="L107" s="75">
        <f>VLOOKUP($A107,'Data Vlaue (Cr)'!$C:$FB,67)</f>
        <v>1773</v>
      </c>
      <c r="M107" s="75">
        <f>VLOOKUP($A107,'Data Vlaue (Cr)'!$C:$FB,68)</f>
        <v>1788</v>
      </c>
      <c r="N107" s="75">
        <f t="shared" si="10"/>
        <v>-15</v>
      </c>
      <c r="O107" s="75">
        <f t="shared" si="11"/>
        <v>-0.84602368866328259</v>
      </c>
      <c r="P107" s="75">
        <f>VLOOKUP($A107,'Data Vlaue (Cr)'!$C:$FB,119)</f>
        <v>0.83</v>
      </c>
      <c r="Q107" s="75">
        <f>VLOOKUP($A107,'Data Vlaue (Cr)'!$C:$FB,122)*100</f>
        <v>-16.16</v>
      </c>
      <c r="R107" s="75">
        <f>VLOOKUP($A107,'Data Vlaue (Cr)'!$C:$FB,125)</f>
        <v>0.37</v>
      </c>
      <c r="S107" s="75">
        <f>VLOOKUP($A107,'Data Vlaue (Cr)'!$C:$FB,128)*100</f>
        <v>-27.450000000000003</v>
      </c>
    </row>
    <row r="108" spans="1:19" x14ac:dyDescent="0.25">
      <c r="A108" s="96" t="str">
        <f>'Data Vlaue (Cr)'!C99</f>
        <v>IRCTC</v>
      </c>
      <c r="B108" s="75">
        <f>VLOOKUP($A108,'Data Vlaue (Cr)'!$C:$FB,2)</f>
        <v>875</v>
      </c>
      <c r="C108" s="75">
        <f>VLOOKUP($A108,'Data Vlaue (Cr)'!$C:$FB,8)</f>
        <v>625.1</v>
      </c>
      <c r="D108" s="75">
        <f>VLOOKUP($A108,'Data Vlaue (Cr)'!$C:$FB,4)</f>
        <v>623.35</v>
      </c>
      <c r="E108" s="75">
        <f>VLOOKUP($A108,'Data Vlaue (Cr)'!$C:$FB,5)</f>
        <v>609.04999999999995</v>
      </c>
      <c r="F108" s="75">
        <f t="shared" si="6"/>
        <v>-1.75</v>
      </c>
      <c r="G108" s="75">
        <f t="shared" si="7"/>
        <v>2.2940563086548593</v>
      </c>
      <c r="H108" s="75">
        <f>VLOOKUP($A108,'Data Vlaue (Cr)'!$C:$FB,99)</f>
        <v>2242</v>
      </c>
      <c r="I108" s="75">
        <f>VLOOKUP($A108,'Data Vlaue (Cr)'!$C:$FB,100)</f>
        <v>2148</v>
      </c>
      <c r="J108" s="75">
        <f t="shared" si="8"/>
        <v>94</v>
      </c>
      <c r="K108" s="75">
        <f t="shared" si="9"/>
        <v>4.1926851025869762</v>
      </c>
      <c r="L108" s="75">
        <f>VLOOKUP($A108,'Data Vlaue (Cr)'!$C:$FB,67)</f>
        <v>1152</v>
      </c>
      <c r="M108" s="75">
        <f>VLOOKUP($A108,'Data Vlaue (Cr)'!$C:$FB,68)</f>
        <v>2189</v>
      </c>
      <c r="N108" s="75">
        <f t="shared" si="10"/>
        <v>-1037</v>
      </c>
      <c r="O108" s="75">
        <f t="shared" si="11"/>
        <v>-90.017361111111114</v>
      </c>
      <c r="P108" s="75">
        <f>VLOOKUP($A108,'Data Vlaue (Cr)'!$C:$FB,119)</f>
        <v>0.78</v>
      </c>
      <c r="Q108" s="75">
        <f>VLOOKUP($A108,'Data Vlaue (Cr)'!$C:$FB,122)*100</f>
        <v>-8.24</v>
      </c>
      <c r="R108" s="75">
        <f>VLOOKUP($A108,'Data Vlaue (Cr)'!$C:$FB,125)</f>
        <v>0.31</v>
      </c>
      <c r="S108" s="75">
        <f>VLOOKUP($A108,'Data Vlaue (Cr)'!$C:$FB,128)*100</f>
        <v>-48.33</v>
      </c>
    </row>
    <row r="109" spans="1:19" x14ac:dyDescent="0.25">
      <c r="A109" s="96" t="str">
        <f>'Data Vlaue (Cr)'!C100</f>
        <v>IREDA</v>
      </c>
      <c r="B109" s="75">
        <f>VLOOKUP($A109,'Data Vlaue (Cr)'!$C:$FB,2)</f>
        <v>3450</v>
      </c>
      <c r="C109" s="75">
        <f>VLOOKUP($A109,'Data Vlaue (Cr)'!$C:$FB,8)</f>
        <v>133.87</v>
      </c>
      <c r="D109" s="75">
        <f>VLOOKUP($A109,'Data Vlaue (Cr)'!$C:$FB,4)</f>
        <v>131.54</v>
      </c>
      <c r="E109" s="75">
        <f>VLOOKUP($A109,'Data Vlaue (Cr)'!$C:$FB,5)</f>
        <v>127.71</v>
      </c>
      <c r="F109" s="75">
        <f t="shared" si="6"/>
        <v>-2.3300000000000125</v>
      </c>
      <c r="G109" s="75">
        <f t="shared" si="7"/>
        <v>2.9116618519081636</v>
      </c>
      <c r="H109" s="75">
        <f>VLOOKUP($A109,'Data Vlaue (Cr)'!$C:$FB,99)</f>
        <v>1303</v>
      </c>
      <c r="I109" s="75">
        <f>VLOOKUP($A109,'Data Vlaue (Cr)'!$C:$FB,100)</f>
        <v>1182</v>
      </c>
      <c r="J109" s="75">
        <f t="shared" si="8"/>
        <v>121</v>
      </c>
      <c r="K109" s="75">
        <f t="shared" si="9"/>
        <v>9.2862624712202599</v>
      </c>
      <c r="L109" s="75">
        <f>VLOOKUP($A109,'Data Vlaue (Cr)'!$C:$FB,67)</f>
        <v>844</v>
      </c>
      <c r="M109" s="75">
        <f>VLOOKUP($A109,'Data Vlaue (Cr)'!$C:$FB,68)</f>
        <v>1209</v>
      </c>
      <c r="N109" s="75">
        <f t="shared" si="10"/>
        <v>-365</v>
      </c>
      <c r="O109" s="75">
        <f t="shared" si="11"/>
        <v>-43.246445497630333</v>
      </c>
      <c r="P109" s="75">
        <f>VLOOKUP($A109,'Data Vlaue (Cr)'!$C:$FB,119)</f>
        <v>0.75</v>
      </c>
      <c r="Q109" s="75">
        <f>VLOOKUP($A109,'Data Vlaue (Cr)'!$C:$FB,122)*100</f>
        <v>-2.6</v>
      </c>
      <c r="R109" s="75">
        <f>VLOOKUP($A109,'Data Vlaue (Cr)'!$C:$FB,125)</f>
        <v>0.32</v>
      </c>
      <c r="S109" s="75">
        <f>VLOOKUP($A109,'Data Vlaue (Cr)'!$C:$FB,128)*100</f>
        <v>-40.739999999999995</v>
      </c>
    </row>
    <row r="110" spans="1:19" x14ac:dyDescent="0.25">
      <c r="A110" s="96" t="str">
        <f>'Data Vlaue (Cr)'!C101</f>
        <v>IRFC</v>
      </c>
      <c r="B110" s="75">
        <f>VLOOKUP($A110,'Data Vlaue (Cr)'!$C:$FB,2)</f>
        <v>4250</v>
      </c>
      <c r="C110" s="75">
        <f>VLOOKUP($A110,'Data Vlaue (Cr)'!$C:$FB,8)</f>
        <v>120.15</v>
      </c>
      <c r="D110" s="75">
        <f>VLOOKUP($A110,'Data Vlaue (Cr)'!$C:$FB,4)</f>
        <v>120.33</v>
      </c>
      <c r="E110" s="75">
        <f>VLOOKUP($A110,'Data Vlaue (Cr)'!$C:$FB,5)</f>
        <v>115.18</v>
      </c>
      <c r="F110" s="75">
        <f t="shared" si="6"/>
        <v>0.17999999999999261</v>
      </c>
      <c r="G110" s="75">
        <f t="shared" si="7"/>
        <v>4.2798969500540105</v>
      </c>
      <c r="H110" s="75">
        <f>VLOOKUP($A110,'Data Vlaue (Cr)'!$C:$FB,99)</f>
        <v>1609</v>
      </c>
      <c r="I110" s="75">
        <f>VLOOKUP($A110,'Data Vlaue (Cr)'!$C:$FB,100)</f>
        <v>1423</v>
      </c>
      <c r="J110" s="75">
        <f t="shared" si="8"/>
        <v>186</v>
      </c>
      <c r="K110" s="75">
        <f t="shared" si="9"/>
        <v>11.559975139838409</v>
      </c>
      <c r="L110" s="75">
        <f>VLOOKUP($A110,'Data Vlaue (Cr)'!$C:$FB,67)</f>
        <v>1831</v>
      </c>
      <c r="M110" s="75">
        <f>VLOOKUP($A110,'Data Vlaue (Cr)'!$C:$FB,68)</f>
        <v>2099</v>
      </c>
      <c r="N110" s="75">
        <f t="shared" si="10"/>
        <v>-268</v>
      </c>
      <c r="O110" s="75">
        <f t="shared" si="11"/>
        <v>-14.636810486073184</v>
      </c>
      <c r="P110" s="75">
        <f>VLOOKUP($A110,'Data Vlaue (Cr)'!$C:$FB,119)</f>
        <v>0.62</v>
      </c>
      <c r="Q110" s="75">
        <f>VLOOKUP($A110,'Data Vlaue (Cr)'!$C:$FB,122)*100</f>
        <v>-3.1300000000000003</v>
      </c>
      <c r="R110" s="75">
        <f>VLOOKUP($A110,'Data Vlaue (Cr)'!$C:$FB,125)</f>
        <v>0.23</v>
      </c>
      <c r="S110" s="75">
        <f>VLOOKUP($A110,'Data Vlaue (Cr)'!$C:$FB,128)*100</f>
        <v>-46.51</v>
      </c>
    </row>
    <row r="111" spans="1:19" x14ac:dyDescent="0.25">
      <c r="A111" s="96" t="str">
        <f>'Data Vlaue (Cr)'!C102</f>
        <v>ITC</v>
      </c>
      <c r="B111" s="75">
        <f>VLOOKUP($A111,'Data Vlaue (Cr)'!$C:$FB,2)</f>
        <v>1600</v>
      </c>
      <c r="C111" s="75">
        <f>VLOOKUP($A111,'Data Vlaue (Cr)'!$C:$FB,8)</f>
        <v>321.14999999999998</v>
      </c>
      <c r="D111" s="75">
        <f>VLOOKUP($A111,'Data Vlaue (Cr)'!$C:$FB,4)</f>
        <v>322.75</v>
      </c>
      <c r="E111" s="75">
        <f>VLOOKUP($A111,'Data Vlaue (Cr)'!$C:$FB,5)</f>
        <v>320.45</v>
      </c>
      <c r="F111" s="75">
        <f t="shared" si="6"/>
        <v>1.6000000000000227</v>
      </c>
      <c r="G111" s="75">
        <f t="shared" si="7"/>
        <v>0.71262587141750933</v>
      </c>
      <c r="H111" s="75">
        <f>VLOOKUP($A111,'Data Vlaue (Cr)'!$C:$FB,99)</f>
        <v>10885</v>
      </c>
      <c r="I111" s="75">
        <f>VLOOKUP($A111,'Data Vlaue (Cr)'!$C:$FB,100)</f>
        <v>10263</v>
      </c>
      <c r="J111" s="75">
        <f t="shared" si="8"/>
        <v>622</v>
      </c>
      <c r="K111" s="75">
        <f t="shared" si="9"/>
        <v>5.7142857142857144</v>
      </c>
      <c r="L111" s="75">
        <f>VLOOKUP($A111,'Data Vlaue (Cr)'!$C:$FB,67)</f>
        <v>4895</v>
      </c>
      <c r="M111" s="75">
        <f>VLOOKUP($A111,'Data Vlaue (Cr)'!$C:$FB,68)</f>
        <v>14119</v>
      </c>
      <c r="N111" s="75">
        <f t="shared" si="10"/>
        <v>-9224</v>
      </c>
      <c r="O111" s="75">
        <f t="shared" si="11"/>
        <v>-188.43718079673135</v>
      </c>
      <c r="P111" s="75">
        <f>VLOOKUP($A111,'Data Vlaue (Cr)'!$C:$FB,119)</f>
        <v>0.75</v>
      </c>
      <c r="Q111" s="75">
        <f>VLOOKUP($A111,'Data Vlaue (Cr)'!$C:$FB,122)*100</f>
        <v>-9.64</v>
      </c>
      <c r="R111" s="75">
        <f>VLOOKUP($A111,'Data Vlaue (Cr)'!$C:$FB,125)</f>
        <v>0.51</v>
      </c>
      <c r="S111" s="75">
        <f>VLOOKUP($A111,'Data Vlaue (Cr)'!$C:$FB,128)*100</f>
        <v>-48.480000000000004</v>
      </c>
    </row>
    <row r="112" spans="1:19" x14ac:dyDescent="0.25">
      <c r="A112" s="96" t="str">
        <f>'Data Vlaue (Cr)'!C103</f>
        <v>JINDALSTEL</v>
      </c>
      <c r="B112" s="75">
        <f>VLOOKUP($A112,'Data Vlaue (Cr)'!$C:$FB,2)</f>
        <v>625</v>
      </c>
      <c r="C112" s="75">
        <f>VLOOKUP($A112,'Data Vlaue (Cr)'!$C:$FB,8)</f>
        <v>1119.4000000000001</v>
      </c>
      <c r="D112" s="75">
        <f>VLOOKUP($A112,'Data Vlaue (Cr)'!$C:$FB,4)</f>
        <v>1123.9000000000001</v>
      </c>
      <c r="E112" s="75">
        <f>VLOOKUP($A112,'Data Vlaue (Cr)'!$C:$FB,5)</f>
        <v>1088.5999999999999</v>
      </c>
      <c r="F112" s="75">
        <f t="shared" si="6"/>
        <v>4.5</v>
      </c>
      <c r="G112" s="75">
        <f t="shared" si="7"/>
        <v>3.1408488299670947</v>
      </c>
      <c r="H112" s="75">
        <f>VLOOKUP($A112,'Data Vlaue (Cr)'!$C:$FB,99)</f>
        <v>1683</v>
      </c>
      <c r="I112" s="75">
        <f>VLOOKUP($A112,'Data Vlaue (Cr)'!$C:$FB,100)</f>
        <v>1546</v>
      </c>
      <c r="J112" s="75">
        <f t="shared" si="8"/>
        <v>137</v>
      </c>
      <c r="K112" s="75">
        <f t="shared" si="9"/>
        <v>8.14022578728461</v>
      </c>
      <c r="L112" s="75">
        <f>VLOOKUP($A112,'Data Vlaue (Cr)'!$C:$FB,67)</f>
        <v>1904</v>
      </c>
      <c r="M112" s="75">
        <f>VLOOKUP($A112,'Data Vlaue (Cr)'!$C:$FB,68)</f>
        <v>1610</v>
      </c>
      <c r="N112" s="75">
        <f t="shared" si="10"/>
        <v>294</v>
      </c>
      <c r="O112" s="75">
        <f t="shared" si="11"/>
        <v>15.441176470588236</v>
      </c>
      <c r="P112" s="75">
        <f>VLOOKUP($A112,'Data Vlaue (Cr)'!$C:$FB,119)</f>
        <v>0.81</v>
      </c>
      <c r="Q112" s="75">
        <f>VLOOKUP($A112,'Data Vlaue (Cr)'!$C:$FB,122)*100</f>
        <v>14.08</v>
      </c>
      <c r="R112" s="75">
        <f>VLOOKUP($A112,'Data Vlaue (Cr)'!$C:$FB,125)</f>
        <v>0.34</v>
      </c>
      <c r="S112" s="75">
        <f>VLOOKUP($A112,'Data Vlaue (Cr)'!$C:$FB,128)*100</f>
        <v>-38.18</v>
      </c>
    </row>
    <row r="113" spans="1:19" x14ac:dyDescent="0.25">
      <c r="A113" s="96" t="str">
        <f>'Data Vlaue (Cr)'!C104</f>
        <v>JIOFIN</v>
      </c>
      <c r="B113" s="75">
        <f>VLOOKUP($A113,'Data Vlaue (Cr)'!$C:$FB,2)</f>
        <v>2350</v>
      </c>
      <c r="C113" s="75">
        <f>VLOOKUP($A113,'Data Vlaue (Cr)'!$C:$FB,8)</f>
        <v>255.2</v>
      </c>
      <c r="D113" s="75">
        <f>VLOOKUP($A113,'Data Vlaue (Cr)'!$C:$FB,4)</f>
        <v>256.95</v>
      </c>
      <c r="E113" s="75">
        <f>VLOOKUP($A113,'Data Vlaue (Cr)'!$C:$FB,5)</f>
        <v>257.3</v>
      </c>
      <c r="F113" s="75">
        <f t="shared" si="6"/>
        <v>1.75</v>
      </c>
      <c r="G113" s="75">
        <f t="shared" si="7"/>
        <v>-0.13621327106441827</v>
      </c>
      <c r="H113" s="75">
        <f>VLOOKUP($A113,'Data Vlaue (Cr)'!$C:$FB,99)</f>
        <v>6696</v>
      </c>
      <c r="I113" s="75">
        <f>VLOOKUP($A113,'Data Vlaue (Cr)'!$C:$FB,100)</f>
        <v>6238</v>
      </c>
      <c r="J113" s="75">
        <f t="shared" si="8"/>
        <v>458</v>
      </c>
      <c r="K113" s="75">
        <f t="shared" si="9"/>
        <v>6.8399044205495825</v>
      </c>
      <c r="L113" s="75">
        <f>VLOOKUP($A113,'Data Vlaue (Cr)'!$C:$FB,67)</f>
        <v>3122</v>
      </c>
      <c r="M113" s="75">
        <f>VLOOKUP($A113,'Data Vlaue (Cr)'!$C:$FB,68)</f>
        <v>6101</v>
      </c>
      <c r="N113" s="75">
        <f t="shared" si="10"/>
        <v>-2979</v>
      </c>
      <c r="O113" s="75">
        <f t="shared" si="11"/>
        <v>-95.419602818705968</v>
      </c>
      <c r="P113" s="75">
        <f>VLOOKUP($A113,'Data Vlaue (Cr)'!$C:$FB,119)</f>
        <v>0.72</v>
      </c>
      <c r="Q113" s="75">
        <f>VLOOKUP($A113,'Data Vlaue (Cr)'!$C:$FB,122)*100</f>
        <v>-14.29</v>
      </c>
      <c r="R113" s="75">
        <f>VLOOKUP($A113,'Data Vlaue (Cr)'!$C:$FB,125)</f>
        <v>0.36</v>
      </c>
      <c r="S113" s="75">
        <f>VLOOKUP($A113,'Data Vlaue (Cr)'!$C:$FB,128)*100</f>
        <v>-46.27</v>
      </c>
    </row>
    <row r="114" spans="1:19" x14ac:dyDescent="0.25">
      <c r="A114" s="96" t="str">
        <f>'Data Vlaue (Cr)'!C105</f>
        <v>JSWENERGY</v>
      </c>
      <c r="B114" s="75">
        <f>VLOOKUP($A114,'Data Vlaue (Cr)'!$C:$FB,2)</f>
        <v>1000</v>
      </c>
      <c r="C114" s="75">
        <f>VLOOKUP($A114,'Data Vlaue (Cr)'!$C:$FB,8)</f>
        <v>446.25</v>
      </c>
      <c r="D114" s="75">
        <f>VLOOKUP($A114,'Data Vlaue (Cr)'!$C:$FB,4)</f>
        <v>449.35</v>
      </c>
      <c r="E114" s="75">
        <f>VLOOKUP($A114,'Data Vlaue (Cr)'!$C:$FB,5)</f>
        <v>441.7</v>
      </c>
      <c r="F114" s="75">
        <f t="shared" si="6"/>
        <v>3.1000000000000227</v>
      </c>
      <c r="G114" s="75">
        <f t="shared" si="7"/>
        <v>1.7024591075998741</v>
      </c>
      <c r="H114" s="75">
        <f>VLOOKUP($A114,'Data Vlaue (Cr)'!$C:$FB,99)</f>
        <v>2143</v>
      </c>
      <c r="I114" s="75">
        <f>VLOOKUP($A114,'Data Vlaue (Cr)'!$C:$FB,100)</f>
        <v>2103</v>
      </c>
      <c r="J114" s="75">
        <f t="shared" si="8"/>
        <v>40</v>
      </c>
      <c r="K114" s="75">
        <f t="shared" si="9"/>
        <v>1.8665422305179653</v>
      </c>
      <c r="L114" s="75">
        <f>VLOOKUP($A114,'Data Vlaue (Cr)'!$C:$FB,67)</f>
        <v>1089</v>
      </c>
      <c r="M114" s="75">
        <f>VLOOKUP($A114,'Data Vlaue (Cr)'!$C:$FB,68)</f>
        <v>5142</v>
      </c>
      <c r="N114" s="75">
        <f t="shared" si="10"/>
        <v>-4053</v>
      </c>
      <c r="O114" s="75">
        <f t="shared" si="11"/>
        <v>-372.1763085399449</v>
      </c>
      <c r="P114" s="75">
        <f>VLOOKUP($A114,'Data Vlaue (Cr)'!$C:$FB,119)</f>
        <v>0.98</v>
      </c>
      <c r="Q114" s="75">
        <f>VLOOKUP($A114,'Data Vlaue (Cr)'!$C:$FB,122)*100</f>
        <v>-6.67</v>
      </c>
      <c r="R114" s="75">
        <f>VLOOKUP($A114,'Data Vlaue (Cr)'!$C:$FB,125)</f>
        <v>0.49</v>
      </c>
      <c r="S114" s="75">
        <f>VLOOKUP($A114,'Data Vlaue (Cr)'!$C:$FB,128)*100</f>
        <v>-57.76</v>
      </c>
    </row>
    <row r="115" spans="1:19" x14ac:dyDescent="0.25">
      <c r="A115" s="96" t="str">
        <f>'Data Vlaue (Cr)'!C106</f>
        <v>JSWSTEEL</v>
      </c>
      <c r="B115" s="75">
        <f>VLOOKUP($A115,'Data Vlaue (Cr)'!$C:$FB,2)</f>
        <v>675</v>
      </c>
      <c r="C115" s="75">
        <f>VLOOKUP($A115,'Data Vlaue (Cr)'!$C:$FB,8)</f>
        <v>1218.7</v>
      </c>
      <c r="D115" s="75">
        <f>VLOOKUP($A115,'Data Vlaue (Cr)'!$C:$FB,4)</f>
        <v>1223.5999999999999</v>
      </c>
      <c r="E115" s="75">
        <f>VLOOKUP($A115,'Data Vlaue (Cr)'!$C:$FB,5)</f>
        <v>1231.4000000000001</v>
      </c>
      <c r="F115" s="75">
        <f t="shared" si="6"/>
        <v>4.8999999999998636</v>
      </c>
      <c r="G115" s="75">
        <f t="shared" si="7"/>
        <v>-0.63746322327559513</v>
      </c>
      <c r="H115" s="75">
        <f>VLOOKUP($A115,'Data Vlaue (Cr)'!$C:$FB,99)</f>
        <v>7062</v>
      </c>
      <c r="I115" s="75">
        <f>VLOOKUP($A115,'Data Vlaue (Cr)'!$C:$FB,100)</f>
        <v>6898</v>
      </c>
      <c r="J115" s="75">
        <f t="shared" si="8"/>
        <v>164</v>
      </c>
      <c r="K115" s="75">
        <f t="shared" si="9"/>
        <v>2.3222883035967148</v>
      </c>
      <c r="L115" s="75">
        <f>VLOOKUP($A115,'Data Vlaue (Cr)'!$C:$FB,67)</f>
        <v>2325</v>
      </c>
      <c r="M115" s="75">
        <f>VLOOKUP($A115,'Data Vlaue (Cr)'!$C:$FB,68)</f>
        <v>7768</v>
      </c>
      <c r="N115" s="75">
        <f t="shared" si="10"/>
        <v>-5443</v>
      </c>
      <c r="O115" s="75">
        <f t="shared" si="11"/>
        <v>-234.10752688172045</v>
      </c>
      <c r="P115" s="75">
        <f>VLOOKUP($A115,'Data Vlaue (Cr)'!$C:$FB,119)</f>
        <v>0.68</v>
      </c>
      <c r="Q115" s="75">
        <f>VLOOKUP($A115,'Data Vlaue (Cr)'!$C:$FB,122)*100</f>
        <v>-6.8500000000000005</v>
      </c>
      <c r="R115" s="75">
        <f>VLOOKUP($A115,'Data Vlaue (Cr)'!$C:$FB,125)</f>
        <v>0.39</v>
      </c>
      <c r="S115" s="75">
        <f>VLOOKUP($A115,'Data Vlaue (Cr)'!$C:$FB,128)*100</f>
        <v>-26.419999999999998</v>
      </c>
    </row>
    <row r="116" spans="1:19" x14ac:dyDescent="0.25">
      <c r="A116" s="96" t="str">
        <f>'Data Vlaue (Cr)'!C107</f>
        <v>JUBLFOOD</v>
      </c>
      <c r="B116" s="75">
        <f>VLOOKUP($A116,'Data Vlaue (Cr)'!$C:$FB,2)</f>
        <v>1250</v>
      </c>
      <c r="C116" s="75">
        <f>VLOOKUP($A116,'Data Vlaue (Cr)'!$C:$FB,8)</f>
        <v>493.65</v>
      </c>
      <c r="D116" s="75">
        <f>VLOOKUP($A116,'Data Vlaue (Cr)'!$C:$FB,4)</f>
        <v>494.15</v>
      </c>
      <c r="E116" s="75">
        <f>VLOOKUP($A116,'Data Vlaue (Cr)'!$C:$FB,5)</f>
        <v>491.3</v>
      </c>
      <c r="F116" s="75">
        <f t="shared" si="6"/>
        <v>0.5</v>
      </c>
      <c r="G116" s="75">
        <f t="shared" si="7"/>
        <v>0.57674795102700926</v>
      </c>
      <c r="H116" s="75">
        <f>VLOOKUP($A116,'Data Vlaue (Cr)'!$C:$FB,99)</f>
        <v>1540</v>
      </c>
      <c r="I116" s="75">
        <f>VLOOKUP($A116,'Data Vlaue (Cr)'!$C:$FB,100)</f>
        <v>1469</v>
      </c>
      <c r="J116" s="75">
        <f t="shared" si="8"/>
        <v>71</v>
      </c>
      <c r="K116" s="75">
        <f t="shared" si="9"/>
        <v>4.6103896103896105</v>
      </c>
      <c r="L116" s="75">
        <f>VLOOKUP($A116,'Data Vlaue (Cr)'!$C:$FB,67)</f>
        <v>431</v>
      </c>
      <c r="M116" s="75">
        <f>VLOOKUP($A116,'Data Vlaue (Cr)'!$C:$FB,68)</f>
        <v>1655</v>
      </c>
      <c r="N116" s="75">
        <f t="shared" si="10"/>
        <v>-1224</v>
      </c>
      <c r="O116" s="75">
        <f t="shared" si="11"/>
        <v>-283.9907192575406</v>
      </c>
      <c r="P116" s="75">
        <f>VLOOKUP($A116,'Data Vlaue (Cr)'!$C:$FB,119)</f>
        <v>0.69</v>
      </c>
      <c r="Q116" s="75">
        <f>VLOOKUP($A116,'Data Vlaue (Cr)'!$C:$FB,122)*100</f>
        <v>-9.2100000000000009</v>
      </c>
      <c r="R116" s="75">
        <f>VLOOKUP($A116,'Data Vlaue (Cr)'!$C:$FB,125)</f>
        <v>0.51</v>
      </c>
      <c r="S116" s="75">
        <f>VLOOKUP($A116,'Data Vlaue (Cr)'!$C:$FB,128)*100</f>
        <v>-61.650000000000006</v>
      </c>
    </row>
    <row r="117" spans="1:19" x14ac:dyDescent="0.25">
      <c r="A117" s="96" t="str">
        <f>'Data Vlaue (Cr)'!C108</f>
        <v>KALYANKJIL</v>
      </c>
      <c r="B117" s="75">
        <f>VLOOKUP($A117,'Data Vlaue (Cr)'!$C:$FB,2)</f>
        <v>1175</v>
      </c>
      <c r="C117" s="75">
        <f>VLOOKUP($A117,'Data Vlaue (Cr)'!$C:$FB,8)</f>
        <v>367.95</v>
      </c>
      <c r="D117" s="75">
        <f>VLOOKUP($A117,'Data Vlaue (Cr)'!$C:$FB,4)</f>
        <v>370.35</v>
      </c>
      <c r="E117" s="75">
        <f>VLOOKUP($A117,'Data Vlaue (Cr)'!$C:$FB,5)</f>
        <v>371.4</v>
      </c>
      <c r="F117" s="75">
        <f t="shared" si="6"/>
        <v>2.4000000000000341</v>
      </c>
      <c r="G117" s="75">
        <f t="shared" si="7"/>
        <v>-0.28351559335762239</v>
      </c>
      <c r="H117" s="75">
        <f>VLOOKUP($A117,'Data Vlaue (Cr)'!$C:$FB,99)</f>
        <v>2054</v>
      </c>
      <c r="I117" s="75">
        <f>VLOOKUP($A117,'Data Vlaue (Cr)'!$C:$FB,100)</f>
        <v>1973</v>
      </c>
      <c r="J117" s="75">
        <f t="shared" si="8"/>
        <v>81</v>
      </c>
      <c r="K117" s="75">
        <f t="shared" si="9"/>
        <v>3.9435248296007788</v>
      </c>
      <c r="L117" s="75">
        <f>VLOOKUP($A117,'Data Vlaue (Cr)'!$C:$FB,67)</f>
        <v>952</v>
      </c>
      <c r="M117" s="75">
        <f>VLOOKUP($A117,'Data Vlaue (Cr)'!$C:$FB,68)</f>
        <v>3588</v>
      </c>
      <c r="N117" s="75">
        <f t="shared" si="10"/>
        <v>-2636</v>
      </c>
      <c r="O117" s="75">
        <f t="shared" si="11"/>
        <v>-276.89075630252103</v>
      </c>
      <c r="P117" s="75">
        <f>VLOOKUP($A117,'Data Vlaue (Cr)'!$C:$FB,119)</f>
        <v>0.74</v>
      </c>
      <c r="Q117" s="75">
        <f>VLOOKUP($A117,'Data Vlaue (Cr)'!$C:$FB,122)*100</f>
        <v>-8.64</v>
      </c>
      <c r="R117" s="75">
        <f>VLOOKUP($A117,'Data Vlaue (Cr)'!$C:$FB,125)</f>
        <v>0.59</v>
      </c>
      <c r="S117" s="75">
        <f>VLOOKUP($A117,'Data Vlaue (Cr)'!$C:$FB,128)*100</f>
        <v>-29.759999999999998</v>
      </c>
    </row>
    <row r="118" spans="1:19" x14ac:dyDescent="0.25">
      <c r="A118" s="96" t="str">
        <f>'Data Vlaue (Cr)'!C109</f>
        <v>KAYNES</v>
      </c>
      <c r="B118" s="75">
        <f>VLOOKUP($A118,'Data Vlaue (Cr)'!$C:$FB,2)</f>
        <v>100</v>
      </c>
      <c r="C118" s="75">
        <f>VLOOKUP($A118,'Data Vlaue (Cr)'!$C:$FB,8)</f>
        <v>3490.6</v>
      </c>
      <c r="D118" s="75">
        <f>VLOOKUP($A118,'Data Vlaue (Cr)'!$C:$FB,4)</f>
        <v>3503.6</v>
      </c>
      <c r="E118" s="75">
        <f>VLOOKUP($A118,'Data Vlaue (Cr)'!$C:$FB,5)</f>
        <v>3350.8</v>
      </c>
      <c r="F118" s="75">
        <f t="shared" si="6"/>
        <v>13</v>
      </c>
      <c r="G118" s="75">
        <f t="shared" si="7"/>
        <v>4.3612284507363777</v>
      </c>
      <c r="H118" s="75">
        <f>VLOOKUP($A118,'Data Vlaue (Cr)'!$C:$FB,99)</f>
        <v>1736</v>
      </c>
      <c r="I118" s="75">
        <f>VLOOKUP($A118,'Data Vlaue (Cr)'!$C:$FB,100)</f>
        <v>1647</v>
      </c>
      <c r="J118" s="75">
        <f t="shared" si="8"/>
        <v>89</v>
      </c>
      <c r="K118" s="75">
        <f t="shared" si="9"/>
        <v>5.1267281105990783</v>
      </c>
      <c r="L118" s="75">
        <f>VLOOKUP($A118,'Data Vlaue (Cr)'!$C:$FB,67)</f>
        <v>1119</v>
      </c>
      <c r="M118" s="75">
        <f>VLOOKUP($A118,'Data Vlaue (Cr)'!$C:$FB,68)</f>
        <v>3010</v>
      </c>
      <c r="N118" s="75">
        <f t="shared" si="10"/>
        <v>-1891</v>
      </c>
      <c r="O118" s="75">
        <f t="shared" si="11"/>
        <v>-168.99016979445932</v>
      </c>
      <c r="P118" s="75">
        <f>VLOOKUP($A118,'Data Vlaue (Cr)'!$C:$FB,119)</f>
        <v>0.89</v>
      </c>
      <c r="Q118" s="75">
        <f>VLOOKUP($A118,'Data Vlaue (Cr)'!$C:$FB,122)*100</f>
        <v>0</v>
      </c>
      <c r="R118" s="75">
        <f>VLOOKUP($A118,'Data Vlaue (Cr)'!$C:$FB,125)</f>
        <v>0.43</v>
      </c>
      <c r="S118" s="75">
        <f>VLOOKUP($A118,'Data Vlaue (Cr)'!$C:$FB,128)*100</f>
        <v>-32.81</v>
      </c>
    </row>
    <row r="119" spans="1:19" x14ac:dyDescent="0.25">
      <c r="A119" s="96" t="str">
        <f>'Data Vlaue (Cr)'!C110</f>
        <v>KEI</v>
      </c>
      <c r="B119" s="75">
        <f>VLOOKUP($A119,'Data Vlaue (Cr)'!$C:$FB,2)</f>
        <v>175</v>
      </c>
      <c r="C119" s="75">
        <f>VLOOKUP($A119,'Data Vlaue (Cr)'!$C:$FB,8)</f>
        <v>3879.1</v>
      </c>
      <c r="D119" s="75">
        <f>VLOOKUP($A119,'Data Vlaue (Cr)'!$C:$FB,4)</f>
        <v>3871.2</v>
      </c>
      <c r="E119" s="75">
        <f>VLOOKUP($A119,'Data Vlaue (Cr)'!$C:$FB,5)</f>
        <v>3761.7</v>
      </c>
      <c r="F119" s="75">
        <f t="shared" si="6"/>
        <v>-7.9000000000000909</v>
      </c>
      <c r="G119" s="75">
        <f t="shared" si="7"/>
        <v>2.828580285182889</v>
      </c>
      <c r="H119" s="75">
        <f>VLOOKUP($A119,'Data Vlaue (Cr)'!$C:$FB,99)</f>
        <v>600</v>
      </c>
      <c r="I119" s="75">
        <f>VLOOKUP($A119,'Data Vlaue (Cr)'!$C:$FB,100)</f>
        <v>577</v>
      </c>
      <c r="J119" s="75">
        <f t="shared" si="8"/>
        <v>23</v>
      </c>
      <c r="K119" s="75">
        <f t="shared" si="9"/>
        <v>3.833333333333333</v>
      </c>
      <c r="L119" s="75">
        <f>VLOOKUP($A119,'Data Vlaue (Cr)'!$C:$FB,67)</f>
        <v>336</v>
      </c>
      <c r="M119" s="75">
        <f>VLOOKUP($A119,'Data Vlaue (Cr)'!$C:$FB,68)</f>
        <v>1104</v>
      </c>
      <c r="N119" s="75">
        <f t="shared" si="10"/>
        <v>-768</v>
      </c>
      <c r="O119" s="75">
        <f t="shared" si="11"/>
        <v>-228.57142857142856</v>
      </c>
      <c r="P119" s="75">
        <f>VLOOKUP($A119,'Data Vlaue (Cr)'!$C:$FB,119)</f>
        <v>0.89</v>
      </c>
      <c r="Q119" s="75">
        <f>VLOOKUP($A119,'Data Vlaue (Cr)'!$C:$FB,122)*100</f>
        <v>17.11</v>
      </c>
      <c r="R119" s="75">
        <f>VLOOKUP($A119,'Data Vlaue (Cr)'!$C:$FB,125)</f>
        <v>0.36</v>
      </c>
      <c r="S119" s="75">
        <f>VLOOKUP($A119,'Data Vlaue (Cr)'!$C:$FB,128)*100</f>
        <v>-21.740000000000002</v>
      </c>
    </row>
    <row r="120" spans="1:19" x14ac:dyDescent="0.25">
      <c r="A120" s="96" t="str">
        <f>'Data Vlaue (Cr)'!C111</f>
        <v>KFINTECH</v>
      </c>
      <c r="B120" s="75">
        <f>VLOOKUP($A120,'Data Vlaue (Cr)'!$C:$FB,2)</f>
        <v>500</v>
      </c>
      <c r="C120" s="75">
        <f>VLOOKUP($A120,'Data Vlaue (Cr)'!$C:$FB,8)</f>
        <v>1022.1</v>
      </c>
      <c r="D120" s="75">
        <f>VLOOKUP($A120,'Data Vlaue (Cr)'!$C:$FB,4)</f>
        <v>1000.9</v>
      </c>
      <c r="E120" s="75">
        <f>VLOOKUP($A120,'Data Vlaue (Cr)'!$C:$FB,5)</f>
        <v>986.3</v>
      </c>
      <c r="F120" s="75">
        <f t="shared" si="6"/>
        <v>-21.200000000000045</v>
      </c>
      <c r="G120" s="75">
        <f t="shared" si="7"/>
        <v>1.4586871815366194</v>
      </c>
      <c r="H120" s="75">
        <f>VLOOKUP($A120,'Data Vlaue (Cr)'!$C:$FB,99)</f>
        <v>669</v>
      </c>
      <c r="I120" s="75">
        <f>VLOOKUP($A120,'Data Vlaue (Cr)'!$C:$FB,100)</f>
        <v>658</v>
      </c>
      <c r="J120" s="75">
        <f t="shared" si="8"/>
        <v>11</v>
      </c>
      <c r="K120" s="75">
        <f t="shared" si="9"/>
        <v>1.6442451420029895</v>
      </c>
      <c r="L120" s="75">
        <f>VLOOKUP($A120,'Data Vlaue (Cr)'!$C:$FB,67)</f>
        <v>205</v>
      </c>
      <c r="M120" s="75">
        <f>VLOOKUP($A120,'Data Vlaue (Cr)'!$C:$FB,68)</f>
        <v>806</v>
      </c>
      <c r="N120" s="75">
        <f t="shared" si="10"/>
        <v>-601</v>
      </c>
      <c r="O120" s="75">
        <f t="shared" si="11"/>
        <v>-293.17073170731709</v>
      </c>
      <c r="P120" s="75">
        <f>VLOOKUP($A120,'Data Vlaue (Cr)'!$C:$FB,119)</f>
        <v>1</v>
      </c>
      <c r="Q120" s="75">
        <f>VLOOKUP($A120,'Data Vlaue (Cr)'!$C:$FB,122)*100</f>
        <v>-9.09</v>
      </c>
      <c r="R120" s="75">
        <f>VLOOKUP($A120,'Data Vlaue (Cr)'!$C:$FB,125)</f>
        <v>0.48</v>
      </c>
      <c r="S120" s="75">
        <f>VLOOKUP($A120,'Data Vlaue (Cr)'!$C:$FB,128)*100</f>
        <v>-53.400000000000006</v>
      </c>
    </row>
    <row r="121" spans="1:19" x14ac:dyDescent="0.25">
      <c r="A121" s="96" t="str">
        <f>'Data Vlaue (Cr)'!C112</f>
        <v>KOTAKBANK</v>
      </c>
      <c r="B121" s="75">
        <f>VLOOKUP($A121,'Data Vlaue (Cr)'!$C:$FB,2)</f>
        <v>2000</v>
      </c>
      <c r="C121" s="75">
        <f>VLOOKUP($A121,'Data Vlaue (Cr)'!$C:$FB,8)</f>
        <v>412.4</v>
      </c>
      <c r="D121" s="75">
        <f>VLOOKUP($A121,'Data Vlaue (Cr)'!$C:$FB,4)</f>
        <v>413.8</v>
      </c>
      <c r="E121" s="75">
        <f>VLOOKUP($A121,'Data Vlaue (Cr)'!$C:$FB,5)</f>
        <v>411.4</v>
      </c>
      <c r="F121" s="75">
        <f t="shared" si="6"/>
        <v>1.4000000000000341</v>
      </c>
      <c r="G121" s="75">
        <f t="shared" si="7"/>
        <v>0.57999033349444995</v>
      </c>
      <c r="H121" s="75">
        <f>VLOOKUP($A121,'Data Vlaue (Cr)'!$C:$FB,99)</f>
        <v>9766</v>
      </c>
      <c r="I121" s="75">
        <f>VLOOKUP($A121,'Data Vlaue (Cr)'!$C:$FB,100)</f>
        <v>9506</v>
      </c>
      <c r="J121" s="75">
        <f t="shared" si="8"/>
        <v>260</v>
      </c>
      <c r="K121" s="75">
        <f t="shared" si="9"/>
        <v>2.6622977677657178</v>
      </c>
      <c r="L121" s="75">
        <f>VLOOKUP($A121,'Data Vlaue (Cr)'!$C:$FB,67)</f>
        <v>2710</v>
      </c>
      <c r="M121" s="75">
        <f>VLOOKUP($A121,'Data Vlaue (Cr)'!$C:$FB,68)</f>
        <v>9835</v>
      </c>
      <c r="N121" s="75">
        <f t="shared" si="10"/>
        <v>-7125</v>
      </c>
      <c r="O121" s="75">
        <f t="shared" si="11"/>
        <v>-262.91512915129147</v>
      </c>
      <c r="P121" s="75">
        <f>VLOOKUP($A121,'Data Vlaue (Cr)'!$C:$FB,119)</f>
        <v>0.93</v>
      </c>
      <c r="Q121" s="75">
        <f>VLOOKUP($A121,'Data Vlaue (Cr)'!$C:$FB,122)*100</f>
        <v>-15.45</v>
      </c>
      <c r="R121" s="75">
        <f>VLOOKUP($A121,'Data Vlaue (Cr)'!$C:$FB,125)</f>
        <v>0.49</v>
      </c>
      <c r="S121" s="75">
        <f>VLOOKUP($A121,'Data Vlaue (Cr)'!$C:$FB,128)*100</f>
        <v>-42.35</v>
      </c>
    </row>
    <row r="122" spans="1:19" x14ac:dyDescent="0.25">
      <c r="A122" s="96" t="str">
        <f>'Data Vlaue (Cr)'!C113</f>
        <v>KPITTECH</v>
      </c>
      <c r="B122" s="75">
        <f>VLOOKUP($A122,'Data Vlaue (Cr)'!$C:$FB,2)</f>
        <v>425</v>
      </c>
      <c r="C122" s="75">
        <f>VLOOKUP($A122,'Data Vlaue (Cr)'!$C:$FB,8)</f>
        <v>1105.8</v>
      </c>
      <c r="D122" s="75">
        <f>VLOOKUP($A122,'Data Vlaue (Cr)'!$C:$FB,4)</f>
        <v>1104.8</v>
      </c>
      <c r="E122" s="75">
        <f>VLOOKUP($A122,'Data Vlaue (Cr)'!$C:$FB,5)</f>
        <v>1110</v>
      </c>
      <c r="F122" s="75">
        <f t="shared" si="6"/>
        <v>-1</v>
      </c>
      <c r="G122" s="75">
        <f t="shared" si="7"/>
        <v>-0.47067342505431259</v>
      </c>
      <c r="H122" s="75">
        <f>VLOOKUP($A122,'Data Vlaue (Cr)'!$C:$FB,99)</f>
        <v>607</v>
      </c>
      <c r="I122" s="75">
        <f>VLOOKUP($A122,'Data Vlaue (Cr)'!$C:$FB,100)</f>
        <v>551</v>
      </c>
      <c r="J122" s="75">
        <f t="shared" si="8"/>
        <v>56</v>
      </c>
      <c r="K122" s="75">
        <f t="shared" si="9"/>
        <v>9.2257001647446462</v>
      </c>
      <c r="L122" s="75">
        <f>VLOOKUP($A122,'Data Vlaue (Cr)'!$C:$FB,67)</f>
        <v>266</v>
      </c>
      <c r="M122" s="75">
        <f>VLOOKUP($A122,'Data Vlaue (Cr)'!$C:$FB,68)</f>
        <v>718</v>
      </c>
      <c r="N122" s="75">
        <f t="shared" si="10"/>
        <v>-452</v>
      </c>
      <c r="O122" s="75">
        <f t="shared" si="11"/>
        <v>-169.9248120300752</v>
      </c>
      <c r="P122" s="75">
        <f>VLOOKUP($A122,'Data Vlaue (Cr)'!$C:$FB,119)</f>
        <v>0.91</v>
      </c>
      <c r="Q122" s="75">
        <f>VLOOKUP($A122,'Data Vlaue (Cr)'!$C:$FB,122)*100</f>
        <v>-19.470000000000002</v>
      </c>
      <c r="R122" s="75">
        <f>VLOOKUP($A122,'Data Vlaue (Cr)'!$C:$FB,125)</f>
        <v>0.75</v>
      </c>
      <c r="S122" s="75">
        <f>VLOOKUP($A122,'Data Vlaue (Cr)'!$C:$FB,128)*100</f>
        <v>-45.65</v>
      </c>
    </row>
    <row r="123" spans="1:19" x14ac:dyDescent="0.25">
      <c r="A123" s="96" t="str">
        <f>'Data Vlaue (Cr)'!C114</f>
        <v>LAURUSLABS</v>
      </c>
      <c r="B123" s="75">
        <f>VLOOKUP($A123,'Data Vlaue (Cr)'!$C:$FB,2)</f>
        <v>850</v>
      </c>
      <c r="C123" s="75">
        <f>VLOOKUP($A123,'Data Vlaue (Cr)'!$C:$FB,8)</f>
        <v>999</v>
      </c>
      <c r="D123" s="75">
        <f>VLOOKUP($A123,'Data Vlaue (Cr)'!$C:$FB,4)</f>
        <v>1005.7</v>
      </c>
      <c r="E123" s="75">
        <f>VLOOKUP($A123,'Data Vlaue (Cr)'!$C:$FB,5)</f>
        <v>1007.4</v>
      </c>
      <c r="F123" s="75">
        <f t="shared" si="6"/>
        <v>6.7000000000000455</v>
      </c>
      <c r="G123" s="75">
        <f t="shared" si="7"/>
        <v>-0.16903649199561815</v>
      </c>
      <c r="H123" s="75">
        <f>VLOOKUP($A123,'Data Vlaue (Cr)'!$C:$FB,99)</f>
        <v>3089</v>
      </c>
      <c r="I123" s="75">
        <f>VLOOKUP($A123,'Data Vlaue (Cr)'!$C:$FB,100)</f>
        <v>2856</v>
      </c>
      <c r="J123" s="75">
        <f t="shared" si="8"/>
        <v>233</v>
      </c>
      <c r="K123" s="75">
        <f t="shared" si="9"/>
        <v>7.542894140498543</v>
      </c>
      <c r="L123" s="75">
        <f>VLOOKUP($A123,'Data Vlaue (Cr)'!$C:$FB,67)</f>
        <v>1482</v>
      </c>
      <c r="M123" s="75">
        <f>VLOOKUP($A123,'Data Vlaue (Cr)'!$C:$FB,68)</f>
        <v>6271</v>
      </c>
      <c r="N123" s="75">
        <f t="shared" si="10"/>
        <v>-4789</v>
      </c>
      <c r="O123" s="75">
        <f t="shared" si="11"/>
        <v>-323.14439946018894</v>
      </c>
      <c r="P123" s="75">
        <f>VLOOKUP($A123,'Data Vlaue (Cr)'!$C:$FB,119)</f>
        <v>0.61</v>
      </c>
      <c r="Q123" s="75">
        <f>VLOOKUP($A123,'Data Vlaue (Cr)'!$C:$FB,122)*100</f>
        <v>0</v>
      </c>
      <c r="R123" s="75">
        <f>VLOOKUP($A123,'Data Vlaue (Cr)'!$C:$FB,125)</f>
        <v>0.45</v>
      </c>
      <c r="S123" s="75">
        <f>VLOOKUP($A123,'Data Vlaue (Cr)'!$C:$FB,128)*100</f>
        <v>-31.819999999999997</v>
      </c>
    </row>
    <row r="124" spans="1:19" x14ac:dyDescent="0.25">
      <c r="A124" s="96" t="str">
        <f>'Data Vlaue (Cr)'!C115</f>
        <v>LICHSGFIN</v>
      </c>
      <c r="B124" s="75">
        <f>VLOOKUP($A124,'Data Vlaue (Cr)'!$C:$FB,2)</f>
        <v>1000</v>
      </c>
      <c r="C124" s="75">
        <f>VLOOKUP($A124,'Data Vlaue (Cr)'!$C:$FB,8)</f>
        <v>519</v>
      </c>
      <c r="D124" s="75">
        <f>VLOOKUP($A124,'Data Vlaue (Cr)'!$C:$FB,4)</f>
        <v>521.20000000000005</v>
      </c>
      <c r="E124" s="75">
        <f>VLOOKUP($A124,'Data Vlaue (Cr)'!$C:$FB,5)</f>
        <v>512.79999999999995</v>
      </c>
      <c r="F124" s="75">
        <f t="shared" si="6"/>
        <v>2.2000000000000455</v>
      </c>
      <c r="G124" s="75">
        <f t="shared" si="7"/>
        <v>1.61166538756717</v>
      </c>
      <c r="H124" s="75">
        <f>VLOOKUP($A124,'Data Vlaue (Cr)'!$C:$FB,99)</f>
        <v>2211</v>
      </c>
      <c r="I124" s="75">
        <f>VLOOKUP($A124,'Data Vlaue (Cr)'!$C:$FB,100)</f>
        <v>2142</v>
      </c>
      <c r="J124" s="75">
        <f t="shared" si="8"/>
        <v>69</v>
      </c>
      <c r="K124" s="75">
        <f t="shared" si="9"/>
        <v>3.1207598371777476</v>
      </c>
      <c r="L124" s="75">
        <f>VLOOKUP($A124,'Data Vlaue (Cr)'!$C:$FB,67)</f>
        <v>449</v>
      </c>
      <c r="M124" s="75">
        <f>VLOOKUP($A124,'Data Vlaue (Cr)'!$C:$FB,68)</f>
        <v>2459</v>
      </c>
      <c r="N124" s="75">
        <f t="shared" si="10"/>
        <v>-2010</v>
      </c>
      <c r="O124" s="75">
        <f t="shared" si="11"/>
        <v>-447.66146993318489</v>
      </c>
      <c r="P124" s="75">
        <f>VLOOKUP($A124,'Data Vlaue (Cr)'!$C:$FB,119)</f>
        <v>1.06</v>
      </c>
      <c r="Q124" s="75">
        <f>VLOOKUP($A124,'Data Vlaue (Cr)'!$C:$FB,122)*100</f>
        <v>-5.36</v>
      </c>
      <c r="R124" s="75">
        <f>VLOOKUP($A124,'Data Vlaue (Cr)'!$C:$FB,125)</f>
        <v>0.44</v>
      </c>
      <c r="S124" s="75">
        <f>VLOOKUP($A124,'Data Vlaue (Cr)'!$C:$FB,128)*100</f>
        <v>-39.729999999999997</v>
      </c>
    </row>
    <row r="125" spans="1:19" x14ac:dyDescent="0.25">
      <c r="A125" s="96" t="str">
        <f>'Data Vlaue (Cr)'!C116</f>
        <v>LICI</v>
      </c>
      <c r="B125" s="75">
        <f>VLOOKUP($A125,'Data Vlaue (Cr)'!$C:$FB,2)</f>
        <v>700</v>
      </c>
      <c r="C125" s="75">
        <f>VLOOKUP($A125,'Data Vlaue (Cr)'!$C:$FB,8)</f>
        <v>822.15</v>
      </c>
      <c r="D125" s="75">
        <f>VLOOKUP($A125,'Data Vlaue (Cr)'!$C:$FB,4)</f>
        <v>827</v>
      </c>
      <c r="E125" s="75">
        <f>VLOOKUP($A125,'Data Vlaue (Cr)'!$C:$FB,5)</f>
        <v>811.9</v>
      </c>
      <c r="F125" s="75">
        <f t="shared" si="6"/>
        <v>4.8500000000000227</v>
      </c>
      <c r="G125" s="75">
        <f t="shared" si="7"/>
        <v>1.8258766626360365</v>
      </c>
      <c r="H125" s="75">
        <f>VLOOKUP($A125,'Data Vlaue (Cr)'!$C:$FB,99)</f>
        <v>1260</v>
      </c>
      <c r="I125" s="75">
        <f>VLOOKUP($A125,'Data Vlaue (Cr)'!$C:$FB,100)</f>
        <v>1188</v>
      </c>
      <c r="J125" s="75">
        <f t="shared" si="8"/>
        <v>72</v>
      </c>
      <c r="K125" s="75">
        <f t="shared" si="9"/>
        <v>5.7142857142857144</v>
      </c>
      <c r="L125" s="75">
        <f>VLOOKUP($A125,'Data Vlaue (Cr)'!$C:$FB,67)</f>
        <v>401</v>
      </c>
      <c r="M125" s="75">
        <f>VLOOKUP($A125,'Data Vlaue (Cr)'!$C:$FB,68)</f>
        <v>1482</v>
      </c>
      <c r="N125" s="75">
        <f t="shared" si="10"/>
        <v>-1081</v>
      </c>
      <c r="O125" s="75">
        <f t="shared" si="11"/>
        <v>-269.57605985037407</v>
      </c>
      <c r="P125" s="75">
        <f>VLOOKUP($A125,'Data Vlaue (Cr)'!$C:$FB,119)</f>
        <v>0.88</v>
      </c>
      <c r="Q125" s="75">
        <f>VLOOKUP($A125,'Data Vlaue (Cr)'!$C:$FB,122)*100</f>
        <v>-5.38</v>
      </c>
      <c r="R125" s="75">
        <f>VLOOKUP($A125,'Data Vlaue (Cr)'!$C:$FB,125)</f>
        <v>0.52</v>
      </c>
      <c r="S125" s="75">
        <f>VLOOKUP($A125,'Data Vlaue (Cr)'!$C:$FB,128)*100</f>
        <v>-22.39</v>
      </c>
    </row>
    <row r="126" spans="1:19" x14ac:dyDescent="0.25">
      <c r="A126" s="96" t="str">
        <f>'Data Vlaue (Cr)'!C117</f>
        <v>LODHA</v>
      </c>
      <c r="B126" s="75">
        <f>VLOOKUP($A126,'Data Vlaue (Cr)'!$C:$FB,2)</f>
        <v>450</v>
      </c>
      <c r="C126" s="75">
        <f>VLOOKUP($A126,'Data Vlaue (Cr)'!$C:$FB,8)</f>
        <v>929.1</v>
      </c>
      <c r="D126" s="75">
        <f>VLOOKUP($A126,'Data Vlaue (Cr)'!$C:$FB,4)</f>
        <v>931.9</v>
      </c>
      <c r="E126" s="75">
        <f>VLOOKUP($A126,'Data Vlaue (Cr)'!$C:$FB,5)</f>
        <v>912</v>
      </c>
      <c r="F126" s="75">
        <f t="shared" si="6"/>
        <v>2.7999999999999545</v>
      </c>
      <c r="G126" s="75">
        <f t="shared" si="7"/>
        <v>2.1354222556068225</v>
      </c>
      <c r="H126" s="75">
        <f>VLOOKUP($A126,'Data Vlaue (Cr)'!$C:$FB,99)</f>
        <v>1525</v>
      </c>
      <c r="I126" s="75">
        <f>VLOOKUP($A126,'Data Vlaue (Cr)'!$C:$FB,100)</f>
        <v>1382</v>
      </c>
      <c r="J126" s="75">
        <f t="shared" si="8"/>
        <v>143</v>
      </c>
      <c r="K126" s="75">
        <f t="shared" si="9"/>
        <v>9.3770491803278695</v>
      </c>
      <c r="L126" s="75">
        <f>VLOOKUP($A126,'Data Vlaue (Cr)'!$C:$FB,67)</f>
        <v>854</v>
      </c>
      <c r="M126" s="75">
        <f>VLOOKUP($A126,'Data Vlaue (Cr)'!$C:$FB,68)</f>
        <v>2200</v>
      </c>
      <c r="N126" s="75">
        <f t="shared" si="10"/>
        <v>-1346</v>
      </c>
      <c r="O126" s="75">
        <f t="shared" si="11"/>
        <v>-157.61124121779858</v>
      </c>
      <c r="P126" s="75">
        <f>VLOOKUP($A126,'Data Vlaue (Cr)'!$C:$FB,119)</f>
        <v>0.99</v>
      </c>
      <c r="Q126" s="75">
        <f>VLOOKUP($A126,'Data Vlaue (Cr)'!$C:$FB,122)*100</f>
        <v>-6.6000000000000005</v>
      </c>
      <c r="R126" s="75">
        <f>VLOOKUP($A126,'Data Vlaue (Cr)'!$C:$FB,125)</f>
        <v>0.6</v>
      </c>
      <c r="S126" s="75">
        <f>VLOOKUP($A126,'Data Vlaue (Cr)'!$C:$FB,128)*100</f>
        <v>-57.14</v>
      </c>
    </row>
    <row r="127" spans="1:19" x14ac:dyDescent="0.25">
      <c r="A127" s="96" t="str">
        <f>'Data Vlaue (Cr)'!C118</f>
        <v>LT</v>
      </c>
      <c r="B127" s="75">
        <f>VLOOKUP($A127,'Data Vlaue (Cr)'!$C:$FB,2)</f>
        <v>175</v>
      </c>
      <c r="C127" s="75">
        <f>VLOOKUP($A127,'Data Vlaue (Cr)'!$C:$FB,8)</f>
        <v>3794</v>
      </c>
      <c r="D127" s="75">
        <f>VLOOKUP($A127,'Data Vlaue (Cr)'!$C:$FB,4)</f>
        <v>3815.8</v>
      </c>
      <c r="E127" s="75">
        <f>VLOOKUP($A127,'Data Vlaue (Cr)'!$C:$FB,5)</f>
        <v>3808.7</v>
      </c>
      <c r="F127" s="75">
        <f t="shared" si="6"/>
        <v>21.800000000000182</v>
      </c>
      <c r="G127" s="75">
        <f t="shared" si="7"/>
        <v>0.1860684522249689</v>
      </c>
      <c r="H127" s="75">
        <f>VLOOKUP($A127,'Data Vlaue (Cr)'!$C:$FB,99)</f>
        <v>8733</v>
      </c>
      <c r="I127" s="75">
        <f>VLOOKUP($A127,'Data Vlaue (Cr)'!$C:$FB,100)</f>
        <v>7362</v>
      </c>
      <c r="J127" s="75">
        <f t="shared" si="8"/>
        <v>1371</v>
      </c>
      <c r="K127" s="75">
        <f t="shared" si="9"/>
        <v>15.699072483682583</v>
      </c>
      <c r="L127" s="75">
        <f>VLOOKUP($A127,'Data Vlaue (Cr)'!$C:$FB,67)</f>
        <v>6260</v>
      </c>
      <c r="M127" s="75">
        <f>VLOOKUP($A127,'Data Vlaue (Cr)'!$C:$FB,68)</f>
        <v>7504</v>
      </c>
      <c r="N127" s="75">
        <f t="shared" si="10"/>
        <v>-1244</v>
      </c>
      <c r="O127" s="75">
        <f t="shared" si="11"/>
        <v>-19.87220447284345</v>
      </c>
      <c r="P127" s="75">
        <f>VLOOKUP($A127,'Data Vlaue (Cr)'!$C:$FB,119)</f>
        <v>0.74</v>
      </c>
      <c r="Q127" s="75">
        <f>VLOOKUP($A127,'Data Vlaue (Cr)'!$C:$FB,122)*100</f>
        <v>-20.43</v>
      </c>
      <c r="R127" s="75">
        <f>VLOOKUP($A127,'Data Vlaue (Cr)'!$C:$FB,125)</f>
        <v>0.41</v>
      </c>
      <c r="S127" s="75">
        <f>VLOOKUP($A127,'Data Vlaue (Cr)'!$C:$FB,128)*100</f>
        <v>-22.64</v>
      </c>
    </row>
    <row r="128" spans="1:19" x14ac:dyDescent="0.25">
      <c r="A128" s="96" t="str">
        <f>'Data Vlaue (Cr)'!C119</f>
        <v>LTF</v>
      </c>
      <c r="B128" s="75">
        <f>VLOOKUP($A128,'Data Vlaue (Cr)'!$C:$FB,2)</f>
        <v>2250</v>
      </c>
      <c r="C128" s="75">
        <f>VLOOKUP($A128,'Data Vlaue (Cr)'!$C:$FB,8)</f>
        <v>289.39999999999998</v>
      </c>
      <c r="D128" s="75">
        <f>VLOOKUP($A128,'Data Vlaue (Cr)'!$C:$FB,4)</f>
        <v>290.85000000000002</v>
      </c>
      <c r="E128" s="75">
        <f>VLOOKUP($A128,'Data Vlaue (Cr)'!$C:$FB,5)</f>
        <v>287.25</v>
      </c>
      <c r="F128" s="75">
        <f t="shared" si="6"/>
        <v>1.4500000000000455</v>
      </c>
      <c r="G128" s="75">
        <f t="shared" si="7"/>
        <v>1.237751418256841</v>
      </c>
      <c r="H128" s="75">
        <f>VLOOKUP($A128,'Data Vlaue (Cr)'!$C:$FB,99)</f>
        <v>2212</v>
      </c>
      <c r="I128" s="75">
        <f>VLOOKUP($A128,'Data Vlaue (Cr)'!$C:$FB,100)</f>
        <v>2123</v>
      </c>
      <c r="J128" s="75">
        <f t="shared" si="8"/>
        <v>89</v>
      </c>
      <c r="K128" s="75">
        <f t="shared" si="9"/>
        <v>4.0235081374321879</v>
      </c>
      <c r="L128" s="75">
        <f>VLOOKUP($A128,'Data Vlaue (Cr)'!$C:$FB,67)</f>
        <v>770</v>
      </c>
      <c r="M128" s="75">
        <f>VLOOKUP($A128,'Data Vlaue (Cr)'!$C:$FB,68)</f>
        <v>3728</v>
      </c>
      <c r="N128" s="75">
        <f t="shared" si="10"/>
        <v>-2958</v>
      </c>
      <c r="O128" s="75">
        <f t="shared" si="11"/>
        <v>-384.15584415584414</v>
      </c>
      <c r="P128" s="75">
        <f>VLOOKUP($A128,'Data Vlaue (Cr)'!$C:$FB,119)</f>
        <v>0.73</v>
      </c>
      <c r="Q128" s="75">
        <f>VLOOKUP($A128,'Data Vlaue (Cr)'!$C:$FB,122)*100</f>
        <v>-2.67</v>
      </c>
      <c r="R128" s="75">
        <f>VLOOKUP($A128,'Data Vlaue (Cr)'!$C:$FB,125)</f>
        <v>0.61</v>
      </c>
      <c r="S128" s="75">
        <f>VLOOKUP($A128,'Data Vlaue (Cr)'!$C:$FB,128)*100</f>
        <v>38.64</v>
      </c>
    </row>
    <row r="129" spans="1:19" x14ac:dyDescent="0.25">
      <c r="A129" s="96" t="str">
        <f>'Data Vlaue (Cr)'!C120</f>
        <v>LTIM</v>
      </c>
      <c r="B129" s="75">
        <f>VLOOKUP($A129,'Data Vlaue (Cr)'!$C:$FB,2)</f>
        <v>150</v>
      </c>
      <c r="C129" s="75">
        <f>VLOOKUP($A129,'Data Vlaue (Cr)'!$C:$FB,8)</f>
        <v>6015.5</v>
      </c>
      <c r="D129" s="75">
        <f>VLOOKUP($A129,'Data Vlaue (Cr)'!$C:$FB,4)</f>
        <v>6047</v>
      </c>
      <c r="E129" s="75">
        <f>VLOOKUP($A129,'Data Vlaue (Cr)'!$C:$FB,5)</f>
        <v>5982.5</v>
      </c>
      <c r="F129" s="75">
        <f t="shared" si="6"/>
        <v>31.5</v>
      </c>
      <c r="G129" s="75">
        <f t="shared" si="7"/>
        <v>1.0666446171655366</v>
      </c>
      <c r="H129" s="75">
        <f>VLOOKUP($A129,'Data Vlaue (Cr)'!$C:$FB,99)</f>
        <v>1896</v>
      </c>
      <c r="I129" s="75">
        <f>VLOOKUP($A129,'Data Vlaue (Cr)'!$C:$FB,100)</f>
        <v>1834</v>
      </c>
      <c r="J129" s="75">
        <f t="shared" si="8"/>
        <v>62</v>
      </c>
      <c r="K129" s="75">
        <f t="shared" si="9"/>
        <v>3.2700421940928273</v>
      </c>
      <c r="L129" s="75">
        <f>VLOOKUP($A129,'Data Vlaue (Cr)'!$C:$FB,67)</f>
        <v>895</v>
      </c>
      <c r="M129" s="75">
        <f>VLOOKUP($A129,'Data Vlaue (Cr)'!$C:$FB,68)</f>
        <v>2776</v>
      </c>
      <c r="N129" s="75">
        <f t="shared" si="10"/>
        <v>-1881</v>
      </c>
      <c r="O129" s="75">
        <f t="shared" si="11"/>
        <v>-210.1675977653631</v>
      </c>
      <c r="P129" s="75">
        <f>VLOOKUP($A129,'Data Vlaue (Cr)'!$C:$FB,119)</f>
        <v>0.74</v>
      </c>
      <c r="Q129" s="75">
        <f>VLOOKUP($A129,'Data Vlaue (Cr)'!$C:$FB,122)*100</f>
        <v>7.2499999999999991</v>
      </c>
      <c r="R129" s="75">
        <f>VLOOKUP($A129,'Data Vlaue (Cr)'!$C:$FB,125)</f>
        <v>0.31</v>
      </c>
      <c r="S129" s="75">
        <f>VLOOKUP($A129,'Data Vlaue (Cr)'!$C:$FB,128)*100</f>
        <v>-50.79</v>
      </c>
    </row>
    <row r="130" spans="1:19" x14ac:dyDescent="0.25">
      <c r="A130" s="96" t="str">
        <f>'Data Vlaue (Cr)'!C121</f>
        <v>LUPIN</v>
      </c>
      <c r="B130" s="75">
        <f>VLOOKUP($A130,'Data Vlaue (Cr)'!$C:$FB,2)</f>
        <v>425</v>
      </c>
      <c r="C130" s="75">
        <f>VLOOKUP($A130,'Data Vlaue (Cr)'!$C:$FB,8)</f>
        <v>2129.5</v>
      </c>
      <c r="D130" s="75">
        <f>VLOOKUP($A130,'Data Vlaue (Cr)'!$C:$FB,4)</f>
        <v>2135.5</v>
      </c>
      <c r="E130" s="75">
        <f>VLOOKUP($A130,'Data Vlaue (Cr)'!$C:$FB,5)</f>
        <v>2158.1</v>
      </c>
      <c r="F130" s="75">
        <f t="shared" si="6"/>
        <v>6</v>
      </c>
      <c r="G130" s="75">
        <f t="shared" si="7"/>
        <v>-1.0583001638960388</v>
      </c>
      <c r="H130" s="75">
        <f>VLOOKUP($A130,'Data Vlaue (Cr)'!$C:$FB,99)</f>
        <v>1751</v>
      </c>
      <c r="I130" s="75">
        <f>VLOOKUP($A130,'Data Vlaue (Cr)'!$C:$FB,100)</f>
        <v>1631</v>
      </c>
      <c r="J130" s="75">
        <f t="shared" si="8"/>
        <v>120</v>
      </c>
      <c r="K130" s="75">
        <f t="shared" si="9"/>
        <v>6.8532267275842367</v>
      </c>
      <c r="L130" s="75">
        <f>VLOOKUP($A130,'Data Vlaue (Cr)'!$C:$FB,67)</f>
        <v>661</v>
      </c>
      <c r="M130" s="75">
        <f>VLOOKUP($A130,'Data Vlaue (Cr)'!$C:$FB,68)</f>
        <v>1701</v>
      </c>
      <c r="N130" s="75">
        <f t="shared" si="10"/>
        <v>-1040</v>
      </c>
      <c r="O130" s="75">
        <f t="shared" si="11"/>
        <v>-157.33736762481089</v>
      </c>
      <c r="P130" s="75">
        <f>VLOOKUP($A130,'Data Vlaue (Cr)'!$C:$FB,119)</f>
        <v>0.63</v>
      </c>
      <c r="Q130" s="75">
        <f>VLOOKUP($A130,'Data Vlaue (Cr)'!$C:$FB,122)*100</f>
        <v>-5.9700000000000006</v>
      </c>
      <c r="R130" s="75">
        <f>VLOOKUP($A130,'Data Vlaue (Cr)'!$C:$FB,125)</f>
        <v>0.42</v>
      </c>
      <c r="S130" s="75">
        <f>VLOOKUP($A130,'Data Vlaue (Cr)'!$C:$FB,128)*100</f>
        <v>61.539999999999992</v>
      </c>
    </row>
    <row r="131" spans="1:19" x14ac:dyDescent="0.25">
      <c r="A131" s="96" t="str">
        <f>'Data Vlaue (Cr)'!C122</f>
        <v>M&amp;M</v>
      </c>
      <c r="B131" s="75">
        <f>VLOOKUP($A131,'Data Vlaue (Cr)'!$C:$FB,2)</f>
        <v>200</v>
      </c>
      <c r="C131" s="75">
        <f>VLOOKUP($A131,'Data Vlaue (Cr)'!$C:$FB,8)</f>
        <v>3449.2</v>
      </c>
      <c r="D131" s="75">
        <f>VLOOKUP($A131,'Data Vlaue (Cr)'!$C:$FB,4)</f>
        <v>3470.4</v>
      </c>
      <c r="E131" s="75">
        <f>VLOOKUP($A131,'Data Vlaue (Cr)'!$C:$FB,5)</f>
        <v>3417.3</v>
      </c>
      <c r="F131" s="75">
        <f t="shared" si="6"/>
        <v>21.200000000000273</v>
      </c>
      <c r="G131" s="75">
        <f t="shared" si="7"/>
        <v>1.5300829875518644</v>
      </c>
      <c r="H131" s="75">
        <f>VLOOKUP($A131,'Data Vlaue (Cr)'!$C:$FB,99)</f>
        <v>7977</v>
      </c>
      <c r="I131" s="75">
        <f>VLOOKUP($A131,'Data Vlaue (Cr)'!$C:$FB,100)</f>
        <v>7565</v>
      </c>
      <c r="J131" s="75">
        <f t="shared" si="8"/>
        <v>412</v>
      </c>
      <c r="K131" s="75">
        <f t="shared" si="9"/>
        <v>5.1648489407045259</v>
      </c>
      <c r="L131" s="75">
        <f>VLOOKUP($A131,'Data Vlaue (Cr)'!$C:$FB,67)</f>
        <v>4716</v>
      </c>
      <c r="M131" s="75">
        <f>VLOOKUP($A131,'Data Vlaue (Cr)'!$C:$FB,68)</f>
        <v>11966</v>
      </c>
      <c r="N131" s="75">
        <f t="shared" si="10"/>
        <v>-7250</v>
      </c>
      <c r="O131" s="75">
        <f t="shared" si="11"/>
        <v>-153.73197625106022</v>
      </c>
      <c r="P131" s="75">
        <f>VLOOKUP($A131,'Data Vlaue (Cr)'!$C:$FB,119)</f>
        <v>1.1399999999999999</v>
      </c>
      <c r="Q131" s="75">
        <f>VLOOKUP($A131,'Data Vlaue (Cr)'!$C:$FB,122)*100</f>
        <v>1.79</v>
      </c>
      <c r="R131" s="75">
        <f>VLOOKUP($A131,'Data Vlaue (Cr)'!$C:$FB,125)</f>
        <v>0.84</v>
      </c>
      <c r="S131" s="75">
        <f>VLOOKUP($A131,'Data Vlaue (Cr)'!$C:$FB,128)*100</f>
        <v>-25</v>
      </c>
    </row>
    <row r="132" spans="1:19" x14ac:dyDescent="0.25">
      <c r="A132" s="96" t="str">
        <f>'Data Vlaue (Cr)'!C123</f>
        <v>MANAPPURAM</v>
      </c>
      <c r="B132" s="75">
        <f>VLOOKUP($A132,'Data Vlaue (Cr)'!$C:$FB,2)</f>
        <v>3000</v>
      </c>
      <c r="C132" s="75">
        <f>VLOOKUP($A132,'Data Vlaue (Cr)'!$C:$FB,8)</f>
        <v>291.7</v>
      </c>
      <c r="D132" s="75">
        <f>VLOOKUP($A132,'Data Vlaue (Cr)'!$C:$FB,4)</f>
        <v>292.45</v>
      </c>
      <c r="E132" s="75">
        <f>VLOOKUP($A132,'Data Vlaue (Cr)'!$C:$FB,5)</f>
        <v>296.95</v>
      </c>
      <c r="F132" s="75">
        <f t="shared" si="6"/>
        <v>0.75</v>
      </c>
      <c r="G132" s="75">
        <f t="shared" si="7"/>
        <v>-1.5387245683022739</v>
      </c>
      <c r="H132" s="75">
        <f>VLOOKUP($A132,'Data Vlaue (Cr)'!$C:$FB,99)</f>
        <v>1841</v>
      </c>
      <c r="I132" s="75">
        <f>VLOOKUP($A132,'Data Vlaue (Cr)'!$C:$FB,100)</f>
        <v>1675</v>
      </c>
      <c r="J132" s="75">
        <f t="shared" si="8"/>
        <v>166</v>
      </c>
      <c r="K132" s="75">
        <f t="shared" si="9"/>
        <v>9.0168386746333518</v>
      </c>
      <c r="L132" s="75">
        <f>VLOOKUP($A132,'Data Vlaue (Cr)'!$C:$FB,67)</f>
        <v>1330</v>
      </c>
      <c r="M132" s="75">
        <f>VLOOKUP($A132,'Data Vlaue (Cr)'!$C:$FB,68)</f>
        <v>2122</v>
      </c>
      <c r="N132" s="75">
        <f t="shared" si="10"/>
        <v>-792</v>
      </c>
      <c r="O132" s="75">
        <f t="shared" si="11"/>
        <v>-59.548872180451127</v>
      </c>
      <c r="P132" s="75">
        <f>VLOOKUP($A132,'Data Vlaue (Cr)'!$C:$FB,119)</f>
        <v>0.85</v>
      </c>
      <c r="Q132" s="75">
        <f>VLOOKUP($A132,'Data Vlaue (Cr)'!$C:$FB,122)*100</f>
        <v>2.41</v>
      </c>
      <c r="R132" s="75">
        <f>VLOOKUP($A132,'Data Vlaue (Cr)'!$C:$FB,125)</f>
        <v>0.66</v>
      </c>
      <c r="S132" s="75">
        <f>VLOOKUP($A132,'Data Vlaue (Cr)'!$C:$FB,128)*100</f>
        <v>-26.669999999999998</v>
      </c>
    </row>
    <row r="133" spans="1:19" x14ac:dyDescent="0.25">
      <c r="A133" s="96" t="str">
        <f>'Data Vlaue (Cr)'!C124</f>
        <v>MANKIND</v>
      </c>
      <c r="B133" s="75">
        <f>VLOOKUP($A133,'Data Vlaue (Cr)'!$C:$FB,2)</f>
        <v>225</v>
      </c>
      <c r="C133" s="75">
        <f>VLOOKUP($A133,'Data Vlaue (Cr)'!$C:$FB,8)</f>
        <v>2116.9</v>
      </c>
      <c r="D133" s="75">
        <f>VLOOKUP($A133,'Data Vlaue (Cr)'!$C:$FB,4)</f>
        <v>2122.5</v>
      </c>
      <c r="E133" s="75">
        <f>VLOOKUP($A133,'Data Vlaue (Cr)'!$C:$FB,5)</f>
        <v>2106.6999999999998</v>
      </c>
      <c r="F133" s="75">
        <f t="shared" si="6"/>
        <v>5.5999999999999091</v>
      </c>
      <c r="G133" s="75">
        <f t="shared" si="7"/>
        <v>0.74440518256773536</v>
      </c>
      <c r="H133" s="75">
        <f>VLOOKUP($A133,'Data Vlaue (Cr)'!$C:$FB,99)</f>
        <v>537</v>
      </c>
      <c r="I133" s="75">
        <f>VLOOKUP($A133,'Data Vlaue (Cr)'!$C:$FB,100)</f>
        <v>480</v>
      </c>
      <c r="J133" s="75">
        <f t="shared" si="8"/>
        <v>57</v>
      </c>
      <c r="K133" s="75">
        <f t="shared" si="9"/>
        <v>10.614525139664805</v>
      </c>
      <c r="L133" s="75">
        <f>VLOOKUP($A133,'Data Vlaue (Cr)'!$C:$FB,67)</f>
        <v>274</v>
      </c>
      <c r="M133" s="75">
        <f>VLOOKUP($A133,'Data Vlaue (Cr)'!$C:$FB,68)</f>
        <v>536</v>
      </c>
      <c r="N133" s="75">
        <f t="shared" si="10"/>
        <v>-262</v>
      </c>
      <c r="O133" s="75">
        <f t="shared" si="11"/>
        <v>-95.620437956204384</v>
      </c>
      <c r="P133" s="75">
        <f>VLOOKUP($A133,'Data Vlaue (Cr)'!$C:$FB,119)</f>
        <v>1.1399999999999999</v>
      </c>
      <c r="Q133" s="75">
        <f>VLOOKUP($A133,'Data Vlaue (Cr)'!$C:$FB,122)*100</f>
        <v>-30.06</v>
      </c>
      <c r="R133" s="75">
        <f>VLOOKUP($A133,'Data Vlaue (Cr)'!$C:$FB,125)</f>
        <v>0.63</v>
      </c>
      <c r="S133" s="75">
        <f>VLOOKUP($A133,'Data Vlaue (Cr)'!$C:$FB,128)*100</f>
        <v>23.53</v>
      </c>
    </row>
    <row r="134" spans="1:19" x14ac:dyDescent="0.25">
      <c r="A134" s="96" t="str">
        <f>'Data Vlaue (Cr)'!C125</f>
        <v>MARICO</v>
      </c>
      <c r="B134" s="75">
        <f>VLOOKUP($A134,'Data Vlaue (Cr)'!$C:$FB,2)</f>
        <v>1200</v>
      </c>
      <c r="C134" s="75">
        <f>VLOOKUP($A134,'Data Vlaue (Cr)'!$C:$FB,8)</f>
        <v>736.65</v>
      </c>
      <c r="D134" s="75">
        <f>VLOOKUP($A134,'Data Vlaue (Cr)'!$C:$FB,4)</f>
        <v>741.65</v>
      </c>
      <c r="E134" s="75">
        <f>VLOOKUP($A134,'Data Vlaue (Cr)'!$C:$FB,5)</f>
        <v>750.85</v>
      </c>
      <c r="F134" s="75">
        <f t="shared" si="6"/>
        <v>5</v>
      </c>
      <c r="G134" s="75">
        <f t="shared" si="7"/>
        <v>-1.2404773140969523</v>
      </c>
      <c r="H134" s="75">
        <f>VLOOKUP($A134,'Data Vlaue (Cr)'!$C:$FB,99)</f>
        <v>2627</v>
      </c>
      <c r="I134" s="75">
        <f>VLOOKUP($A134,'Data Vlaue (Cr)'!$C:$FB,100)</f>
        <v>2462</v>
      </c>
      <c r="J134" s="75">
        <f t="shared" si="8"/>
        <v>165</v>
      </c>
      <c r="K134" s="75">
        <f t="shared" si="9"/>
        <v>6.2809288161400838</v>
      </c>
      <c r="L134" s="75">
        <f>VLOOKUP($A134,'Data Vlaue (Cr)'!$C:$FB,67)</f>
        <v>2764</v>
      </c>
      <c r="M134" s="75">
        <f>VLOOKUP($A134,'Data Vlaue (Cr)'!$C:$FB,68)</f>
        <v>2187</v>
      </c>
      <c r="N134" s="75">
        <f t="shared" si="10"/>
        <v>577</v>
      </c>
      <c r="O134" s="75">
        <f t="shared" si="11"/>
        <v>20.875542691751086</v>
      </c>
      <c r="P134" s="75">
        <f>VLOOKUP($A134,'Data Vlaue (Cr)'!$C:$FB,119)</f>
        <v>0.77</v>
      </c>
      <c r="Q134" s="75">
        <f>VLOOKUP($A134,'Data Vlaue (Cr)'!$C:$FB,122)*100</f>
        <v>-15.379999999999999</v>
      </c>
      <c r="R134" s="75">
        <f>VLOOKUP($A134,'Data Vlaue (Cr)'!$C:$FB,125)</f>
        <v>0.77</v>
      </c>
      <c r="S134" s="75">
        <f>VLOOKUP($A134,'Data Vlaue (Cr)'!$C:$FB,128)*100</f>
        <v>26.229999999999997</v>
      </c>
    </row>
    <row r="135" spans="1:19" x14ac:dyDescent="0.25">
      <c r="A135" s="96" t="str">
        <f>'Data Vlaue (Cr)'!C126</f>
        <v>MARUTI</v>
      </c>
      <c r="B135" s="75">
        <f>VLOOKUP($A135,'Data Vlaue (Cr)'!$C:$FB,2)</f>
        <v>50</v>
      </c>
      <c r="C135" s="75">
        <f>VLOOKUP($A135,'Data Vlaue (Cr)'!$C:$FB,8)</f>
        <v>14877</v>
      </c>
      <c r="D135" s="75">
        <f>VLOOKUP($A135,'Data Vlaue (Cr)'!$C:$FB,4)</f>
        <v>14950</v>
      </c>
      <c r="E135" s="75">
        <f>VLOOKUP($A135,'Data Vlaue (Cr)'!$C:$FB,5)</f>
        <v>15341</v>
      </c>
      <c r="F135" s="75">
        <f t="shared" si="6"/>
        <v>73</v>
      </c>
      <c r="G135" s="75">
        <f t="shared" si="7"/>
        <v>-2.6153846153846154</v>
      </c>
      <c r="H135" s="75">
        <f>VLOOKUP($A135,'Data Vlaue (Cr)'!$C:$FB,99)</f>
        <v>9187</v>
      </c>
      <c r="I135" s="75">
        <f>VLOOKUP($A135,'Data Vlaue (Cr)'!$C:$FB,100)</f>
        <v>6106</v>
      </c>
      <c r="J135" s="75">
        <f t="shared" si="8"/>
        <v>3081</v>
      </c>
      <c r="K135" s="75">
        <f t="shared" si="9"/>
        <v>33.536518994230981</v>
      </c>
      <c r="L135" s="75">
        <f>VLOOKUP($A135,'Data Vlaue (Cr)'!$C:$FB,67)</f>
        <v>35686</v>
      </c>
      <c r="M135" s="75">
        <f>VLOOKUP($A135,'Data Vlaue (Cr)'!$C:$FB,68)</f>
        <v>20167</v>
      </c>
      <c r="N135" s="75">
        <f t="shared" si="10"/>
        <v>15519</v>
      </c>
      <c r="O135" s="75">
        <f t="shared" si="11"/>
        <v>43.487642212632402</v>
      </c>
      <c r="P135" s="75">
        <f>VLOOKUP($A135,'Data Vlaue (Cr)'!$C:$FB,119)</f>
        <v>0.59</v>
      </c>
      <c r="Q135" s="75">
        <f>VLOOKUP($A135,'Data Vlaue (Cr)'!$C:$FB,122)*100</f>
        <v>-22.37</v>
      </c>
      <c r="R135" s="75">
        <f>VLOOKUP($A135,'Data Vlaue (Cr)'!$C:$FB,125)</f>
        <v>0.62</v>
      </c>
      <c r="S135" s="75">
        <f>VLOOKUP($A135,'Data Vlaue (Cr)'!$C:$FB,128)*100</f>
        <v>-30.34</v>
      </c>
    </row>
    <row r="136" spans="1:19" x14ac:dyDescent="0.25">
      <c r="A136" s="96" t="str">
        <f>'Data Vlaue (Cr)'!C127</f>
        <v>MAXHEALTH</v>
      </c>
      <c r="B136" s="75">
        <f>VLOOKUP($A136,'Data Vlaue (Cr)'!$C:$FB,2)</f>
        <v>525</v>
      </c>
      <c r="C136" s="75">
        <f>VLOOKUP($A136,'Data Vlaue (Cr)'!$C:$FB,8)</f>
        <v>958.6</v>
      </c>
      <c r="D136" s="75">
        <f>VLOOKUP($A136,'Data Vlaue (Cr)'!$C:$FB,4)</f>
        <v>964</v>
      </c>
      <c r="E136" s="75">
        <f>VLOOKUP($A136,'Data Vlaue (Cr)'!$C:$FB,5)</f>
        <v>982.6</v>
      </c>
      <c r="F136" s="75">
        <f t="shared" si="6"/>
        <v>5.3999999999999773</v>
      </c>
      <c r="G136" s="75">
        <f t="shared" si="7"/>
        <v>-1.9294605809128655</v>
      </c>
      <c r="H136" s="75">
        <f>VLOOKUP($A136,'Data Vlaue (Cr)'!$C:$FB,99)</f>
        <v>2027</v>
      </c>
      <c r="I136" s="75">
        <f>VLOOKUP($A136,'Data Vlaue (Cr)'!$C:$FB,100)</f>
        <v>1926</v>
      </c>
      <c r="J136" s="75">
        <f t="shared" si="8"/>
        <v>101</v>
      </c>
      <c r="K136" s="75">
        <f t="shared" si="9"/>
        <v>4.9827331031080409</v>
      </c>
      <c r="L136" s="75">
        <f>VLOOKUP($A136,'Data Vlaue (Cr)'!$C:$FB,67)</f>
        <v>614</v>
      </c>
      <c r="M136" s="75">
        <f>VLOOKUP($A136,'Data Vlaue (Cr)'!$C:$FB,68)</f>
        <v>1241</v>
      </c>
      <c r="N136" s="75">
        <f t="shared" si="10"/>
        <v>-627</v>
      </c>
      <c r="O136" s="75">
        <f t="shared" si="11"/>
        <v>-102.1172638436482</v>
      </c>
      <c r="P136" s="75">
        <f>VLOOKUP($A136,'Data Vlaue (Cr)'!$C:$FB,119)</f>
        <v>0.98</v>
      </c>
      <c r="Q136" s="75">
        <f>VLOOKUP($A136,'Data Vlaue (Cr)'!$C:$FB,122)*100</f>
        <v>-10.09</v>
      </c>
      <c r="R136" s="75">
        <f>VLOOKUP($A136,'Data Vlaue (Cr)'!$C:$FB,125)</f>
        <v>0.71</v>
      </c>
      <c r="S136" s="75">
        <f>VLOOKUP($A136,'Data Vlaue (Cr)'!$C:$FB,128)*100</f>
        <v>-39.83</v>
      </c>
    </row>
    <row r="137" spans="1:19" x14ac:dyDescent="0.25">
      <c r="A137" s="96" t="str">
        <f>'Data Vlaue (Cr)'!C128</f>
        <v>MAZDOCK</v>
      </c>
      <c r="B137" s="75">
        <f>VLOOKUP($A137,'Data Vlaue (Cr)'!$C:$FB,2)</f>
        <v>200</v>
      </c>
      <c r="C137" s="75">
        <f>VLOOKUP($A137,'Data Vlaue (Cr)'!$C:$FB,8)</f>
        <v>2505.6</v>
      </c>
      <c r="D137" s="75">
        <f>VLOOKUP($A137,'Data Vlaue (Cr)'!$C:$FB,4)</f>
        <v>2518.1999999999998</v>
      </c>
      <c r="E137" s="75">
        <f>VLOOKUP($A137,'Data Vlaue (Cr)'!$C:$FB,5)</f>
        <v>2342.5</v>
      </c>
      <c r="F137" s="75">
        <f t="shared" si="6"/>
        <v>12.599999999999909</v>
      </c>
      <c r="G137" s="75">
        <f t="shared" si="7"/>
        <v>6.9772059407513245</v>
      </c>
      <c r="H137" s="75">
        <f>VLOOKUP($A137,'Data Vlaue (Cr)'!$C:$FB,99)</f>
        <v>1818</v>
      </c>
      <c r="I137" s="75">
        <f>VLOOKUP($A137,'Data Vlaue (Cr)'!$C:$FB,100)</f>
        <v>1600</v>
      </c>
      <c r="J137" s="75">
        <f t="shared" si="8"/>
        <v>218</v>
      </c>
      <c r="K137" s="75">
        <f t="shared" si="9"/>
        <v>11.991199119911991</v>
      </c>
      <c r="L137" s="75">
        <f>VLOOKUP($A137,'Data Vlaue (Cr)'!$C:$FB,67)</f>
        <v>2770</v>
      </c>
      <c r="M137" s="75">
        <f>VLOOKUP($A137,'Data Vlaue (Cr)'!$C:$FB,68)</f>
        <v>2781</v>
      </c>
      <c r="N137" s="75">
        <f t="shared" si="10"/>
        <v>-11</v>
      </c>
      <c r="O137" s="75">
        <f t="shared" si="11"/>
        <v>-0.3971119133574007</v>
      </c>
      <c r="P137" s="75">
        <f>VLOOKUP($A137,'Data Vlaue (Cr)'!$C:$FB,119)</f>
        <v>0.75</v>
      </c>
      <c r="Q137" s="75">
        <f>VLOOKUP($A137,'Data Vlaue (Cr)'!$C:$FB,122)*100</f>
        <v>-20.21</v>
      </c>
      <c r="R137" s="75">
        <f>VLOOKUP($A137,'Data Vlaue (Cr)'!$C:$FB,125)</f>
        <v>0.19</v>
      </c>
      <c r="S137" s="75">
        <f>VLOOKUP($A137,'Data Vlaue (Cr)'!$C:$FB,128)*100</f>
        <v>-64.81</v>
      </c>
    </row>
    <row r="138" spans="1:19" x14ac:dyDescent="0.25">
      <c r="A138" s="96" t="str">
        <f>'Data Vlaue (Cr)'!C129</f>
        <v>MCX</v>
      </c>
      <c r="B138" s="75">
        <f>VLOOKUP($A138,'Data Vlaue (Cr)'!$C:$FB,2)</f>
        <v>625</v>
      </c>
      <c r="C138" s="75">
        <f>VLOOKUP($A138,'Data Vlaue (Cr)'!$C:$FB,8)</f>
        <v>2593</v>
      </c>
      <c r="D138" s="75">
        <f>VLOOKUP($A138,'Data Vlaue (Cr)'!$C:$FB,4)</f>
        <v>2605</v>
      </c>
      <c r="E138" s="75">
        <f>VLOOKUP($A138,'Data Vlaue (Cr)'!$C:$FB,5)</f>
        <v>2437</v>
      </c>
      <c r="F138" s="75">
        <f t="shared" si="6"/>
        <v>12</v>
      </c>
      <c r="G138" s="75">
        <f t="shared" si="7"/>
        <v>6.4491362763915552</v>
      </c>
      <c r="H138" s="75">
        <f>VLOOKUP($A138,'Data Vlaue (Cr)'!$C:$FB,99)</f>
        <v>6485</v>
      </c>
      <c r="I138" s="75">
        <f>VLOOKUP($A138,'Data Vlaue (Cr)'!$C:$FB,100)</f>
        <v>5941</v>
      </c>
      <c r="J138" s="75">
        <f t="shared" si="8"/>
        <v>544</v>
      </c>
      <c r="K138" s="75">
        <f t="shared" si="9"/>
        <v>8.3885890516576715</v>
      </c>
      <c r="L138" s="75">
        <f>VLOOKUP($A138,'Data Vlaue (Cr)'!$C:$FB,67)</f>
        <v>16676</v>
      </c>
      <c r="M138" s="75">
        <f>VLOOKUP($A138,'Data Vlaue (Cr)'!$C:$FB,68)</f>
        <v>30179</v>
      </c>
      <c r="N138" s="75">
        <f t="shared" si="10"/>
        <v>-13503</v>
      </c>
      <c r="O138" s="75">
        <f t="shared" si="11"/>
        <v>-80.972655313024717</v>
      </c>
      <c r="P138" s="75">
        <f>VLOOKUP($A138,'Data Vlaue (Cr)'!$C:$FB,119)</f>
        <v>0.88</v>
      </c>
      <c r="Q138" s="75">
        <f>VLOOKUP($A138,'Data Vlaue (Cr)'!$C:$FB,122)*100</f>
        <v>31.34</v>
      </c>
      <c r="R138" s="75">
        <f>VLOOKUP($A138,'Data Vlaue (Cr)'!$C:$FB,125)</f>
        <v>0.52</v>
      </c>
      <c r="S138" s="75">
        <f>VLOOKUP($A138,'Data Vlaue (Cr)'!$C:$FB,128)*100</f>
        <v>62.5</v>
      </c>
    </row>
    <row r="139" spans="1:19" x14ac:dyDescent="0.25">
      <c r="A139" s="96" t="str">
        <f>'Data Vlaue (Cr)'!C130</f>
        <v>MFSL</v>
      </c>
      <c r="B139" s="75">
        <f>VLOOKUP($A139,'Data Vlaue (Cr)'!$C:$FB,2)</f>
        <v>400</v>
      </c>
      <c r="C139" s="75">
        <f>VLOOKUP($A139,'Data Vlaue (Cr)'!$C:$FB,8)</f>
        <v>1623.9</v>
      </c>
      <c r="D139" s="75">
        <f>VLOOKUP($A139,'Data Vlaue (Cr)'!$C:$FB,4)</f>
        <v>1629.7</v>
      </c>
      <c r="E139" s="75">
        <f>VLOOKUP($A139,'Data Vlaue (Cr)'!$C:$FB,5)</f>
        <v>1589.7</v>
      </c>
      <c r="F139" s="75">
        <f t="shared" si="6"/>
        <v>5.7999999999999545</v>
      </c>
      <c r="G139" s="75">
        <f t="shared" si="7"/>
        <v>2.4544394673866354</v>
      </c>
      <c r="H139" s="75">
        <f>VLOOKUP($A139,'Data Vlaue (Cr)'!$C:$FB,99)</f>
        <v>1592</v>
      </c>
      <c r="I139" s="75">
        <f>VLOOKUP($A139,'Data Vlaue (Cr)'!$C:$FB,100)</f>
        <v>1528</v>
      </c>
      <c r="J139" s="75">
        <f t="shared" si="8"/>
        <v>64</v>
      </c>
      <c r="K139" s="75">
        <f t="shared" si="9"/>
        <v>4.0201005025125625</v>
      </c>
      <c r="L139" s="75">
        <f>VLOOKUP($A139,'Data Vlaue (Cr)'!$C:$FB,67)</f>
        <v>473</v>
      </c>
      <c r="M139" s="75">
        <f>VLOOKUP($A139,'Data Vlaue (Cr)'!$C:$FB,68)</f>
        <v>933</v>
      </c>
      <c r="N139" s="75">
        <f t="shared" si="10"/>
        <v>-460</v>
      </c>
      <c r="O139" s="75">
        <f t="shared" si="11"/>
        <v>-97.25158562367865</v>
      </c>
      <c r="P139" s="75">
        <f>VLOOKUP($A139,'Data Vlaue (Cr)'!$C:$FB,119)</f>
        <v>0.81</v>
      </c>
      <c r="Q139" s="75">
        <f>VLOOKUP($A139,'Data Vlaue (Cr)'!$C:$FB,122)*100</f>
        <v>-18.18</v>
      </c>
      <c r="R139" s="75">
        <f>VLOOKUP($A139,'Data Vlaue (Cr)'!$C:$FB,125)</f>
        <v>0.56999999999999995</v>
      </c>
      <c r="S139" s="75">
        <f>VLOOKUP($A139,'Data Vlaue (Cr)'!$C:$FB,128)*100</f>
        <v>-71.78</v>
      </c>
    </row>
    <row r="140" spans="1:19" x14ac:dyDescent="0.25">
      <c r="A140" s="96" t="str">
        <f>'Data Vlaue (Cr)'!C131</f>
        <v>MIDCPNIFTY</v>
      </c>
      <c r="B140" s="75">
        <f>VLOOKUP($A140,'Data Vlaue (Cr)'!$C:$FB,2)</f>
        <v>120</v>
      </c>
      <c r="C140" s="75">
        <f>VLOOKUP($A140,'Data Vlaue (Cr)'!$C:$FB,8)</f>
        <v>13381.9</v>
      </c>
      <c r="D140" s="75">
        <f>VLOOKUP($A140,'Data Vlaue (Cr)'!$C:$FB,4)</f>
        <v>13409.05</v>
      </c>
      <c r="E140" s="75">
        <f>VLOOKUP($A140,'Data Vlaue (Cr)'!$C:$FB,5)</f>
        <v>13216.2</v>
      </c>
      <c r="F140" s="75">
        <f t="shared" ref="F140:F176" si="12">D140-C140</f>
        <v>27.149999999999636</v>
      </c>
      <c r="G140" s="75">
        <f t="shared" ref="G140:G176" si="13">(D140-E140)/D140*100</f>
        <v>1.4382077775830395</v>
      </c>
      <c r="H140" s="75">
        <f>VLOOKUP($A140,'Data Vlaue (Cr)'!$C:$FB,99)</f>
        <v>13625</v>
      </c>
      <c r="I140" s="75">
        <f>VLOOKUP($A140,'Data Vlaue (Cr)'!$C:$FB,100)</f>
        <v>8764</v>
      </c>
      <c r="J140" s="75">
        <f t="shared" ref="J140:J176" si="14">H140-I140</f>
        <v>4861</v>
      </c>
      <c r="K140" s="75">
        <f t="shared" ref="K140:K176" si="15">J140/H140*100</f>
        <v>35.677064220183482</v>
      </c>
      <c r="L140" s="75">
        <f>VLOOKUP($A140,'Data Vlaue (Cr)'!$C:$FB,67)</f>
        <v>37802</v>
      </c>
      <c r="M140" s="75">
        <f>VLOOKUP($A140,'Data Vlaue (Cr)'!$C:$FB,68)</f>
        <v>1535960</v>
      </c>
      <c r="N140" s="75">
        <f t="shared" ref="N140:N176" si="16">L140-M140</f>
        <v>-1498158</v>
      </c>
      <c r="O140" s="75">
        <f t="shared" ref="O140:O176" si="17">N140/L140*100</f>
        <v>-3963.1712607798527</v>
      </c>
      <c r="P140" s="75">
        <f>VLOOKUP($A140,'Data Vlaue (Cr)'!$C:$FB,119)</f>
        <v>1.1399999999999999</v>
      </c>
      <c r="Q140" s="75">
        <f>VLOOKUP($A140,'Data Vlaue (Cr)'!$C:$FB,122)*100</f>
        <v>7.55</v>
      </c>
      <c r="R140" s="75">
        <f>VLOOKUP($A140,'Data Vlaue (Cr)'!$C:$FB,125)</f>
        <v>0.86</v>
      </c>
      <c r="S140" s="75">
        <f>VLOOKUP($A140,'Data Vlaue (Cr)'!$C:$FB,128)*100</f>
        <v>-2.27</v>
      </c>
    </row>
    <row r="141" spans="1:19" x14ac:dyDescent="0.25">
      <c r="A141" s="96" t="str">
        <f>'Data Vlaue (Cr)'!C132</f>
        <v>MOTHERSON</v>
      </c>
      <c r="B141" s="75">
        <f>VLOOKUP($A141,'Data Vlaue (Cr)'!$C:$FB,2)</f>
        <v>6150</v>
      </c>
      <c r="C141" s="75">
        <f>VLOOKUP($A141,'Data Vlaue (Cr)'!$C:$FB,8)</f>
        <v>111.43</v>
      </c>
      <c r="D141" s="75">
        <f>VLOOKUP($A141,'Data Vlaue (Cr)'!$C:$FB,4)</f>
        <v>111.88</v>
      </c>
      <c r="E141" s="75">
        <f>VLOOKUP($A141,'Data Vlaue (Cr)'!$C:$FB,5)</f>
        <v>110.23</v>
      </c>
      <c r="F141" s="75">
        <f t="shared" si="12"/>
        <v>0.44999999999998863</v>
      </c>
      <c r="G141" s="75">
        <f t="shared" si="13"/>
        <v>1.4747944225956306</v>
      </c>
      <c r="H141" s="75">
        <f>VLOOKUP($A141,'Data Vlaue (Cr)'!$C:$FB,99)</f>
        <v>2398</v>
      </c>
      <c r="I141" s="75">
        <f>VLOOKUP($A141,'Data Vlaue (Cr)'!$C:$FB,100)</f>
        <v>2352</v>
      </c>
      <c r="J141" s="75">
        <f t="shared" si="14"/>
        <v>46</v>
      </c>
      <c r="K141" s="75">
        <f t="shared" si="15"/>
        <v>1.9182652210175146</v>
      </c>
      <c r="L141" s="75">
        <f>VLOOKUP($A141,'Data Vlaue (Cr)'!$C:$FB,67)</f>
        <v>708</v>
      </c>
      <c r="M141" s="75">
        <f>VLOOKUP($A141,'Data Vlaue (Cr)'!$C:$FB,68)</f>
        <v>1891</v>
      </c>
      <c r="N141" s="75">
        <f t="shared" si="16"/>
        <v>-1183</v>
      </c>
      <c r="O141" s="75">
        <f t="shared" si="17"/>
        <v>-167.09039548022599</v>
      </c>
      <c r="P141" s="75">
        <f>VLOOKUP($A141,'Data Vlaue (Cr)'!$C:$FB,119)</f>
        <v>0.81</v>
      </c>
      <c r="Q141" s="75">
        <f>VLOOKUP($A141,'Data Vlaue (Cr)'!$C:$FB,122)*100</f>
        <v>1.25</v>
      </c>
      <c r="R141" s="75">
        <f>VLOOKUP($A141,'Data Vlaue (Cr)'!$C:$FB,125)</f>
        <v>0.33</v>
      </c>
      <c r="S141" s="75">
        <f>VLOOKUP($A141,'Data Vlaue (Cr)'!$C:$FB,128)*100</f>
        <v>-36.54</v>
      </c>
    </row>
    <row r="142" spans="1:19" x14ac:dyDescent="0.25">
      <c r="A142" s="96" t="str">
        <f>'Data Vlaue (Cr)'!C133</f>
        <v>MPHASIS</v>
      </c>
      <c r="B142" s="75">
        <f>VLOOKUP($A142,'Data Vlaue (Cr)'!$C:$FB,2)</f>
        <v>275</v>
      </c>
      <c r="C142" s="75">
        <f>VLOOKUP($A142,'Data Vlaue (Cr)'!$C:$FB,8)</f>
        <v>2833.7</v>
      </c>
      <c r="D142" s="75">
        <f>VLOOKUP($A142,'Data Vlaue (Cr)'!$C:$FB,4)</f>
        <v>2843.6</v>
      </c>
      <c r="E142" s="75">
        <f>VLOOKUP($A142,'Data Vlaue (Cr)'!$C:$FB,5)</f>
        <v>2826</v>
      </c>
      <c r="F142" s="75">
        <f t="shared" si="12"/>
        <v>9.9000000000000909</v>
      </c>
      <c r="G142" s="75">
        <f t="shared" si="13"/>
        <v>0.61893374595582751</v>
      </c>
      <c r="H142" s="75">
        <f>VLOOKUP($A142,'Data Vlaue (Cr)'!$C:$FB,99)</f>
        <v>1529</v>
      </c>
      <c r="I142" s="75">
        <f>VLOOKUP($A142,'Data Vlaue (Cr)'!$C:$FB,100)</f>
        <v>1498</v>
      </c>
      <c r="J142" s="75">
        <f t="shared" si="14"/>
        <v>31</v>
      </c>
      <c r="K142" s="75">
        <f t="shared" si="15"/>
        <v>2.0274689339437542</v>
      </c>
      <c r="L142" s="75">
        <f>VLOOKUP($A142,'Data Vlaue (Cr)'!$C:$FB,67)</f>
        <v>443</v>
      </c>
      <c r="M142" s="75">
        <f>VLOOKUP($A142,'Data Vlaue (Cr)'!$C:$FB,68)</f>
        <v>1590</v>
      </c>
      <c r="N142" s="75">
        <f t="shared" si="16"/>
        <v>-1147</v>
      </c>
      <c r="O142" s="75">
        <f t="shared" si="17"/>
        <v>-258.91647855530471</v>
      </c>
      <c r="P142" s="75">
        <f>VLOOKUP($A142,'Data Vlaue (Cr)'!$C:$FB,119)</f>
        <v>0.74</v>
      </c>
      <c r="Q142" s="75">
        <f>VLOOKUP($A142,'Data Vlaue (Cr)'!$C:$FB,122)*100</f>
        <v>4.2299999999999995</v>
      </c>
      <c r="R142" s="75">
        <f>VLOOKUP($A142,'Data Vlaue (Cr)'!$C:$FB,125)</f>
        <v>0.52</v>
      </c>
      <c r="S142" s="75">
        <f>VLOOKUP($A142,'Data Vlaue (Cr)'!$C:$FB,128)*100</f>
        <v>-16.13</v>
      </c>
    </row>
    <row r="143" spans="1:19" x14ac:dyDescent="0.25">
      <c r="A143" s="96" t="str">
        <f>'Data Vlaue (Cr)'!C134</f>
        <v>MUTHOOTFIN</v>
      </c>
      <c r="B143" s="75">
        <f>VLOOKUP($A143,'Data Vlaue (Cr)'!$C:$FB,2)</f>
        <v>275</v>
      </c>
      <c r="C143" s="75">
        <f>VLOOKUP($A143,'Data Vlaue (Cr)'!$C:$FB,8)</f>
        <v>3955.5</v>
      </c>
      <c r="D143" s="75">
        <f>VLOOKUP($A143,'Data Vlaue (Cr)'!$C:$FB,4)</f>
        <v>3986.5</v>
      </c>
      <c r="E143" s="75">
        <f>VLOOKUP($A143,'Data Vlaue (Cr)'!$C:$FB,5)</f>
        <v>3889.7</v>
      </c>
      <c r="F143" s="75">
        <f t="shared" si="12"/>
        <v>31</v>
      </c>
      <c r="G143" s="75">
        <f t="shared" si="13"/>
        <v>2.4281951586604835</v>
      </c>
      <c r="H143" s="75">
        <f>VLOOKUP($A143,'Data Vlaue (Cr)'!$C:$FB,99)</f>
        <v>2218</v>
      </c>
      <c r="I143" s="75">
        <f>VLOOKUP($A143,'Data Vlaue (Cr)'!$C:$FB,100)</f>
        <v>2012</v>
      </c>
      <c r="J143" s="75">
        <f t="shared" si="14"/>
        <v>206</v>
      </c>
      <c r="K143" s="75"/>
      <c r="L143" s="75">
        <f>VLOOKUP($A143,'Data Vlaue (Cr)'!$C:$FB,67)</f>
        <v>1213</v>
      </c>
      <c r="M143" s="75">
        <f>VLOOKUP($A143,'Data Vlaue (Cr)'!$C:$FB,68)</f>
        <v>2861</v>
      </c>
      <c r="N143" s="75">
        <f t="shared" si="16"/>
        <v>-1648</v>
      </c>
      <c r="O143" s="75">
        <f t="shared" si="17"/>
        <v>-135.86150041220117</v>
      </c>
      <c r="P143" s="75">
        <f>VLOOKUP($A143,'Data Vlaue (Cr)'!$C:$FB,119)</f>
        <v>0.69</v>
      </c>
      <c r="Q143" s="75">
        <f>VLOOKUP($A143,'Data Vlaue (Cr)'!$C:$FB,122)*100</f>
        <v>-4.17</v>
      </c>
      <c r="R143" s="75">
        <f>VLOOKUP($A143,'Data Vlaue (Cr)'!$C:$FB,125)</f>
        <v>0.44</v>
      </c>
      <c r="S143" s="75">
        <f>VLOOKUP($A143,'Data Vlaue (Cr)'!$C:$FB,128)*100</f>
        <v>-32.31</v>
      </c>
    </row>
    <row r="144" spans="1:19" x14ac:dyDescent="0.25">
      <c r="A144" s="96" t="str">
        <f>'Data Vlaue (Cr)'!C135</f>
        <v>NATIONALUM</v>
      </c>
      <c r="B144" s="75">
        <f>VLOOKUP($A144,'Data Vlaue (Cr)'!$C:$FB,2)</f>
        <v>3750</v>
      </c>
      <c r="C144" s="75">
        <f>VLOOKUP($A144,'Data Vlaue (Cr)'!$C:$FB,8)</f>
        <v>406.15</v>
      </c>
      <c r="D144" s="75">
        <f>VLOOKUP($A144,'Data Vlaue (Cr)'!$C:$FB,4)</f>
        <v>404.05</v>
      </c>
      <c r="E144" s="75">
        <f>VLOOKUP($A144,'Data Vlaue (Cr)'!$C:$FB,5)</f>
        <v>382.05</v>
      </c>
      <c r="F144" s="75">
        <f t="shared" si="12"/>
        <v>-2.0999999999999659</v>
      </c>
      <c r="G144" s="75">
        <f t="shared" si="13"/>
        <v>5.4448706843212475</v>
      </c>
      <c r="H144" s="75">
        <f>VLOOKUP($A144,'Data Vlaue (Cr)'!$C:$FB,99)</f>
        <v>3606</v>
      </c>
      <c r="I144" s="75">
        <f>VLOOKUP($A144,'Data Vlaue (Cr)'!$C:$FB,100)</f>
        <v>3321</v>
      </c>
      <c r="J144" s="75">
        <f t="shared" si="14"/>
        <v>285</v>
      </c>
      <c r="K144" s="75">
        <f t="shared" si="15"/>
        <v>7.9034941763727122</v>
      </c>
      <c r="L144" s="75">
        <f>VLOOKUP($A144,'Data Vlaue (Cr)'!$C:$FB,67)</f>
        <v>6791</v>
      </c>
      <c r="M144" s="75">
        <f>VLOOKUP($A144,'Data Vlaue (Cr)'!$C:$FB,68)</f>
        <v>6744</v>
      </c>
      <c r="N144" s="75">
        <f t="shared" si="16"/>
        <v>47</v>
      </c>
      <c r="O144" s="75">
        <f t="shared" si="17"/>
        <v>0.69209247533500218</v>
      </c>
      <c r="P144" s="75">
        <f>VLOOKUP($A144,'Data Vlaue (Cr)'!$C:$FB,119)</f>
        <v>0.87</v>
      </c>
      <c r="Q144" s="75">
        <f>VLOOKUP($A144,'Data Vlaue (Cr)'!$C:$FB,122)*100</f>
        <v>11.540000000000001</v>
      </c>
      <c r="R144" s="75">
        <f>VLOOKUP($A144,'Data Vlaue (Cr)'!$C:$FB,125)</f>
        <v>0.43</v>
      </c>
      <c r="S144" s="75">
        <f>VLOOKUP($A144,'Data Vlaue (Cr)'!$C:$FB,128)*100</f>
        <v>-14.000000000000002</v>
      </c>
    </row>
    <row r="145" spans="1:19" x14ac:dyDescent="0.25">
      <c r="A145" s="96" t="str">
        <f>'Data Vlaue (Cr)'!C136</f>
        <v>NAUKRI</v>
      </c>
      <c r="B145" s="75">
        <f>VLOOKUP($A145,'Data Vlaue (Cr)'!$C:$FB,2)</f>
        <v>375</v>
      </c>
      <c r="C145" s="75">
        <f>VLOOKUP($A145,'Data Vlaue (Cr)'!$C:$FB,8)</f>
        <v>1299.9000000000001</v>
      </c>
      <c r="D145" s="75">
        <f>VLOOKUP($A145,'Data Vlaue (Cr)'!$C:$FB,4)</f>
        <v>1307.7</v>
      </c>
      <c r="E145" s="75">
        <f>VLOOKUP($A145,'Data Vlaue (Cr)'!$C:$FB,5)</f>
        <v>1286.2</v>
      </c>
      <c r="F145" s="75">
        <f t="shared" si="12"/>
        <v>7.7999999999999545</v>
      </c>
      <c r="G145" s="75">
        <f t="shared" si="13"/>
        <v>1.6441079758354362</v>
      </c>
      <c r="H145" s="75">
        <f>VLOOKUP($A145,'Data Vlaue (Cr)'!$C:$FB,99)</f>
        <v>1328</v>
      </c>
      <c r="I145" s="75">
        <f>VLOOKUP($A145,'Data Vlaue (Cr)'!$C:$FB,100)</f>
        <v>1252</v>
      </c>
      <c r="J145" s="75">
        <f t="shared" si="14"/>
        <v>76</v>
      </c>
      <c r="K145" s="75">
        <f t="shared" si="15"/>
        <v>5.7228915662650603</v>
      </c>
      <c r="L145" s="75">
        <f>VLOOKUP($A145,'Data Vlaue (Cr)'!$C:$FB,67)</f>
        <v>536</v>
      </c>
      <c r="M145" s="75">
        <f>VLOOKUP($A145,'Data Vlaue (Cr)'!$C:$FB,68)</f>
        <v>1260</v>
      </c>
      <c r="N145" s="75">
        <f t="shared" si="16"/>
        <v>-724</v>
      </c>
      <c r="O145" s="75">
        <f t="shared" si="17"/>
        <v>-135.07462686567163</v>
      </c>
      <c r="P145" s="75">
        <f>VLOOKUP($A145,'Data Vlaue (Cr)'!$C:$FB,119)</f>
        <v>0.88</v>
      </c>
      <c r="Q145" s="75">
        <f>VLOOKUP($A145,'Data Vlaue (Cr)'!$C:$FB,122)*100</f>
        <v>-8.33</v>
      </c>
      <c r="R145" s="75">
        <f>VLOOKUP($A145,'Data Vlaue (Cr)'!$C:$FB,125)</f>
        <v>0.62</v>
      </c>
      <c r="S145" s="75">
        <f>VLOOKUP($A145,'Data Vlaue (Cr)'!$C:$FB,128)*100</f>
        <v>-44.64</v>
      </c>
    </row>
    <row r="146" spans="1:19" x14ac:dyDescent="0.25">
      <c r="A146" s="96" t="str">
        <f>'Data Vlaue (Cr)'!C137</f>
        <v>NBCC</v>
      </c>
      <c r="B146" s="75">
        <f>VLOOKUP($A146,'Data Vlaue (Cr)'!$C:$FB,2)</f>
        <v>6500</v>
      </c>
      <c r="C146" s="75">
        <f>VLOOKUP($A146,'Data Vlaue (Cr)'!$C:$FB,8)</f>
        <v>99.53</v>
      </c>
      <c r="D146" s="75">
        <f>VLOOKUP($A146,'Data Vlaue (Cr)'!$C:$FB,4)</f>
        <v>99.8</v>
      </c>
      <c r="E146" s="75">
        <f>VLOOKUP($A146,'Data Vlaue (Cr)'!$C:$FB,5)</f>
        <v>97.23</v>
      </c>
      <c r="F146" s="75">
        <f t="shared" si="12"/>
        <v>0.26999999999999602</v>
      </c>
      <c r="G146" s="75">
        <f t="shared" si="13"/>
        <v>2.5751503006011958</v>
      </c>
      <c r="H146" s="75">
        <f>VLOOKUP($A146,'Data Vlaue (Cr)'!$C:$FB,99)</f>
        <v>1230</v>
      </c>
      <c r="I146" s="75">
        <f>VLOOKUP($A146,'Data Vlaue (Cr)'!$C:$FB,100)</f>
        <v>1182</v>
      </c>
      <c r="J146" s="75">
        <f t="shared" si="14"/>
        <v>48</v>
      </c>
      <c r="K146" s="75">
        <f t="shared" si="15"/>
        <v>3.9024390243902438</v>
      </c>
      <c r="L146" s="75">
        <f>VLOOKUP($A146,'Data Vlaue (Cr)'!$C:$FB,67)</f>
        <v>571</v>
      </c>
      <c r="M146" s="75">
        <f>VLOOKUP($A146,'Data Vlaue (Cr)'!$C:$FB,68)</f>
        <v>1373</v>
      </c>
      <c r="N146" s="75">
        <f t="shared" si="16"/>
        <v>-802</v>
      </c>
      <c r="O146" s="75">
        <f t="shared" si="17"/>
        <v>-140.4553415061296</v>
      </c>
      <c r="P146" s="75">
        <f>VLOOKUP($A146,'Data Vlaue (Cr)'!$C:$FB,119)</f>
        <v>0.82</v>
      </c>
      <c r="Q146" s="75">
        <f>VLOOKUP($A146,'Data Vlaue (Cr)'!$C:$FB,122)*100</f>
        <v>-8.89</v>
      </c>
      <c r="R146" s="75">
        <f>VLOOKUP($A146,'Data Vlaue (Cr)'!$C:$FB,125)</f>
        <v>0.35</v>
      </c>
      <c r="S146" s="75">
        <f>VLOOKUP($A146,'Data Vlaue (Cr)'!$C:$FB,128)*100</f>
        <v>-49.28</v>
      </c>
    </row>
    <row r="147" spans="1:19" x14ac:dyDescent="0.25">
      <c r="A147" s="96" t="str">
        <f>'Data Vlaue (Cr)'!C138</f>
        <v>NESTLEIND</v>
      </c>
      <c r="B147" s="75">
        <f>VLOOKUP($A147,'Data Vlaue (Cr)'!$C:$FB,2)</f>
        <v>500</v>
      </c>
      <c r="C147" s="75">
        <f>VLOOKUP($A147,'Data Vlaue (Cr)'!$C:$FB,8)</f>
        <v>1292.4000000000001</v>
      </c>
      <c r="D147" s="75">
        <f>VLOOKUP($A147,'Data Vlaue (Cr)'!$C:$FB,4)</f>
        <v>1288.5999999999999</v>
      </c>
      <c r="E147" s="75">
        <f>VLOOKUP($A147,'Data Vlaue (Cr)'!$C:$FB,5)</f>
        <v>1304.5999999999999</v>
      </c>
      <c r="F147" s="75">
        <f t="shared" si="12"/>
        <v>-3.8000000000001819</v>
      </c>
      <c r="G147" s="75">
        <f t="shared" si="13"/>
        <v>-1.2416576129132393</v>
      </c>
      <c r="H147" s="75">
        <f>VLOOKUP($A147,'Data Vlaue (Cr)'!$C:$FB,99)</f>
        <v>2624</v>
      </c>
      <c r="I147" s="75">
        <f>VLOOKUP($A147,'Data Vlaue (Cr)'!$C:$FB,100)</f>
        <v>2474</v>
      </c>
      <c r="J147" s="75">
        <f t="shared" si="14"/>
        <v>150</v>
      </c>
      <c r="K147" s="75">
        <f t="shared" si="15"/>
        <v>5.7164634146341466</v>
      </c>
      <c r="L147" s="75">
        <f>VLOOKUP($A147,'Data Vlaue (Cr)'!$C:$FB,67)</f>
        <v>894</v>
      </c>
      <c r="M147" s="75">
        <f>VLOOKUP($A147,'Data Vlaue (Cr)'!$C:$FB,68)</f>
        <v>1610</v>
      </c>
      <c r="N147" s="75">
        <f t="shared" si="16"/>
        <v>-716</v>
      </c>
      <c r="O147" s="75">
        <f t="shared" si="17"/>
        <v>-80.08948545861297</v>
      </c>
      <c r="P147" s="75">
        <f>VLOOKUP($A147,'Data Vlaue (Cr)'!$C:$FB,119)</f>
        <v>0.72</v>
      </c>
      <c r="Q147" s="75">
        <f>VLOOKUP($A147,'Data Vlaue (Cr)'!$C:$FB,122)*100</f>
        <v>-15.290000000000001</v>
      </c>
      <c r="R147" s="75">
        <f>VLOOKUP($A147,'Data Vlaue (Cr)'!$C:$FB,125)</f>
        <v>0.59</v>
      </c>
      <c r="S147" s="75">
        <f>VLOOKUP($A147,'Data Vlaue (Cr)'!$C:$FB,128)*100</f>
        <v>-11.940000000000001</v>
      </c>
    </row>
    <row r="148" spans="1:19" x14ac:dyDescent="0.25">
      <c r="A148" s="96" t="str">
        <f>'Data Vlaue (Cr)'!C139</f>
        <v>NHPC</v>
      </c>
      <c r="B148" s="75">
        <f>VLOOKUP($A148,'Data Vlaue (Cr)'!$C:$FB,2)</f>
        <v>6400</v>
      </c>
      <c r="C148" s="75">
        <f>VLOOKUP($A148,'Data Vlaue (Cr)'!$C:$FB,8)</f>
        <v>78.89</v>
      </c>
      <c r="D148" s="75">
        <f>VLOOKUP($A148,'Data Vlaue (Cr)'!$C:$FB,4)</f>
        <v>78.38</v>
      </c>
      <c r="E148" s="75">
        <f>VLOOKUP($A148,'Data Vlaue (Cr)'!$C:$FB,5)</f>
        <v>75.08</v>
      </c>
      <c r="F148" s="75">
        <f t="shared" si="12"/>
        <v>-0.51000000000000512</v>
      </c>
      <c r="G148" s="75">
        <f t="shared" si="13"/>
        <v>4.2102577188058143</v>
      </c>
      <c r="H148" s="75">
        <f>VLOOKUP($A148,'Data Vlaue (Cr)'!$C:$FB,99)</f>
        <v>762</v>
      </c>
      <c r="I148" s="75">
        <f>VLOOKUP($A148,'Data Vlaue (Cr)'!$C:$FB,100)</f>
        <v>732</v>
      </c>
      <c r="J148" s="75">
        <f t="shared" si="14"/>
        <v>30</v>
      </c>
      <c r="K148" s="75">
        <f t="shared" si="15"/>
        <v>3.9370078740157481</v>
      </c>
      <c r="L148" s="75">
        <f>VLOOKUP($A148,'Data Vlaue (Cr)'!$C:$FB,67)</f>
        <v>430</v>
      </c>
      <c r="M148" s="75">
        <f>VLOOKUP($A148,'Data Vlaue (Cr)'!$C:$FB,68)</f>
        <v>1032</v>
      </c>
      <c r="N148" s="75">
        <f t="shared" si="16"/>
        <v>-602</v>
      </c>
      <c r="O148" s="75">
        <f t="shared" si="17"/>
        <v>-140</v>
      </c>
      <c r="P148" s="75">
        <f>VLOOKUP($A148,'Data Vlaue (Cr)'!$C:$FB,119)</f>
        <v>0.89</v>
      </c>
      <c r="Q148" s="75">
        <f>VLOOKUP($A148,'Data Vlaue (Cr)'!$C:$FB,122)*100</f>
        <v>-4.3</v>
      </c>
      <c r="R148" s="75">
        <f>VLOOKUP($A148,'Data Vlaue (Cr)'!$C:$FB,125)</f>
        <v>0.6</v>
      </c>
      <c r="S148" s="75">
        <f>VLOOKUP($A148,'Data Vlaue (Cr)'!$C:$FB,128)*100</f>
        <v>-24.05</v>
      </c>
    </row>
    <row r="149" spans="1:19" x14ac:dyDescent="0.25">
      <c r="A149" s="96" t="str">
        <f>'Data Vlaue (Cr)'!C140</f>
        <v>NIFTY</v>
      </c>
      <c r="B149" s="75">
        <f>VLOOKUP($A149,'Data Vlaue (Cr)'!$C:$FB,2)</f>
        <v>65</v>
      </c>
      <c r="C149" s="75">
        <f>VLOOKUP($A149,'Data Vlaue (Cr)'!$C:$FB,8)</f>
        <v>25342.75</v>
      </c>
      <c r="D149" s="75">
        <f>VLOOKUP($A149,'Data Vlaue (Cr)'!$C:$FB,4)</f>
        <v>25450.400000000001</v>
      </c>
      <c r="E149" s="75">
        <f>VLOOKUP($A149,'Data Vlaue (Cr)'!$C:$FB,5)</f>
        <v>25382.6</v>
      </c>
      <c r="F149" s="75">
        <f t="shared" si="12"/>
        <v>107.65000000000146</v>
      </c>
      <c r="G149" s="75">
        <f t="shared" si="13"/>
        <v>0.266400528086014</v>
      </c>
      <c r="H149" s="75">
        <f>VLOOKUP($A149,'Data Vlaue (Cr)'!$C:$FB,99)</f>
        <v>878381</v>
      </c>
      <c r="I149" s="75">
        <f>VLOOKUP($A149,'Data Vlaue (Cr)'!$C:$FB,100)</f>
        <v>653377</v>
      </c>
      <c r="J149" s="75">
        <f t="shared" si="14"/>
        <v>225004</v>
      </c>
      <c r="K149" s="75">
        <f t="shared" si="15"/>
        <v>25.615763546798032</v>
      </c>
      <c r="L149" s="75">
        <f>VLOOKUP($A149,'Data Vlaue (Cr)'!$C:$FB,67)</f>
        <v>7989882</v>
      </c>
      <c r="M149" s="75">
        <f>VLOOKUP($A149,'Data Vlaue (Cr)'!$C:$FB,68)</f>
        <v>66832926</v>
      </c>
      <c r="N149" s="75">
        <f t="shared" si="16"/>
        <v>-58843044</v>
      </c>
      <c r="O149" s="75">
        <f t="shared" si="17"/>
        <v>-736.46949979987198</v>
      </c>
      <c r="P149" s="75">
        <f>VLOOKUP($A149,'Data Vlaue (Cr)'!$C:$FB,119)</f>
        <v>0.97</v>
      </c>
      <c r="Q149" s="75">
        <f>VLOOKUP($A149,'Data Vlaue (Cr)'!$C:$FB,122)*100</f>
        <v>-4.9000000000000004</v>
      </c>
      <c r="R149" s="75">
        <f>VLOOKUP($A149,'Data Vlaue (Cr)'!$C:$FB,125)</f>
        <v>0.93</v>
      </c>
      <c r="S149" s="75">
        <f>VLOOKUP($A149,'Data Vlaue (Cr)'!$C:$FB,128)*100</f>
        <v>1.0900000000000001</v>
      </c>
    </row>
    <row r="150" spans="1:19" x14ac:dyDescent="0.25">
      <c r="A150" s="96" t="str">
        <f>'Data Vlaue (Cr)'!C141</f>
        <v>NIFTYNXT50</v>
      </c>
      <c r="B150" s="75">
        <f>VLOOKUP($A150,'Data Vlaue (Cr)'!$C:$FB,2)</f>
        <v>25</v>
      </c>
      <c r="C150" s="75">
        <f>VLOOKUP($A150,'Data Vlaue (Cr)'!$C:$FB,8)</f>
        <v>68205.649999999994</v>
      </c>
      <c r="D150" s="75">
        <f>VLOOKUP($A150,'Data Vlaue (Cr)'!$C:$FB,4)</f>
        <v>68402.8</v>
      </c>
      <c r="E150" s="75">
        <f>VLOOKUP($A150,'Data Vlaue (Cr)'!$C:$FB,5)</f>
        <v>67036.399999999994</v>
      </c>
      <c r="F150" s="75">
        <f t="shared" si="12"/>
        <v>197.15000000000873</v>
      </c>
      <c r="G150" s="75">
        <f t="shared" si="13"/>
        <v>1.9975790464717944</v>
      </c>
      <c r="H150" s="75">
        <f>VLOOKUP($A150,'Data Vlaue (Cr)'!$C:$FB,99)</f>
        <v>173</v>
      </c>
      <c r="I150" s="75">
        <f>VLOOKUP($A150,'Data Vlaue (Cr)'!$C:$FB,100)</f>
        <v>140</v>
      </c>
      <c r="J150" s="75">
        <f t="shared" si="14"/>
        <v>33</v>
      </c>
      <c r="K150" s="75">
        <f t="shared" si="15"/>
        <v>19.075144508670519</v>
      </c>
      <c r="L150" s="75">
        <f>VLOOKUP($A150,'Data Vlaue (Cr)'!$C:$FB,67)</f>
        <v>163</v>
      </c>
      <c r="M150" s="75">
        <f>VLOOKUP($A150,'Data Vlaue (Cr)'!$C:$FB,68)</f>
        <v>2804</v>
      </c>
      <c r="N150" s="75">
        <f t="shared" si="16"/>
        <v>-2641</v>
      </c>
      <c r="O150" s="75">
        <f t="shared" si="17"/>
        <v>-1620.2453987730059</v>
      </c>
      <c r="P150" s="75">
        <f>VLOOKUP($A150,'Data Vlaue (Cr)'!$C:$FB,119)</f>
        <v>0.75</v>
      </c>
      <c r="Q150" s="75">
        <f>VLOOKUP($A150,'Data Vlaue (Cr)'!$C:$FB,122)*100</f>
        <v>-96.59</v>
      </c>
      <c r="R150" s="75">
        <f>VLOOKUP($A150,'Data Vlaue (Cr)'!$C:$FB,125)</f>
        <v>0.65</v>
      </c>
      <c r="S150" s="75">
        <f>VLOOKUP($A150,'Data Vlaue (Cr)'!$C:$FB,128)*100</f>
        <v>96.97</v>
      </c>
    </row>
    <row r="151" spans="1:19" x14ac:dyDescent="0.25">
      <c r="A151" s="96" t="str">
        <f>'Data Vlaue (Cr)'!C142</f>
        <v>NMDC</v>
      </c>
      <c r="B151" s="75">
        <f>VLOOKUP($A151,'Data Vlaue (Cr)'!$C:$FB,2)</f>
        <v>6750</v>
      </c>
      <c r="C151" s="75">
        <f>VLOOKUP($A151,'Data Vlaue (Cr)'!$C:$FB,8)</f>
        <v>81.52</v>
      </c>
      <c r="D151" s="75">
        <f>VLOOKUP($A151,'Data Vlaue (Cr)'!$C:$FB,4)</f>
        <v>81.69</v>
      </c>
      <c r="E151" s="75">
        <f>VLOOKUP($A151,'Data Vlaue (Cr)'!$C:$FB,5)</f>
        <v>79.42</v>
      </c>
      <c r="F151" s="75">
        <f t="shared" si="12"/>
        <v>0.17000000000000171</v>
      </c>
      <c r="G151" s="75">
        <f t="shared" si="13"/>
        <v>2.7787978944791236</v>
      </c>
      <c r="H151" s="75">
        <f>VLOOKUP($A151,'Data Vlaue (Cr)'!$C:$FB,99)</f>
        <v>3503</v>
      </c>
      <c r="I151" s="75">
        <f>VLOOKUP($A151,'Data Vlaue (Cr)'!$C:$FB,100)</f>
        <v>3407</v>
      </c>
      <c r="J151" s="75">
        <f t="shared" si="14"/>
        <v>96</v>
      </c>
      <c r="K151" s="75">
        <f t="shared" si="15"/>
        <v>2.7405081358835286</v>
      </c>
      <c r="L151" s="75">
        <f>VLOOKUP($A151,'Data Vlaue (Cr)'!$C:$FB,67)</f>
        <v>1451</v>
      </c>
      <c r="M151" s="75">
        <f>VLOOKUP($A151,'Data Vlaue (Cr)'!$C:$FB,68)</f>
        <v>2382</v>
      </c>
      <c r="N151" s="75">
        <f t="shared" si="16"/>
        <v>-931</v>
      </c>
      <c r="O151" s="75">
        <f t="shared" si="17"/>
        <v>-64.162646450723642</v>
      </c>
      <c r="P151" s="75">
        <f>VLOOKUP($A151,'Data Vlaue (Cr)'!$C:$FB,119)</f>
        <v>0.6</v>
      </c>
      <c r="Q151" s="75">
        <f>VLOOKUP($A151,'Data Vlaue (Cr)'!$C:$FB,122)*100</f>
        <v>-13.04</v>
      </c>
      <c r="R151" s="75">
        <f>VLOOKUP($A151,'Data Vlaue (Cr)'!$C:$FB,125)</f>
        <v>0.28000000000000003</v>
      </c>
      <c r="S151" s="75">
        <f>VLOOKUP($A151,'Data Vlaue (Cr)'!$C:$FB,128)*100</f>
        <v>-42.86</v>
      </c>
    </row>
    <row r="152" spans="1:19" x14ac:dyDescent="0.25">
      <c r="A152" s="96" t="str">
        <f>'Data Vlaue (Cr)'!C143</f>
        <v>NTPC</v>
      </c>
      <c r="B152" s="75">
        <f>VLOOKUP($A152,'Data Vlaue (Cr)'!$C:$FB,2)</f>
        <v>1500</v>
      </c>
      <c r="C152" s="75">
        <f>VLOOKUP($A152,'Data Vlaue (Cr)'!$C:$FB,8)</f>
        <v>348.05</v>
      </c>
      <c r="D152" s="75">
        <f>VLOOKUP($A152,'Data Vlaue (Cr)'!$C:$FB,4)</f>
        <v>347.5</v>
      </c>
      <c r="E152" s="75">
        <f>VLOOKUP($A152,'Data Vlaue (Cr)'!$C:$FB,5)</f>
        <v>343.5</v>
      </c>
      <c r="F152" s="75">
        <f t="shared" si="12"/>
        <v>-0.55000000000001137</v>
      </c>
      <c r="G152" s="75">
        <f t="shared" si="13"/>
        <v>1.1510791366906474</v>
      </c>
      <c r="H152" s="75">
        <f>VLOOKUP($A152,'Data Vlaue (Cr)'!$C:$FB,99)</f>
        <v>4008</v>
      </c>
      <c r="I152" s="75">
        <f>VLOOKUP($A152,'Data Vlaue (Cr)'!$C:$FB,100)</f>
        <v>3726</v>
      </c>
      <c r="J152" s="75">
        <f t="shared" si="14"/>
        <v>282</v>
      </c>
      <c r="K152" s="75">
        <f t="shared" si="15"/>
        <v>7.0359281437125745</v>
      </c>
      <c r="L152" s="75">
        <f>VLOOKUP($A152,'Data Vlaue (Cr)'!$C:$FB,67)</f>
        <v>2812</v>
      </c>
      <c r="M152" s="75">
        <f>VLOOKUP($A152,'Data Vlaue (Cr)'!$C:$FB,68)</f>
        <v>4433</v>
      </c>
      <c r="N152" s="75">
        <f t="shared" si="16"/>
        <v>-1621</v>
      </c>
      <c r="O152" s="75">
        <f t="shared" si="17"/>
        <v>-57.64580369843528</v>
      </c>
      <c r="P152" s="75">
        <f>VLOOKUP($A152,'Data Vlaue (Cr)'!$C:$FB,119)</f>
        <v>0.81</v>
      </c>
      <c r="Q152" s="75">
        <f>VLOOKUP($A152,'Data Vlaue (Cr)'!$C:$FB,122)*100</f>
        <v>-5.81</v>
      </c>
      <c r="R152" s="75">
        <f>VLOOKUP($A152,'Data Vlaue (Cr)'!$C:$FB,125)</f>
        <v>0.41</v>
      </c>
      <c r="S152" s="75">
        <f>VLOOKUP($A152,'Data Vlaue (Cr)'!$C:$FB,128)*100</f>
        <v>-26.790000000000003</v>
      </c>
    </row>
    <row r="153" spans="1:19" x14ac:dyDescent="0.25">
      <c r="A153" s="96" t="str">
        <f>'Data Vlaue (Cr)'!C144</f>
        <v>NUVAMA</v>
      </c>
      <c r="B153" s="75">
        <f>VLOOKUP($A153,'Data Vlaue (Cr)'!$C:$FB,2)</f>
        <v>500</v>
      </c>
      <c r="C153" s="75">
        <f>VLOOKUP($A153,'Data Vlaue (Cr)'!$C:$FB,8)</f>
        <v>1322.5</v>
      </c>
      <c r="D153" s="75">
        <f>VLOOKUP($A153,'Data Vlaue (Cr)'!$C:$FB,4)</f>
        <v>1332.7</v>
      </c>
      <c r="E153" s="75">
        <f>VLOOKUP($A153,'Data Vlaue (Cr)'!$C:$FB,5)</f>
        <v>1276.5</v>
      </c>
      <c r="F153" s="75">
        <f t="shared" si="12"/>
        <v>10.200000000000045</v>
      </c>
      <c r="G153" s="75">
        <f t="shared" si="13"/>
        <v>4.2170030764613227</v>
      </c>
      <c r="H153" s="75">
        <f>VLOOKUP($A153,'Data Vlaue (Cr)'!$C:$FB,99)</f>
        <v>512</v>
      </c>
      <c r="I153" s="75">
        <f>VLOOKUP($A153,'Data Vlaue (Cr)'!$C:$FB,100)</f>
        <v>470</v>
      </c>
      <c r="J153" s="75">
        <f t="shared" si="14"/>
        <v>42</v>
      </c>
      <c r="K153" s="75">
        <f t="shared" si="15"/>
        <v>8.203125</v>
      </c>
      <c r="L153" s="75">
        <f>VLOOKUP($A153,'Data Vlaue (Cr)'!$C:$FB,67)</f>
        <v>583</v>
      </c>
      <c r="M153" s="75">
        <f>VLOOKUP($A153,'Data Vlaue (Cr)'!$C:$FB,68)</f>
        <v>1016</v>
      </c>
      <c r="N153" s="75">
        <f t="shared" si="16"/>
        <v>-433</v>
      </c>
      <c r="O153" s="75">
        <f t="shared" si="17"/>
        <v>-74.271012006861056</v>
      </c>
      <c r="P153" s="75">
        <f>VLOOKUP($A153,'Data Vlaue (Cr)'!$C:$FB,119)</f>
        <v>0.88</v>
      </c>
      <c r="Q153" s="75">
        <f>VLOOKUP($A153,'Data Vlaue (Cr)'!$C:$FB,122)*100</f>
        <v>-4.3499999999999996</v>
      </c>
      <c r="R153" s="75">
        <f>VLOOKUP($A153,'Data Vlaue (Cr)'!$C:$FB,125)</f>
        <v>0.45</v>
      </c>
      <c r="S153" s="75">
        <f>VLOOKUP($A153,'Data Vlaue (Cr)'!$C:$FB,128)*100</f>
        <v>-50.55</v>
      </c>
    </row>
    <row r="154" spans="1:19" x14ac:dyDescent="0.25">
      <c r="A154" s="96" t="str">
        <f>'Data Vlaue (Cr)'!C145</f>
        <v>NYKAA</v>
      </c>
      <c r="B154" s="75">
        <f>VLOOKUP($A154,'Data Vlaue (Cr)'!$C:$FB,2)</f>
        <v>3125</v>
      </c>
      <c r="C154" s="75">
        <f>VLOOKUP($A154,'Data Vlaue (Cr)'!$C:$FB,8)</f>
        <v>237.2</v>
      </c>
      <c r="D154" s="75">
        <f>VLOOKUP($A154,'Data Vlaue (Cr)'!$C:$FB,4)</f>
        <v>238.8</v>
      </c>
      <c r="E154" s="75">
        <f>VLOOKUP($A154,'Data Vlaue (Cr)'!$C:$FB,5)</f>
        <v>238.3</v>
      </c>
      <c r="F154" s="75">
        <f t="shared" si="12"/>
        <v>1.6000000000000227</v>
      </c>
      <c r="G154" s="75">
        <f t="shared" si="13"/>
        <v>0.20938023450586263</v>
      </c>
      <c r="H154" s="75">
        <f>VLOOKUP($A154,'Data Vlaue (Cr)'!$C:$FB,99)</f>
        <v>1184</v>
      </c>
      <c r="I154" s="75">
        <f>VLOOKUP($A154,'Data Vlaue (Cr)'!$C:$FB,100)</f>
        <v>1120</v>
      </c>
      <c r="J154" s="75">
        <f t="shared" si="14"/>
        <v>64</v>
      </c>
      <c r="K154" s="75">
        <f t="shared" si="15"/>
        <v>5.4054054054054053</v>
      </c>
      <c r="L154" s="75">
        <f>VLOOKUP($A154,'Data Vlaue (Cr)'!$C:$FB,67)</f>
        <v>352</v>
      </c>
      <c r="M154" s="75">
        <f>VLOOKUP($A154,'Data Vlaue (Cr)'!$C:$FB,68)</f>
        <v>1190</v>
      </c>
      <c r="N154" s="75">
        <f t="shared" si="16"/>
        <v>-838</v>
      </c>
      <c r="O154" s="75">
        <f t="shared" si="17"/>
        <v>-238.06818181818184</v>
      </c>
      <c r="P154" s="75">
        <f>VLOOKUP($A154,'Data Vlaue (Cr)'!$C:$FB,119)</f>
        <v>1.22</v>
      </c>
      <c r="Q154" s="75">
        <f>VLOOKUP($A154,'Data Vlaue (Cr)'!$C:$FB,122)*100</f>
        <v>-0.80999999999999994</v>
      </c>
      <c r="R154" s="75">
        <f>VLOOKUP($A154,'Data Vlaue (Cr)'!$C:$FB,125)</f>
        <v>0.9</v>
      </c>
      <c r="S154" s="75">
        <f>VLOOKUP($A154,'Data Vlaue (Cr)'!$C:$FB,128)*100</f>
        <v>-30.769999999999996</v>
      </c>
    </row>
    <row r="155" spans="1:19" x14ac:dyDescent="0.25">
      <c r="A155" s="96" t="str">
        <f>'Data Vlaue (Cr)'!C146</f>
        <v>OBEROIRLTY</v>
      </c>
      <c r="B155" s="75">
        <f>VLOOKUP($A155,'Data Vlaue (Cr)'!$C:$FB,2)</f>
        <v>350</v>
      </c>
      <c r="C155" s="75">
        <f>VLOOKUP($A155,'Data Vlaue (Cr)'!$C:$FB,8)</f>
        <v>1483.2</v>
      </c>
      <c r="D155" s="75">
        <f>VLOOKUP($A155,'Data Vlaue (Cr)'!$C:$FB,4)</f>
        <v>1488.5</v>
      </c>
      <c r="E155" s="75">
        <f>VLOOKUP($A155,'Data Vlaue (Cr)'!$C:$FB,5)</f>
        <v>1476.8</v>
      </c>
      <c r="F155" s="75">
        <f t="shared" si="12"/>
        <v>5.2999999999999545</v>
      </c>
      <c r="G155" s="75">
        <f t="shared" si="13"/>
        <v>0.78602620087336539</v>
      </c>
      <c r="H155" s="75">
        <f>VLOOKUP($A155,'Data Vlaue (Cr)'!$C:$FB,99)</f>
        <v>1074</v>
      </c>
      <c r="I155" s="75">
        <f>VLOOKUP($A155,'Data Vlaue (Cr)'!$C:$FB,100)</f>
        <v>998</v>
      </c>
      <c r="J155" s="75">
        <f t="shared" si="14"/>
        <v>76</v>
      </c>
      <c r="K155" s="75">
        <f t="shared" si="15"/>
        <v>7.0763500931098688</v>
      </c>
      <c r="L155" s="75">
        <f>VLOOKUP($A155,'Data Vlaue (Cr)'!$C:$FB,67)</f>
        <v>398</v>
      </c>
      <c r="M155" s="75">
        <f>VLOOKUP($A155,'Data Vlaue (Cr)'!$C:$FB,68)</f>
        <v>901</v>
      </c>
      <c r="N155" s="75">
        <f t="shared" si="16"/>
        <v>-503</v>
      </c>
      <c r="O155" s="75">
        <f t="shared" si="17"/>
        <v>-126.38190954773869</v>
      </c>
      <c r="P155" s="75">
        <f>VLOOKUP($A155,'Data Vlaue (Cr)'!$C:$FB,119)</f>
        <v>1.39</v>
      </c>
      <c r="Q155" s="75">
        <f>VLOOKUP($A155,'Data Vlaue (Cr)'!$C:$FB,122)*100</f>
        <v>7.75</v>
      </c>
      <c r="R155" s="75">
        <f>VLOOKUP($A155,'Data Vlaue (Cr)'!$C:$FB,125)</f>
        <v>0.76</v>
      </c>
      <c r="S155" s="75">
        <f>VLOOKUP($A155,'Data Vlaue (Cr)'!$C:$FB,128)*100</f>
        <v>13.43</v>
      </c>
    </row>
    <row r="156" spans="1:19" x14ac:dyDescent="0.25">
      <c r="A156" s="96" t="str">
        <f>'Data Vlaue (Cr)'!C147</f>
        <v>OFSS</v>
      </c>
      <c r="B156" s="75">
        <f>VLOOKUP($A156,'Data Vlaue (Cr)'!$C:$FB,2)</f>
        <v>75</v>
      </c>
      <c r="C156" s="75">
        <f>VLOOKUP($A156,'Data Vlaue (Cr)'!$C:$FB,8)</f>
        <v>8012.5</v>
      </c>
      <c r="D156" s="75">
        <f>VLOOKUP($A156,'Data Vlaue (Cr)'!$C:$FB,4)</f>
        <v>8059</v>
      </c>
      <c r="E156" s="75">
        <f>VLOOKUP($A156,'Data Vlaue (Cr)'!$C:$FB,5)</f>
        <v>8041.5</v>
      </c>
      <c r="F156" s="75">
        <f t="shared" si="12"/>
        <v>46.5</v>
      </c>
      <c r="G156" s="75">
        <f t="shared" si="13"/>
        <v>0.21714852959424247</v>
      </c>
      <c r="H156" s="75">
        <f>VLOOKUP($A156,'Data Vlaue (Cr)'!$C:$FB,99)</f>
        <v>1234</v>
      </c>
      <c r="I156" s="75">
        <f>VLOOKUP($A156,'Data Vlaue (Cr)'!$C:$FB,100)</f>
        <v>1180</v>
      </c>
      <c r="J156" s="75">
        <f t="shared" si="14"/>
        <v>54</v>
      </c>
      <c r="K156" s="75">
        <f t="shared" si="15"/>
        <v>4.3760129659643443</v>
      </c>
      <c r="L156" s="75">
        <f>VLOOKUP($A156,'Data Vlaue (Cr)'!$C:$FB,67)</f>
        <v>459</v>
      </c>
      <c r="M156" s="75">
        <f>VLOOKUP($A156,'Data Vlaue (Cr)'!$C:$FB,68)</f>
        <v>1947</v>
      </c>
      <c r="N156" s="75">
        <f t="shared" si="16"/>
        <v>-1488</v>
      </c>
      <c r="O156" s="75">
        <f t="shared" si="17"/>
        <v>-324.1830065359477</v>
      </c>
      <c r="P156" s="75">
        <f>VLOOKUP($A156,'Data Vlaue (Cr)'!$C:$FB,119)</f>
        <v>0.82</v>
      </c>
      <c r="Q156" s="75">
        <f>VLOOKUP($A156,'Data Vlaue (Cr)'!$C:$FB,122)*100</f>
        <v>0</v>
      </c>
      <c r="R156" s="75">
        <f>VLOOKUP($A156,'Data Vlaue (Cr)'!$C:$FB,125)</f>
        <v>0.48</v>
      </c>
      <c r="S156" s="75">
        <f>VLOOKUP($A156,'Data Vlaue (Cr)'!$C:$FB,128)*100</f>
        <v>-38.46</v>
      </c>
    </row>
    <row r="157" spans="1:19" x14ac:dyDescent="0.25">
      <c r="A157" s="96" t="str">
        <f>'Data Vlaue (Cr)'!C148</f>
        <v>OIL</v>
      </c>
      <c r="B157" s="75">
        <f>VLOOKUP($A157,'Data Vlaue (Cr)'!$C:$FB,2)</f>
        <v>1400</v>
      </c>
      <c r="C157" s="75">
        <f>VLOOKUP($A157,'Data Vlaue (Cr)'!$C:$FB,8)</f>
        <v>490.5</v>
      </c>
      <c r="D157" s="75">
        <f>VLOOKUP($A157,'Data Vlaue (Cr)'!$C:$FB,4)</f>
        <v>490.5</v>
      </c>
      <c r="E157" s="75">
        <f>VLOOKUP($A157,'Data Vlaue (Cr)'!$C:$FB,5)</f>
        <v>446.3</v>
      </c>
      <c r="F157" s="75">
        <f t="shared" si="12"/>
        <v>0</v>
      </c>
      <c r="G157" s="75">
        <f t="shared" si="13"/>
        <v>9.0112130479102941</v>
      </c>
      <c r="H157" s="75">
        <f>VLOOKUP($A157,'Data Vlaue (Cr)'!$C:$FB,99)</f>
        <v>1141</v>
      </c>
      <c r="I157" s="75">
        <f>VLOOKUP($A157,'Data Vlaue (Cr)'!$C:$FB,100)</f>
        <v>835</v>
      </c>
      <c r="J157" s="75">
        <f t="shared" si="14"/>
        <v>306</v>
      </c>
      <c r="K157" s="75">
        <f t="shared" si="15"/>
        <v>26.818580192813325</v>
      </c>
      <c r="L157" s="75">
        <f>VLOOKUP($A157,'Data Vlaue (Cr)'!$C:$FB,67)</f>
        <v>4631</v>
      </c>
      <c r="M157" s="75">
        <f>VLOOKUP($A157,'Data Vlaue (Cr)'!$C:$FB,68)</f>
        <v>1219</v>
      </c>
      <c r="N157" s="75">
        <f t="shared" si="16"/>
        <v>3412</v>
      </c>
      <c r="O157" s="75">
        <f t="shared" si="17"/>
        <v>73.677391492118332</v>
      </c>
      <c r="P157" s="75">
        <f>VLOOKUP($A157,'Data Vlaue (Cr)'!$C:$FB,119)</f>
        <v>0.84</v>
      </c>
      <c r="Q157" s="75">
        <f>VLOOKUP($A157,'Data Vlaue (Cr)'!$C:$FB,122)*100</f>
        <v>40</v>
      </c>
      <c r="R157" s="75">
        <f>VLOOKUP($A157,'Data Vlaue (Cr)'!$C:$FB,125)</f>
        <v>0.3</v>
      </c>
      <c r="S157" s="75">
        <f>VLOOKUP($A157,'Data Vlaue (Cr)'!$C:$FB,128)*100</f>
        <v>66.67</v>
      </c>
    </row>
    <row r="158" spans="1:19" x14ac:dyDescent="0.25">
      <c r="A158" s="96" t="str">
        <f>'Data Vlaue (Cr)'!C149</f>
        <v>ONGC</v>
      </c>
      <c r="B158" s="75">
        <f>VLOOKUP($A158,'Data Vlaue (Cr)'!$C:$FB,2)</f>
        <v>2250</v>
      </c>
      <c r="C158" s="75">
        <f>VLOOKUP($A158,'Data Vlaue (Cr)'!$C:$FB,8)</f>
        <v>268.58</v>
      </c>
      <c r="D158" s="75">
        <f>VLOOKUP($A158,'Data Vlaue (Cr)'!$C:$FB,4)</f>
        <v>267.95</v>
      </c>
      <c r="E158" s="75">
        <f>VLOOKUP($A158,'Data Vlaue (Cr)'!$C:$FB,5)</f>
        <v>247.87</v>
      </c>
      <c r="F158" s="75">
        <f t="shared" si="12"/>
        <v>-0.62999999999999545</v>
      </c>
      <c r="G158" s="75">
        <f t="shared" si="13"/>
        <v>7.4939354357156125</v>
      </c>
      <c r="H158" s="75">
        <f>VLOOKUP($A158,'Data Vlaue (Cr)'!$C:$FB,99)</f>
        <v>3861</v>
      </c>
      <c r="I158" s="75">
        <f>VLOOKUP($A158,'Data Vlaue (Cr)'!$C:$FB,100)</f>
        <v>3007</v>
      </c>
      <c r="J158" s="75">
        <f t="shared" si="14"/>
        <v>854</v>
      </c>
      <c r="K158" s="75">
        <f t="shared" si="15"/>
        <v>22.11862211862212</v>
      </c>
      <c r="L158" s="75">
        <f>VLOOKUP($A158,'Data Vlaue (Cr)'!$C:$FB,67)</f>
        <v>9950</v>
      </c>
      <c r="M158" s="75">
        <f>VLOOKUP($A158,'Data Vlaue (Cr)'!$C:$FB,68)</f>
        <v>6387</v>
      </c>
      <c r="N158" s="75">
        <f t="shared" si="16"/>
        <v>3563</v>
      </c>
      <c r="O158" s="75">
        <f t="shared" si="17"/>
        <v>35.809045226130657</v>
      </c>
      <c r="P158" s="75">
        <f>VLOOKUP($A158,'Data Vlaue (Cr)'!$C:$FB,119)</f>
        <v>0.88</v>
      </c>
      <c r="Q158" s="75">
        <f>VLOOKUP($A158,'Data Vlaue (Cr)'!$C:$FB,122)*100</f>
        <v>7.32</v>
      </c>
      <c r="R158" s="75">
        <f>VLOOKUP($A158,'Data Vlaue (Cr)'!$C:$FB,125)</f>
        <v>0.35</v>
      </c>
      <c r="S158" s="75">
        <f>VLOOKUP($A158,'Data Vlaue (Cr)'!$C:$FB,128)*100</f>
        <v>-5.41</v>
      </c>
    </row>
    <row r="159" spans="1:19" x14ac:dyDescent="0.25">
      <c r="A159" s="96" t="str">
        <f>'Data Vlaue (Cr)'!C150</f>
        <v>PAGEIND</v>
      </c>
      <c r="B159" s="75">
        <f>VLOOKUP($A159,'Data Vlaue (Cr)'!$C:$FB,2)</f>
        <v>15</v>
      </c>
      <c r="C159" s="75">
        <f>VLOOKUP($A159,'Data Vlaue (Cr)'!$C:$FB,8)</f>
        <v>32615</v>
      </c>
      <c r="D159" s="75">
        <f>VLOOKUP($A159,'Data Vlaue (Cr)'!$C:$FB,4)</f>
        <v>32065</v>
      </c>
      <c r="E159" s="75">
        <f>VLOOKUP($A159,'Data Vlaue (Cr)'!$C:$FB,5)</f>
        <v>31785</v>
      </c>
      <c r="F159" s="75">
        <f t="shared" si="12"/>
        <v>-550</v>
      </c>
      <c r="G159" s="75">
        <f t="shared" si="13"/>
        <v>0.8732262591610791</v>
      </c>
      <c r="H159" s="75">
        <f>VLOOKUP($A159,'Data Vlaue (Cr)'!$C:$FB,99)</f>
        <v>1126</v>
      </c>
      <c r="I159" s="75">
        <f>VLOOKUP($A159,'Data Vlaue (Cr)'!$C:$FB,100)</f>
        <v>1068</v>
      </c>
      <c r="J159" s="75">
        <f t="shared" si="14"/>
        <v>58</v>
      </c>
      <c r="K159" s="75">
        <f t="shared" si="15"/>
        <v>5.1509769094138544</v>
      </c>
      <c r="L159" s="75">
        <f>VLOOKUP($A159,'Data Vlaue (Cr)'!$C:$FB,67)</f>
        <v>386</v>
      </c>
      <c r="M159" s="75">
        <f>VLOOKUP($A159,'Data Vlaue (Cr)'!$C:$FB,68)</f>
        <v>1158</v>
      </c>
      <c r="N159" s="75">
        <f t="shared" si="16"/>
        <v>-772</v>
      </c>
      <c r="O159" s="75">
        <f t="shared" si="17"/>
        <v>-200</v>
      </c>
      <c r="P159" s="75">
        <f>VLOOKUP($A159,'Data Vlaue (Cr)'!$C:$FB,119)</f>
        <v>0.68</v>
      </c>
      <c r="Q159" s="75">
        <f>VLOOKUP($A159,'Data Vlaue (Cr)'!$C:$FB,122)*100</f>
        <v>3.0300000000000002</v>
      </c>
      <c r="R159" s="75">
        <f>VLOOKUP($A159,'Data Vlaue (Cr)'!$C:$FB,125)</f>
        <v>0.25</v>
      </c>
      <c r="S159" s="75">
        <f>VLOOKUP($A159,'Data Vlaue (Cr)'!$C:$FB,128)*100</f>
        <v>-39.019999999999996</v>
      </c>
    </row>
    <row r="160" spans="1:19" x14ac:dyDescent="0.25">
      <c r="A160" s="96" t="str">
        <f>'Data Vlaue (Cr)'!C151</f>
        <v>PATANJALI</v>
      </c>
      <c r="B160" s="75">
        <f>VLOOKUP($A160,'Data Vlaue (Cr)'!$C:$FB,2)</f>
        <v>900</v>
      </c>
      <c r="C160" s="75">
        <f>VLOOKUP($A160,'Data Vlaue (Cr)'!$C:$FB,8)</f>
        <v>505.75</v>
      </c>
      <c r="D160" s="75">
        <f>VLOOKUP($A160,'Data Vlaue (Cr)'!$C:$FB,4)</f>
        <v>507.45</v>
      </c>
      <c r="E160" s="75">
        <f>VLOOKUP($A160,'Data Vlaue (Cr)'!$C:$FB,5)</f>
        <v>503.05</v>
      </c>
      <c r="F160" s="75">
        <f t="shared" si="12"/>
        <v>1.6999999999999886</v>
      </c>
      <c r="G160" s="75">
        <f t="shared" si="13"/>
        <v>0.86708050054192087</v>
      </c>
      <c r="H160" s="75">
        <f>VLOOKUP($A160,'Data Vlaue (Cr)'!$C:$FB,99)</f>
        <v>2006</v>
      </c>
      <c r="I160" s="75">
        <f>VLOOKUP($A160,'Data Vlaue (Cr)'!$C:$FB,100)</f>
        <v>1972</v>
      </c>
      <c r="J160" s="75">
        <f t="shared" si="14"/>
        <v>34</v>
      </c>
      <c r="K160" s="75">
        <f t="shared" si="15"/>
        <v>1.6949152542372881</v>
      </c>
      <c r="L160" s="75">
        <f>VLOOKUP($A160,'Data Vlaue (Cr)'!$C:$FB,67)</f>
        <v>440</v>
      </c>
      <c r="M160" s="75">
        <f>VLOOKUP($A160,'Data Vlaue (Cr)'!$C:$FB,68)</f>
        <v>823</v>
      </c>
      <c r="N160" s="75">
        <f t="shared" si="16"/>
        <v>-383</v>
      </c>
      <c r="O160" s="75">
        <f t="shared" si="17"/>
        <v>-87.045454545454547</v>
      </c>
      <c r="P160" s="75">
        <f>VLOOKUP($A160,'Data Vlaue (Cr)'!$C:$FB,119)</f>
        <v>1.02</v>
      </c>
      <c r="Q160" s="75">
        <f>VLOOKUP($A160,'Data Vlaue (Cr)'!$C:$FB,122)*100</f>
        <v>-2.86</v>
      </c>
      <c r="R160" s="75">
        <f>VLOOKUP($A160,'Data Vlaue (Cr)'!$C:$FB,125)</f>
        <v>0.68</v>
      </c>
      <c r="S160" s="75">
        <f>VLOOKUP($A160,'Data Vlaue (Cr)'!$C:$FB,128)*100</f>
        <v>-29.17</v>
      </c>
    </row>
    <row r="161" spans="1:19" x14ac:dyDescent="0.25">
      <c r="A161" s="96" t="str">
        <f>'Data Vlaue (Cr)'!C152</f>
        <v>PAYTM</v>
      </c>
      <c r="B161" s="75">
        <f>VLOOKUP($A161,'Data Vlaue (Cr)'!$C:$FB,2)</f>
        <v>725</v>
      </c>
      <c r="C161" s="75">
        <f>VLOOKUP($A161,'Data Vlaue (Cr)'!$C:$FB,8)</f>
        <v>1177</v>
      </c>
      <c r="D161" s="75">
        <f>VLOOKUP($A161,'Data Vlaue (Cr)'!$C:$FB,4)</f>
        <v>1184.7</v>
      </c>
      <c r="E161" s="75">
        <f>VLOOKUP($A161,'Data Vlaue (Cr)'!$C:$FB,5)</f>
        <v>1154.0999999999999</v>
      </c>
      <c r="F161" s="75">
        <f t="shared" si="12"/>
        <v>7.7000000000000455</v>
      </c>
      <c r="G161" s="75">
        <f t="shared" si="13"/>
        <v>2.5829323879463271</v>
      </c>
      <c r="H161" s="75">
        <f>VLOOKUP($A161,'Data Vlaue (Cr)'!$C:$FB,99)</f>
        <v>3202</v>
      </c>
      <c r="I161" s="75">
        <f>VLOOKUP($A161,'Data Vlaue (Cr)'!$C:$FB,100)</f>
        <v>3076</v>
      </c>
      <c r="J161" s="75">
        <f t="shared" si="14"/>
        <v>126</v>
      </c>
      <c r="K161" s="75">
        <f t="shared" si="15"/>
        <v>3.9350405996252342</v>
      </c>
      <c r="L161" s="75">
        <f>VLOOKUP($A161,'Data Vlaue (Cr)'!$C:$FB,67)</f>
        <v>2086</v>
      </c>
      <c r="M161" s="75">
        <f>VLOOKUP($A161,'Data Vlaue (Cr)'!$C:$FB,68)</f>
        <v>6562</v>
      </c>
      <c r="N161" s="75">
        <f t="shared" si="16"/>
        <v>-4476</v>
      </c>
      <c r="O161" s="75">
        <f t="shared" si="17"/>
        <v>-214.57334611697027</v>
      </c>
      <c r="P161" s="75">
        <f>VLOOKUP($A161,'Data Vlaue (Cr)'!$C:$FB,119)</f>
        <v>0.69</v>
      </c>
      <c r="Q161" s="75">
        <f>VLOOKUP($A161,'Data Vlaue (Cr)'!$C:$FB,122)*100</f>
        <v>-10.39</v>
      </c>
      <c r="R161" s="75">
        <f>VLOOKUP($A161,'Data Vlaue (Cr)'!$C:$FB,125)</f>
        <v>0.35</v>
      </c>
      <c r="S161" s="75">
        <f>VLOOKUP($A161,'Data Vlaue (Cr)'!$C:$FB,128)*100</f>
        <v>-52.05</v>
      </c>
    </row>
    <row r="162" spans="1:19" x14ac:dyDescent="0.25">
      <c r="A162" s="96" t="str">
        <f>'Data Vlaue (Cr)'!C153</f>
        <v>PERSISTENT</v>
      </c>
      <c r="B162" s="75">
        <f>VLOOKUP($A162,'Data Vlaue (Cr)'!$C:$FB,2)</f>
        <v>100</v>
      </c>
      <c r="C162" s="75">
        <f>VLOOKUP($A162,'Data Vlaue (Cr)'!$C:$FB,8)</f>
        <v>6213</v>
      </c>
      <c r="D162" s="75">
        <f>VLOOKUP($A162,'Data Vlaue (Cr)'!$C:$FB,4)</f>
        <v>6235.5</v>
      </c>
      <c r="E162" s="75">
        <f>VLOOKUP($A162,'Data Vlaue (Cr)'!$C:$FB,5)</f>
        <v>6252.5</v>
      </c>
      <c r="F162" s="75">
        <f t="shared" si="12"/>
        <v>22.5</v>
      </c>
      <c r="G162" s="75">
        <f t="shared" si="13"/>
        <v>-0.27263250741720796</v>
      </c>
      <c r="H162" s="75">
        <f>VLOOKUP($A162,'Data Vlaue (Cr)'!$C:$FB,99)</f>
        <v>1785</v>
      </c>
      <c r="I162" s="75">
        <f>VLOOKUP($A162,'Data Vlaue (Cr)'!$C:$FB,100)</f>
        <v>1611</v>
      </c>
      <c r="J162" s="75">
        <f t="shared" si="14"/>
        <v>174</v>
      </c>
      <c r="K162" s="75">
        <f t="shared" si="15"/>
        <v>9.7478991596638664</v>
      </c>
      <c r="L162" s="75">
        <f>VLOOKUP($A162,'Data Vlaue (Cr)'!$C:$FB,67)</f>
        <v>1611</v>
      </c>
      <c r="M162" s="75">
        <f>VLOOKUP($A162,'Data Vlaue (Cr)'!$C:$FB,68)</f>
        <v>2593</v>
      </c>
      <c r="N162" s="75">
        <f t="shared" si="16"/>
        <v>-982</v>
      </c>
      <c r="O162" s="75">
        <f t="shared" si="17"/>
        <v>-60.955927995034145</v>
      </c>
      <c r="P162" s="75">
        <f>VLOOKUP($A162,'Data Vlaue (Cr)'!$C:$FB,119)</f>
        <v>0.75</v>
      </c>
      <c r="Q162" s="75">
        <f>VLOOKUP($A162,'Data Vlaue (Cr)'!$C:$FB,122)*100</f>
        <v>-21.87</v>
      </c>
      <c r="R162" s="75">
        <f>VLOOKUP($A162,'Data Vlaue (Cr)'!$C:$FB,125)</f>
        <v>0.46</v>
      </c>
      <c r="S162" s="75">
        <f>VLOOKUP($A162,'Data Vlaue (Cr)'!$C:$FB,128)*100</f>
        <v>-26.979999999999997</v>
      </c>
    </row>
    <row r="163" spans="1:19" x14ac:dyDescent="0.25">
      <c r="A163" s="96" t="str">
        <f>'Data Vlaue (Cr)'!C154</f>
        <v>PETRONET</v>
      </c>
      <c r="B163" s="75">
        <f>VLOOKUP($A163,'Data Vlaue (Cr)'!$C:$FB,2)</f>
        <v>1900</v>
      </c>
      <c r="C163" s="75">
        <f>VLOOKUP($A163,'Data Vlaue (Cr)'!$C:$FB,8)</f>
        <v>290.64999999999998</v>
      </c>
      <c r="D163" s="75">
        <f>VLOOKUP($A163,'Data Vlaue (Cr)'!$C:$FB,4)</f>
        <v>292.64999999999998</v>
      </c>
      <c r="E163" s="75">
        <f>VLOOKUP($A163,'Data Vlaue (Cr)'!$C:$FB,5)</f>
        <v>279.64999999999998</v>
      </c>
      <c r="F163" s="75">
        <f t="shared" si="12"/>
        <v>2</v>
      </c>
      <c r="G163" s="75">
        <f t="shared" si="13"/>
        <v>4.442166410387836</v>
      </c>
      <c r="H163" s="75">
        <f>VLOOKUP($A163,'Data Vlaue (Cr)'!$C:$FB,99)</f>
        <v>1770</v>
      </c>
      <c r="I163" s="75">
        <f>VLOOKUP($A163,'Data Vlaue (Cr)'!$C:$FB,100)</f>
        <v>1623</v>
      </c>
      <c r="J163" s="75">
        <f t="shared" si="14"/>
        <v>147</v>
      </c>
      <c r="K163" s="75">
        <f t="shared" si="15"/>
        <v>8.3050847457627111</v>
      </c>
      <c r="L163" s="75">
        <f>VLOOKUP($A163,'Data Vlaue (Cr)'!$C:$FB,67)</f>
        <v>1145</v>
      </c>
      <c r="M163" s="75">
        <f>VLOOKUP($A163,'Data Vlaue (Cr)'!$C:$FB,68)</f>
        <v>2210</v>
      </c>
      <c r="N163" s="75">
        <f t="shared" si="16"/>
        <v>-1065</v>
      </c>
      <c r="O163" s="75">
        <f t="shared" si="17"/>
        <v>-93.013100436681214</v>
      </c>
      <c r="P163" s="75">
        <f>VLOOKUP($A163,'Data Vlaue (Cr)'!$C:$FB,119)</f>
        <v>1.01</v>
      </c>
      <c r="Q163" s="75">
        <f>VLOOKUP($A163,'Data Vlaue (Cr)'!$C:$FB,122)*100</f>
        <v>-27.860000000000003</v>
      </c>
      <c r="R163" s="75">
        <f>VLOOKUP($A163,'Data Vlaue (Cr)'!$C:$FB,125)</f>
        <v>0.25</v>
      </c>
      <c r="S163" s="75">
        <f>VLOOKUP($A163,'Data Vlaue (Cr)'!$C:$FB,128)*100</f>
        <v>-84.76</v>
      </c>
    </row>
    <row r="164" spans="1:19" x14ac:dyDescent="0.25">
      <c r="A164" s="96" t="str">
        <f>'Data Vlaue (Cr)'!C155</f>
        <v>PFC</v>
      </c>
      <c r="B164" s="75">
        <f>VLOOKUP($A164,'Data Vlaue (Cr)'!$C:$FB,2)</f>
        <v>1300</v>
      </c>
      <c r="C164" s="75">
        <f>VLOOKUP($A164,'Data Vlaue (Cr)'!$C:$FB,8)</f>
        <v>383.05</v>
      </c>
      <c r="D164" s="75">
        <f>VLOOKUP($A164,'Data Vlaue (Cr)'!$C:$FB,4)</f>
        <v>382.5</v>
      </c>
      <c r="E164" s="75">
        <f>VLOOKUP($A164,'Data Vlaue (Cr)'!$C:$FB,5)</f>
        <v>362.5</v>
      </c>
      <c r="F164" s="75">
        <f t="shared" si="12"/>
        <v>-0.55000000000001137</v>
      </c>
      <c r="G164" s="75">
        <f t="shared" si="13"/>
        <v>5.2287581699346406</v>
      </c>
      <c r="H164" s="75">
        <f>VLOOKUP($A164,'Data Vlaue (Cr)'!$C:$FB,99)</f>
        <v>3669</v>
      </c>
      <c r="I164" s="75">
        <f>VLOOKUP($A164,'Data Vlaue (Cr)'!$C:$FB,100)</f>
        <v>3519</v>
      </c>
      <c r="J164" s="75">
        <f t="shared" si="14"/>
        <v>150</v>
      </c>
      <c r="K164" s="75">
        <f t="shared" si="15"/>
        <v>4.0883074407195421</v>
      </c>
      <c r="L164" s="75">
        <f>VLOOKUP($A164,'Data Vlaue (Cr)'!$C:$FB,67)</f>
        <v>2597</v>
      </c>
      <c r="M164" s="75">
        <f>VLOOKUP($A164,'Data Vlaue (Cr)'!$C:$FB,68)</f>
        <v>3894</v>
      </c>
      <c r="N164" s="75">
        <f t="shared" si="16"/>
        <v>-1297</v>
      </c>
      <c r="O164" s="75">
        <f t="shared" si="17"/>
        <v>-49.942241047362337</v>
      </c>
      <c r="P164" s="75">
        <f>VLOOKUP($A164,'Data Vlaue (Cr)'!$C:$FB,119)</f>
        <v>0.99</v>
      </c>
      <c r="Q164" s="75">
        <f>VLOOKUP($A164,'Data Vlaue (Cr)'!$C:$FB,122)*100</f>
        <v>-6.6000000000000005</v>
      </c>
      <c r="R164" s="75">
        <f>VLOOKUP($A164,'Data Vlaue (Cr)'!$C:$FB,125)</f>
        <v>0.35</v>
      </c>
      <c r="S164" s="75">
        <f>VLOOKUP($A164,'Data Vlaue (Cr)'!$C:$FB,128)*100</f>
        <v>-58.330000000000005</v>
      </c>
    </row>
    <row r="165" spans="1:19" x14ac:dyDescent="0.25">
      <c r="A165" s="96" t="str">
        <f>'Data Vlaue (Cr)'!C156</f>
        <v>PGEL</v>
      </c>
      <c r="B165" s="75">
        <f>VLOOKUP($A165,'Data Vlaue (Cr)'!$C:$FB,2)</f>
        <v>950</v>
      </c>
      <c r="C165" s="75">
        <f>VLOOKUP($A165,'Data Vlaue (Cr)'!$C:$FB,8)</f>
        <v>540.04999999999995</v>
      </c>
      <c r="D165" s="75">
        <f>VLOOKUP($A165,'Data Vlaue (Cr)'!$C:$FB,4)</f>
        <v>544.1</v>
      </c>
      <c r="E165" s="75">
        <f>VLOOKUP($A165,'Data Vlaue (Cr)'!$C:$FB,5)</f>
        <v>521.6</v>
      </c>
      <c r="F165" s="75">
        <f t="shared" si="12"/>
        <v>4.0500000000000682</v>
      </c>
      <c r="G165" s="75">
        <f t="shared" si="13"/>
        <v>4.135269251975739</v>
      </c>
      <c r="H165" s="75">
        <f>VLOOKUP($A165,'Data Vlaue (Cr)'!$C:$FB,99)</f>
        <v>921</v>
      </c>
      <c r="I165" s="75">
        <f>VLOOKUP($A165,'Data Vlaue (Cr)'!$C:$FB,100)</f>
        <v>869</v>
      </c>
      <c r="J165" s="75">
        <f t="shared" si="14"/>
        <v>52</v>
      </c>
      <c r="K165" s="75">
        <f t="shared" si="15"/>
        <v>5.6460369163952224</v>
      </c>
      <c r="L165" s="75">
        <f>VLOOKUP($A165,'Data Vlaue (Cr)'!$C:$FB,67)</f>
        <v>453</v>
      </c>
      <c r="M165" s="75">
        <f>VLOOKUP($A165,'Data Vlaue (Cr)'!$C:$FB,68)</f>
        <v>1088</v>
      </c>
      <c r="N165" s="75">
        <f t="shared" si="16"/>
        <v>-635</v>
      </c>
      <c r="O165" s="75">
        <f t="shared" si="17"/>
        <v>-140.17660044150111</v>
      </c>
      <c r="P165" s="75">
        <f>VLOOKUP($A165,'Data Vlaue (Cr)'!$C:$FB,119)</f>
        <v>0.86</v>
      </c>
      <c r="Q165" s="75">
        <f>VLOOKUP($A165,'Data Vlaue (Cr)'!$C:$FB,122)*100</f>
        <v>7.5</v>
      </c>
      <c r="R165" s="75">
        <f>VLOOKUP($A165,'Data Vlaue (Cr)'!$C:$FB,125)</f>
        <v>0.61</v>
      </c>
      <c r="S165" s="75">
        <f>VLOOKUP($A165,'Data Vlaue (Cr)'!$C:$FB,128)*100</f>
        <v>-21.790000000000003</v>
      </c>
    </row>
    <row r="166" spans="1:19" x14ac:dyDescent="0.25">
      <c r="A166" s="96" t="str">
        <f>'Data Vlaue (Cr)'!C157</f>
        <v>PHOENIXLTD</v>
      </c>
      <c r="B166" s="75">
        <f>VLOOKUP($A166,'Data Vlaue (Cr)'!$C:$FB,2)</f>
        <v>350</v>
      </c>
      <c r="C166" s="75">
        <f>VLOOKUP($A166,'Data Vlaue (Cr)'!$C:$FB,8)</f>
        <v>1726.2</v>
      </c>
      <c r="D166" s="75">
        <f>VLOOKUP($A166,'Data Vlaue (Cr)'!$C:$FB,4)</f>
        <v>1735.9</v>
      </c>
      <c r="E166" s="75">
        <f>VLOOKUP($A166,'Data Vlaue (Cr)'!$C:$FB,5)</f>
        <v>1739</v>
      </c>
      <c r="F166" s="75">
        <f t="shared" si="12"/>
        <v>9.7000000000000455</v>
      </c>
      <c r="G166" s="75">
        <f t="shared" si="13"/>
        <v>-0.17858171553660401</v>
      </c>
      <c r="H166" s="75">
        <f>VLOOKUP($A166,'Data Vlaue (Cr)'!$C:$FB,99)</f>
        <v>869</v>
      </c>
      <c r="I166" s="75">
        <f>VLOOKUP($A166,'Data Vlaue (Cr)'!$C:$FB,100)</f>
        <v>779</v>
      </c>
      <c r="J166" s="75">
        <f t="shared" si="14"/>
        <v>90</v>
      </c>
      <c r="K166" s="75">
        <f t="shared" si="15"/>
        <v>10.356731875719218</v>
      </c>
      <c r="L166" s="75">
        <f>VLOOKUP($A166,'Data Vlaue (Cr)'!$C:$FB,67)</f>
        <v>454</v>
      </c>
      <c r="M166" s="75">
        <f>VLOOKUP($A166,'Data Vlaue (Cr)'!$C:$FB,68)</f>
        <v>634</v>
      </c>
      <c r="N166" s="75">
        <f t="shared" si="16"/>
        <v>-180</v>
      </c>
      <c r="O166" s="75">
        <f t="shared" si="17"/>
        <v>-39.647577092511014</v>
      </c>
      <c r="P166" s="75">
        <f>VLOOKUP($A166,'Data Vlaue (Cr)'!$C:$FB,119)</f>
        <v>0.6</v>
      </c>
      <c r="Q166" s="75">
        <f>VLOOKUP($A166,'Data Vlaue (Cr)'!$C:$FB,122)*100</f>
        <v>11.110000000000001</v>
      </c>
      <c r="R166" s="75">
        <f>VLOOKUP($A166,'Data Vlaue (Cr)'!$C:$FB,125)</f>
        <v>0.88</v>
      </c>
      <c r="S166" s="75">
        <f>VLOOKUP($A166,'Data Vlaue (Cr)'!$C:$FB,128)*100</f>
        <v>-59.07</v>
      </c>
    </row>
    <row r="167" spans="1:19" x14ac:dyDescent="0.25">
      <c r="A167" s="96" t="str">
        <f>'Data Vlaue (Cr)'!C158</f>
        <v>PIDILITIND</v>
      </c>
      <c r="B167" s="75">
        <f>VLOOKUP($A167,'Data Vlaue (Cr)'!$C:$FB,2)</f>
        <v>500</v>
      </c>
      <c r="C167" s="75">
        <f>VLOOKUP($A167,'Data Vlaue (Cr)'!$C:$FB,8)</f>
        <v>1460.7</v>
      </c>
      <c r="D167" s="75">
        <f>VLOOKUP($A167,'Data Vlaue (Cr)'!$C:$FB,4)</f>
        <v>1469.4</v>
      </c>
      <c r="E167" s="75">
        <f>VLOOKUP($A167,'Data Vlaue (Cr)'!$C:$FB,5)</f>
        <v>1454.4</v>
      </c>
      <c r="F167" s="75">
        <f t="shared" si="12"/>
        <v>8.7000000000000455</v>
      </c>
      <c r="G167" s="75">
        <f t="shared" si="13"/>
        <v>1.0208248264597795</v>
      </c>
      <c r="H167" s="75">
        <f>VLOOKUP($A167,'Data Vlaue (Cr)'!$C:$FB,99)</f>
        <v>1472</v>
      </c>
      <c r="I167" s="75">
        <f>VLOOKUP($A167,'Data Vlaue (Cr)'!$C:$FB,100)</f>
        <v>1353</v>
      </c>
      <c r="J167" s="75">
        <f t="shared" si="14"/>
        <v>119</v>
      </c>
      <c r="K167" s="75">
        <f t="shared" si="15"/>
        <v>8.0842391304347831</v>
      </c>
      <c r="L167" s="75">
        <f>VLOOKUP($A167,'Data Vlaue (Cr)'!$C:$FB,67)</f>
        <v>969</v>
      </c>
      <c r="M167" s="75">
        <f>VLOOKUP($A167,'Data Vlaue (Cr)'!$C:$FB,68)</f>
        <v>754</v>
      </c>
      <c r="N167" s="75">
        <f t="shared" si="16"/>
        <v>215</v>
      </c>
      <c r="O167" s="75">
        <f t="shared" si="17"/>
        <v>22.187822497420022</v>
      </c>
      <c r="P167" s="75">
        <f>VLOOKUP($A167,'Data Vlaue (Cr)'!$C:$FB,119)</f>
        <v>0.85</v>
      </c>
      <c r="Q167" s="75">
        <f>VLOOKUP($A167,'Data Vlaue (Cr)'!$C:$FB,122)*100</f>
        <v>-27.97</v>
      </c>
      <c r="R167" s="75">
        <f>VLOOKUP($A167,'Data Vlaue (Cr)'!$C:$FB,125)</f>
        <v>0.56000000000000005</v>
      </c>
      <c r="S167" s="75">
        <f>VLOOKUP($A167,'Data Vlaue (Cr)'!$C:$FB,128)*100</f>
        <v>-37.08</v>
      </c>
    </row>
    <row r="168" spans="1:19" x14ac:dyDescent="0.25">
      <c r="A168" s="96" t="str">
        <f>'Data Vlaue (Cr)'!C159</f>
        <v>PIIND</v>
      </c>
      <c r="B168" s="75">
        <f>VLOOKUP($A168,'Data Vlaue (Cr)'!$C:$FB,2)</f>
        <v>175</v>
      </c>
      <c r="C168" s="75">
        <f>VLOOKUP($A168,'Data Vlaue (Cr)'!$C:$FB,8)</f>
        <v>3220.8</v>
      </c>
      <c r="D168" s="75">
        <f>VLOOKUP($A168,'Data Vlaue (Cr)'!$C:$FB,4)</f>
        <v>3217.5</v>
      </c>
      <c r="E168" s="75">
        <f>VLOOKUP($A168,'Data Vlaue (Cr)'!$C:$FB,5)</f>
        <v>3159.1</v>
      </c>
      <c r="F168" s="75">
        <f t="shared" si="12"/>
        <v>-3.3000000000001819</v>
      </c>
      <c r="G168" s="75">
        <f t="shared" si="13"/>
        <v>1.8150738150738179</v>
      </c>
      <c r="H168" s="75">
        <f>VLOOKUP($A168,'Data Vlaue (Cr)'!$C:$FB,99)</f>
        <v>1044</v>
      </c>
      <c r="I168" s="75">
        <f>VLOOKUP($A168,'Data Vlaue (Cr)'!$C:$FB,100)</f>
        <v>967</v>
      </c>
      <c r="J168" s="75">
        <f t="shared" si="14"/>
        <v>77</v>
      </c>
      <c r="K168" s="75">
        <f t="shared" si="15"/>
        <v>7.3754789272030647</v>
      </c>
      <c r="L168" s="75">
        <f>VLOOKUP($A168,'Data Vlaue (Cr)'!$C:$FB,67)</f>
        <v>276</v>
      </c>
      <c r="M168" s="75">
        <f>VLOOKUP($A168,'Data Vlaue (Cr)'!$C:$FB,68)</f>
        <v>564</v>
      </c>
      <c r="N168" s="75">
        <f t="shared" si="16"/>
        <v>-288</v>
      </c>
      <c r="O168" s="75">
        <f t="shared" si="17"/>
        <v>-104.34782608695652</v>
      </c>
      <c r="P168" s="75">
        <f>VLOOKUP($A168,'Data Vlaue (Cr)'!$C:$FB,119)</f>
        <v>0.89</v>
      </c>
      <c r="Q168" s="75">
        <f>VLOOKUP($A168,'Data Vlaue (Cr)'!$C:$FB,122)*100</f>
        <v>-19.82</v>
      </c>
      <c r="R168" s="75">
        <f>VLOOKUP($A168,'Data Vlaue (Cr)'!$C:$FB,125)</f>
        <v>0.38</v>
      </c>
      <c r="S168" s="75">
        <f>VLOOKUP($A168,'Data Vlaue (Cr)'!$C:$FB,128)*100</f>
        <v>-20.830000000000002</v>
      </c>
    </row>
    <row r="169" spans="1:19" x14ac:dyDescent="0.25">
      <c r="A169" s="96" t="str">
        <f>'Data Vlaue (Cr)'!C160</f>
        <v>PNB</v>
      </c>
      <c r="B169" s="75">
        <f>VLOOKUP($A169,'Data Vlaue (Cr)'!$C:$FB,2)</f>
        <v>8000</v>
      </c>
      <c r="C169" s="75">
        <f>VLOOKUP($A169,'Data Vlaue (Cr)'!$C:$FB,8)</f>
        <v>124.5</v>
      </c>
      <c r="D169" s="75">
        <f>VLOOKUP($A169,'Data Vlaue (Cr)'!$C:$FB,4)</f>
        <v>125.3</v>
      </c>
      <c r="E169" s="75">
        <f>VLOOKUP($A169,'Data Vlaue (Cr)'!$C:$FB,5)</f>
        <v>123.55</v>
      </c>
      <c r="F169" s="75">
        <f t="shared" si="12"/>
        <v>0.79999999999999716</v>
      </c>
      <c r="G169" s="75">
        <f t="shared" si="13"/>
        <v>1.3966480446927376</v>
      </c>
      <c r="H169" s="75">
        <f>VLOOKUP($A169,'Data Vlaue (Cr)'!$C:$FB,99)</f>
        <v>4429</v>
      </c>
      <c r="I169" s="75">
        <f>VLOOKUP($A169,'Data Vlaue (Cr)'!$C:$FB,100)</f>
        <v>4279</v>
      </c>
      <c r="J169" s="75">
        <f t="shared" si="14"/>
        <v>150</v>
      </c>
      <c r="K169" s="75">
        <f t="shared" si="15"/>
        <v>3.3867690223526759</v>
      </c>
      <c r="L169" s="75">
        <f>VLOOKUP($A169,'Data Vlaue (Cr)'!$C:$FB,67)</f>
        <v>2043</v>
      </c>
      <c r="M169" s="75">
        <f>VLOOKUP($A169,'Data Vlaue (Cr)'!$C:$FB,68)</f>
        <v>5374</v>
      </c>
      <c r="N169" s="75">
        <f t="shared" si="16"/>
        <v>-3331</v>
      </c>
      <c r="O169" s="75">
        <f t="shared" si="17"/>
        <v>-163.04454233969651</v>
      </c>
      <c r="P169" s="75">
        <f>VLOOKUP($A169,'Data Vlaue (Cr)'!$C:$FB,119)</f>
        <v>0.65</v>
      </c>
      <c r="Q169" s="75">
        <f>VLOOKUP($A169,'Data Vlaue (Cr)'!$C:$FB,122)*100</f>
        <v>8.33</v>
      </c>
      <c r="R169" s="75">
        <f>VLOOKUP($A169,'Data Vlaue (Cr)'!$C:$FB,125)</f>
        <v>0.39</v>
      </c>
      <c r="S169" s="75">
        <f>VLOOKUP($A169,'Data Vlaue (Cr)'!$C:$FB,128)*100</f>
        <v>-33.900000000000006</v>
      </c>
    </row>
    <row r="170" spans="1:19" x14ac:dyDescent="0.25">
      <c r="A170" s="96" t="str">
        <f>'Data Vlaue (Cr)'!C161</f>
        <v>PNBHOUSING</v>
      </c>
      <c r="B170" s="75">
        <f>VLOOKUP($A170,'Data Vlaue (Cr)'!$C:$FB,2)</f>
        <v>650</v>
      </c>
      <c r="C170" s="75">
        <f>VLOOKUP($A170,'Data Vlaue (Cr)'!$C:$FB,8)</f>
        <v>845.55</v>
      </c>
      <c r="D170" s="75">
        <f>VLOOKUP($A170,'Data Vlaue (Cr)'!$C:$FB,4)</f>
        <v>849</v>
      </c>
      <c r="E170" s="75">
        <f>VLOOKUP($A170,'Data Vlaue (Cr)'!$C:$FB,5)</f>
        <v>832.1</v>
      </c>
      <c r="F170" s="75">
        <f t="shared" si="12"/>
        <v>3.4500000000000455</v>
      </c>
      <c r="G170" s="75">
        <f t="shared" si="13"/>
        <v>1.9905771495877478</v>
      </c>
      <c r="H170" s="75">
        <f>VLOOKUP($A170,'Data Vlaue (Cr)'!$C:$FB,99)</f>
        <v>1701</v>
      </c>
      <c r="I170" s="75">
        <f>VLOOKUP($A170,'Data Vlaue (Cr)'!$C:$FB,100)</f>
        <v>1652</v>
      </c>
      <c r="J170" s="75">
        <f t="shared" si="14"/>
        <v>49</v>
      </c>
      <c r="K170" s="75">
        <f t="shared" si="15"/>
        <v>2.880658436213992</v>
      </c>
      <c r="L170" s="75">
        <f>VLOOKUP($A170,'Data Vlaue (Cr)'!$C:$FB,67)</f>
        <v>724</v>
      </c>
      <c r="M170" s="75">
        <f>VLOOKUP($A170,'Data Vlaue (Cr)'!$C:$FB,68)</f>
        <v>1855</v>
      </c>
      <c r="N170" s="75">
        <f t="shared" si="16"/>
        <v>-1131</v>
      </c>
      <c r="O170" s="75">
        <f t="shared" si="17"/>
        <v>-156.21546961325967</v>
      </c>
      <c r="P170" s="75">
        <f>VLOOKUP($A170,'Data Vlaue (Cr)'!$C:$FB,119)</f>
        <v>0.83</v>
      </c>
      <c r="Q170" s="75">
        <f>VLOOKUP($A170,'Data Vlaue (Cr)'!$C:$FB,122)*100</f>
        <v>-10.75</v>
      </c>
      <c r="R170" s="75">
        <f>VLOOKUP($A170,'Data Vlaue (Cr)'!$C:$FB,125)</f>
        <v>0.56000000000000005</v>
      </c>
      <c r="S170" s="75">
        <f>VLOOKUP($A170,'Data Vlaue (Cr)'!$C:$FB,128)*100</f>
        <v>-17.649999999999999</v>
      </c>
    </row>
    <row r="171" spans="1:19" x14ac:dyDescent="0.25">
      <c r="A171" s="96" t="str">
        <f>'Data Vlaue (Cr)'!C162</f>
        <v>POLICYBZR</v>
      </c>
      <c r="B171" s="75">
        <f>VLOOKUP($A171,'Data Vlaue (Cr)'!$C:$FB,2)</f>
        <v>350</v>
      </c>
      <c r="C171" s="75">
        <f>VLOOKUP($A171,'Data Vlaue (Cr)'!$C:$FB,8)</f>
        <v>1653.1</v>
      </c>
      <c r="D171" s="75">
        <f>VLOOKUP($A171,'Data Vlaue (Cr)'!$C:$FB,4)</f>
        <v>1658</v>
      </c>
      <c r="E171" s="75">
        <f>VLOOKUP($A171,'Data Vlaue (Cr)'!$C:$FB,5)</f>
        <v>1630.8</v>
      </c>
      <c r="F171" s="75">
        <f t="shared" si="12"/>
        <v>4.9000000000000909</v>
      </c>
      <c r="G171" s="75">
        <f t="shared" si="13"/>
        <v>1.640530759951752</v>
      </c>
      <c r="H171" s="75">
        <f>VLOOKUP($A171,'Data Vlaue (Cr)'!$C:$FB,99)</f>
        <v>1355</v>
      </c>
      <c r="I171" s="75">
        <f>VLOOKUP($A171,'Data Vlaue (Cr)'!$C:$FB,100)</f>
        <v>1324</v>
      </c>
      <c r="J171" s="75">
        <f t="shared" si="14"/>
        <v>31</v>
      </c>
      <c r="K171" s="75">
        <f t="shared" si="15"/>
        <v>2.2878228782287824</v>
      </c>
      <c r="L171" s="75">
        <f>VLOOKUP($A171,'Data Vlaue (Cr)'!$C:$FB,67)</f>
        <v>511</v>
      </c>
      <c r="M171" s="75">
        <f>VLOOKUP($A171,'Data Vlaue (Cr)'!$C:$FB,68)</f>
        <v>1649</v>
      </c>
      <c r="N171" s="75">
        <f t="shared" si="16"/>
        <v>-1138</v>
      </c>
      <c r="O171" s="75">
        <f t="shared" si="17"/>
        <v>-222.70058708414874</v>
      </c>
      <c r="P171" s="75">
        <f>VLOOKUP($A171,'Data Vlaue (Cr)'!$C:$FB,119)</f>
        <v>1.02</v>
      </c>
      <c r="Q171" s="75">
        <f>VLOOKUP($A171,'Data Vlaue (Cr)'!$C:$FB,122)*100</f>
        <v>-12.07</v>
      </c>
      <c r="R171" s="75">
        <f>VLOOKUP($A171,'Data Vlaue (Cr)'!$C:$FB,125)</f>
        <v>0.69</v>
      </c>
      <c r="S171" s="75">
        <f>VLOOKUP($A171,'Data Vlaue (Cr)'!$C:$FB,128)*100</f>
        <v>-48.89</v>
      </c>
    </row>
    <row r="172" spans="1:19" x14ac:dyDescent="0.25">
      <c r="A172" s="96" t="str">
        <f>'Data Vlaue (Cr)'!C163</f>
        <v>POLYCAB</v>
      </c>
      <c r="B172" s="75">
        <f>VLOOKUP($A172,'Data Vlaue (Cr)'!$C:$FB,2)</f>
        <v>125</v>
      </c>
      <c r="C172" s="75">
        <f>VLOOKUP($A172,'Data Vlaue (Cr)'!$C:$FB,8)</f>
        <v>6928</v>
      </c>
      <c r="D172" s="75">
        <f>VLOOKUP($A172,'Data Vlaue (Cr)'!$C:$FB,4)</f>
        <v>6952.5</v>
      </c>
      <c r="E172" s="75">
        <f>VLOOKUP($A172,'Data Vlaue (Cr)'!$C:$FB,5)</f>
        <v>6803.5</v>
      </c>
      <c r="F172" s="75">
        <f t="shared" si="12"/>
        <v>24.5</v>
      </c>
      <c r="G172" s="75">
        <f t="shared" si="13"/>
        <v>2.143113987774182</v>
      </c>
      <c r="H172" s="75">
        <f>VLOOKUP($A172,'Data Vlaue (Cr)'!$C:$FB,99)</f>
        <v>3252</v>
      </c>
      <c r="I172" s="75">
        <f>VLOOKUP($A172,'Data Vlaue (Cr)'!$C:$FB,100)</f>
        <v>3235</v>
      </c>
      <c r="J172" s="75">
        <f t="shared" si="14"/>
        <v>17</v>
      </c>
      <c r="K172" s="75">
        <f t="shared" si="15"/>
        <v>0.52275522755227555</v>
      </c>
      <c r="L172" s="75">
        <f>VLOOKUP($A172,'Data Vlaue (Cr)'!$C:$FB,67)</f>
        <v>1256</v>
      </c>
      <c r="M172" s="75">
        <f>VLOOKUP($A172,'Data Vlaue (Cr)'!$C:$FB,68)</f>
        <v>3528</v>
      </c>
      <c r="N172" s="75">
        <f t="shared" si="16"/>
        <v>-2272</v>
      </c>
      <c r="O172" s="75">
        <f t="shared" si="17"/>
        <v>-180.89171974522293</v>
      </c>
      <c r="P172" s="75">
        <f>VLOOKUP($A172,'Data Vlaue (Cr)'!$C:$FB,119)</f>
        <v>0.54</v>
      </c>
      <c r="Q172" s="75">
        <f>VLOOKUP($A172,'Data Vlaue (Cr)'!$C:$FB,122)*100</f>
        <v>-5.26</v>
      </c>
      <c r="R172" s="75">
        <f>VLOOKUP($A172,'Data Vlaue (Cr)'!$C:$FB,125)</f>
        <v>0.43</v>
      </c>
      <c r="S172" s="75">
        <f>VLOOKUP($A172,'Data Vlaue (Cr)'!$C:$FB,128)*100</f>
        <v>-23.21</v>
      </c>
    </row>
    <row r="173" spans="1:19" x14ac:dyDescent="0.25">
      <c r="A173" s="96" t="str">
        <f>'Data Vlaue (Cr)'!C164</f>
        <v>POWERGRID</v>
      </c>
      <c r="B173" s="75">
        <f>VLOOKUP($A173,'Data Vlaue (Cr)'!$C:$FB,2)</f>
        <v>1900</v>
      </c>
      <c r="C173" s="75">
        <f>VLOOKUP($A173,'Data Vlaue (Cr)'!$C:$FB,8)</f>
        <v>259.8</v>
      </c>
      <c r="D173" s="75">
        <f>VLOOKUP($A173,'Data Vlaue (Cr)'!$C:$FB,4)</f>
        <v>257.89999999999998</v>
      </c>
      <c r="E173" s="75">
        <f>VLOOKUP($A173,'Data Vlaue (Cr)'!$C:$FB,5)</f>
        <v>252.65</v>
      </c>
      <c r="F173" s="75">
        <f t="shared" si="12"/>
        <v>-1.9000000000000341</v>
      </c>
      <c r="G173" s="75">
        <f t="shared" si="13"/>
        <v>2.0356727413726143</v>
      </c>
      <c r="H173" s="75">
        <f>VLOOKUP($A173,'Data Vlaue (Cr)'!$C:$FB,99)</f>
        <v>3441</v>
      </c>
      <c r="I173" s="75">
        <f>VLOOKUP($A173,'Data Vlaue (Cr)'!$C:$FB,100)</f>
        <v>3228</v>
      </c>
      <c r="J173" s="75">
        <f t="shared" si="14"/>
        <v>213</v>
      </c>
      <c r="K173" s="75">
        <f t="shared" si="15"/>
        <v>6.1900610287707059</v>
      </c>
      <c r="L173" s="75">
        <f>VLOOKUP($A173,'Data Vlaue (Cr)'!$C:$FB,67)</f>
        <v>1197</v>
      </c>
      <c r="M173" s="75">
        <f>VLOOKUP($A173,'Data Vlaue (Cr)'!$C:$FB,68)</f>
        <v>2972</v>
      </c>
      <c r="N173" s="75">
        <f t="shared" si="16"/>
        <v>-1775</v>
      </c>
      <c r="O173" s="75">
        <f t="shared" si="17"/>
        <v>-148.28738512949039</v>
      </c>
      <c r="P173" s="75">
        <f>VLOOKUP($A173,'Data Vlaue (Cr)'!$C:$FB,119)</f>
        <v>1.1100000000000001</v>
      </c>
      <c r="Q173" s="75">
        <f>VLOOKUP($A173,'Data Vlaue (Cr)'!$C:$FB,122)*100</f>
        <v>-16.54</v>
      </c>
      <c r="R173" s="75">
        <f>VLOOKUP($A173,'Data Vlaue (Cr)'!$C:$FB,125)</f>
        <v>0.37</v>
      </c>
      <c r="S173" s="75">
        <f>VLOOKUP($A173,'Data Vlaue (Cr)'!$C:$FB,128)*100</f>
        <v>-61.860000000000007</v>
      </c>
    </row>
    <row r="174" spans="1:19" x14ac:dyDescent="0.25">
      <c r="A174" s="96" t="str">
        <f>'Data Vlaue (Cr)'!C165</f>
        <v>POWERINDIA</v>
      </c>
      <c r="B174" s="75">
        <f>VLOOKUP($A174,'Data Vlaue (Cr)'!$C:$FB,2)</f>
        <v>50</v>
      </c>
      <c r="C174" s="75">
        <f>VLOOKUP($A174,'Data Vlaue (Cr)'!$C:$FB,8)</f>
        <v>17683</v>
      </c>
      <c r="D174" s="75">
        <f>VLOOKUP($A174,'Data Vlaue (Cr)'!$C:$FB,4)</f>
        <v>17803</v>
      </c>
      <c r="E174" s="75">
        <f>VLOOKUP($A174,'Data Vlaue (Cr)'!$C:$FB,5)</f>
        <v>16812</v>
      </c>
      <c r="F174" s="75">
        <f t="shared" si="12"/>
        <v>120</v>
      </c>
      <c r="G174" s="75">
        <f t="shared" si="13"/>
        <v>5.5664775599618039</v>
      </c>
      <c r="H174" s="75">
        <f>VLOOKUP($A174,'Data Vlaue (Cr)'!$C:$FB,99)</f>
        <v>696</v>
      </c>
      <c r="I174" s="75">
        <f>VLOOKUP($A174,'Data Vlaue (Cr)'!$C:$FB,100)</f>
        <v>600</v>
      </c>
      <c r="J174" s="75">
        <f t="shared" si="14"/>
        <v>96</v>
      </c>
      <c r="K174" s="75">
        <f t="shared" si="15"/>
        <v>13.793103448275861</v>
      </c>
      <c r="L174" s="75">
        <f>VLOOKUP($A174,'Data Vlaue (Cr)'!$C:$FB,67)</f>
        <v>702</v>
      </c>
      <c r="M174" s="75">
        <f>VLOOKUP($A174,'Data Vlaue (Cr)'!$C:$FB,68)</f>
        <v>1373</v>
      </c>
      <c r="N174" s="75">
        <f t="shared" si="16"/>
        <v>-671</v>
      </c>
      <c r="O174" s="75">
        <f t="shared" si="17"/>
        <v>-95.584045584045583</v>
      </c>
      <c r="P174" s="75">
        <f>VLOOKUP($A174,'Data Vlaue (Cr)'!$C:$FB,119)</f>
        <v>0.59</v>
      </c>
      <c r="Q174" s="75">
        <f>VLOOKUP($A174,'Data Vlaue (Cr)'!$C:$FB,122)*100</f>
        <v>-6.35</v>
      </c>
      <c r="R174" s="75">
        <f>VLOOKUP($A174,'Data Vlaue (Cr)'!$C:$FB,125)</f>
        <v>0.26</v>
      </c>
      <c r="S174" s="75">
        <f>VLOOKUP($A174,'Data Vlaue (Cr)'!$C:$FB,128)*100</f>
        <v>-82.43</v>
      </c>
    </row>
    <row r="175" spans="1:19" x14ac:dyDescent="0.25">
      <c r="A175" s="96" t="str">
        <f>'Data Vlaue (Cr)'!C166</f>
        <v>PPLPHARMA</v>
      </c>
      <c r="B175" s="75">
        <f>VLOOKUP($A175,'Data Vlaue (Cr)'!$C:$FB,2)</f>
        <v>2625</v>
      </c>
      <c r="C175" s="75">
        <f>VLOOKUP($A175,'Data Vlaue (Cr)'!$C:$FB,8)</f>
        <v>153.96</v>
      </c>
      <c r="D175" s="75">
        <f>VLOOKUP($A175,'Data Vlaue (Cr)'!$C:$FB,4)</f>
        <v>154.24</v>
      </c>
      <c r="E175" s="75">
        <f>VLOOKUP($A175,'Data Vlaue (Cr)'!$C:$FB,5)</f>
        <v>152.69999999999999</v>
      </c>
      <c r="F175" s="75">
        <f t="shared" si="12"/>
        <v>0.28000000000000114</v>
      </c>
      <c r="G175" s="75">
        <f t="shared" si="13"/>
        <v>0.99844398340250295</v>
      </c>
      <c r="H175" s="75">
        <f>VLOOKUP($A175,'Data Vlaue (Cr)'!$C:$FB,99)</f>
        <v>568</v>
      </c>
      <c r="I175" s="75">
        <f>VLOOKUP($A175,'Data Vlaue (Cr)'!$C:$FB,100)</f>
        <v>430</v>
      </c>
      <c r="J175" s="75">
        <f t="shared" si="14"/>
        <v>138</v>
      </c>
      <c r="K175" s="75">
        <f t="shared" si="15"/>
        <v>24.295774647887324</v>
      </c>
      <c r="L175" s="75">
        <f>VLOOKUP($A175,'Data Vlaue (Cr)'!$C:$FB,67)</f>
        <v>482</v>
      </c>
      <c r="M175" s="75">
        <f>VLOOKUP($A175,'Data Vlaue (Cr)'!$C:$FB,68)</f>
        <v>571</v>
      </c>
      <c r="N175" s="75">
        <f t="shared" si="16"/>
        <v>-89</v>
      </c>
      <c r="O175" s="75">
        <f t="shared" si="17"/>
        <v>-18.464730290456433</v>
      </c>
      <c r="P175" s="75">
        <f>VLOOKUP($A175,'Data Vlaue (Cr)'!$C:$FB,119)</f>
        <v>1.07</v>
      </c>
      <c r="Q175" s="75">
        <f>VLOOKUP($A175,'Data Vlaue (Cr)'!$C:$FB,122)*100</f>
        <v>-10.08</v>
      </c>
      <c r="R175" s="75">
        <f>VLOOKUP($A175,'Data Vlaue (Cr)'!$C:$FB,125)</f>
        <v>0.77</v>
      </c>
      <c r="S175" s="75">
        <f>VLOOKUP($A175,'Data Vlaue (Cr)'!$C:$FB,128)*100</f>
        <v>-10.47</v>
      </c>
    </row>
    <row r="176" spans="1:19" x14ac:dyDescent="0.25">
      <c r="A176" s="96" t="str">
        <f>'Data Vlaue (Cr)'!C167</f>
        <v>PREMIERENE</v>
      </c>
      <c r="B176" s="75">
        <f>VLOOKUP($A176,'Data Vlaue (Cr)'!$C:$FB,2)</f>
        <v>575</v>
      </c>
      <c r="C176" s="75">
        <f>VLOOKUP($A176,'Data Vlaue (Cr)'!$C:$FB,8)</f>
        <v>715.05</v>
      </c>
      <c r="D176" s="75">
        <f>VLOOKUP($A176,'Data Vlaue (Cr)'!$C:$FB,4)</f>
        <v>719.2</v>
      </c>
      <c r="E176" s="75">
        <f>VLOOKUP($A176,'Data Vlaue (Cr)'!$C:$FB,5)</f>
        <v>710.7</v>
      </c>
      <c r="F176" s="75">
        <f t="shared" si="12"/>
        <v>4.1500000000000909</v>
      </c>
      <c r="G176" s="75">
        <f t="shared" si="13"/>
        <v>1.181868743047831</v>
      </c>
      <c r="H176" s="75">
        <f>VLOOKUP($A176,'Data Vlaue (Cr)'!$C:$FB,99)</f>
        <v>540</v>
      </c>
      <c r="I176" s="75">
        <f>VLOOKUP($A176,'Data Vlaue (Cr)'!$C:$FB,100)</f>
        <v>531</v>
      </c>
      <c r="J176" s="75">
        <f t="shared" si="14"/>
        <v>9</v>
      </c>
      <c r="K176" s="75">
        <f t="shared" si="15"/>
        <v>1.6666666666666667</v>
      </c>
      <c r="L176" s="75">
        <f>VLOOKUP($A176,'Data Vlaue (Cr)'!$C:$FB,67)</f>
        <v>256</v>
      </c>
      <c r="M176" s="75">
        <f>VLOOKUP($A176,'Data Vlaue (Cr)'!$C:$FB,68)</f>
        <v>1427</v>
      </c>
      <c r="N176" s="75">
        <f t="shared" si="16"/>
        <v>-1171</v>
      </c>
      <c r="O176" s="75">
        <f t="shared" si="17"/>
        <v>-457.421875</v>
      </c>
      <c r="P176" s="75">
        <f>VLOOKUP($A176,'Data Vlaue (Cr)'!$C:$FB,119)</f>
        <v>0.6</v>
      </c>
      <c r="Q176" s="75">
        <f>VLOOKUP($A176,'Data Vlaue (Cr)'!$C:$FB,122)*100</f>
        <v>5.26</v>
      </c>
      <c r="R176" s="75">
        <f>VLOOKUP($A176,'Data Vlaue (Cr)'!$C:$FB,125)</f>
        <v>0.34</v>
      </c>
      <c r="S176" s="75">
        <f>VLOOKUP($A176,'Data Vlaue (Cr)'!$C:$FB,128)*100</f>
        <v>-10.530000000000001</v>
      </c>
    </row>
    <row r="177" spans="1:19" x14ac:dyDescent="0.25">
      <c r="A177" s="96" t="str">
        <f>'Data Vlaue (Cr)'!C168</f>
        <v>PRESTIGE</v>
      </c>
      <c r="B177" s="75">
        <f>VLOOKUP($A177,'Data Vlaue (Cr)'!$C:$FB,2)</f>
        <v>450</v>
      </c>
      <c r="C177" s="75">
        <f>VLOOKUP($A177,'Data Vlaue (Cr)'!$C:$FB,8)</f>
        <v>1422</v>
      </c>
      <c r="D177" s="75">
        <f>VLOOKUP($A177,'Data Vlaue (Cr)'!$C:$FB,4)</f>
        <v>1430.4</v>
      </c>
      <c r="E177" s="75">
        <f>VLOOKUP($A177,'Data Vlaue (Cr)'!$C:$FB,5)</f>
        <v>1400</v>
      </c>
      <c r="F177" s="75">
        <f t="shared" ref="F177:F185" si="18">D177-C177</f>
        <v>8.4000000000000909</v>
      </c>
      <c r="G177" s="75">
        <f t="shared" ref="G177:G185" si="19">(D177-E177)/D177*100</f>
        <v>2.1252796420581714</v>
      </c>
      <c r="H177" s="75">
        <f>VLOOKUP($A177,'Data Vlaue (Cr)'!$C:$FB,99)</f>
        <v>712</v>
      </c>
      <c r="I177" s="75">
        <f>VLOOKUP($A177,'Data Vlaue (Cr)'!$C:$FB,100)</f>
        <v>690</v>
      </c>
      <c r="J177" s="75">
        <f t="shared" ref="J177:J185" si="20">H177-I177</f>
        <v>22</v>
      </c>
      <c r="K177" s="75">
        <f t="shared" ref="K177:K185" si="21">J177/H177*100</f>
        <v>3.089887640449438</v>
      </c>
      <c r="L177" s="75">
        <f>VLOOKUP($A177,'Data Vlaue (Cr)'!$C:$FB,67)</f>
        <v>344</v>
      </c>
      <c r="M177" s="75">
        <f>VLOOKUP($A177,'Data Vlaue (Cr)'!$C:$FB,68)</f>
        <v>1125</v>
      </c>
      <c r="N177" s="75">
        <f t="shared" ref="N177:N185" si="22">L177-M177</f>
        <v>-781</v>
      </c>
      <c r="O177" s="75">
        <f t="shared" ref="O177:O185" si="23">N177/L177*100</f>
        <v>-227.03488372093022</v>
      </c>
      <c r="P177" s="75">
        <f>VLOOKUP($A177,'Data Vlaue (Cr)'!$C:$FB,119)</f>
        <v>0.79</v>
      </c>
      <c r="Q177" s="75">
        <f>VLOOKUP($A177,'Data Vlaue (Cr)'!$C:$FB,122)*100</f>
        <v>-29.459999999999997</v>
      </c>
      <c r="R177" s="75">
        <f>VLOOKUP($A177,'Data Vlaue (Cr)'!$C:$FB,125)</f>
        <v>0.49</v>
      </c>
      <c r="S177" s="75">
        <f>VLOOKUP($A177,'Data Vlaue (Cr)'!$C:$FB,128)*100</f>
        <v>-62.88</v>
      </c>
    </row>
    <row r="178" spans="1:19" x14ac:dyDescent="0.25">
      <c r="A178" s="96" t="str">
        <f>'Data Vlaue (Cr)'!C169</f>
        <v>RBLBANK</v>
      </c>
      <c r="B178" s="75">
        <f>VLOOKUP($A178,'Data Vlaue (Cr)'!$C:$FB,2)</f>
        <v>3175</v>
      </c>
      <c r="C178" s="75">
        <f>VLOOKUP($A178,'Data Vlaue (Cr)'!$C:$FB,8)</f>
        <v>297.35000000000002</v>
      </c>
      <c r="D178" s="75">
        <f>VLOOKUP($A178,'Data Vlaue (Cr)'!$C:$FB,4)</f>
        <v>298.89999999999998</v>
      </c>
      <c r="E178" s="75">
        <f>VLOOKUP($A178,'Data Vlaue (Cr)'!$C:$FB,5)</f>
        <v>297.2</v>
      </c>
      <c r="F178" s="75">
        <f t="shared" si="18"/>
        <v>1.5499999999999545</v>
      </c>
      <c r="G178" s="75">
        <f t="shared" si="19"/>
        <v>0.56875209100033075</v>
      </c>
      <c r="H178" s="75">
        <f>VLOOKUP($A178,'Data Vlaue (Cr)'!$C:$FB,99)</f>
        <v>3344</v>
      </c>
      <c r="I178" s="75">
        <f>VLOOKUP($A178,'Data Vlaue (Cr)'!$C:$FB,100)</f>
        <v>3219</v>
      </c>
      <c r="J178" s="75">
        <f t="shared" si="20"/>
        <v>125</v>
      </c>
      <c r="K178" s="75">
        <f t="shared" si="21"/>
        <v>3.7380382775119618</v>
      </c>
      <c r="L178" s="75">
        <f>VLOOKUP($A178,'Data Vlaue (Cr)'!$C:$FB,67)</f>
        <v>851</v>
      </c>
      <c r="M178" s="75">
        <f>VLOOKUP($A178,'Data Vlaue (Cr)'!$C:$FB,68)</f>
        <v>3157</v>
      </c>
      <c r="N178" s="75">
        <f t="shared" si="22"/>
        <v>-2306</v>
      </c>
      <c r="O178" s="75">
        <f t="shared" si="23"/>
        <v>-270.9753231492362</v>
      </c>
      <c r="P178" s="75">
        <f>VLOOKUP($A178,'Data Vlaue (Cr)'!$C:$FB,119)</f>
        <v>0.66</v>
      </c>
      <c r="Q178" s="75">
        <f>VLOOKUP($A178,'Data Vlaue (Cr)'!$C:$FB,122)*100</f>
        <v>-10.81</v>
      </c>
      <c r="R178" s="75">
        <f>VLOOKUP($A178,'Data Vlaue (Cr)'!$C:$FB,125)</f>
        <v>0.46</v>
      </c>
      <c r="S178" s="75">
        <f>VLOOKUP($A178,'Data Vlaue (Cr)'!$C:$FB,128)*100</f>
        <v>-42.5</v>
      </c>
    </row>
    <row r="179" spans="1:19" x14ac:dyDescent="0.25">
      <c r="A179" s="96" t="str">
        <f>'Data Vlaue (Cr)'!C170</f>
        <v>RECLTD</v>
      </c>
      <c r="B179" s="75">
        <f>VLOOKUP($A179,'Data Vlaue (Cr)'!$C:$FB,2)</f>
        <v>1400</v>
      </c>
      <c r="C179" s="75">
        <f>VLOOKUP($A179,'Data Vlaue (Cr)'!$C:$FB,8)</f>
        <v>377.5</v>
      </c>
      <c r="D179" s="75">
        <f>VLOOKUP($A179,'Data Vlaue (Cr)'!$C:$FB,4)</f>
        <v>375.95</v>
      </c>
      <c r="E179" s="75">
        <f>VLOOKUP($A179,'Data Vlaue (Cr)'!$C:$FB,5)</f>
        <v>361.75</v>
      </c>
      <c r="F179" s="75">
        <f t="shared" si="18"/>
        <v>-1.5500000000000114</v>
      </c>
      <c r="G179" s="75">
        <f t="shared" si="19"/>
        <v>3.7770980183535015</v>
      </c>
      <c r="H179" s="75">
        <f>VLOOKUP($A179,'Data Vlaue (Cr)'!$C:$FB,99)</f>
        <v>4445</v>
      </c>
      <c r="I179" s="75">
        <f>VLOOKUP($A179,'Data Vlaue (Cr)'!$C:$FB,100)</f>
        <v>4286</v>
      </c>
      <c r="J179" s="75">
        <f t="shared" si="20"/>
        <v>159</v>
      </c>
      <c r="K179" s="75">
        <f t="shared" si="21"/>
        <v>3.5770528683914513</v>
      </c>
      <c r="L179" s="75">
        <f>VLOOKUP($A179,'Data Vlaue (Cr)'!$C:$FB,67)</f>
        <v>2736</v>
      </c>
      <c r="M179" s="75">
        <f>VLOOKUP($A179,'Data Vlaue (Cr)'!$C:$FB,68)</f>
        <v>4714</v>
      </c>
      <c r="N179" s="75">
        <f t="shared" si="22"/>
        <v>-1978</v>
      </c>
      <c r="O179" s="75">
        <f t="shared" si="23"/>
        <v>-72.295321637426895</v>
      </c>
      <c r="P179" s="75">
        <f>VLOOKUP($A179,'Data Vlaue (Cr)'!$C:$FB,119)</f>
        <v>0.86</v>
      </c>
      <c r="Q179" s="75">
        <f>VLOOKUP($A179,'Data Vlaue (Cr)'!$C:$FB,122)*100</f>
        <v>-14.000000000000002</v>
      </c>
      <c r="R179" s="75">
        <f>VLOOKUP($A179,'Data Vlaue (Cr)'!$C:$FB,125)</f>
        <v>0.39</v>
      </c>
      <c r="S179" s="75">
        <f>VLOOKUP($A179,'Data Vlaue (Cr)'!$C:$FB,128)*100</f>
        <v>-63.89</v>
      </c>
    </row>
    <row r="180" spans="1:19" x14ac:dyDescent="0.25">
      <c r="A180" s="96" t="str">
        <f>'Data Vlaue (Cr)'!C171</f>
        <v>RELIANCE</v>
      </c>
      <c r="B180" s="75">
        <f>VLOOKUP($A180,'Data Vlaue (Cr)'!$C:$FB,2)</f>
        <v>500</v>
      </c>
      <c r="C180" s="75">
        <f>VLOOKUP($A180,'Data Vlaue (Cr)'!$C:$FB,8)</f>
        <v>1396.7</v>
      </c>
      <c r="D180" s="75">
        <f>VLOOKUP($A180,'Data Vlaue (Cr)'!$C:$FB,4)</f>
        <v>1402.7</v>
      </c>
      <c r="E180" s="75">
        <f>VLOOKUP($A180,'Data Vlaue (Cr)'!$C:$FB,5)</f>
        <v>1390.5</v>
      </c>
      <c r="F180" s="75">
        <f t="shared" si="18"/>
        <v>6</v>
      </c>
      <c r="G180" s="75">
        <f t="shared" si="19"/>
        <v>0.86975119412561808</v>
      </c>
      <c r="H180" s="75">
        <f>VLOOKUP($A180,'Data Vlaue (Cr)'!$C:$FB,99)</f>
        <v>26045</v>
      </c>
      <c r="I180" s="75">
        <f>VLOOKUP($A180,'Data Vlaue (Cr)'!$C:$FB,100)</f>
        <v>25408</v>
      </c>
      <c r="J180" s="75">
        <f t="shared" si="20"/>
        <v>637</v>
      </c>
      <c r="K180" s="75">
        <f t="shared" si="21"/>
        <v>2.4457669418314456</v>
      </c>
      <c r="L180" s="75">
        <f>VLOOKUP($A180,'Data Vlaue (Cr)'!$C:$FB,67)</f>
        <v>12704</v>
      </c>
      <c r="M180" s="75">
        <f>VLOOKUP($A180,'Data Vlaue (Cr)'!$C:$FB,68)</f>
        <v>31863</v>
      </c>
      <c r="N180" s="75">
        <f t="shared" si="22"/>
        <v>-19159</v>
      </c>
      <c r="O180" s="75">
        <f t="shared" si="23"/>
        <v>-150.81076826196474</v>
      </c>
      <c r="P180" s="75">
        <f>VLOOKUP($A180,'Data Vlaue (Cr)'!$C:$FB,119)</f>
        <v>0.65</v>
      </c>
      <c r="Q180" s="75">
        <f>VLOOKUP($A180,'Data Vlaue (Cr)'!$C:$FB,122)*100</f>
        <v>-4.41</v>
      </c>
      <c r="R180" s="75">
        <f>VLOOKUP($A180,'Data Vlaue (Cr)'!$C:$FB,125)</f>
        <v>0.47</v>
      </c>
      <c r="S180" s="75">
        <f>VLOOKUP($A180,'Data Vlaue (Cr)'!$C:$FB,128)*100</f>
        <v>-20.34</v>
      </c>
    </row>
    <row r="181" spans="1:19" x14ac:dyDescent="0.25">
      <c r="A181" s="96" t="str">
        <f>'Data Vlaue (Cr)'!C172</f>
        <v>RVNL</v>
      </c>
      <c r="B181" s="75">
        <f>VLOOKUP($A181,'Data Vlaue (Cr)'!$C:$FB,2)</f>
        <v>1525</v>
      </c>
      <c r="C181" s="75">
        <f>VLOOKUP($A181,'Data Vlaue (Cr)'!$C:$FB,8)</f>
        <v>342.5</v>
      </c>
      <c r="D181" s="75">
        <f>VLOOKUP($A181,'Data Vlaue (Cr)'!$C:$FB,4)</f>
        <v>336.15</v>
      </c>
      <c r="E181" s="75">
        <f>VLOOKUP($A181,'Data Vlaue (Cr)'!$C:$FB,5)</f>
        <v>315.64999999999998</v>
      </c>
      <c r="F181" s="75">
        <f t="shared" si="18"/>
        <v>-6.3500000000000227</v>
      </c>
      <c r="G181" s="75">
        <f t="shared" si="19"/>
        <v>6.0984679458575046</v>
      </c>
      <c r="H181" s="75">
        <f>VLOOKUP($A181,'Data Vlaue (Cr)'!$C:$FB,99)</f>
        <v>2655</v>
      </c>
      <c r="I181" s="75">
        <f>VLOOKUP($A181,'Data Vlaue (Cr)'!$C:$FB,100)</f>
        <v>2351</v>
      </c>
      <c r="J181" s="75">
        <f t="shared" si="20"/>
        <v>304</v>
      </c>
      <c r="K181" s="75">
        <f t="shared" si="21"/>
        <v>11.450094161958567</v>
      </c>
      <c r="L181" s="75">
        <f>VLOOKUP($A181,'Data Vlaue (Cr)'!$C:$FB,67)</f>
        <v>3201</v>
      </c>
      <c r="M181" s="75">
        <f>VLOOKUP($A181,'Data Vlaue (Cr)'!$C:$FB,68)</f>
        <v>2662</v>
      </c>
      <c r="N181" s="75">
        <f t="shared" si="22"/>
        <v>539</v>
      </c>
      <c r="O181" s="75">
        <f t="shared" si="23"/>
        <v>16.838487972508592</v>
      </c>
      <c r="P181" s="75">
        <f>VLOOKUP($A181,'Data Vlaue (Cr)'!$C:$FB,119)</f>
        <v>0.55000000000000004</v>
      </c>
      <c r="Q181" s="75">
        <f>VLOOKUP($A181,'Data Vlaue (Cr)'!$C:$FB,122)*100</f>
        <v>14.580000000000002</v>
      </c>
      <c r="R181" s="75">
        <f>VLOOKUP($A181,'Data Vlaue (Cr)'!$C:$FB,125)</f>
        <v>0.23</v>
      </c>
      <c r="S181" s="75">
        <f>VLOOKUP($A181,'Data Vlaue (Cr)'!$C:$FB,128)*100</f>
        <v>-23.330000000000002</v>
      </c>
    </row>
    <row r="182" spans="1:19" x14ac:dyDescent="0.25">
      <c r="A182" s="96" t="str">
        <f>'Data Vlaue (Cr)'!C173</f>
        <v>SAIL</v>
      </c>
      <c r="B182" s="75">
        <f>VLOOKUP($A182,'Data Vlaue (Cr)'!$C:$FB,2)</f>
        <v>4700</v>
      </c>
      <c r="C182" s="75">
        <f>VLOOKUP($A182,'Data Vlaue (Cr)'!$C:$FB,8)</f>
        <v>155.74</v>
      </c>
      <c r="D182" s="75">
        <f>VLOOKUP($A182,'Data Vlaue (Cr)'!$C:$FB,4)</f>
        <v>156.82</v>
      </c>
      <c r="E182" s="75">
        <f>VLOOKUP($A182,'Data Vlaue (Cr)'!$C:$FB,5)</f>
        <v>156.80000000000001</v>
      </c>
      <c r="F182" s="75">
        <f t="shared" si="18"/>
        <v>1.0799999999999841</v>
      </c>
      <c r="G182" s="75">
        <f t="shared" si="19"/>
        <v>1.2753475322013652E-2</v>
      </c>
      <c r="H182" s="75">
        <f>VLOOKUP($A182,'Data Vlaue (Cr)'!$C:$FB,99)</f>
        <v>3753</v>
      </c>
      <c r="I182" s="75">
        <f>VLOOKUP($A182,'Data Vlaue (Cr)'!$C:$FB,100)</f>
        <v>3526</v>
      </c>
      <c r="J182" s="75">
        <f t="shared" si="20"/>
        <v>227</v>
      </c>
      <c r="K182" s="75">
        <f t="shared" si="21"/>
        <v>6.0484945377031707</v>
      </c>
      <c r="L182" s="75">
        <f>VLOOKUP($A182,'Data Vlaue (Cr)'!$C:$FB,67)</f>
        <v>1624</v>
      </c>
      <c r="M182" s="75">
        <f>VLOOKUP($A182,'Data Vlaue (Cr)'!$C:$FB,68)</f>
        <v>3479</v>
      </c>
      <c r="N182" s="75">
        <f t="shared" si="22"/>
        <v>-1855</v>
      </c>
      <c r="O182" s="75">
        <f t="shared" si="23"/>
        <v>-114.22413793103448</v>
      </c>
      <c r="P182" s="75">
        <f>VLOOKUP($A182,'Data Vlaue (Cr)'!$C:$FB,119)</f>
        <v>0.63</v>
      </c>
      <c r="Q182" s="75">
        <f>VLOOKUP($A182,'Data Vlaue (Cr)'!$C:$FB,122)*100</f>
        <v>-3.08</v>
      </c>
      <c r="R182" s="75">
        <f>VLOOKUP($A182,'Data Vlaue (Cr)'!$C:$FB,125)</f>
        <v>0.28999999999999998</v>
      </c>
      <c r="S182" s="75">
        <f>VLOOKUP($A182,'Data Vlaue (Cr)'!$C:$FB,128)*100</f>
        <v>-45.28</v>
      </c>
    </row>
    <row r="183" spans="1:19" x14ac:dyDescent="0.25">
      <c r="A183" s="96" t="str">
        <f>'Data Vlaue (Cr)'!C174</f>
        <v>SAMMAANCAP</v>
      </c>
      <c r="B183" s="75">
        <f>VLOOKUP($A183,'Data Vlaue (Cr)'!$C:$FB,2)</f>
        <v>4300</v>
      </c>
      <c r="C183" s="75">
        <f>VLOOKUP($A183,'Data Vlaue (Cr)'!$C:$FB,8)</f>
        <v>141.83000000000001</v>
      </c>
      <c r="D183" s="75">
        <f>VLOOKUP($A183,'Data Vlaue (Cr)'!$C:$FB,4)</f>
        <v>142.86000000000001</v>
      </c>
      <c r="E183" s="75">
        <f>VLOOKUP($A183,'Data Vlaue (Cr)'!$C:$FB,5)</f>
        <v>139.16999999999999</v>
      </c>
      <c r="F183" s="75">
        <f t="shared" si="18"/>
        <v>1.0300000000000011</v>
      </c>
      <c r="G183" s="75">
        <f t="shared" si="19"/>
        <v>2.5829483410331973</v>
      </c>
      <c r="H183" s="75">
        <f>VLOOKUP($A183,'Data Vlaue (Cr)'!$C:$FB,99)</f>
        <v>1860</v>
      </c>
      <c r="I183" s="75">
        <f>VLOOKUP($A183,'Data Vlaue (Cr)'!$C:$FB,100)</f>
        <v>1156</v>
      </c>
      <c r="J183" s="75">
        <f t="shared" si="20"/>
        <v>704</v>
      </c>
      <c r="K183" s="75">
        <f t="shared" si="21"/>
        <v>37.8494623655914</v>
      </c>
      <c r="L183" s="75">
        <f>VLOOKUP($A183,'Data Vlaue (Cr)'!$C:$FB,67)</f>
        <v>1585</v>
      </c>
      <c r="M183" s="75">
        <f>VLOOKUP($A183,'Data Vlaue (Cr)'!$C:$FB,68)</f>
        <v>2772</v>
      </c>
      <c r="N183" s="75">
        <f t="shared" si="22"/>
        <v>-1187</v>
      </c>
      <c r="O183" s="75">
        <f t="shared" si="23"/>
        <v>-74.889589905362769</v>
      </c>
      <c r="P183" s="75">
        <f>VLOOKUP($A183,'Data Vlaue (Cr)'!$C:$FB,119)</f>
        <v>0.78</v>
      </c>
      <c r="Q183" s="75">
        <f>VLOOKUP($A183,'Data Vlaue (Cr)'!$C:$FB,122)*100</f>
        <v>500</v>
      </c>
      <c r="R183" s="75">
        <f>VLOOKUP($A183,'Data Vlaue (Cr)'!$C:$FB,125)</f>
        <v>0.69</v>
      </c>
      <c r="S183" s="75">
        <f>VLOOKUP($A183,'Data Vlaue (Cr)'!$C:$FB,128)*100</f>
        <v>-10.39</v>
      </c>
    </row>
    <row r="184" spans="1:19" x14ac:dyDescent="0.25">
      <c r="A184" s="96" t="str">
        <f>'Data Vlaue (Cr)'!C175</f>
        <v>SBICARD</v>
      </c>
      <c r="B184" s="75">
        <f>VLOOKUP($A184,'Data Vlaue (Cr)'!$C:$FB,2)</f>
        <v>800</v>
      </c>
      <c r="C184" s="75">
        <f>VLOOKUP($A184,'Data Vlaue (Cr)'!$C:$FB,8)</f>
        <v>782.4</v>
      </c>
      <c r="D184" s="75">
        <f>VLOOKUP($A184,'Data Vlaue (Cr)'!$C:$FB,4)</f>
        <v>783.65</v>
      </c>
      <c r="E184" s="75">
        <f>VLOOKUP($A184,'Data Vlaue (Cr)'!$C:$FB,5)</f>
        <v>774.7</v>
      </c>
      <c r="F184" s="75">
        <f t="shared" si="18"/>
        <v>1.25</v>
      </c>
      <c r="G184" s="75">
        <f t="shared" si="19"/>
        <v>1.1420914949275738</v>
      </c>
      <c r="H184" s="75">
        <f>VLOOKUP($A184,'Data Vlaue (Cr)'!$C:$FB,99)</f>
        <v>1912</v>
      </c>
      <c r="I184" s="75">
        <f>VLOOKUP($A184,'Data Vlaue (Cr)'!$C:$FB,100)</f>
        <v>1587</v>
      </c>
      <c r="J184" s="75">
        <f t="shared" si="20"/>
        <v>325</v>
      </c>
      <c r="K184" s="75">
        <f t="shared" si="21"/>
        <v>16.997907949790793</v>
      </c>
      <c r="L184" s="75">
        <f>VLOOKUP($A184,'Data Vlaue (Cr)'!$C:$FB,67)</f>
        <v>2050</v>
      </c>
      <c r="M184" s="75">
        <f>VLOOKUP($A184,'Data Vlaue (Cr)'!$C:$FB,68)</f>
        <v>1880</v>
      </c>
      <c r="N184" s="75">
        <f t="shared" si="22"/>
        <v>170</v>
      </c>
      <c r="O184" s="75">
        <f t="shared" si="23"/>
        <v>8.2926829268292686</v>
      </c>
      <c r="P184" s="75">
        <f>VLOOKUP($A184,'Data Vlaue (Cr)'!$C:$FB,119)</f>
        <v>0.64</v>
      </c>
      <c r="Q184" s="75">
        <f>VLOOKUP($A184,'Data Vlaue (Cr)'!$C:$FB,122)*100</f>
        <v>-15.790000000000001</v>
      </c>
      <c r="R184" s="75">
        <f>VLOOKUP($A184,'Data Vlaue (Cr)'!$C:$FB,125)</f>
        <v>0.45</v>
      </c>
      <c r="S184" s="75">
        <f>VLOOKUP($A184,'Data Vlaue (Cr)'!$C:$FB,128)*100</f>
        <v>-57.940000000000005</v>
      </c>
    </row>
    <row r="185" spans="1:19" x14ac:dyDescent="0.25">
      <c r="A185" s="96" t="str">
        <f>'Data Vlaue (Cr)'!C176</f>
        <v>SBILIFE</v>
      </c>
      <c r="B185" s="75">
        <f>VLOOKUP($A185,'Data Vlaue (Cr)'!$C:$FB,2)</f>
        <v>375</v>
      </c>
      <c r="C185" s="75">
        <f>VLOOKUP($A185,'Data Vlaue (Cr)'!$C:$FB,8)</f>
        <v>2053.1999999999998</v>
      </c>
      <c r="D185" s="75">
        <f>VLOOKUP($A185,'Data Vlaue (Cr)'!$C:$FB,4)</f>
        <v>2060.6999999999998</v>
      </c>
      <c r="E185" s="75">
        <f>VLOOKUP($A185,'Data Vlaue (Cr)'!$C:$FB,5)</f>
        <v>2052.6</v>
      </c>
      <c r="F185" s="75">
        <f t="shared" si="18"/>
        <v>7.5</v>
      </c>
      <c r="G185" s="75">
        <f t="shared" si="19"/>
        <v>0.39307031591206437</v>
      </c>
      <c r="H185" s="75">
        <f>VLOOKUP($A185,'Data Vlaue (Cr)'!$C:$FB,99)</f>
        <v>2690</v>
      </c>
      <c r="I185" s="75">
        <f>VLOOKUP($A185,'Data Vlaue (Cr)'!$C:$FB,100)</f>
        <v>2250</v>
      </c>
      <c r="J185" s="75">
        <f t="shared" si="20"/>
        <v>440</v>
      </c>
      <c r="K185" s="75">
        <f t="shared" si="21"/>
        <v>16.356877323420075</v>
      </c>
      <c r="L185" s="75">
        <f>VLOOKUP($A185,'Data Vlaue (Cr)'!$C:$FB,67)</f>
        <v>3699</v>
      </c>
      <c r="M185" s="75">
        <f>VLOOKUP($A185,'Data Vlaue (Cr)'!$C:$FB,68)</f>
        <v>1767</v>
      </c>
      <c r="N185" s="75">
        <f t="shared" si="22"/>
        <v>1932</v>
      </c>
      <c r="O185" s="75">
        <f t="shared" si="23"/>
        <v>52.230332522303321</v>
      </c>
      <c r="P185" s="75">
        <f>VLOOKUP($A185,'Data Vlaue (Cr)'!$C:$FB,119)</f>
        <v>0.87</v>
      </c>
      <c r="Q185" s="75">
        <f>VLOOKUP($A185,'Data Vlaue (Cr)'!$C:$FB,122)*100</f>
        <v>-2.25</v>
      </c>
      <c r="R185" s="75">
        <f>VLOOKUP($A185,'Data Vlaue (Cr)'!$C:$FB,125)</f>
        <v>0.52</v>
      </c>
      <c r="S185" s="75">
        <f>VLOOKUP($A185,'Data Vlaue (Cr)'!$C:$FB,128)*100</f>
        <v>0</v>
      </c>
    </row>
    <row r="186" spans="1:19" x14ac:dyDescent="0.25">
      <c r="A186" s="96" t="str">
        <f>'Data Vlaue (Cr)'!C177</f>
        <v>SBIN</v>
      </c>
      <c r="B186" s="75">
        <f>VLOOKUP($A186,'Data Vlaue (Cr)'!$C:$FB,2)</f>
        <v>750</v>
      </c>
      <c r="C186" s="75">
        <f>VLOOKUP($A186,'Data Vlaue (Cr)'!$C:$FB,8)</f>
        <v>1063.5</v>
      </c>
      <c r="D186" s="75">
        <f>VLOOKUP($A186,'Data Vlaue (Cr)'!$C:$FB,4)</f>
        <v>1067.3</v>
      </c>
      <c r="E186" s="75">
        <f>VLOOKUP($A186,'Data Vlaue (Cr)'!$C:$FB,5)</f>
        <v>1058.4000000000001</v>
      </c>
      <c r="F186" s="75">
        <f t="shared" ref="F186:F193" si="24">D186-C186</f>
        <v>3.7999999999999545</v>
      </c>
      <c r="G186" s="75">
        <f t="shared" ref="G186:G193" si="25">(D186-E186)/D186*100</f>
        <v>0.83387988381896982</v>
      </c>
      <c r="H186" s="75">
        <f>VLOOKUP($A186,'Data Vlaue (Cr)'!$C:$FB,99)</f>
        <v>11273</v>
      </c>
      <c r="I186" s="75">
        <f>VLOOKUP($A186,'Data Vlaue (Cr)'!$C:$FB,100)</f>
        <v>10638</v>
      </c>
      <c r="J186" s="75">
        <f t="shared" ref="J186:J193" si="26">H186-I186</f>
        <v>635</v>
      </c>
      <c r="K186" s="75">
        <f t="shared" ref="K186:K193" si="27">J186/H186*100</f>
        <v>5.6329282356072028</v>
      </c>
      <c r="L186" s="75">
        <f>VLOOKUP($A186,'Data Vlaue (Cr)'!$C:$FB,67)</f>
        <v>9731</v>
      </c>
      <c r="M186" s="75">
        <f>VLOOKUP($A186,'Data Vlaue (Cr)'!$C:$FB,68)</f>
        <v>17247</v>
      </c>
      <c r="N186" s="75">
        <f t="shared" ref="N186:N193" si="28">L186-M186</f>
        <v>-7516</v>
      </c>
      <c r="O186" s="75">
        <f t="shared" ref="O186:O193" si="29">N186/L186*100</f>
        <v>-77.237693967731985</v>
      </c>
      <c r="P186" s="75">
        <f>VLOOKUP($A186,'Data Vlaue (Cr)'!$C:$FB,119)</f>
        <v>1.1399999999999999</v>
      </c>
      <c r="Q186" s="75">
        <f>VLOOKUP($A186,'Data Vlaue (Cr)'!$C:$FB,122)*100</f>
        <v>-5.79</v>
      </c>
      <c r="R186" s="75">
        <f>VLOOKUP($A186,'Data Vlaue (Cr)'!$C:$FB,125)</f>
        <v>0.69</v>
      </c>
      <c r="S186" s="75">
        <f>VLOOKUP($A186,'Data Vlaue (Cr)'!$C:$FB,128)*100</f>
        <v>-6.76</v>
      </c>
    </row>
    <row r="187" spans="1:19" x14ac:dyDescent="0.25">
      <c r="A187" s="96" t="str">
        <f>'Data Vlaue (Cr)'!C178</f>
        <v>SHREECEM</v>
      </c>
      <c r="B187" s="75">
        <f>VLOOKUP($A187,'Data Vlaue (Cr)'!$C:$FB,2)</f>
        <v>25</v>
      </c>
      <c r="C187" s="75">
        <f>VLOOKUP($A187,'Data Vlaue (Cr)'!$C:$FB,8)</f>
        <v>27480</v>
      </c>
      <c r="D187" s="75">
        <f>VLOOKUP($A187,'Data Vlaue (Cr)'!$C:$FB,4)</f>
        <v>27500</v>
      </c>
      <c r="E187" s="75">
        <f>VLOOKUP($A187,'Data Vlaue (Cr)'!$C:$FB,5)</f>
        <v>27300</v>
      </c>
      <c r="F187" s="75">
        <f t="shared" si="24"/>
        <v>20</v>
      </c>
      <c r="G187" s="75">
        <f t="shared" si="25"/>
        <v>0.72727272727272729</v>
      </c>
      <c r="H187" s="75">
        <f>VLOOKUP($A187,'Data Vlaue (Cr)'!$C:$FB,99)</f>
        <v>826</v>
      </c>
      <c r="I187" s="75">
        <f>VLOOKUP($A187,'Data Vlaue (Cr)'!$C:$FB,100)</f>
        <v>758</v>
      </c>
      <c r="J187" s="75">
        <f t="shared" si="26"/>
        <v>68</v>
      </c>
      <c r="K187" s="75">
        <f t="shared" si="27"/>
        <v>8.2324455205811145</v>
      </c>
      <c r="L187" s="75">
        <f>VLOOKUP($A187,'Data Vlaue (Cr)'!$C:$FB,67)</f>
        <v>233</v>
      </c>
      <c r="M187" s="75">
        <f>VLOOKUP($A187,'Data Vlaue (Cr)'!$C:$FB,68)</f>
        <v>963</v>
      </c>
      <c r="N187" s="75">
        <f t="shared" si="28"/>
        <v>-730</v>
      </c>
      <c r="O187" s="75">
        <f t="shared" si="29"/>
        <v>-313.30472103004291</v>
      </c>
      <c r="P187" s="75">
        <f>VLOOKUP($A187,'Data Vlaue (Cr)'!$C:$FB,119)</f>
        <v>0.9</v>
      </c>
      <c r="Q187" s="75">
        <f>VLOOKUP($A187,'Data Vlaue (Cr)'!$C:$FB,122)*100</f>
        <v>-5.26</v>
      </c>
      <c r="R187" s="75">
        <f>VLOOKUP($A187,'Data Vlaue (Cr)'!$C:$FB,125)</f>
        <v>0.94</v>
      </c>
      <c r="S187" s="75">
        <f>VLOOKUP($A187,'Data Vlaue (Cr)'!$C:$FB,128)*100</f>
        <v>20.51</v>
      </c>
    </row>
    <row r="188" spans="1:19" x14ac:dyDescent="0.25">
      <c r="A188" s="96" t="str">
        <f>'Data Vlaue (Cr)'!C179</f>
        <v>SHRIRAMFIN</v>
      </c>
      <c r="B188" s="75">
        <f>VLOOKUP($A188,'Data Vlaue (Cr)'!$C:$FB,2)</f>
        <v>825</v>
      </c>
      <c r="C188" s="75">
        <f>VLOOKUP($A188,'Data Vlaue (Cr)'!$C:$FB,8)</f>
        <v>1018.8</v>
      </c>
      <c r="D188" s="75">
        <f>VLOOKUP($A188,'Data Vlaue (Cr)'!$C:$FB,4)</f>
        <v>1022.55</v>
      </c>
      <c r="E188" s="75">
        <f>VLOOKUP($A188,'Data Vlaue (Cr)'!$C:$FB,5)</f>
        <v>1006.3</v>
      </c>
      <c r="F188" s="75">
        <f t="shared" si="24"/>
        <v>3.75</v>
      </c>
      <c r="G188" s="75">
        <f t="shared" si="25"/>
        <v>1.5891643440418564</v>
      </c>
      <c r="H188" s="75">
        <f>VLOOKUP($A188,'Data Vlaue (Cr)'!$C:$FB,99)</f>
        <v>5748</v>
      </c>
      <c r="I188" s="75">
        <f>VLOOKUP($A188,'Data Vlaue (Cr)'!$C:$FB,100)</f>
        <v>5603</v>
      </c>
      <c r="J188" s="75">
        <f t="shared" si="26"/>
        <v>145</v>
      </c>
      <c r="K188" s="75">
        <f t="shared" si="27"/>
        <v>2.5226165622825332</v>
      </c>
      <c r="L188" s="75">
        <f>VLOOKUP($A188,'Data Vlaue (Cr)'!$C:$FB,67)</f>
        <v>2916</v>
      </c>
      <c r="M188" s="75">
        <f>VLOOKUP($A188,'Data Vlaue (Cr)'!$C:$FB,68)</f>
        <v>8047</v>
      </c>
      <c r="N188" s="75">
        <f t="shared" si="28"/>
        <v>-5131</v>
      </c>
      <c r="O188" s="75">
        <f t="shared" si="29"/>
        <v>-175.960219478738</v>
      </c>
      <c r="P188" s="75">
        <f>VLOOKUP($A188,'Data Vlaue (Cr)'!$C:$FB,119)</f>
        <v>0.6</v>
      </c>
      <c r="Q188" s="75">
        <f>VLOOKUP($A188,'Data Vlaue (Cr)'!$C:$FB,122)*100</f>
        <v>-1.6400000000000001</v>
      </c>
      <c r="R188" s="75">
        <f>VLOOKUP($A188,'Data Vlaue (Cr)'!$C:$FB,125)</f>
        <v>0.63</v>
      </c>
      <c r="S188" s="75">
        <f>VLOOKUP($A188,'Data Vlaue (Cr)'!$C:$FB,128)*100</f>
        <v>-11.27</v>
      </c>
    </row>
    <row r="189" spans="1:19" x14ac:dyDescent="0.25">
      <c r="A189" s="96" t="str">
        <f>'Data Vlaue (Cr)'!C180</f>
        <v>SIEMENS</v>
      </c>
      <c r="B189" s="75">
        <f>VLOOKUP($A189,'Data Vlaue (Cr)'!$C:$FB,2)</f>
        <v>175</v>
      </c>
      <c r="C189" s="75">
        <f>VLOOKUP($A189,'Data Vlaue (Cr)'!$C:$FB,8)</f>
        <v>2980.8</v>
      </c>
      <c r="D189" s="75">
        <f>VLOOKUP($A189,'Data Vlaue (Cr)'!$C:$FB,4)</f>
        <v>2996.2</v>
      </c>
      <c r="E189" s="75">
        <f>VLOOKUP($A189,'Data Vlaue (Cr)'!$C:$FB,5)</f>
        <v>2908</v>
      </c>
      <c r="F189" s="75">
        <f t="shared" si="24"/>
        <v>15.399999999999636</v>
      </c>
      <c r="G189" s="75">
        <f t="shared" si="25"/>
        <v>2.9437287230491895</v>
      </c>
      <c r="H189" s="75">
        <f>VLOOKUP($A189,'Data Vlaue (Cr)'!$C:$FB,99)</f>
        <v>910</v>
      </c>
      <c r="I189" s="75">
        <f>VLOOKUP($A189,'Data Vlaue (Cr)'!$C:$FB,100)</f>
        <v>855</v>
      </c>
      <c r="J189" s="75">
        <f t="shared" si="26"/>
        <v>55</v>
      </c>
      <c r="K189" s="75">
        <f t="shared" si="27"/>
        <v>6.0439560439560438</v>
      </c>
      <c r="L189" s="75">
        <f>VLOOKUP($A189,'Data Vlaue (Cr)'!$C:$FB,67)</f>
        <v>815</v>
      </c>
      <c r="M189" s="75">
        <f>VLOOKUP($A189,'Data Vlaue (Cr)'!$C:$FB,68)</f>
        <v>901</v>
      </c>
      <c r="N189" s="75">
        <f t="shared" si="28"/>
        <v>-86</v>
      </c>
      <c r="O189" s="75">
        <f t="shared" si="29"/>
        <v>-10.552147239263803</v>
      </c>
      <c r="P189" s="75">
        <f>VLOOKUP($A189,'Data Vlaue (Cr)'!$C:$FB,119)</f>
        <v>0.67</v>
      </c>
      <c r="Q189" s="75">
        <f>VLOOKUP($A189,'Data Vlaue (Cr)'!$C:$FB,122)*100</f>
        <v>-2.9000000000000004</v>
      </c>
      <c r="R189" s="75">
        <f>VLOOKUP($A189,'Data Vlaue (Cr)'!$C:$FB,125)</f>
        <v>0.28000000000000003</v>
      </c>
      <c r="S189" s="75">
        <f>VLOOKUP($A189,'Data Vlaue (Cr)'!$C:$FB,128)*100</f>
        <v>-52.54</v>
      </c>
    </row>
    <row r="190" spans="1:19" x14ac:dyDescent="0.25">
      <c r="A190" s="96" t="str">
        <f>'Data Vlaue (Cr)'!C181</f>
        <v>SOLARINDS</v>
      </c>
      <c r="B190" s="75">
        <f>VLOOKUP($A190,'Data Vlaue (Cr)'!$C:$FB,2)</f>
        <v>50</v>
      </c>
      <c r="C190" s="75">
        <f>VLOOKUP($A190,'Data Vlaue (Cr)'!$C:$FB,8)</f>
        <v>13916</v>
      </c>
      <c r="D190" s="75">
        <f>VLOOKUP($A190,'Data Vlaue (Cr)'!$C:$FB,4)</f>
        <v>13975</v>
      </c>
      <c r="E190" s="75">
        <f>VLOOKUP($A190,'Data Vlaue (Cr)'!$C:$FB,5)</f>
        <v>12813</v>
      </c>
      <c r="F190" s="75">
        <f t="shared" si="24"/>
        <v>59</v>
      </c>
      <c r="G190" s="75">
        <f t="shared" si="25"/>
        <v>8.3148479427549198</v>
      </c>
      <c r="H190" s="75">
        <f>VLOOKUP($A190,'Data Vlaue (Cr)'!$C:$FB,99)</f>
        <v>1729</v>
      </c>
      <c r="I190" s="75">
        <f>VLOOKUP($A190,'Data Vlaue (Cr)'!$C:$FB,100)</f>
        <v>1482</v>
      </c>
      <c r="J190" s="75">
        <f t="shared" si="26"/>
        <v>247</v>
      </c>
      <c r="K190" s="75">
        <f t="shared" si="27"/>
        <v>14.285714285714285</v>
      </c>
      <c r="L190" s="75">
        <f>VLOOKUP($A190,'Data Vlaue (Cr)'!$C:$FB,67)</f>
        <v>2785</v>
      </c>
      <c r="M190" s="75">
        <f>VLOOKUP($A190,'Data Vlaue (Cr)'!$C:$FB,68)</f>
        <v>1958</v>
      </c>
      <c r="N190" s="75">
        <f t="shared" si="28"/>
        <v>827</v>
      </c>
      <c r="O190" s="75">
        <f t="shared" si="29"/>
        <v>29.694793536804308</v>
      </c>
      <c r="P190" s="75">
        <f>VLOOKUP($A190,'Data Vlaue (Cr)'!$C:$FB,119)</f>
        <v>0.74</v>
      </c>
      <c r="Q190" s="75">
        <f>VLOOKUP($A190,'Data Vlaue (Cr)'!$C:$FB,122)*100</f>
        <v>-39.340000000000003</v>
      </c>
      <c r="R190" s="75">
        <f>VLOOKUP($A190,'Data Vlaue (Cr)'!$C:$FB,125)</f>
        <v>0.18</v>
      </c>
      <c r="S190" s="75">
        <f>VLOOKUP($A190,'Data Vlaue (Cr)'!$C:$FB,128)*100</f>
        <v>-68.97</v>
      </c>
    </row>
    <row r="191" spans="1:19" x14ac:dyDescent="0.25">
      <c r="A191" s="96" t="str">
        <f>'Data Vlaue (Cr)'!C182</f>
        <v>SONACOMS</v>
      </c>
      <c r="B191" s="75">
        <f>VLOOKUP($A191,'Data Vlaue (Cr)'!$C:$FB,2)</f>
        <v>1225</v>
      </c>
      <c r="C191" s="75">
        <f>VLOOKUP($A191,'Data Vlaue (Cr)'!$C:$FB,8)</f>
        <v>494.1</v>
      </c>
      <c r="D191" s="75">
        <f>VLOOKUP($A191,'Data Vlaue (Cr)'!$C:$FB,4)</f>
        <v>494.4</v>
      </c>
      <c r="E191" s="75">
        <f>VLOOKUP($A191,'Data Vlaue (Cr)'!$C:$FB,5)</f>
        <v>489.15</v>
      </c>
      <c r="F191" s="75">
        <f t="shared" si="24"/>
        <v>0.29999999999995453</v>
      </c>
      <c r="G191" s="75">
        <f t="shared" si="25"/>
        <v>1.0618932038834952</v>
      </c>
      <c r="H191" s="75">
        <f>VLOOKUP($A191,'Data Vlaue (Cr)'!$C:$FB,99)</f>
        <v>892</v>
      </c>
      <c r="I191" s="75">
        <f>VLOOKUP($A191,'Data Vlaue (Cr)'!$C:$FB,100)</f>
        <v>900</v>
      </c>
      <c r="J191" s="75">
        <f t="shared" si="26"/>
        <v>-8</v>
      </c>
      <c r="K191" s="75">
        <f t="shared" si="27"/>
        <v>-0.89686098654708524</v>
      </c>
      <c r="L191" s="75">
        <f>VLOOKUP($A191,'Data Vlaue (Cr)'!$C:$FB,67)</f>
        <v>629</v>
      </c>
      <c r="M191" s="75">
        <f>VLOOKUP($A191,'Data Vlaue (Cr)'!$C:$FB,68)</f>
        <v>2891</v>
      </c>
      <c r="N191" s="75">
        <f t="shared" si="28"/>
        <v>-2262</v>
      </c>
      <c r="O191" s="75">
        <f t="shared" si="29"/>
        <v>-359.61844197138311</v>
      </c>
      <c r="P191" s="75">
        <f>VLOOKUP($A191,'Data Vlaue (Cr)'!$C:$FB,119)</f>
        <v>0.83</v>
      </c>
      <c r="Q191" s="75">
        <f>VLOOKUP($A191,'Data Vlaue (Cr)'!$C:$FB,122)*100</f>
        <v>10.67</v>
      </c>
      <c r="R191" s="75">
        <f>VLOOKUP($A191,'Data Vlaue (Cr)'!$C:$FB,125)</f>
        <v>0.34</v>
      </c>
      <c r="S191" s="75">
        <f>VLOOKUP($A191,'Data Vlaue (Cr)'!$C:$FB,128)*100</f>
        <v>25.929999999999996</v>
      </c>
    </row>
    <row r="192" spans="1:19" x14ac:dyDescent="0.25">
      <c r="A192" s="96" t="str">
        <f>'Data Vlaue (Cr)'!C183</f>
        <v>SRF</v>
      </c>
      <c r="B192" s="75">
        <f>VLOOKUP($A192,'Data Vlaue (Cr)'!$C:$FB,2)</f>
        <v>200</v>
      </c>
      <c r="C192" s="75">
        <f>VLOOKUP($A192,'Data Vlaue (Cr)'!$C:$FB,8)</f>
        <v>2817</v>
      </c>
      <c r="D192" s="75">
        <f>VLOOKUP($A192,'Data Vlaue (Cr)'!$C:$FB,4)</f>
        <v>2835.1</v>
      </c>
      <c r="E192" s="75">
        <f>VLOOKUP($A192,'Data Vlaue (Cr)'!$C:$FB,5)</f>
        <v>2701.6</v>
      </c>
      <c r="F192" s="75">
        <f t="shared" si="24"/>
        <v>18.099999999999909</v>
      </c>
      <c r="G192" s="75">
        <f t="shared" si="25"/>
        <v>4.7088286127473467</v>
      </c>
      <c r="H192" s="75">
        <f>VLOOKUP($A192,'Data Vlaue (Cr)'!$C:$FB,99)</f>
        <v>1307</v>
      </c>
      <c r="I192" s="75">
        <f>VLOOKUP($A192,'Data Vlaue (Cr)'!$C:$FB,100)</f>
        <v>1252</v>
      </c>
      <c r="J192" s="75">
        <f t="shared" si="26"/>
        <v>55</v>
      </c>
      <c r="K192" s="75">
        <f t="shared" si="27"/>
        <v>4.2081101759755164</v>
      </c>
      <c r="L192" s="75">
        <f>VLOOKUP($A192,'Data Vlaue (Cr)'!$C:$FB,67)</f>
        <v>1262</v>
      </c>
      <c r="M192" s="75">
        <f>VLOOKUP($A192,'Data Vlaue (Cr)'!$C:$FB,68)</f>
        <v>1625</v>
      </c>
      <c r="N192" s="75">
        <f t="shared" si="28"/>
        <v>-363</v>
      </c>
      <c r="O192" s="75">
        <f t="shared" si="29"/>
        <v>-28.763866877971473</v>
      </c>
      <c r="P192" s="75">
        <f>VLOOKUP($A192,'Data Vlaue (Cr)'!$C:$FB,119)</f>
        <v>0.75</v>
      </c>
      <c r="Q192" s="75">
        <f>VLOOKUP($A192,'Data Vlaue (Cr)'!$C:$FB,122)*100</f>
        <v>15.379999999999999</v>
      </c>
      <c r="R192" s="75">
        <f>VLOOKUP($A192,'Data Vlaue (Cr)'!$C:$FB,125)</f>
        <v>0.36</v>
      </c>
      <c r="S192" s="75">
        <f>VLOOKUP($A192,'Data Vlaue (Cr)'!$C:$FB,128)*100</f>
        <v>-26.529999999999998</v>
      </c>
    </row>
    <row r="193" spans="1:19" x14ac:dyDescent="0.25">
      <c r="A193" s="96" t="str">
        <f>'Data Vlaue (Cr)'!C184</f>
        <v>SUNPHARMA</v>
      </c>
      <c r="B193" s="75">
        <f>VLOOKUP($A193,'Data Vlaue (Cr)'!$C:$FB,2)</f>
        <v>350</v>
      </c>
      <c r="C193" s="75">
        <f>VLOOKUP($A193,'Data Vlaue (Cr)'!$C:$FB,8)</f>
        <v>1610.6</v>
      </c>
      <c r="D193" s="75">
        <f>VLOOKUP($A193,'Data Vlaue (Cr)'!$C:$FB,4)</f>
        <v>1608</v>
      </c>
      <c r="E193" s="75">
        <f>VLOOKUP($A193,'Data Vlaue (Cr)'!$C:$FB,5)</f>
        <v>1638.6</v>
      </c>
      <c r="F193" s="75">
        <f t="shared" si="24"/>
        <v>-2.5999999999999091</v>
      </c>
      <c r="G193" s="75">
        <f t="shared" si="25"/>
        <v>-1.90298507462686</v>
      </c>
      <c r="H193" s="75">
        <f>VLOOKUP($A193,'Data Vlaue (Cr)'!$C:$FB,99)</f>
        <v>4085</v>
      </c>
      <c r="I193" s="75">
        <f>VLOOKUP($A193,'Data Vlaue (Cr)'!$C:$FB,100)</f>
        <v>3739</v>
      </c>
      <c r="J193" s="75">
        <f t="shared" si="26"/>
        <v>346</v>
      </c>
      <c r="K193" s="75">
        <f t="shared" si="27"/>
        <v>8.470012239902081</v>
      </c>
      <c r="L193" s="75">
        <f>VLOOKUP($A193,'Data Vlaue (Cr)'!$C:$FB,67)</f>
        <v>1397</v>
      </c>
      <c r="M193" s="75">
        <f>VLOOKUP($A193,'Data Vlaue (Cr)'!$C:$FB,68)</f>
        <v>3255</v>
      </c>
      <c r="N193" s="75">
        <f t="shared" si="28"/>
        <v>-1858</v>
      </c>
      <c r="O193" s="75">
        <f t="shared" si="29"/>
        <v>-132.99928418038652</v>
      </c>
      <c r="P193" s="75">
        <f>VLOOKUP($A193,'Data Vlaue (Cr)'!$C:$FB,119)</f>
        <v>0.71</v>
      </c>
      <c r="Q193" s="75">
        <f>VLOOKUP($A193,'Data Vlaue (Cr)'!$C:$FB,122)*100</f>
        <v>-26.040000000000003</v>
      </c>
      <c r="R193" s="75">
        <f>VLOOKUP($A193,'Data Vlaue (Cr)'!$C:$FB,125)</f>
        <v>0.56000000000000005</v>
      </c>
      <c r="S193" s="75">
        <f>VLOOKUP($A193,'Data Vlaue (Cr)'!$C:$FB,128)*100</f>
        <v>-41.67</v>
      </c>
    </row>
    <row r="194" spans="1:19" ht="13.9" customHeight="1" x14ac:dyDescent="0.25">
      <c r="A194" s="96" t="str">
        <f>'Data Vlaue (Cr)'!C185</f>
        <v>SUPREMEIND</v>
      </c>
      <c r="B194" s="75">
        <f>VLOOKUP($A194,'Data Vlaue (Cr)'!$C:$FB,2)</f>
        <v>175</v>
      </c>
      <c r="C194" s="75">
        <f>VLOOKUP($A194,'Data Vlaue (Cr)'!$C:$FB,8)</f>
        <v>3512.9</v>
      </c>
      <c r="D194" s="75">
        <f>VLOOKUP($A194,'Data Vlaue (Cr)'!$C:$FB,4)</f>
        <v>3533.6</v>
      </c>
      <c r="E194" s="75">
        <f>VLOOKUP($A194,'Data Vlaue (Cr)'!$C:$FB,5)</f>
        <v>3474.3</v>
      </c>
      <c r="F194" s="75">
        <f t="shared" ref="F194:F223" si="30">D194-C194</f>
        <v>20.699999999999818</v>
      </c>
      <c r="G194" s="75">
        <f t="shared" ref="G194:G223" si="31">(D194-E194)/D194*100</f>
        <v>1.6781752320579502</v>
      </c>
      <c r="H194" s="75">
        <f>VLOOKUP($A194,'Data Vlaue (Cr)'!$C:$FB,99)</f>
        <v>805</v>
      </c>
      <c r="I194" s="75">
        <f>VLOOKUP($A194,'Data Vlaue (Cr)'!$C:$FB,100)</f>
        <v>754</v>
      </c>
      <c r="J194" s="75">
        <f t="shared" ref="J194:J223" si="32">H194-I194</f>
        <v>51</v>
      </c>
      <c r="K194" s="75">
        <f t="shared" ref="K194:K223" si="33">J194/H194*100</f>
        <v>6.3354037267080745</v>
      </c>
      <c r="L194" s="75">
        <f>VLOOKUP($A194,'Data Vlaue (Cr)'!$C:$FB,67)</f>
        <v>293</v>
      </c>
      <c r="M194" s="75">
        <f>VLOOKUP($A194,'Data Vlaue (Cr)'!$C:$FB,68)</f>
        <v>785</v>
      </c>
      <c r="N194" s="75">
        <f t="shared" ref="N194:N223" si="34">L194-M194</f>
        <v>-492</v>
      </c>
      <c r="O194" s="75">
        <f t="shared" ref="O194:O223" si="35">N194/L194*100</f>
        <v>-167.91808873720134</v>
      </c>
      <c r="P194" s="75">
        <f>VLOOKUP($A194,'Data Vlaue (Cr)'!$C:$FB,119)</f>
        <v>0.78</v>
      </c>
      <c r="Q194" s="75">
        <f>VLOOKUP($A194,'Data Vlaue (Cr)'!$C:$FB,122)*100</f>
        <v>-24.27</v>
      </c>
      <c r="R194" s="75">
        <f>VLOOKUP($A194,'Data Vlaue (Cr)'!$C:$FB,125)</f>
        <v>0.21</v>
      </c>
      <c r="S194" s="75">
        <f>VLOOKUP($A194,'Data Vlaue (Cr)'!$C:$FB,128)*100</f>
        <v>-76.92</v>
      </c>
    </row>
    <row r="195" spans="1:19" x14ac:dyDescent="0.25">
      <c r="A195" s="96" t="str">
        <f>'Data Vlaue (Cr)'!C186</f>
        <v>SUZLON</v>
      </c>
      <c r="B195" s="75">
        <f>VLOOKUP($A195,'Data Vlaue (Cr)'!$C:$FB,2)</f>
        <v>9025</v>
      </c>
      <c r="C195" s="75">
        <f>VLOOKUP($A195,'Data Vlaue (Cr)'!$C:$FB,8)</f>
        <v>47.8</v>
      </c>
      <c r="D195" s="75">
        <f>VLOOKUP($A195,'Data Vlaue (Cr)'!$C:$FB,4)</f>
        <v>48.01</v>
      </c>
      <c r="E195" s="75">
        <f>VLOOKUP($A195,'Data Vlaue (Cr)'!$C:$FB,5)</f>
        <v>46.05</v>
      </c>
      <c r="F195" s="75">
        <f t="shared" si="30"/>
        <v>0.21000000000000085</v>
      </c>
      <c r="G195" s="75">
        <f t="shared" si="31"/>
        <v>4.0824828160799855</v>
      </c>
      <c r="H195" s="75">
        <f>VLOOKUP($A195,'Data Vlaue (Cr)'!$C:$FB,99)</f>
        <v>2040</v>
      </c>
      <c r="I195" s="75">
        <f>VLOOKUP($A195,'Data Vlaue (Cr)'!$C:$FB,100)</f>
        <v>1984</v>
      </c>
      <c r="J195" s="75">
        <f t="shared" si="32"/>
        <v>56</v>
      </c>
      <c r="K195" s="75">
        <f t="shared" si="33"/>
        <v>2.7450980392156863</v>
      </c>
      <c r="L195" s="75">
        <f>VLOOKUP($A195,'Data Vlaue (Cr)'!$C:$FB,67)</f>
        <v>1050</v>
      </c>
      <c r="M195" s="75">
        <f>VLOOKUP($A195,'Data Vlaue (Cr)'!$C:$FB,68)</f>
        <v>2468</v>
      </c>
      <c r="N195" s="75">
        <f t="shared" si="34"/>
        <v>-1418</v>
      </c>
      <c r="O195" s="75">
        <f t="shared" si="35"/>
        <v>-135.04761904761904</v>
      </c>
      <c r="P195" s="75">
        <f>VLOOKUP($A195,'Data Vlaue (Cr)'!$C:$FB,119)</f>
        <v>0.72</v>
      </c>
      <c r="Q195" s="75">
        <f>VLOOKUP($A195,'Data Vlaue (Cr)'!$C:$FB,122)*100</f>
        <v>-4</v>
      </c>
      <c r="R195" s="75">
        <f>VLOOKUP($A195,'Data Vlaue (Cr)'!$C:$FB,125)</f>
        <v>0.33</v>
      </c>
      <c r="S195" s="75">
        <f>VLOOKUP($A195,'Data Vlaue (Cr)'!$C:$FB,128)*100</f>
        <v>-54.790000000000006</v>
      </c>
    </row>
    <row r="196" spans="1:19" x14ac:dyDescent="0.25">
      <c r="A196" s="96" t="str">
        <f>'Data Vlaue (Cr)'!C187</f>
        <v>SWIGGY</v>
      </c>
      <c r="B196" s="75">
        <f>VLOOKUP($A196,'Data Vlaue (Cr)'!$C:$FB,2)</f>
        <v>1300</v>
      </c>
      <c r="C196" s="75">
        <f>VLOOKUP($A196,'Data Vlaue (Cr)'!$C:$FB,8)</f>
        <v>323.5</v>
      </c>
      <c r="D196" s="75">
        <f>VLOOKUP($A196,'Data Vlaue (Cr)'!$C:$FB,4)</f>
        <v>324.5</v>
      </c>
      <c r="E196" s="75">
        <f>VLOOKUP($A196,'Data Vlaue (Cr)'!$C:$FB,5)</f>
        <v>314.60000000000002</v>
      </c>
      <c r="F196" s="75">
        <f t="shared" si="30"/>
        <v>1</v>
      </c>
      <c r="G196" s="75">
        <f t="shared" si="31"/>
        <v>3.0508474576271114</v>
      </c>
      <c r="H196" s="75">
        <f>VLOOKUP($A196,'Data Vlaue (Cr)'!$C:$FB,99)</f>
        <v>1029</v>
      </c>
      <c r="I196" s="75">
        <f>VLOOKUP($A196,'Data Vlaue (Cr)'!$C:$FB,100)</f>
        <v>1005</v>
      </c>
      <c r="J196" s="75">
        <f t="shared" si="32"/>
        <v>24</v>
      </c>
      <c r="K196" s="75">
        <f t="shared" si="33"/>
        <v>2.3323615160349855</v>
      </c>
      <c r="L196" s="75">
        <f>VLOOKUP($A196,'Data Vlaue (Cr)'!$C:$FB,67)</f>
        <v>630</v>
      </c>
      <c r="M196" s="75">
        <f>VLOOKUP($A196,'Data Vlaue (Cr)'!$C:$FB,68)</f>
        <v>1093</v>
      </c>
      <c r="N196" s="75">
        <f t="shared" si="34"/>
        <v>-463</v>
      </c>
      <c r="O196" s="75">
        <f t="shared" si="35"/>
        <v>-73.492063492063494</v>
      </c>
      <c r="P196" s="75">
        <f>VLOOKUP($A196,'Data Vlaue (Cr)'!$C:$FB,119)</f>
        <v>1.19</v>
      </c>
      <c r="Q196" s="75">
        <f>VLOOKUP($A196,'Data Vlaue (Cr)'!$C:$FB,122)*100</f>
        <v>-0.83</v>
      </c>
      <c r="R196" s="75">
        <f>VLOOKUP($A196,'Data Vlaue (Cr)'!$C:$FB,125)</f>
        <v>0.61</v>
      </c>
      <c r="S196" s="75">
        <f>VLOOKUP($A196,'Data Vlaue (Cr)'!$C:$FB,128)*100</f>
        <v>-55.47</v>
      </c>
    </row>
    <row r="197" spans="1:19" x14ac:dyDescent="0.25">
      <c r="A197" s="96" t="str">
        <f>'Data Vlaue (Cr)'!C188</f>
        <v>SYNGENE</v>
      </c>
      <c r="B197" s="75">
        <f>VLOOKUP($A197,'Data Vlaue (Cr)'!$C:$FB,2)</f>
        <v>1000</v>
      </c>
      <c r="C197" s="75">
        <f>VLOOKUP($A197,'Data Vlaue (Cr)'!$C:$FB,8)</f>
        <v>480.3</v>
      </c>
      <c r="D197" s="75">
        <f>VLOOKUP($A197,'Data Vlaue (Cr)'!$C:$FB,4)</f>
        <v>483.4</v>
      </c>
      <c r="E197" s="75">
        <f>VLOOKUP($A197,'Data Vlaue (Cr)'!$C:$FB,5)</f>
        <v>488.85</v>
      </c>
      <c r="F197" s="75">
        <f t="shared" si="30"/>
        <v>3.0999999999999659</v>
      </c>
      <c r="G197" s="75">
        <f t="shared" si="31"/>
        <v>-1.1274306992139109</v>
      </c>
      <c r="H197" s="75">
        <f>VLOOKUP($A197,'Data Vlaue (Cr)'!$C:$FB,99)</f>
        <v>905</v>
      </c>
      <c r="I197" s="75">
        <f>VLOOKUP($A197,'Data Vlaue (Cr)'!$C:$FB,100)</f>
        <v>794</v>
      </c>
      <c r="J197" s="75">
        <f t="shared" si="32"/>
        <v>111</v>
      </c>
      <c r="K197" s="75">
        <f t="shared" si="33"/>
        <v>12.265193370165745</v>
      </c>
      <c r="L197" s="75">
        <f>VLOOKUP($A197,'Data Vlaue (Cr)'!$C:$FB,67)</f>
        <v>847</v>
      </c>
      <c r="M197" s="75">
        <f>VLOOKUP($A197,'Data Vlaue (Cr)'!$C:$FB,68)</f>
        <v>3226</v>
      </c>
      <c r="N197" s="75">
        <f t="shared" si="34"/>
        <v>-2379</v>
      </c>
      <c r="O197" s="75">
        <f t="shared" si="35"/>
        <v>-280.8736717827627</v>
      </c>
      <c r="P197" s="75">
        <f>VLOOKUP($A197,'Data Vlaue (Cr)'!$C:$FB,119)</f>
        <v>0.67</v>
      </c>
      <c r="Q197" s="75">
        <f>VLOOKUP($A197,'Data Vlaue (Cr)'!$C:$FB,122)*100</f>
        <v>3.08</v>
      </c>
      <c r="R197" s="75">
        <f>VLOOKUP($A197,'Data Vlaue (Cr)'!$C:$FB,125)</f>
        <v>1</v>
      </c>
      <c r="S197" s="75">
        <f>VLOOKUP($A197,'Data Vlaue (Cr)'!$C:$FB,128)*100</f>
        <v>-39.76</v>
      </c>
    </row>
    <row r="198" spans="1:19" x14ac:dyDescent="0.25">
      <c r="A198" s="96" t="str">
        <f>'Data Vlaue (Cr)'!C189</f>
        <v>TATACONSUM</v>
      </c>
      <c r="B198" s="75">
        <f>VLOOKUP($A198,'Data Vlaue (Cr)'!$C:$FB,2)</f>
        <v>550</v>
      </c>
      <c r="C198" s="75">
        <f>VLOOKUP($A198,'Data Vlaue (Cr)'!$C:$FB,8)</f>
        <v>1131.8</v>
      </c>
      <c r="D198" s="75">
        <f>VLOOKUP($A198,'Data Vlaue (Cr)'!$C:$FB,4)</f>
        <v>1136.0999999999999</v>
      </c>
      <c r="E198" s="75">
        <f>VLOOKUP($A198,'Data Vlaue (Cr)'!$C:$FB,5)</f>
        <v>1193.5999999999999</v>
      </c>
      <c r="F198" s="75">
        <f t="shared" si="30"/>
        <v>4.2999999999999545</v>
      </c>
      <c r="G198" s="75">
        <f t="shared" si="31"/>
        <v>-5.0611741924126399</v>
      </c>
      <c r="H198" s="75">
        <f>VLOOKUP($A198,'Data Vlaue (Cr)'!$C:$FB,99)</f>
        <v>2169</v>
      </c>
      <c r="I198" s="75">
        <f>VLOOKUP($A198,'Data Vlaue (Cr)'!$C:$FB,100)</f>
        <v>1689</v>
      </c>
      <c r="J198" s="75">
        <f t="shared" si="32"/>
        <v>480</v>
      </c>
      <c r="K198" s="75">
        <f t="shared" si="33"/>
        <v>22.130013831258644</v>
      </c>
      <c r="L198" s="75">
        <f>VLOOKUP($A198,'Data Vlaue (Cr)'!$C:$FB,67)</f>
        <v>4634</v>
      </c>
      <c r="M198" s="75">
        <f>VLOOKUP($A198,'Data Vlaue (Cr)'!$C:$FB,68)</f>
        <v>3505</v>
      </c>
      <c r="N198" s="75">
        <f t="shared" si="34"/>
        <v>1129</v>
      </c>
      <c r="O198" s="75">
        <f t="shared" si="35"/>
        <v>24.363400949503671</v>
      </c>
      <c r="P198" s="75">
        <f>VLOOKUP($A198,'Data Vlaue (Cr)'!$C:$FB,119)</f>
        <v>0.78</v>
      </c>
      <c r="Q198" s="75">
        <f>VLOOKUP($A198,'Data Vlaue (Cr)'!$C:$FB,122)*100</f>
        <v>4</v>
      </c>
      <c r="R198" s="75">
        <f>VLOOKUP($A198,'Data Vlaue (Cr)'!$C:$FB,125)</f>
        <v>0.78</v>
      </c>
      <c r="S198" s="75">
        <f>VLOOKUP($A198,'Data Vlaue (Cr)'!$C:$FB,128)*100</f>
        <v>105.25999999999999</v>
      </c>
    </row>
    <row r="199" spans="1:19" x14ac:dyDescent="0.25">
      <c r="A199" s="96" t="str">
        <f>'Data Vlaue (Cr)'!C190</f>
        <v>TATAELXSI</v>
      </c>
      <c r="B199" s="75">
        <f>VLOOKUP($A199,'Data Vlaue (Cr)'!$C:$FB,2)</f>
        <v>100</v>
      </c>
      <c r="C199" s="75">
        <f>VLOOKUP($A199,'Data Vlaue (Cr)'!$C:$FB,8)</f>
        <v>5391</v>
      </c>
      <c r="D199" s="75">
        <f>VLOOKUP($A199,'Data Vlaue (Cr)'!$C:$FB,4)</f>
        <v>5423</v>
      </c>
      <c r="E199" s="75">
        <f>VLOOKUP($A199,'Data Vlaue (Cr)'!$C:$FB,5)</f>
        <v>5436.5</v>
      </c>
      <c r="F199" s="75">
        <f t="shared" si="30"/>
        <v>32</v>
      </c>
      <c r="G199" s="75">
        <f t="shared" si="31"/>
        <v>-0.24893970127235848</v>
      </c>
      <c r="H199" s="75">
        <f>VLOOKUP($A199,'Data Vlaue (Cr)'!$C:$FB,99)</f>
        <v>1096</v>
      </c>
      <c r="I199" s="75">
        <f>VLOOKUP($A199,'Data Vlaue (Cr)'!$C:$FB,100)</f>
        <v>991</v>
      </c>
      <c r="J199" s="75">
        <f t="shared" si="32"/>
        <v>105</v>
      </c>
      <c r="K199" s="75">
        <f t="shared" si="33"/>
        <v>9.5802919708029197</v>
      </c>
      <c r="L199" s="75">
        <f>VLOOKUP($A199,'Data Vlaue (Cr)'!$C:$FB,67)</f>
        <v>494</v>
      </c>
      <c r="M199" s="75">
        <f>VLOOKUP($A199,'Data Vlaue (Cr)'!$C:$FB,68)</f>
        <v>1530</v>
      </c>
      <c r="N199" s="75">
        <f t="shared" si="34"/>
        <v>-1036</v>
      </c>
      <c r="O199" s="75">
        <f t="shared" si="35"/>
        <v>-209.7165991902834</v>
      </c>
      <c r="P199" s="75">
        <f>VLOOKUP($A199,'Data Vlaue (Cr)'!$C:$FB,119)</f>
        <v>0.38</v>
      </c>
      <c r="Q199" s="75">
        <f>VLOOKUP($A199,'Data Vlaue (Cr)'!$C:$FB,122)*100</f>
        <v>0</v>
      </c>
      <c r="R199" s="75">
        <f>VLOOKUP($A199,'Data Vlaue (Cr)'!$C:$FB,125)</f>
        <v>0.42</v>
      </c>
      <c r="S199" s="75">
        <f>VLOOKUP($A199,'Data Vlaue (Cr)'!$C:$FB,128)*100</f>
        <v>-16</v>
      </c>
    </row>
    <row r="200" spans="1:19" x14ac:dyDescent="0.25">
      <c r="A200" s="96" t="str">
        <f>'Data Vlaue (Cr)'!C191</f>
        <v>TATAPOWER</v>
      </c>
      <c r="B200" s="75">
        <f>VLOOKUP($A200,'Data Vlaue (Cr)'!$C:$FB,2)</f>
        <v>1450</v>
      </c>
      <c r="C200" s="75">
        <f>VLOOKUP($A200,'Data Vlaue (Cr)'!$C:$FB,8)</f>
        <v>355.05</v>
      </c>
      <c r="D200" s="75">
        <f>VLOOKUP($A200,'Data Vlaue (Cr)'!$C:$FB,4)</f>
        <v>357.25</v>
      </c>
      <c r="E200" s="75">
        <f>VLOOKUP($A200,'Data Vlaue (Cr)'!$C:$FB,5)</f>
        <v>349.45</v>
      </c>
      <c r="F200" s="75">
        <f t="shared" si="30"/>
        <v>2.1999999999999886</v>
      </c>
      <c r="G200" s="75">
        <f t="shared" si="31"/>
        <v>2.1833449965010527</v>
      </c>
      <c r="H200" s="75">
        <f>VLOOKUP($A200,'Data Vlaue (Cr)'!$C:$FB,99)</f>
        <v>3344</v>
      </c>
      <c r="I200" s="75">
        <f>VLOOKUP($A200,'Data Vlaue (Cr)'!$C:$FB,100)</f>
        <v>3234</v>
      </c>
      <c r="J200" s="75">
        <f t="shared" si="32"/>
        <v>110</v>
      </c>
      <c r="K200" s="75">
        <f t="shared" si="33"/>
        <v>3.2894736842105261</v>
      </c>
      <c r="L200" s="75">
        <f>VLOOKUP($A200,'Data Vlaue (Cr)'!$C:$FB,67)</f>
        <v>1237</v>
      </c>
      <c r="M200" s="75">
        <f>VLOOKUP($A200,'Data Vlaue (Cr)'!$C:$FB,68)</f>
        <v>3688</v>
      </c>
      <c r="N200" s="75">
        <f t="shared" si="34"/>
        <v>-2451</v>
      </c>
      <c r="O200" s="75">
        <f t="shared" si="35"/>
        <v>-198.14066289409863</v>
      </c>
      <c r="P200" s="75">
        <f>VLOOKUP($A200,'Data Vlaue (Cr)'!$C:$FB,119)</f>
        <v>1.1399999999999999</v>
      </c>
      <c r="Q200" s="75">
        <f>VLOOKUP($A200,'Data Vlaue (Cr)'!$C:$FB,122)*100</f>
        <v>-9.5200000000000014</v>
      </c>
      <c r="R200" s="75">
        <f>VLOOKUP($A200,'Data Vlaue (Cr)'!$C:$FB,125)</f>
        <v>0.44</v>
      </c>
      <c r="S200" s="75">
        <f>VLOOKUP($A200,'Data Vlaue (Cr)'!$C:$FB,128)*100</f>
        <v>-49.43</v>
      </c>
    </row>
    <row r="201" spans="1:19" x14ac:dyDescent="0.25">
      <c r="A201" s="96" t="str">
        <f>'Data Vlaue (Cr)'!C192</f>
        <v>TATASTEEL</v>
      </c>
      <c r="B201" s="75">
        <f>VLOOKUP($A201,'Data Vlaue (Cr)'!$C:$FB,2)</f>
        <v>5500</v>
      </c>
      <c r="C201" s="75">
        <f>VLOOKUP($A201,'Data Vlaue (Cr)'!$C:$FB,8)</f>
        <v>193.85</v>
      </c>
      <c r="D201" s="75">
        <f>VLOOKUP($A201,'Data Vlaue (Cr)'!$C:$FB,4)</f>
        <v>195.01</v>
      </c>
      <c r="E201" s="75">
        <f>VLOOKUP($A201,'Data Vlaue (Cr)'!$C:$FB,5)</f>
        <v>193.11</v>
      </c>
      <c r="F201" s="75">
        <f t="shared" si="30"/>
        <v>1.1599999999999966</v>
      </c>
      <c r="G201" s="75">
        <f t="shared" si="31"/>
        <v>0.97430900979435797</v>
      </c>
      <c r="H201" s="75">
        <f>VLOOKUP($A201,'Data Vlaue (Cr)'!$C:$FB,99)</f>
        <v>7403</v>
      </c>
      <c r="I201" s="75">
        <f>VLOOKUP($A201,'Data Vlaue (Cr)'!$C:$FB,100)</f>
        <v>7167</v>
      </c>
      <c r="J201" s="75">
        <f t="shared" si="32"/>
        <v>236</v>
      </c>
      <c r="K201" s="75">
        <f t="shared" si="33"/>
        <v>3.1878967985951641</v>
      </c>
      <c r="L201" s="75">
        <f>VLOOKUP($A201,'Data Vlaue (Cr)'!$C:$FB,67)</f>
        <v>5478</v>
      </c>
      <c r="M201" s="75">
        <f>VLOOKUP($A201,'Data Vlaue (Cr)'!$C:$FB,68)</f>
        <v>9411</v>
      </c>
      <c r="N201" s="75">
        <f t="shared" si="34"/>
        <v>-3933</v>
      </c>
      <c r="O201" s="75">
        <f t="shared" si="35"/>
        <v>-71.796276013143483</v>
      </c>
      <c r="P201" s="75">
        <f>VLOOKUP($A201,'Data Vlaue (Cr)'!$C:$FB,119)</f>
        <v>0.85</v>
      </c>
      <c r="Q201" s="75">
        <f>VLOOKUP($A201,'Data Vlaue (Cr)'!$C:$FB,122)*100</f>
        <v>0</v>
      </c>
      <c r="R201" s="75">
        <f>VLOOKUP($A201,'Data Vlaue (Cr)'!$C:$FB,125)</f>
        <v>0.52</v>
      </c>
      <c r="S201" s="75">
        <f>VLOOKUP($A201,'Data Vlaue (Cr)'!$C:$FB,128)*100</f>
        <v>-5.45</v>
      </c>
    </row>
    <row r="202" spans="1:19" x14ac:dyDescent="0.25">
      <c r="A202" s="96" t="str">
        <f>'Data Vlaue (Cr)'!C193</f>
        <v>TATATECH</v>
      </c>
      <c r="B202" s="75">
        <f>VLOOKUP($A202,'Data Vlaue (Cr)'!$C:$FB,2)</f>
        <v>800</v>
      </c>
      <c r="C202" s="75">
        <f>VLOOKUP($A202,'Data Vlaue (Cr)'!$C:$FB,8)</f>
        <v>660.65</v>
      </c>
      <c r="D202" s="75">
        <f>VLOOKUP($A202,'Data Vlaue (Cr)'!$C:$FB,4)</f>
        <v>665.05</v>
      </c>
      <c r="E202" s="75">
        <f>VLOOKUP($A202,'Data Vlaue (Cr)'!$C:$FB,5)</f>
        <v>655.6</v>
      </c>
      <c r="F202" s="75">
        <f t="shared" si="30"/>
        <v>4.3999999999999773</v>
      </c>
      <c r="G202" s="75">
        <f t="shared" si="31"/>
        <v>1.420945793549347</v>
      </c>
      <c r="H202" s="75">
        <f>VLOOKUP($A202,'Data Vlaue (Cr)'!$C:$FB,99)</f>
        <v>903</v>
      </c>
      <c r="I202" s="75">
        <f>VLOOKUP($A202,'Data Vlaue (Cr)'!$C:$FB,100)</f>
        <v>884</v>
      </c>
      <c r="J202" s="75">
        <f t="shared" si="32"/>
        <v>19</v>
      </c>
      <c r="K202" s="75">
        <f t="shared" si="33"/>
        <v>2.1040974529346621</v>
      </c>
      <c r="L202" s="75">
        <f>VLOOKUP($A202,'Data Vlaue (Cr)'!$C:$FB,67)</f>
        <v>275</v>
      </c>
      <c r="M202" s="75">
        <f>VLOOKUP($A202,'Data Vlaue (Cr)'!$C:$FB,68)</f>
        <v>1103</v>
      </c>
      <c r="N202" s="75">
        <f t="shared" si="34"/>
        <v>-828</v>
      </c>
      <c r="O202" s="75">
        <f t="shared" si="35"/>
        <v>-301.09090909090907</v>
      </c>
      <c r="P202" s="75">
        <f>VLOOKUP($A202,'Data Vlaue (Cr)'!$C:$FB,119)</f>
        <v>0.8</v>
      </c>
      <c r="Q202" s="75">
        <f>VLOOKUP($A202,'Data Vlaue (Cr)'!$C:$FB,122)*100</f>
        <v>0</v>
      </c>
      <c r="R202" s="75">
        <f>VLOOKUP($A202,'Data Vlaue (Cr)'!$C:$FB,125)</f>
        <v>0.45</v>
      </c>
      <c r="S202" s="75">
        <f>VLOOKUP($A202,'Data Vlaue (Cr)'!$C:$FB,128)*100</f>
        <v>-6.25</v>
      </c>
    </row>
    <row r="203" spans="1:19" x14ac:dyDescent="0.25">
      <c r="A203" s="96" t="str">
        <f>'Data Vlaue (Cr)'!C194</f>
        <v>TCS</v>
      </c>
      <c r="B203" s="75">
        <f>VLOOKUP($A203,'Data Vlaue (Cr)'!$C:$FB,2)</f>
        <v>175</v>
      </c>
      <c r="C203" s="75">
        <f>VLOOKUP($A203,'Data Vlaue (Cr)'!$C:$FB,8)</f>
        <v>3200.1</v>
      </c>
      <c r="D203" s="75">
        <f>VLOOKUP($A203,'Data Vlaue (Cr)'!$C:$FB,4)</f>
        <v>3210</v>
      </c>
      <c r="E203" s="75">
        <f>VLOOKUP($A203,'Data Vlaue (Cr)'!$C:$FB,5)</f>
        <v>3179.9</v>
      </c>
      <c r="F203" s="75">
        <f t="shared" si="30"/>
        <v>9.9000000000000909</v>
      </c>
      <c r="G203" s="75">
        <f t="shared" si="31"/>
        <v>0.93769470404984134</v>
      </c>
      <c r="H203" s="75">
        <f>VLOOKUP($A203,'Data Vlaue (Cr)'!$C:$FB,99)</f>
        <v>8957</v>
      </c>
      <c r="I203" s="75">
        <f>VLOOKUP($A203,'Data Vlaue (Cr)'!$C:$FB,100)</f>
        <v>8798</v>
      </c>
      <c r="J203" s="75">
        <f t="shared" si="32"/>
        <v>159</v>
      </c>
      <c r="K203" s="75">
        <f t="shared" si="33"/>
        <v>1.7751479289940828</v>
      </c>
      <c r="L203" s="75">
        <f>VLOOKUP($A203,'Data Vlaue (Cr)'!$C:$FB,67)</f>
        <v>4104</v>
      </c>
      <c r="M203" s="75">
        <f>VLOOKUP($A203,'Data Vlaue (Cr)'!$C:$FB,68)</f>
        <v>9300</v>
      </c>
      <c r="N203" s="75">
        <f t="shared" si="34"/>
        <v>-5196</v>
      </c>
      <c r="O203" s="75">
        <f t="shared" si="35"/>
        <v>-126.60818713450293</v>
      </c>
      <c r="P203" s="75">
        <f>VLOOKUP($A203,'Data Vlaue (Cr)'!$C:$FB,119)</f>
        <v>1.08</v>
      </c>
      <c r="Q203" s="75">
        <f>VLOOKUP($A203,'Data Vlaue (Cr)'!$C:$FB,122)*100</f>
        <v>-6.9</v>
      </c>
      <c r="R203" s="75">
        <f>VLOOKUP($A203,'Data Vlaue (Cr)'!$C:$FB,125)</f>
        <v>0.61</v>
      </c>
      <c r="S203" s="75">
        <f>VLOOKUP($A203,'Data Vlaue (Cr)'!$C:$FB,128)*100</f>
        <v>-24.69</v>
      </c>
    </row>
    <row r="204" spans="1:19" x14ac:dyDescent="0.25">
      <c r="A204" s="96" t="str">
        <f>'Data Vlaue (Cr)'!C195</f>
        <v>TECHM</v>
      </c>
      <c r="B204" s="75">
        <f>VLOOKUP($A204,'Data Vlaue (Cr)'!$C:$FB,2)</f>
        <v>600</v>
      </c>
      <c r="C204" s="75">
        <f>VLOOKUP($A204,'Data Vlaue (Cr)'!$C:$FB,8)</f>
        <v>1762.9</v>
      </c>
      <c r="D204" s="75">
        <f>VLOOKUP($A204,'Data Vlaue (Cr)'!$C:$FB,4)</f>
        <v>1769.4</v>
      </c>
      <c r="E204" s="75">
        <f>VLOOKUP($A204,'Data Vlaue (Cr)'!$C:$FB,5)</f>
        <v>1754</v>
      </c>
      <c r="F204" s="75">
        <f t="shared" si="30"/>
        <v>6.5</v>
      </c>
      <c r="G204" s="75">
        <f t="shared" si="31"/>
        <v>0.87035153159263534</v>
      </c>
      <c r="H204" s="75">
        <f>VLOOKUP($A204,'Data Vlaue (Cr)'!$C:$FB,99)</f>
        <v>4176</v>
      </c>
      <c r="I204" s="75">
        <f>VLOOKUP($A204,'Data Vlaue (Cr)'!$C:$FB,100)</f>
        <v>4098</v>
      </c>
      <c r="J204" s="75">
        <f t="shared" si="32"/>
        <v>78</v>
      </c>
      <c r="K204" s="75">
        <f t="shared" si="33"/>
        <v>1.8678160919540232</v>
      </c>
      <c r="L204" s="75">
        <f>VLOOKUP($A204,'Data Vlaue (Cr)'!$C:$FB,67)</f>
        <v>2807</v>
      </c>
      <c r="M204" s="75">
        <f>VLOOKUP($A204,'Data Vlaue (Cr)'!$C:$FB,68)</f>
        <v>4662</v>
      </c>
      <c r="N204" s="75">
        <f t="shared" si="34"/>
        <v>-1855</v>
      </c>
      <c r="O204" s="75">
        <f t="shared" si="35"/>
        <v>-66.084788029925193</v>
      </c>
      <c r="P204" s="75">
        <f>VLOOKUP($A204,'Data Vlaue (Cr)'!$C:$FB,119)</f>
        <v>0.79</v>
      </c>
      <c r="Q204" s="75">
        <f>VLOOKUP($A204,'Data Vlaue (Cr)'!$C:$FB,122)*100</f>
        <v>-13.19</v>
      </c>
      <c r="R204" s="75">
        <f>VLOOKUP($A204,'Data Vlaue (Cr)'!$C:$FB,125)</f>
        <v>0.55000000000000004</v>
      </c>
      <c r="S204" s="75">
        <f>VLOOKUP($A204,'Data Vlaue (Cr)'!$C:$FB,128)*100</f>
        <v>22.220000000000002</v>
      </c>
    </row>
    <row r="205" spans="1:19" x14ac:dyDescent="0.25">
      <c r="A205" s="96" t="str">
        <f>'Data Vlaue (Cr)'!C196</f>
        <v>TIINDIA</v>
      </c>
      <c r="B205" s="75">
        <f>VLOOKUP($A205,'Data Vlaue (Cr)'!$C:$FB,2)</f>
        <v>200</v>
      </c>
      <c r="C205" s="75">
        <f>VLOOKUP($A205,'Data Vlaue (Cr)'!$C:$FB,8)</f>
        <v>2280.6999999999998</v>
      </c>
      <c r="D205" s="75">
        <f>VLOOKUP($A205,'Data Vlaue (Cr)'!$C:$FB,4)</f>
        <v>2295.4</v>
      </c>
      <c r="E205" s="75">
        <f>VLOOKUP($A205,'Data Vlaue (Cr)'!$C:$FB,5)</f>
        <v>2199.9</v>
      </c>
      <c r="F205" s="75">
        <f t="shared" si="30"/>
        <v>14.700000000000273</v>
      </c>
      <c r="G205" s="75">
        <f t="shared" si="31"/>
        <v>4.1604949028491767</v>
      </c>
      <c r="H205" s="75">
        <f>VLOOKUP($A205,'Data Vlaue (Cr)'!$C:$FB,99)</f>
        <v>1091</v>
      </c>
      <c r="I205" s="75">
        <f>VLOOKUP($A205,'Data Vlaue (Cr)'!$C:$FB,100)</f>
        <v>901</v>
      </c>
      <c r="J205" s="75">
        <f t="shared" si="32"/>
        <v>190</v>
      </c>
      <c r="K205" s="75">
        <f t="shared" si="33"/>
        <v>17.415215398716775</v>
      </c>
      <c r="L205" s="75">
        <f>VLOOKUP($A205,'Data Vlaue (Cr)'!$C:$FB,67)</f>
        <v>637</v>
      </c>
      <c r="M205" s="75">
        <f>VLOOKUP($A205,'Data Vlaue (Cr)'!$C:$FB,68)</f>
        <v>1196</v>
      </c>
      <c r="N205" s="75">
        <f t="shared" si="34"/>
        <v>-559</v>
      </c>
      <c r="O205" s="75">
        <f t="shared" si="35"/>
        <v>-87.755102040816325</v>
      </c>
      <c r="P205" s="75">
        <f>VLOOKUP($A205,'Data Vlaue (Cr)'!$C:$FB,119)</f>
        <v>0.6</v>
      </c>
      <c r="Q205" s="75">
        <f>VLOOKUP($A205,'Data Vlaue (Cr)'!$C:$FB,122)*100</f>
        <v>-43.4</v>
      </c>
      <c r="R205" s="75">
        <f>VLOOKUP($A205,'Data Vlaue (Cr)'!$C:$FB,125)</f>
        <v>0.31</v>
      </c>
      <c r="S205" s="75">
        <f>VLOOKUP($A205,'Data Vlaue (Cr)'!$C:$FB,128)*100</f>
        <v>-65.56</v>
      </c>
    </row>
    <row r="206" spans="1:19" x14ac:dyDescent="0.25">
      <c r="A206" s="96" t="str">
        <f>'Data Vlaue (Cr)'!C197</f>
        <v>TITAN</v>
      </c>
      <c r="B206" s="75">
        <f>VLOOKUP($A206,'Data Vlaue (Cr)'!$C:$FB,2)</f>
        <v>175</v>
      </c>
      <c r="C206" s="75">
        <f>VLOOKUP($A206,'Data Vlaue (Cr)'!$C:$FB,8)</f>
        <v>3975.2</v>
      </c>
      <c r="D206" s="75">
        <f>VLOOKUP($A206,'Data Vlaue (Cr)'!$C:$FB,4)</f>
        <v>3990.6</v>
      </c>
      <c r="E206" s="75">
        <f>VLOOKUP($A206,'Data Vlaue (Cr)'!$C:$FB,5)</f>
        <v>4025.5</v>
      </c>
      <c r="F206" s="75">
        <f t="shared" si="30"/>
        <v>15.400000000000091</v>
      </c>
      <c r="G206" s="75">
        <f t="shared" si="31"/>
        <v>-0.87455520473112036</v>
      </c>
      <c r="H206" s="75">
        <f>VLOOKUP($A206,'Data Vlaue (Cr)'!$C:$FB,99)</f>
        <v>4486</v>
      </c>
      <c r="I206" s="75">
        <f>VLOOKUP($A206,'Data Vlaue (Cr)'!$C:$FB,100)</f>
        <v>4310</v>
      </c>
      <c r="J206" s="75">
        <f t="shared" si="32"/>
        <v>176</v>
      </c>
      <c r="K206" s="75">
        <f t="shared" si="33"/>
        <v>3.9233169861792239</v>
      </c>
      <c r="L206" s="75">
        <f>VLOOKUP($A206,'Data Vlaue (Cr)'!$C:$FB,67)</f>
        <v>1386</v>
      </c>
      <c r="M206" s="75">
        <f>VLOOKUP($A206,'Data Vlaue (Cr)'!$C:$FB,68)</f>
        <v>4300</v>
      </c>
      <c r="N206" s="75">
        <f t="shared" si="34"/>
        <v>-2914</v>
      </c>
      <c r="O206" s="75">
        <f t="shared" si="35"/>
        <v>-210.24531024531026</v>
      </c>
      <c r="P206" s="75">
        <f>VLOOKUP($A206,'Data Vlaue (Cr)'!$C:$FB,119)</f>
        <v>0.88</v>
      </c>
      <c r="Q206" s="75">
        <f>VLOOKUP($A206,'Data Vlaue (Cr)'!$C:$FB,122)*100</f>
        <v>23.94</v>
      </c>
      <c r="R206" s="75">
        <f>VLOOKUP($A206,'Data Vlaue (Cr)'!$C:$FB,125)</f>
        <v>0.66</v>
      </c>
      <c r="S206" s="75">
        <f>VLOOKUP($A206,'Data Vlaue (Cr)'!$C:$FB,128)*100</f>
        <v>-12</v>
      </c>
    </row>
    <row r="207" spans="1:19" x14ac:dyDescent="0.25">
      <c r="A207" s="96" t="str">
        <f>'Data Vlaue (Cr)'!C198</f>
        <v>TMPV</v>
      </c>
      <c r="B207" s="75">
        <f>VLOOKUP($A207,'Data Vlaue (Cr)'!$C:$FB,2)</f>
        <v>800</v>
      </c>
      <c r="C207" s="75">
        <f>VLOOKUP($A207,'Data Vlaue (Cr)'!$C:$FB,8)</f>
        <v>340.45</v>
      </c>
      <c r="D207" s="75">
        <f>VLOOKUP($A207,'Data Vlaue (Cr)'!$C:$FB,4)</f>
        <v>341.95</v>
      </c>
      <c r="E207" s="75">
        <f>VLOOKUP($A207,'Data Vlaue (Cr)'!$C:$FB,5)</f>
        <v>341.7</v>
      </c>
      <c r="F207" s="75">
        <f t="shared" si="30"/>
        <v>1.5</v>
      </c>
      <c r="G207" s="75">
        <f t="shared" si="31"/>
        <v>7.3110103816347416E-2</v>
      </c>
      <c r="H207" s="75">
        <f>VLOOKUP($A207,'Data Vlaue (Cr)'!$C:$FB,99)</f>
        <v>4104</v>
      </c>
      <c r="I207" s="75">
        <f>VLOOKUP($A207,'Data Vlaue (Cr)'!$C:$FB,100)</f>
        <v>3900</v>
      </c>
      <c r="J207" s="75">
        <f t="shared" si="32"/>
        <v>204</v>
      </c>
      <c r="K207" s="75">
        <f t="shared" si="33"/>
        <v>4.9707602339181287</v>
      </c>
      <c r="L207" s="75">
        <f>VLOOKUP($A207,'Data Vlaue (Cr)'!$C:$FB,67)</f>
        <v>2366</v>
      </c>
      <c r="M207" s="75">
        <f>VLOOKUP($A207,'Data Vlaue (Cr)'!$C:$FB,68)</f>
        <v>4502</v>
      </c>
      <c r="N207" s="75">
        <f t="shared" si="34"/>
        <v>-2136</v>
      </c>
      <c r="O207" s="75">
        <f t="shared" si="35"/>
        <v>-90.278951817413358</v>
      </c>
      <c r="P207" s="75">
        <f>VLOOKUP($A207,'Data Vlaue (Cr)'!$C:$FB,119)</f>
        <v>1.03</v>
      </c>
      <c r="Q207" s="75">
        <f>VLOOKUP($A207,'Data Vlaue (Cr)'!$C:$FB,122)*100</f>
        <v>8.42</v>
      </c>
      <c r="R207" s="75">
        <f>VLOOKUP($A207,'Data Vlaue (Cr)'!$C:$FB,125)</f>
        <v>0.91</v>
      </c>
      <c r="S207" s="75">
        <f>VLOOKUP($A207,'Data Vlaue (Cr)'!$C:$FB,128)*100</f>
        <v>12.35</v>
      </c>
    </row>
    <row r="208" spans="1:19" x14ac:dyDescent="0.25">
      <c r="A208" s="96" t="str">
        <f>'Data Vlaue (Cr)'!C199</f>
        <v>TORNTPHARM</v>
      </c>
      <c r="B208" s="75">
        <f>VLOOKUP($A208,'Data Vlaue (Cr)'!$C:$FB,2)</f>
        <v>250</v>
      </c>
      <c r="C208" s="75">
        <f>VLOOKUP($A208,'Data Vlaue (Cr)'!$C:$FB,8)</f>
        <v>3958.7</v>
      </c>
      <c r="D208" s="75">
        <f>VLOOKUP($A208,'Data Vlaue (Cr)'!$C:$FB,4)</f>
        <v>3936</v>
      </c>
      <c r="E208" s="75">
        <f>VLOOKUP($A208,'Data Vlaue (Cr)'!$C:$FB,5)</f>
        <v>3980.3</v>
      </c>
      <c r="F208" s="75">
        <f t="shared" si="30"/>
        <v>-22.699999999999818</v>
      </c>
      <c r="G208" s="75">
        <f t="shared" si="31"/>
        <v>-1.1255081300813055</v>
      </c>
      <c r="H208" s="75">
        <f>VLOOKUP($A208,'Data Vlaue (Cr)'!$C:$FB,99)</f>
        <v>1095</v>
      </c>
      <c r="I208" s="75">
        <f>VLOOKUP($A208,'Data Vlaue (Cr)'!$C:$FB,100)</f>
        <v>1057</v>
      </c>
      <c r="J208" s="75">
        <f t="shared" si="32"/>
        <v>38</v>
      </c>
      <c r="K208" s="75">
        <f t="shared" si="33"/>
        <v>3.4703196347031966</v>
      </c>
      <c r="L208" s="75">
        <f>VLOOKUP($A208,'Data Vlaue (Cr)'!$C:$FB,67)</f>
        <v>304</v>
      </c>
      <c r="M208" s="75">
        <f>VLOOKUP($A208,'Data Vlaue (Cr)'!$C:$FB,68)</f>
        <v>1279</v>
      </c>
      <c r="N208" s="75">
        <f t="shared" si="34"/>
        <v>-975</v>
      </c>
      <c r="O208" s="75">
        <f t="shared" si="35"/>
        <v>-320.7236842105263</v>
      </c>
      <c r="P208" s="75">
        <f>VLOOKUP($A208,'Data Vlaue (Cr)'!$C:$FB,119)</f>
        <v>0.66</v>
      </c>
      <c r="Q208" s="75">
        <f>VLOOKUP($A208,'Data Vlaue (Cr)'!$C:$FB,122)*100</f>
        <v>0</v>
      </c>
      <c r="R208" s="75">
        <f>VLOOKUP($A208,'Data Vlaue (Cr)'!$C:$FB,125)</f>
        <v>0.43</v>
      </c>
      <c r="S208" s="75">
        <f>VLOOKUP($A208,'Data Vlaue (Cr)'!$C:$FB,128)*100</f>
        <v>-65.319999999999993</v>
      </c>
    </row>
    <row r="209" spans="1:19" x14ac:dyDescent="0.25">
      <c r="A209" s="96" t="str">
        <f>'Data Vlaue (Cr)'!C200</f>
        <v>TORNTPOWER</v>
      </c>
      <c r="B209" s="75">
        <f>VLOOKUP($A209,'Data Vlaue (Cr)'!$C:$FB,2)</f>
        <v>425</v>
      </c>
      <c r="C209" s="75">
        <f>VLOOKUP($A209,'Data Vlaue (Cr)'!$C:$FB,8)</f>
        <v>1332.9</v>
      </c>
      <c r="D209" s="75">
        <f>VLOOKUP($A209,'Data Vlaue (Cr)'!$C:$FB,4)</f>
        <v>1331.4</v>
      </c>
      <c r="E209" s="75">
        <f>VLOOKUP($A209,'Data Vlaue (Cr)'!$C:$FB,5)</f>
        <v>1306.5</v>
      </c>
      <c r="F209" s="75">
        <f t="shared" si="30"/>
        <v>-1.5</v>
      </c>
      <c r="G209" s="75">
        <f t="shared" si="31"/>
        <v>1.8702118071203311</v>
      </c>
      <c r="H209" s="75">
        <f>VLOOKUP($A209,'Data Vlaue (Cr)'!$C:$FB,99)</f>
        <v>483</v>
      </c>
      <c r="I209" s="75">
        <f>VLOOKUP($A209,'Data Vlaue (Cr)'!$C:$FB,100)</f>
        <v>464</v>
      </c>
      <c r="J209" s="75">
        <f t="shared" si="32"/>
        <v>19</v>
      </c>
      <c r="K209" s="75">
        <f t="shared" si="33"/>
        <v>3.9337474120082816</v>
      </c>
      <c r="L209" s="75">
        <f>VLOOKUP($A209,'Data Vlaue (Cr)'!$C:$FB,67)</f>
        <v>187</v>
      </c>
      <c r="M209" s="75">
        <f>VLOOKUP($A209,'Data Vlaue (Cr)'!$C:$FB,68)</f>
        <v>468</v>
      </c>
      <c r="N209" s="75">
        <f t="shared" si="34"/>
        <v>-281</v>
      </c>
      <c r="O209" s="75">
        <f t="shared" si="35"/>
        <v>-150.2673796791444</v>
      </c>
      <c r="P209" s="75">
        <f>VLOOKUP($A209,'Data Vlaue (Cr)'!$C:$FB,119)</f>
        <v>1.19</v>
      </c>
      <c r="Q209" s="75">
        <f>VLOOKUP($A209,'Data Vlaue (Cr)'!$C:$FB,122)*100</f>
        <v>-5.56</v>
      </c>
      <c r="R209" s="75">
        <f>VLOOKUP($A209,'Data Vlaue (Cr)'!$C:$FB,125)</f>
        <v>0.35</v>
      </c>
      <c r="S209" s="75">
        <f>VLOOKUP($A209,'Data Vlaue (Cr)'!$C:$FB,128)*100</f>
        <v>-40.68</v>
      </c>
    </row>
    <row r="210" spans="1:19" x14ac:dyDescent="0.25">
      <c r="A210" s="96" t="str">
        <f>'Data Vlaue (Cr)'!C201</f>
        <v>TRENT</v>
      </c>
      <c r="B210" s="75">
        <f>VLOOKUP($A210,'Data Vlaue (Cr)'!$C:$FB,2)</f>
        <v>100</v>
      </c>
      <c r="C210" s="75">
        <f>VLOOKUP($A210,'Data Vlaue (Cr)'!$C:$FB,8)</f>
        <v>3864</v>
      </c>
      <c r="D210" s="75">
        <f>VLOOKUP($A210,'Data Vlaue (Cr)'!$C:$FB,4)</f>
        <v>3878.1</v>
      </c>
      <c r="E210" s="75">
        <f>VLOOKUP($A210,'Data Vlaue (Cr)'!$C:$FB,5)</f>
        <v>3821.1</v>
      </c>
      <c r="F210" s="75">
        <f t="shared" si="30"/>
        <v>14.099999999999909</v>
      </c>
      <c r="G210" s="75">
        <f t="shared" si="31"/>
        <v>1.469791908408757</v>
      </c>
      <c r="H210" s="75">
        <f>VLOOKUP($A210,'Data Vlaue (Cr)'!$C:$FB,99)</f>
        <v>4321</v>
      </c>
      <c r="I210" s="75">
        <f>VLOOKUP($A210,'Data Vlaue (Cr)'!$C:$FB,100)</f>
        <v>4209</v>
      </c>
      <c r="J210" s="75">
        <f t="shared" si="32"/>
        <v>112</v>
      </c>
      <c r="K210" s="75">
        <f t="shared" si="33"/>
        <v>2.5919925943068733</v>
      </c>
      <c r="L210" s="75">
        <f>VLOOKUP($A210,'Data Vlaue (Cr)'!$C:$FB,67)</f>
        <v>1481</v>
      </c>
      <c r="M210" s="75">
        <f>VLOOKUP($A210,'Data Vlaue (Cr)'!$C:$FB,68)</f>
        <v>5199</v>
      </c>
      <c r="N210" s="75">
        <f t="shared" si="34"/>
        <v>-3718</v>
      </c>
      <c r="O210" s="75">
        <f t="shared" si="35"/>
        <v>-251.04659014179606</v>
      </c>
      <c r="P210" s="75">
        <f>VLOOKUP($A210,'Data Vlaue (Cr)'!$C:$FB,119)</f>
        <v>0.98</v>
      </c>
      <c r="Q210" s="75">
        <f>VLOOKUP($A210,'Data Vlaue (Cr)'!$C:$FB,122)*100</f>
        <v>-18.329999999999998</v>
      </c>
      <c r="R210" s="75">
        <f>VLOOKUP($A210,'Data Vlaue (Cr)'!$C:$FB,125)</f>
        <v>0.38</v>
      </c>
      <c r="S210" s="75">
        <f>VLOOKUP($A210,'Data Vlaue (Cr)'!$C:$FB,128)*100</f>
        <v>-45.71</v>
      </c>
    </row>
    <row r="211" spans="1:19" x14ac:dyDescent="0.25">
      <c r="A211" s="96" t="str">
        <f>'Data Vlaue (Cr)'!C202</f>
        <v>TVSMOTOR</v>
      </c>
      <c r="B211" s="75">
        <f>VLOOKUP($A211,'Data Vlaue (Cr)'!$C:$FB,2)</f>
        <v>175</v>
      </c>
      <c r="C211" s="75">
        <f>VLOOKUP($A211,'Data Vlaue (Cr)'!$C:$FB,8)</f>
        <v>3728.4</v>
      </c>
      <c r="D211" s="75">
        <f>VLOOKUP($A211,'Data Vlaue (Cr)'!$C:$FB,4)</f>
        <v>3753.7</v>
      </c>
      <c r="E211" s="75">
        <f>VLOOKUP($A211,'Data Vlaue (Cr)'!$C:$FB,5)</f>
        <v>3580.2</v>
      </c>
      <c r="F211" s="75">
        <f t="shared" si="30"/>
        <v>25.299999999999727</v>
      </c>
      <c r="G211" s="75">
        <f t="shared" si="31"/>
        <v>4.6221061885606209</v>
      </c>
      <c r="H211" s="75">
        <f>VLOOKUP($A211,'Data Vlaue (Cr)'!$C:$FB,99)</f>
        <v>4280</v>
      </c>
      <c r="I211" s="75">
        <f>VLOOKUP($A211,'Data Vlaue (Cr)'!$C:$FB,100)</f>
        <v>3566</v>
      </c>
      <c r="J211" s="75">
        <f t="shared" si="32"/>
        <v>714</v>
      </c>
      <c r="K211" s="75">
        <f t="shared" si="33"/>
        <v>16.682242990654206</v>
      </c>
      <c r="L211" s="75">
        <f>VLOOKUP($A211,'Data Vlaue (Cr)'!$C:$FB,67)</f>
        <v>10342</v>
      </c>
      <c r="M211" s="75">
        <f>VLOOKUP($A211,'Data Vlaue (Cr)'!$C:$FB,68)</f>
        <v>2967</v>
      </c>
      <c r="N211" s="75">
        <f t="shared" si="34"/>
        <v>7375</v>
      </c>
      <c r="O211" s="75">
        <f t="shared" si="35"/>
        <v>71.311158383291428</v>
      </c>
      <c r="P211" s="75">
        <f>VLOOKUP($A211,'Data Vlaue (Cr)'!$C:$FB,119)</f>
        <v>0.77</v>
      </c>
      <c r="Q211" s="75">
        <f>VLOOKUP($A211,'Data Vlaue (Cr)'!$C:$FB,122)*100</f>
        <v>-2.5299999999999998</v>
      </c>
      <c r="R211" s="75">
        <f>VLOOKUP($A211,'Data Vlaue (Cr)'!$C:$FB,125)</f>
        <v>0.39</v>
      </c>
      <c r="S211" s="75">
        <f>VLOOKUP($A211,'Data Vlaue (Cr)'!$C:$FB,128)*100</f>
        <v>-47.3</v>
      </c>
    </row>
    <row r="212" spans="1:19" x14ac:dyDescent="0.25">
      <c r="A212" s="96" t="str">
        <f>'Data Vlaue (Cr)'!C203</f>
        <v>ULTRACEMCO</v>
      </c>
      <c r="B212" s="75">
        <f>VLOOKUP($A212,'Data Vlaue (Cr)'!$C:$FB,2)</f>
        <v>50</v>
      </c>
      <c r="C212" s="75">
        <f>VLOOKUP($A212,'Data Vlaue (Cr)'!$C:$FB,8)</f>
        <v>12767</v>
      </c>
      <c r="D212" s="75">
        <f>VLOOKUP($A212,'Data Vlaue (Cr)'!$C:$FB,4)</f>
        <v>12812</v>
      </c>
      <c r="E212" s="75">
        <f>VLOOKUP($A212,'Data Vlaue (Cr)'!$C:$FB,5)</f>
        <v>12676</v>
      </c>
      <c r="F212" s="75">
        <f t="shared" si="30"/>
        <v>45</v>
      </c>
      <c r="G212" s="75">
        <f t="shared" si="31"/>
        <v>1.0615048392132376</v>
      </c>
      <c r="H212" s="75">
        <f>VLOOKUP($A212,'Data Vlaue (Cr)'!$C:$FB,99)</f>
        <v>4220</v>
      </c>
      <c r="I212" s="75">
        <f>VLOOKUP($A212,'Data Vlaue (Cr)'!$C:$FB,100)</f>
        <v>4197</v>
      </c>
      <c r="J212" s="75">
        <f t="shared" si="32"/>
        <v>23</v>
      </c>
      <c r="K212" s="75">
        <f t="shared" si="33"/>
        <v>0.54502369668246442</v>
      </c>
      <c r="L212" s="75">
        <f>VLOOKUP($A212,'Data Vlaue (Cr)'!$C:$FB,67)</f>
        <v>2052</v>
      </c>
      <c r="M212" s="75">
        <f>VLOOKUP($A212,'Data Vlaue (Cr)'!$C:$FB,68)</f>
        <v>9577</v>
      </c>
      <c r="N212" s="75">
        <f t="shared" si="34"/>
        <v>-7525</v>
      </c>
      <c r="O212" s="75">
        <f t="shared" si="35"/>
        <v>-366.71539961013644</v>
      </c>
      <c r="P212" s="75">
        <f>VLOOKUP($A212,'Data Vlaue (Cr)'!$C:$FB,119)</f>
        <v>0.71</v>
      </c>
      <c r="Q212" s="75">
        <f>VLOOKUP($A212,'Data Vlaue (Cr)'!$C:$FB,122)*100</f>
        <v>14.52</v>
      </c>
      <c r="R212" s="75">
        <f>VLOOKUP($A212,'Data Vlaue (Cr)'!$C:$FB,125)</f>
        <v>0.54</v>
      </c>
      <c r="S212" s="75">
        <f>VLOOKUP($A212,'Data Vlaue (Cr)'!$C:$FB,128)*100</f>
        <v>50</v>
      </c>
    </row>
    <row r="213" spans="1:19" x14ac:dyDescent="0.25">
      <c r="A213" s="96" t="str">
        <f>'Data Vlaue (Cr)'!C204</f>
        <v>UNIONBANK</v>
      </c>
      <c r="B213" s="75">
        <f>VLOOKUP($A213,'Data Vlaue (Cr)'!$C:$FB,2)</f>
        <v>4425</v>
      </c>
      <c r="C213" s="75">
        <f>VLOOKUP($A213,'Data Vlaue (Cr)'!$C:$FB,8)</f>
        <v>181.93</v>
      </c>
      <c r="D213" s="75">
        <f>VLOOKUP($A213,'Data Vlaue (Cr)'!$C:$FB,4)</f>
        <v>182.98</v>
      </c>
      <c r="E213" s="75">
        <f>VLOOKUP($A213,'Data Vlaue (Cr)'!$C:$FB,5)</f>
        <v>176.39</v>
      </c>
      <c r="F213" s="75">
        <f t="shared" si="30"/>
        <v>1.0499999999999829</v>
      </c>
      <c r="G213" s="75">
        <f t="shared" si="31"/>
        <v>3.6014865012569701</v>
      </c>
      <c r="H213" s="75">
        <f>VLOOKUP($A213,'Data Vlaue (Cr)'!$C:$FB,99)</f>
        <v>2190</v>
      </c>
      <c r="I213" s="75">
        <f>VLOOKUP($A213,'Data Vlaue (Cr)'!$C:$FB,100)</f>
        <v>1924</v>
      </c>
      <c r="J213" s="75">
        <f t="shared" si="32"/>
        <v>266</v>
      </c>
      <c r="K213" s="75">
        <f t="shared" si="33"/>
        <v>12.146118721461187</v>
      </c>
      <c r="L213" s="75">
        <f>VLOOKUP($A213,'Data Vlaue (Cr)'!$C:$FB,67)</f>
        <v>2676</v>
      </c>
      <c r="M213" s="75">
        <f>VLOOKUP($A213,'Data Vlaue (Cr)'!$C:$FB,68)</f>
        <v>2028</v>
      </c>
      <c r="N213" s="75">
        <f t="shared" si="34"/>
        <v>648</v>
      </c>
      <c r="O213" s="75">
        <f t="shared" si="35"/>
        <v>24.215246636771301</v>
      </c>
      <c r="P213" s="75">
        <f>VLOOKUP($A213,'Data Vlaue (Cr)'!$C:$FB,119)</f>
        <v>0.7</v>
      </c>
      <c r="Q213" s="75">
        <f>VLOOKUP($A213,'Data Vlaue (Cr)'!$C:$FB,122)*100</f>
        <v>6.0600000000000005</v>
      </c>
      <c r="R213" s="75">
        <f>VLOOKUP($A213,'Data Vlaue (Cr)'!$C:$FB,125)</f>
        <v>0.31</v>
      </c>
      <c r="S213" s="75">
        <f>VLOOKUP($A213,'Data Vlaue (Cr)'!$C:$FB,128)*100</f>
        <v>-36.730000000000004</v>
      </c>
    </row>
    <row r="214" spans="1:19" x14ac:dyDescent="0.25">
      <c r="A214" s="96" t="str">
        <f>'Data Vlaue (Cr)'!C205</f>
        <v>UNITDSPR</v>
      </c>
      <c r="B214" s="75">
        <f>VLOOKUP($A214,'Data Vlaue (Cr)'!$C:$FB,2)</f>
        <v>400</v>
      </c>
      <c r="C214" s="75">
        <f>VLOOKUP($A214,'Data Vlaue (Cr)'!$C:$FB,8)</f>
        <v>1326.7</v>
      </c>
      <c r="D214" s="75">
        <f>VLOOKUP($A214,'Data Vlaue (Cr)'!$C:$FB,4)</f>
        <v>1331.4</v>
      </c>
      <c r="E214" s="75">
        <f>VLOOKUP($A214,'Data Vlaue (Cr)'!$C:$FB,5)</f>
        <v>1318.6</v>
      </c>
      <c r="F214" s="75">
        <f t="shared" si="30"/>
        <v>4.7000000000000455</v>
      </c>
      <c r="G214" s="75">
        <f t="shared" si="31"/>
        <v>0.96139402133094343</v>
      </c>
      <c r="H214" s="75">
        <f>VLOOKUP($A214,'Data Vlaue (Cr)'!$C:$FB,99)</f>
        <v>2053</v>
      </c>
      <c r="I214" s="75">
        <f>VLOOKUP($A214,'Data Vlaue (Cr)'!$C:$FB,100)</f>
        <v>1853</v>
      </c>
      <c r="J214" s="75">
        <f t="shared" si="32"/>
        <v>200</v>
      </c>
      <c r="K214" s="75">
        <f t="shared" si="33"/>
        <v>9.7418412079883101</v>
      </c>
      <c r="L214" s="75">
        <f>VLOOKUP($A214,'Data Vlaue (Cr)'!$C:$FB,67)</f>
        <v>820</v>
      </c>
      <c r="M214" s="75">
        <f>VLOOKUP($A214,'Data Vlaue (Cr)'!$C:$FB,68)</f>
        <v>2067</v>
      </c>
      <c r="N214" s="75">
        <f t="shared" si="34"/>
        <v>-1247</v>
      </c>
      <c r="O214" s="75">
        <f t="shared" si="35"/>
        <v>-152.07317073170731</v>
      </c>
      <c r="P214" s="75">
        <f>VLOOKUP($A214,'Data Vlaue (Cr)'!$C:$FB,119)</f>
        <v>0.91</v>
      </c>
      <c r="Q214" s="75">
        <f>VLOOKUP($A214,'Data Vlaue (Cr)'!$C:$FB,122)*100</f>
        <v>-26.61</v>
      </c>
      <c r="R214" s="75">
        <f>VLOOKUP($A214,'Data Vlaue (Cr)'!$C:$FB,125)</f>
        <v>0.4</v>
      </c>
      <c r="S214" s="75">
        <f>VLOOKUP($A214,'Data Vlaue (Cr)'!$C:$FB,128)*100</f>
        <v>-48.72</v>
      </c>
    </row>
    <row r="215" spans="1:19" x14ac:dyDescent="0.25">
      <c r="A215" s="96" t="str">
        <f>'Data Vlaue (Cr)'!C206</f>
        <v>UNOMINDA</v>
      </c>
      <c r="B215" s="75">
        <f>VLOOKUP($A215,'Data Vlaue (Cr)'!$C:$FB,2)</f>
        <v>550</v>
      </c>
      <c r="C215" s="75">
        <f>VLOOKUP($A215,'Data Vlaue (Cr)'!$C:$FB,8)</f>
        <v>1148.5999999999999</v>
      </c>
      <c r="D215" s="75">
        <f>VLOOKUP($A215,'Data Vlaue (Cr)'!$C:$FB,4)</f>
        <v>1155.0999999999999</v>
      </c>
      <c r="E215" s="75">
        <f>VLOOKUP($A215,'Data Vlaue (Cr)'!$C:$FB,5)</f>
        <v>1151</v>
      </c>
      <c r="F215" s="75">
        <f t="shared" si="30"/>
        <v>6.5</v>
      </c>
      <c r="G215" s="75">
        <f t="shared" si="31"/>
        <v>0.35494762358236598</v>
      </c>
      <c r="H215" s="75">
        <f>VLOOKUP($A215,'Data Vlaue (Cr)'!$C:$FB,99)</f>
        <v>650</v>
      </c>
      <c r="I215" s="75">
        <f>VLOOKUP($A215,'Data Vlaue (Cr)'!$C:$FB,100)</f>
        <v>640</v>
      </c>
      <c r="J215" s="75">
        <f t="shared" si="32"/>
        <v>10</v>
      </c>
      <c r="K215" s="75">
        <f t="shared" si="33"/>
        <v>1.5384615384615385</v>
      </c>
      <c r="L215" s="75">
        <f>VLOOKUP($A215,'Data Vlaue (Cr)'!$C:$FB,67)</f>
        <v>127</v>
      </c>
      <c r="M215" s="75">
        <f>VLOOKUP($A215,'Data Vlaue (Cr)'!$C:$FB,68)</f>
        <v>595</v>
      </c>
      <c r="N215" s="75">
        <f t="shared" si="34"/>
        <v>-468</v>
      </c>
      <c r="O215" s="75">
        <f t="shared" si="35"/>
        <v>-368.50393700787401</v>
      </c>
      <c r="P215" s="75">
        <f>VLOOKUP($A215,'Data Vlaue (Cr)'!$C:$FB,119)</f>
        <v>1.1499999999999999</v>
      </c>
      <c r="Q215" s="75">
        <f>VLOOKUP($A215,'Data Vlaue (Cr)'!$C:$FB,122)*100</f>
        <v>-6.5</v>
      </c>
      <c r="R215" s="75">
        <f>VLOOKUP($A215,'Data Vlaue (Cr)'!$C:$FB,125)</f>
        <v>0.49</v>
      </c>
      <c r="S215" s="75">
        <f>VLOOKUP($A215,'Data Vlaue (Cr)'!$C:$FB,128)*100</f>
        <v>68.97</v>
      </c>
    </row>
    <row r="216" spans="1:19" x14ac:dyDescent="0.25">
      <c r="A216" s="96" t="str">
        <f>'Data Vlaue (Cr)'!C207</f>
        <v>UPL</v>
      </c>
      <c r="B216" s="75">
        <f>VLOOKUP($A216,'Data Vlaue (Cr)'!$C:$FB,2)</f>
        <v>1355</v>
      </c>
      <c r="C216" s="75">
        <f>VLOOKUP($A216,'Data Vlaue (Cr)'!$C:$FB,8)</f>
        <v>715.1</v>
      </c>
      <c r="D216" s="75">
        <f>VLOOKUP($A216,'Data Vlaue (Cr)'!$C:$FB,4)</f>
        <v>718.35</v>
      </c>
      <c r="E216" s="75">
        <f>VLOOKUP($A216,'Data Vlaue (Cr)'!$C:$FB,5)</f>
        <v>720.45</v>
      </c>
      <c r="F216" s="75">
        <f t="shared" si="30"/>
        <v>3.25</v>
      </c>
      <c r="G216" s="75">
        <f t="shared" si="31"/>
        <v>-0.29233660471915124</v>
      </c>
      <c r="H216" s="75">
        <f>VLOOKUP($A216,'Data Vlaue (Cr)'!$C:$FB,99)</f>
        <v>3357</v>
      </c>
      <c r="I216" s="75">
        <f>VLOOKUP($A216,'Data Vlaue (Cr)'!$C:$FB,100)</f>
        <v>3277</v>
      </c>
      <c r="J216" s="75">
        <f t="shared" si="32"/>
        <v>80</v>
      </c>
      <c r="K216" s="75">
        <f t="shared" si="33"/>
        <v>2.3830801310694074</v>
      </c>
      <c r="L216" s="75">
        <f>VLOOKUP($A216,'Data Vlaue (Cr)'!$C:$FB,67)</f>
        <v>650</v>
      </c>
      <c r="M216" s="75">
        <f>VLOOKUP($A216,'Data Vlaue (Cr)'!$C:$FB,68)</f>
        <v>5665</v>
      </c>
      <c r="N216" s="75">
        <f t="shared" si="34"/>
        <v>-5015</v>
      </c>
      <c r="O216" s="75">
        <f t="shared" si="35"/>
        <v>-771.53846153846155</v>
      </c>
      <c r="P216" s="75">
        <f>VLOOKUP($A216,'Data Vlaue (Cr)'!$C:$FB,119)</f>
        <v>0.74</v>
      </c>
      <c r="Q216" s="75">
        <f>VLOOKUP($A216,'Data Vlaue (Cr)'!$C:$FB,122)*100</f>
        <v>-1.3299999999999998</v>
      </c>
      <c r="R216" s="75">
        <f>VLOOKUP($A216,'Data Vlaue (Cr)'!$C:$FB,125)</f>
        <v>0.51</v>
      </c>
      <c r="S216" s="75">
        <f>VLOOKUP($A216,'Data Vlaue (Cr)'!$C:$FB,128)*100</f>
        <v>10.870000000000001</v>
      </c>
    </row>
    <row r="217" spans="1:19" x14ac:dyDescent="0.25">
      <c r="A217" s="96" t="str">
        <f>'Data Vlaue (Cr)'!C208</f>
        <v>VBL</v>
      </c>
      <c r="B217" s="75">
        <f>VLOOKUP($A217,'Data Vlaue (Cr)'!$C:$FB,2)</f>
        <v>1125</v>
      </c>
      <c r="C217" s="75">
        <f>VLOOKUP($A217,'Data Vlaue (Cr)'!$C:$FB,8)</f>
        <v>468.4</v>
      </c>
      <c r="D217" s="75">
        <f>VLOOKUP($A217,'Data Vlaue (Cr)'!$C:$FB,4)</f>
        <v>471.55</v>
      </c>
      <c r="E217" s="75">
        <f>VLOOKUP($A217,'Data Vlaue (Cr)'!$C:$FB,5)</f>
        <v>475.05</v>
      </c>
      <c r="F217" s="75">
        <f t="shared" si="30"/>
        <v>3.1500000000000341</v>
      </c>
      <c r="G217" s="75">
        <f t="shared" si="31"/>
        <v>-0.74223306118121091</v>
      </c>
      <c r="H217" s="75">
        <f>VLOOKUP($A217,'Data Vlaue (Cr)'!$C:$FB,99)</f>
        <v>2705</v>
      </c>
      <c r="I217" s="75">
        <f>VLOOKUP($A217,'Data Vlaue (Cr)'!$C:$FB,100)</f>
        <v>2522</v>
      </c>
      <c r="J217" s="75">
        <f t="shared" si="32"/>
        <v>183</v>
      </c>
      <c r="K217" s="75">
        <f t="shared" si="33"/>
        <v>6.7652495378927906</v>
      </c>
      <c r="L217" s="75">
        <f>VLOOKUP($A217,'Data Vlaue (Cr)'!$C:$FB,67)</f>
        <v>723</v>
      </c>
      <c r="M217" s="75">
        <f>VLOOKUP($A217,'Data Vlaue (Cr)'!$C:$FB,68)</f>
        <v>2124</v>
      </c>
      <c r="N217" s="75">
        <f t="shared" si="34"/>
        <v>-1401</v>
      </c>
      <c r="O217" s="75">
        <f t="shared" si="35"/>
        <v>-193.77593360995851</v>
      </c>
      <c r="P217" s="75">
        <f>VLOOKUP($A217,'Data Vlaue (Cr)'!$C:$FB,119)</f>
        <v>0.91</v>
      </c>
      <c r="Q217" s="75">
        <f>VLOOKUP($A217,'Data Vlaue (Cr)'!$C:$FB,122)*100</f>
        <v>4.5999999999999996</v>
      </c>
      <c r="R217" s="75">
        <f>VLOOKUP($A217,'Data Vlaue (Cr)'!$C:$FB,125)</f>
        <v>0.84</v>
      </c>
      <c r="S217" s="75">
        <f>VLOOKUP($A217,'Data Vlaue (Cr)'!$C:$FB,128)*100</f>
        <v>-44.74</v>
      </c>
    </row>
    <row r="218" spans="1:19" x14ac:dyDescent="0.25">
      <c r="A218" s="96" t="str">
        <f>'Data Vlaue (Cr)'!C209</f>
        <v>VEDL</v>
      </c>
      <c r="B218" s="75">
        <f>VLOOKUP($A218,'Data Vlaue (Cr)'!$C:$FB,2)</f>
        <v>1150</v>
      </c>
      <c r="C218" s="75">
        <f>VLOOKUP($A218,'Data Vlaue (Cr)'!$C:$FB,8)</f>
        <v>737.1</v>
      </c>
      <c r="D218" s="75">
        <f>VLOOKUP($A218,'Data Vlaue (Cr)'!$C:$FB,4)</f>
        <v>739.5</v>
      </c>
      <c r="E218" s="75">
        <f>VLOOKUP($A218,'Data Vlaue (Cr)'!$C:$FB,5)</f>
        <v>707.9</v>
      </c>
      <c r="F218" s="75">
        <f t="shared" si="30"/>
        <v>2.3999999999999773</v>
      </c>
      <c r="G218" s="75">
        <f t="shared" si="31"/>
        <v>4.2731575388776237</v>
      </c>
      <c r="H218" s="75">
        <f>VLOOKUP($A218,'Data Vlaue (Cr)'!$C:$FB,99)</f>
        <v>9322</v>
      </c>
      <c r="I218" s="75">
        <f>VLOOKUP($A218,'Data Vlaue (Cr)'!$C:$FB,100)</f>
        <v>8840</v>
      </c>
      <c r="J218" s="75">
        <f t="shared" si="32"/>
        <v>482</v>
      </c>
      <c r="K218" s="75">
        <f t="shared" si="33"/>
        <v>5.1705642565972969</v>
      </c>
      <c r="L218" s="75">
        <f>VLOOKUP($A218,'Data Vlaue (Cr)'!$C:$FB,67)</f>
        <v>19680</v>
      </c>
      <c r="M218" s="75">
        <f>VLOOKUP($A218,'Data Vlaue (Cr)'!$C:$FB,68)</f>
        <v>14186</v>
      </c>
      <c r="N218" s="75">
        <f t="shared" si="34"/>
        <v>5494</v>
      </c>
      <c r="O218" s="75">
        <f t="shared" si="35"/>
        <v>27.916666666666668</v>
      </c>
      <c r="P218" s="75">
        <f>VLOOKUP($A218,'Data Vlaue (Cr)'!$C:$FB,119)</f>
        <v>0.71</v>
      </c>
      <c r="Q218" s="75">
        <f>VLOOKUP($A218,'Data Vlaue (Cr)'!$C:$FB,122)*100</f>
        <v>24.560000000000002</v>
      </c>
      <c r="R218" s="75">
        <f>VLOOKUP($A218,'Data Vlaue (Cr)'!$C:$FB,125)</f>
        <v>0.36</v>
      </c>
      <c r="S218" s="75">
        <f>VLOOKUP($A218,'Data Vlaue (Cr)'!$C:$FB,128)*100</f>
        <v>-18.18</v>
      </c>
    </row>
    <row r="219" spans="1:19" x14ac:dyDescent="0.25">
      <c r="A219" s="96" t="str">
        <f>'Data Vlaue (Cr)'!C210</f>
        <v>VOLTAS</v>
      </c>
      <c r="B219" s="75">
        <f>VLOOKUP($A219,'Data Vlaue (Cr)'!$C:$FB,2)</f>
        <v>375</v>
      </c>
      <c r="C219" s="75">
        <f>VLOOKUP($A219,'Data Vlaue (Cr)'!$C:$FB,8)</f>
        <v>1372.9</v>
      </c>
      <c r="D219" s="75">
        <f>VLOOKUP($A219,'Data Vlaue (Cr)'!$C:$FB,4)</f>
        <v>1374.3</v>
      </c>
      <c r="E219" s="75">
        <f>VLOOKUP($A219,'Data Vlaue (Cr)'!$C:$FB,5)</f>
        <v>1336.6</v>
      </c>
      <c r="F219" s="75">
        <f t="shared" si="30"/>
        <v>1.3999999999998636</v>
      </c>
      <c r="G219" s="75">
        <f t="shared" si="31"/>
        <v>2.7432147274976386</v>
      </c>
      <c r="H219" s="75">
        <f>VLOOKUP($A219,'Data Vlaue (Cr)'!$C:$FB,99)</f>
        <v>2135</v>
      </c>
      <c r="I219" s="75">
        <f>VLOOKUP($A219,'Data Vlaue (Cr)'!$C:$FB,100)</f>
        <v>1973</v>
      </c>
      <c r="J219" s="75">
        <f t="shared" si="32"/>
        <v>162</v>
      </c>
      <c r="K219" s="75">
        <f t="shared" si="33"/>
        <v>7.5878220140515218</v>
      </c>
      <c r="L219" s="75">
        <f>VLOOKUP($A219,'Data Vlaue (Cr)'!$C:$FB,67)</f>
        <v>1047</v>
      </c>
      <c r="M219" s="75">
        <f>VLOOKUP($A219,'Data Vlaue (Cr)'!$C:$FB,68)</f>
        <v>2011</v>
      </c>
      <c r="N219" s="75">
        <f t="shared" si="34"/>
        <v>-964</v>
      </c>
      <c r="O219" s="75">
        <f t="shared" si="35"/>
        <v>-92.072588347659973</v>
      </c>
      <c r="P219" s="75">
        <f>VLOOKUP($A219,'Data Vlaue (Cr)'!$C:$FB,119)</f>
        <v>0.87</v>
      </c>
      <c r="Q219" s="75">
        <f>VLOOKUP($A219,'Data Vlaue (Cr)'!$C:$FB,122)*100</f>
        <v>14.469999999999999</v>
      </c>
      <c r="R219" s="75">
        <f>VLOOKUP($A219,'Data Vlaue (Cr)'!$C:$FB,125)</f>
        <v>0.35</v>
      </c>
      <c r="S219" s="75">
        <f>VLOOKUP($A219,'Data Vlaue (Cr)'!$C:$FB,128)*100</f>
        <v>-28.57</v>
      </c>
    </row>
    <row r="220" spans="1:19" x14ac:dyDescent="0.25">
      <c r="A220" s="96" t="str">
        <f>'Data Vlaue (Cr)'!C211</f>
        <v>WAAREEENER</v>
      </c>
      <c r="B220" s="75">
        <f>VLOOKUP($A220,'Data Vlaue (Cr)'!$C:$FB,2)</f>
        <v>175</v>
      </c>
      <c r="C220" s="75">
        <f>VLOOKUP($A220,'Data Vlaue (Cr)'!$C:$FB,8)</f>
        <v>2749.6</v>
      </c>
      <c r="D220" s="75">
        <f>VLOOKUP($A220,'Data Vlaue (Cr)'!$C:$FB,4)</f>
        <v>2768.1</v>
      </c>
      <c r="E220" s="75">
        <f>VLOOKUP($A220,'Data Vlaue (Cr)'!$C:$FB,5)</f>
        <v>2709.8</v>
      </c>
      <c r="F220" s="75">
        <f t="shared" si="30"/>
        <v>18.5</v>
      </c>
      <c r="G220" s="75">
        <f t="shared" si="31"/>
        <v>2.1061377840395843</v>
      </c>
      <c r="H220" s="75">
        <f>VLOOKUP($A220,'Data Vlaue (Cr)'!$C:$FB,99)</f>
        <v>933</v>
      </c>
      <c r="I220" s="75">
        <f>VLOOKUP($A220,'Data Vlaue (Cr)'!$C:$FB,100)</f>
        <v>928</v>
      </c>
      <c r="J220" s="75">
        <f t="shared" si="32"/>
        <v>5</v>
      </c>
      <c r="K220" s="75">
        <f t="shared" si="33"/>
        <v>0.53590568060021437</v>
      </c>
      <c r="L220" s="75">
        <f>VLOOKUP($A220,'Data Vlaue (Cr)'!$C:$FB,67)</f>
        <v>705</v>
      </c>
      <c r="M220" s="75">
        <f>VLOOKUP($A220,'Data Vlaue (Cr)'!$C:$FB,68)</f>
        <v>2278</v>
      </c>
      <c r="N220" s="75">
        <f t="shared" si="34"/>
        <v>-1573</v>
      </c>
      <c r="O220" s="75">
        <f t="shared" si="35"/>
        <v>-223.12056737588654</v>
      </c>
      <c r="P220" s="75">
        <f>VLOOKUP($A220,'Data Vlaue (Cr)'!$C:$FB,119)</f>
        <v>0.74</v>
      </c>
      <c r="Q220" s="75">
        <f>VLOOKUP($A220,'Data Vlaue (Cr)'!$C:$FB,122)*100</f>
        <v>-2.63</v>
      </c>
      <c r="R220" s="75">
        <f>VLOOKUP($A220,'Data Vlaue (Cr)'!$C:$FB,125)</f>
        <v>0.36</v>
      </c>
      <c r="S220" s="75">
        <f>VLOOKUP($A220,'Data Vlaue (Cr)'!$C:$FB,128)*100</f>
        <v>-35.709999999999994</v>
      </c>
    </row>
    <row r="221" spans="1:19" x14ac:dyDescent="0.25">
      <c r="A221" s="98" t="str">
        <f>'Data Vlaue (Cr)'!C212</f>
        <v>WIPRO</v>
      </c>
      <c r="B221" s="75">
        <f>VLOOKUP($A221,'Data Vlaue (Cr)'!$C:$FB,2)</f>
        <v>3000</v>
      </c>
      <c r="C221" s="75">
        <f>VLOOKUP($A221,'Data Vlaue (Cr)'!$C:$FB,8)</f>
        <v>237.35</v>
      </c>
      <c r="D221" s="75">
        <f>VLOOKUP($A221,'Data Vlaue (Cr)'!$C:$FB,4)</f>
        <v>238.5</v>
      </c>
      <c r="E221" s="75">
        <f>VLOOKUP($A221,'Data Vlaue (Cr)'!$C:$FB,5)</f>
        <v>236.3</v>
      </c>
      <c r="F221" s="75">
        <f t="shared" si="30"/>
        <v>1.1500000000000057</v>
      </c>
      <c r="G221" s="75">
        <f t="shared" si="31"/>
        <v>0.92243186582808745</v>
      </c>
      <c r="H221" s="75">
        <f>VLOOKUP($A221,'Data Vlaue (Cr)'!$C:$FB,99)</f>
        <v>4269</v>
      </c>
      <c r="I221" s="75">
        <f>VLOOKUP($A221,'Data Vlaue (Cr)'!$C:$FB,100)</f>
        <v>4089</v>
      </c>
      <c r="J221" s="75">
        <f t="shared" si="32"/>
        <v>180</v>
      </c>
      <c r="K221" s="75">
        <f t="shared" si="33"/>
        <v>4.2164441321152495</v>
      </c>
      <c r="L221" s="75">
        <f>VLOOKUP($A221,'Data Vlaue (Cr)'!$C:$FB,67)</f>
        <v>1697</v>
      </c>
      <c r="M221" s="75">
        <f>VLOOKUP($A221,'Data Vlaue (Cr)'!$C:$FB,68)</f>
        <v>3391</v>
      </c>
      <c r="N221" s="75">
        <f t="shared" si="34"/>
        <v>-1694</v>
      </c>
      <c r="O221" s="75">
        <f t="shared" si="35"/>
        <v>-99.823217442545669</v>
      </c>
      <c r="P221" s="75">
        <f>VLOOKUP($A221,'Data Vlaue (Cr)'!$C:$FB,119)</f>
        <v>0.66</v>
      </c>
      <c r="Q221" s="75">
        <f>VLOOKUP($A221,'Data Vlaue (Cr)'!$C:$FB,122)*100</f>
        <v>-13.16</v>
      </c>
      <c r="R221" s="75">
        <f>VLOOKUP($A221,'Data Vlaue (Cr)'!$C:$FB,125)</f>
        <v>0.47</v>
      </c>
      <c r="S221" s="75">
        <f>VLOOKUP($A221,'Data Vlaue (Cr)'!$C:$FB,128)*100</f>
        <v>-33.800000000000004</v>
      </c>
    </row>
    <row r="222" spans="1:19" x14ac:dyDescent="0.25">
      <c r="A222" s="98" t="str">
        <f>'Data Vlaue (Cr)'!C213</f>
        <v>YESBANK</v>
      </c>
      <c r="B222" s="75">
        <f>VLOOKUP($A222,'Data Vlaue (Cr)'!$C:$FB,2)</f>
        <v>31100</v>
      </c>
      <c r="C222" s="75">
        <f>VLOOKUP($A222,'Data Vlaue (Cr)'!$C:$FB,8)</f>
        <v>21.48</v>
      </c>
      <c r="D222" s="75">
        <f>VLOOKUP($A222,'Data Vlaue (Cr)'!$C:$FB,4)</f>
        <v>21.56</v>
      </c>
      <c r="E222" s="75">
        <f>VLOOKUP($A222,'Data Vlaue (Cr)'!$C:$FB,5)</f>
        <v>21.14</v>
      </c>
      <c r="F222" s="75">
        <f t="shared" si="30"/>
        <v>7.9999999999998295E-2</v>
      </c>
      <c r="G222" s="75">
        <f t="shared" si="31"/>
        <v>1.9480519480519396</v>
      </c>
      <c r="H222" s="75">
        <f>VLOOKUP($A222,'Data Vlaue (Cr)'!$C:$FB,99)</f>
        <v>3328</v>
      </c>
      <c r="I222" s="75">
        <f>VLOOKUP($A222,'Data Vlaue (Cr)'!$C:$FB,100)</f>
        <v>3264</v>
      </c>
      <c r="J222" s="75">
        <f t="shared" si="32"/>
        <v>64</v>
      </c>
      <c r="K222" s="75">
        <f t="shared" si="33"/>
        <v>1.9230769230769231</v>
      </c>
      <c r="L222" s="75">
        <f>VLOOKUP($A222,'Data Vlaue (Cr)'!$C:$FB,67)</f>
        <v>1135</v>
      </c>
      <c r="M222" s="75">
        <f>VLOOKUP($A222,'Data Vlaue (Cr)'!$C:$FB,68)</f>
        <v>2913</v>
      </c>
      <c r="N222" s="75">
        <f t="shared" si="34"/>
        <v>-1778</v>
      </c>
      <c r="O222" s="75">
        <f t="shared" si="35"/>
        <v>-156.65198237885463</v>
      </c>
      <c r="P222" s="75">
        <f>VLOOKUP($A222,'Data Vlaue (Cr)'!$C:$FB,119)</f>
        <v>0.66</v>
      </c>
      <c r="Q222" s="75">
        <f>VLOOKUP($A222,'Data Vlaue (Cr)'!$C:$FB,122)*100</f>
        <v>-4.3499999999999996</v>
      </c>
      <c r="R222" s="75">
        <f>VLOOKUP($A222,'Data Vlaue (Cr)'!$C:$FB,125)</f>
        <v>0.4</v>
      </c>
      <c r="S222" s="75">
        <f>VLOOKUP($A222,'Data Vlaue (Cr)'!$C:$FB,128)*100</f>
        <v>-21.57</v>
      </c>
    </row>
    <row r="223" spans="1:19" x14ac:dyDescent="0.25">
      <c r="A223" s="98"/>
      <c r="B223" s="75"/>
      <c r="C223" s="75"/>
      <c r="D223" s="75"/>
      <c r="E223" s="75"/>
      <c r="F223" s="75"/>
      <c r="G223" s="75"/>
      <c r="H223" s="75"/>
      <c r="I223" s="75"/>
      <c r="J223" s="75"/>
      <c r="K223" s="75"/>
      <c r="L223" s="75"/>
      <c r="M223" s="75"/>
      <c r="N223" s="75"/>
      <c r="O223" s="75"/>
      <c r="P223" s="75"/>
      <c r="Q223" s="75"/>
      <c r="R223" s="75"/>
      <c r="S223" s="75"/>
    </row>
    <row r="224" spans="1:19" x14ac:dyDescent="0.25">
      <c r="A224" s="98"/>
      <c r="B224" s="75"/>
      <c r="C224" s="75"/>
      <c r="D224" s="75"/>
      <c r="E224" s="75"/>
      <c r="F224" s="75"/>
      <c r="G224" s="75"/>
      <c r="H224" s="75"/>
      <c r="I224" s="75"/>
      <c r="J224" s="75"/>
      <c r="K224" s="75"/>
      <c r="L224" s="75"/>
      <c r="M224" s="75"/>
      <c r="N224" s="75"/>
      <c r="O224" s="75"/>
      <c r="P224" s="75"/>
      <c r="Q224" s="75"/>
      <c r="R224" s="75"/>
      <c r="S224" s="75"/>
    </row>
    <row r="225" spans="1:19" x14ac:dyDescent="0.25">
      <c r="A225" s="98"/>
      <c r="B225" s="75"/>
      <c r="C225" s="75"/>
      <c r="D225" s="75"/>
      <c r="E225" s="75"/>
      <c r="F225" s="75"/>
      <c r="G225" s="75"/>
      <c r="H225" s="75"/>
      <c r="I225" s="75"/>
      <c r="J225" s="75"/>
      <c r="K225" s="75"/>
      <c r="L225" s="75"/>
      <c r="M225" s="75"/>
      <c r="N225" s="75"/>
      <c r="O225" s="75"/>
      <c r="P225" s="75"/>
      <c r="Q225" s="75"/>
      <c r="R225" s="75"/>
      <c r="S225" s="75"/>
    </row>
    <row r="226" spans="1:19" x14ac:dyDescent="0.25">
      <c r="A226" s="98"/>
      <c r="B226" s="75"/>
      <c r="C226" s="75"/>
      <c r="D226" s="75"/>
      <c r="E226" s="75"/>
      <c r="F226" s="75"/>
      <c r="G226" s="75"/>
      <c r="H226" s="75"/>
      <c r="I226" s="75"/>
      <c r="J226" s="75"/>
      <c r="K226" s="75"/>
      <c r="L226" s="75"/>
      <c r="M226" s="75"/>
      <c r="N226" s="75"/>
      <c r="O226" s="75"/>
      <c r="P226" s="75"/>
      <c r="Q226" s="75"/>
      <c r="R226" s="75"/>
      <c r="S226" s="75"/>
    </row>
    <row r="227" spans="1:19" x14ac:dyDescent="0.25">
      <c r="A227" s="236"/>
      <c r="B227" s="236"/>
      <c r="C227" s="236"/>
      <c r="D227" s="236"/>
      <c r="E227" s="236"/>
      <c r="F227" s="236"/>
      <c r="G227" s="15"/>
      <c r="H227" s="16"/>
      <c r="I227" s="236"/>
      <c r="J227" s="236"/>
      <c r="K227" s="236"/>
      <c r="L227" s="236"/>
      <c r="M227" s="236"/>
      <c r="N227" s="16"/>
      <c r="O227" s="16"/>
      <c r="P227" s="16"/>
      <c r="Q227" s="236"/>
      <c r="R227" s="236"/>
      <c r="S227" s="236"/>
    </row>
    <row r="228" spans="1:19" x14ac:dyDescent="0.25">
      <c r="A228" s="233" t="s">
        <v>391</v>
      </c>
      <c r="B228" s="234"/>
      <c r="C228" s="234"/>
      <c r="D228" s="234"/>
      <c r="E228" s="234"/>
      <c r="F228" s="235"/>
      <c r="G228" s="18"/>
      <c r="H228" s="18">
        <f>SUM(H11:H223)</f>
        <v>1699532</v>
      </c>
      <c r="I228" s="18">
        <f>SUM(I11:I223)</f>
        <v>1407713</v>
      </c>
      <c r="J228" s="18">
        <f>H228-I228</f>
        <v>291819</v>
      </c>
      <c r="K228" s="19">
        <f>J228/I228</f>
        <v>0.207300067556384</v>
      </c>
      <c r="L228" s="18">
        <f>SUM(L11:L223)</f>
        <v>8894423</v>
      </c>
      <c r="M228" s="18">
        <f>SUM(M11:M223)</f>
        <v>83665753</v>
      </c>
      <c r="N228" s="18">
        <f>L228-M228</f>
        <v>-74771330</v>
      </c>
      <c r="O228" s="19">
        <f>N228/M228</f>
        <v>-0.89369099445026212</v>
      </c>
      <c r="P228" s="233"/>
      <c r="Q228" s="234"/>
      <c r="R228" s="234"/>
      <c r="S228" s="235"/>
    </row>
    <row r="232" spans="1:19" x14ac:dyDescent="0.25">
      <c r="A232" s="239" t="s">
        <v>334</v>
      </c>
      <c r="B232" s="239"/>
      <c r="C232" s="239"/>
      <c r="D232" s="6"/>
      <c r="E232" s="6"/>
      <c r="F232" s="6"/>
      <c r="G232" s="6"/>
      <c r="H232" s="8" t="s">
        <v>385</v>
      </c>
      <c r="J232" s="7"/>
      <c r="K232" s="7"/>
      <c r="L232" s="7"/>
      <c r="M232" s="7"/>
    </row>
    <row r="233" spans="1:19" x14ac:dyDescent="0.25">
      <c r="A233" s="22"/>
      <c r="B233" s="23" t="s">
        <v>182</v>
      </c>
      <c r="C233" s="24" t="s">
        <v>386</v>
      </c>
      <c r="D233" s="25" t="s">
        <v>266</v>
      </c>
      <c r="E233" s="24" t="s">
        <v>386</v>
      </c>
      <c r="F233" s="23" t="s">
        <v>461</v>
      </c>
      <c r="G233" s="23" t="s">
        <v>387</v>
      </c>
      <c r="H233" s="24" t="s">
        <v>386</v>
      </c>
    </row>
    <row r="234" spans="1:19" x14ac:dyDescent="0.25">
      <c r="A234" s="26" t="s">
        <v>388</v>
      </c>
      <c r="B234" s="9">
        <f>VLOOKUP(B233,'OI(Value)'!A7:E226,5,0)</f>
        <v>8647</v>
      </c>
      <c r="C234" s="146">
        <f>VLOOKUP(B233,'OI(Value)'!A7:G226,7,0)</f>
        <v>6.9800000000000001E-2</v>
      </c>
      <c r="D234" s="9">
        <f>VLOOKUP(D233,'OI(Value)'!A7:E226,5,0)</f>
        <v>45505</v>
      </c>
      <c r="E234" s="147">
        <f>VLOOKUP(D233,'OI(Value)'!A7:G226,7,0)</f>
        <v>2.5999999999999999E-2</v>
      </c>
      <c r="F234" s="9">
        <f>G234-D234-B234</f>
        <v>508415</v>
      </c>
      <c r="G234" s="10">
        <f>'OI(Value)'!E227</f>
        <v>562567</v>
      </c>
      <c r="H234" s="147">
        <f>'OI(Value)'!D234</f>
        <v>7.4782203719734718E-3</v>
      </c>
    </row>
    <row r="235" spans="1:19" x14ac:dyDescent="0.25">
      <c r="A235" s="26" t="s">
        <v>389</v>
      </c>
      <c r="B235" s="9">
        <f>VLOOKUP(B233,'OI(Value)'!A7:H226,8,0)</f>
        <v>47224</v>
      </c>
      <c r="C235" s="146">
        <f>VLOOKUP(B233,'OI(Value)'!A7:J226,10,0)</f>
        <v>0.23480000000000001</v>
      </c>
      <c r="D235" s="9">
        <f>VLOOKUP(D233,'OI(Value)'!A1:O227,8,0)</f>
        <v>422601</v>
      </c>
      <c r="E235" s="147">
        <f>VLOOKUP(D233,'OI(Value)'!A1:J226,10,0)</f>
        <v>0.39979999999999999</v>
      </c>
      <c r="F235" s="9">
        <f>G235-D235-B235</f>
        <v>112662</v>
      </c>
      <c r="G235" s="9">
        <f>'OI(Value)'!H227</f>
        <v>582487</v>
      </c>
      <c r="H235" s="147">
        <f>'OI(Value)'!D235</f>
        <v>0.26673384985415982</v>
      </c>
    </row>
    <row r="236" spans="1:19" x14ac:dyDescent="0.25">
      <c r="A236" s="26" t="s">
        <v>390</v>
      </c>
      <c r="B236" s="9">
        <f>VLOOKUP(B233,'OI(Value)'!A7:K226,11,0)</f>
        <v>53796</v>
      </c>
      <c r="C236" s="146">
        <f>VLOOKUP(B233,'OI(Value)'!A7:M226,13,0)</f>
        <v>0.25530000000000003</v>
      </c>
      <c r="D236" s="9">
        <f>VLOOKUP(D233,'OI(Value)'!A2:O228,11,0)</f>
        <v>410276</v>
      </c>
      <c r="E236" s="147">
        <f>VLOOKUP(D233,'OI(Value)'!A7:M226,13,0)</f>
        <v>0.33589999999999998</v>
      </c>
      <c r="F236" s="9">
        <f>G236-D236-B236</f>
        <v>91440</v>
      </c>
      <c r="G236" s="9">
        <f>'OI(Value)'!K227</f>
        <v>555512</v>
      </c>
      <c r="H236" s="147">
        <f>'OI(Volume)'!D242</f>
        <v>0.14260683869214014</v>
      </c>
    </row>
    <row r="237" spans="1:19" x14ac:dyDescent="0.25">
      <c r="A237" s="22" t="s">
        <v>391</v>
      </c>
      <c r="B237" s="62">
        <f>SUM(B234:B236)</f>
        <v>109667</v>
      </c>
      <c r="C237" s="148">
        <f>VLOOKUP(B233,'OI(Value)'!A7:D148,4,0)</f>
        <v>0.22969999999999999</v>
      </c>
      <c r="D237" s="62">
        <f>SUM(D234:D236)</f>
        <v>878382</v>
      </c>
      <c r="E237" s="148">
        <f>VLOOKUP(D233,'OI(Value)'!A1:D227,4,0)</f>
        <v>0.34439999999999998</v>
      </c>
      <c r="F237" s="62">
        <f>SUM(F234:F236)</f>
        <v>712517</v>
      </c>
      <c r="G237" s="62">
        <f>SUM(G234:G236)</f>
        <v>1700566</v>
      </c>
      <c r="H237" s="151">
        <f>'OI(Value)'!D237</f>
        <v>0.17163932478951124</v>
      </c>
    </row>
    <row r="241" spans="1:8" x14ac:dyDescent="0.25">
      <c r="A241" s="20" t="s">
        <v>392</v>
      </c>
      <c r="B241" s="11"/>
      <c r="C241" s="11"/>
      <c r="D241" s="11"/>
      <c r="E241" s="11"/>
      <c r="F241" s="11"/>
      <c r="G241" s="11"/>
      <c r="H241" s="12"/>
    </row>
    <row r="242" spans="1:8" x14ac:dyDescent="0.25">
      <c r="A242" s="27"/>
      <c r="B242" s="27"/>
      <c r="C242" s="240" t="s">
        <v>459</v>
      </c>
      <c r="D242" s="241"/>
      <c r="E242" s="242"/>
      <c r="F242" s="240" t="s">
        <v>460</v>
      </c>
      <c r="G242" s="241"/>
      <c r="H242" s="242"/>
    </row>
    <row r="243" spans="1:8" x14ac:dyDescent="0.25">
      <c r="A243" s="28"/>
      <c r="B243" s="27"/>
      <c r="C243" s="31">
        <f>D10</f>
        <v>46050</v>
      </c>
      <c r="D243" s="31" t="s">
        <v>397</v>
      </c>
      <c r="E243" s="32" t="s">
        <v>321</v>
      </c>
      <c r="F243" s="31">
        <f>C243</f>
        <v>46050</v>
      </c>
      <c r="G243" s="31" t="str">
        <f>D243</f>
        <v>Preious</v>
      </c>
      <c r="H243" s="32" t="s">
        <v>386</v>
      </c>
    </row>
    <row r="244" spans="1:8" x14ac:dyDescent="0.25">
      <c r="A244" s="29" t="s">
        <v>393</v>
      </c>
      <c r="B244" s="30"/>
      <c r="C244" s="13">
        <f>FII!N3</f>
        <v>4695</v>
      </c>
      <c r="D244" s="13">
        <f>FII!J3</f>
        <v>4852</v>
      </c>
      <c r="E244" s="14">
        <f>(C244-D244)/C244</f>
        <v>-3.343982960596379E-2</v>
      </c>
      <c r="F244" s="13">
        <f>FII!M3</f>
        <v>26135</v>
      </c>
      <c r="G244" s="13">
        <f>FII!I3</f>
        <v>27117</v>
      </c>
      <c r="H244" s="14">
        <f>(F244-G244)/F244</f>
        <v>-3.7574134302659268E-2</v>
      </c>
    </row>
    <row r="245" spans="1:8" x14ac:dyDescent="0.25">
      <c r="A245" s="237" t="s">
        <v>394</v>
      </c>
      <c r="B245" s="238"/>
      <c r="C245" s="13">
        <f>FII!N4</f>
        <v>25018</v>
      </c>
      <c r="D245" s="13">
        <f>FII!J4</f>
        <v>19039</v>
      </c>
      <c r="E245" s="14">
        <f>(C245-D245)/C245</f>
        <v>0.23898792869134222</v>
      </c>
      <c r="F245" s="13">
        <f>FII!M4</f>
        <v>139925</v>
      </c>
      <c r="G245" s="13">
        <f>FII!I4</f>
        <v>107193</v>
      </c>
      <c r="H245" s="14">
        <f>(F245-G245)/F245</f>
        <v>0.23392531713417902</v>
      </c>
    </row>
    <row r="246" spans="1:8" x14ac:dyDescent="0.25">
      <c r="A246" s="237" t="s">
        <v>395</v>
      </c>
      <c r="B246" s="238"/>
      <c r="C246" s="13">
        <f>FII!N15</f>
        <v>415089</v>
      </c>
      <c r="D246" s="13">
        <f>FII!J15</f>
        <v>409380</v>
      </c>
      <c r="E246" s="14">
        <f>(C246-D246)/C246</f>
        <v>1.3753676922298591E-2</v>
      </c>
      <c r="F246" s="13">
        <f>FII!M15</f>
        <v>6244399</v>
      </c>
      <c r="G246" s="13">
        <f>FII!I15</f>
        <v>6221085</v>
      </c>
      <c r="H246" s="14">
        <f>(F246-G246)/F246</f>
        <v>3.7335858903314793E-3</v>
      </c>
    </row>
    <row r="247" spans="1:8" x14ac:dyDescent="0.25">
      <c r="A247" s="237" t="s">
        <v>396</v>
      </c>
      <c r="B247" s="238"/>
      <c r="C247" s="13">
        <f>FII!N16</f>
        <v>14830</v>
      </c>
      <c r="D247" s="13">
        <f>FII!J16</f>
        <v>9040</v>
      </c>
      <c r="E247" s="14">
        <f>(C247-D247)/C247</f>
        <v>0.39042481456507078</v>
      </c>
      <c r="F247" s="13">
        <f>FII!M16</f>
        <v>223529</v>
      </c>
      <c r="G247" s="13">
        <f>FII!I16</f>
        <v>142078</v>
      </c>
      <c r="H247" s="14">
        <f>(F247-G247)/F247</f>
        <v>0.36438672387028082</v>
      </c>
    </row>
    <row r="248" spans="1:8" x14ac:dyDescent="0.25">
      <c r="A248" s="237" t="s">
        <v>391</v>
      </c>
      <c r="B248" s="238"/>
      <c r="C248" s="155">
        <f>SUM(C244:C247)</f>
        <v>459632</v>
      </c>
      <c r="D248" s="155">
        <f>SUM(D244:D247)</f>
        <v>442311</v>
      </c>
      <c r="E248" s="156">
        <f>(C248-D248)/C248</f>
        <v>3.7684495422424899E-2</v>
      </c>
      <c r="F248" s="157">
        <f>SUM(F244:F247)</f>
        <v>6633988</v>
      </c>
      <c r="G248" s="158">
        <f>SUM(G244:G247)</f>
        <v>6497473</v>
      </c>
      <c r="H248" s="156">
        <f>(F248-G248)/F248</f>
        <v>2.057811982777177E-2</v>
      </c>
    </row>
  </sheetData>
  <mergeCells count="24">
    <mergeCell ref="A6:S6"/>
    <mergeCell ref="A7:S7"/>
    <mergeCell ref="A8:A9"/>
    <mergeCell ref="H8:K8"/>
    <mergeCell ref="L8:O8"/>
    <mergeCell ref="P8:S8"/>
    <mergeCell ref="D9:G9"/>
    <mergeCell ref="H9:K9"/>
    <mergeCell ref="C8:G8"/>
    <mergeCell ref="L9:O9"/>
    <mergeCell ref="P9:Q9"/>
    <mergeCell ref="R9:S9"/>
    <mergeCell ref="A247:B247"/>
    <mergeCell ref="A248:B248"/>
    <mergeCell ref="A232:C232"/>
    <mergeCell ref="C242:E242"/>
    <mergeCell ref="F242:H242"/>
    <mergeCell ref="A245:B245"/>
    <mergeCell ref="A246:B246"/>
    <mergeCell ref="P228:S228"/>
    <mergeCell ref="A228:F228"/>
    <mergeCell ref="Q227:S227"/>
    <mergeCell ref="I227:M227"/>
    <mergeCell ref="A227:F227"/>
  </mergeCells>
  <pageMargins left="0.7" right="0.7" top="0.75" bottom="0.75" header="0.3" footer="0.3"/>
  <pageSetup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0"/>
  <sheetViews>
    <sheetView workbookViewId="0">
      <pane ySplit="5" topLeftCell="A6" activePane="bottomLeft" state="frozen"/>
      <selection pane="bottomLeft" activeCell="D9" sqref="D9"/>
    </sheetView>
  </sheetViews>
  <sheetFormatPr defaultRowHeight="15" x14ac:dyDescent="0.25"/>
  <cols>
    <col min="1" max="1" width="14.5703125" bestFit="1" customWidth="1"/>
    <col min="3" max="3" width="11.5703125" customWidth="1"/>
    <col min="4" max="7" width="11.7109375" customWidth="1"/>
  </cols>
  <sheetData>
    <row r="1" spans="1:8" ht="21" customHeight="1" x14ac:dyDescent="0.25"/>
    <row r="2" spans="1:8" ht="21.75" customHeight="1" thickBot="1" x14ac:dyDescent="0.3"/>
    <row r="3" spans="1:8" ht="20.25" customHeight="1" thickBot="1" x14ac:dyDescent="0.3">
      <c r="A3" s="309" t="s">
        <v>456</v>
      </c>
      <c r="B3" s="310"/>
      <c r="C3" s="310"/>
      <c r="D3" s="310"/>
      <c r="E3" s="310"/>
      <c r="F3" s="310"/>
      <c r="G3" s="311"/>
      <c r="H3" s="46"/>
    </row>
    <row r="4" spans="1:8" x14ac:dyDescent="0.25">
      <c r="A4" s="285" t="s">
        <v>366</v>
      </c>
      <c r="B4" s="106" t="s">
        <v>312</v>
      </c>
      <c r="C4" s="106" t="s">
        <v>313</v>
      </c>
      <c r="D4" s="285" t="s">
        <v>367</v>
      </c>
      <c r="E4" s="285"/>
      <c r="F4" s="285"/>
      <c r="G4" s="285"/>
      <c r="H4" s="47"/>
    </row>
    <row r="5" spans="1:8" x14ac:dyDescent="0.25">
      <c r="A5" s="304"/>
      <c r="B5" s="3">
        <f>PCR!B6</f>
        <v>46050</v>
      </c>
      <c r="C5" s="3">
        <f>B5</f>
        <v>46050</v>
      </c>
      <c r="D5" s="76" t="s">
        <v>367</v>
      </c>
      <c r="E5" s="76" t="s">
        <v>321</v>
      </c>
      <c r="F5" s="76" t="s">
        <v>368</v>
      </c>
      <c r="G5" s="76" t="s">
        <v>369</v>
      </c>
      <c r="H5" s="48"/>
    </row>
    <row r="6" spans="1:8" x14ac:dyDescent="0.25">
      <c r="A6" s="101" t="str">
        <f>'Data Vlaue (Cr)'!C2</f>
        <v>360ONE</v>
      </c>
      <c r="B6" s="144">
        <f>VLOOKUP($A6,'Data shares'!$C:$FA,7)</f>
        <v>1139.9000000000001</v>
      </c>
      <c r="C6" s="144">
        <f>VLOOKUP($A6,'Data shares'!$C:$FA,3)</f>
        <v>1142.0999999999999</v>
      </c>
      <c r="D6" s="144">
        <f>VLOOKUP($A6,'Data shares'!$C:$FA,23)</f>
        <v>2.2000000000000002</v>
      </c>
      <c r="E6" s="145">
        <f>VLOOKUP($A6,'Data shares'!$C:$FA,26)*100</f>
        <v>0.19</v>
      </c>
      <c r="F6" s="144">
        <f>VLOOKUP($A6,'Data shares'!$C:$FA,24)</f>
        <v>4.9000000000000004</v>
      </c>
      <c r="G6" s="144">
        <f>VLOOKUP($A6,'Data shares'!$C:$FA,25)</f>
        <v>-2.7</v>
      </c>
    </row>
    <row r="7" spans="1:8" x14ac:dyDescent="0.25">
      <c r="A7" s="101" t="str">
        <f>'Data Vlaue (Cr)'!C3</f>
        <v>ABB</v>
      </c>
      <c r="B7" s="144">
        <f>VLOOKUP($A7,'Data shares'!$C:$FA,7)</f>
        <v>5043.5</v>
      </c>
      <c r="C7" s="144">
        <f>VLOOKUP($A7,'Data shares'!$C:$FA,3)</f>
        <v>5068</v>
      </c>
      <c r="D7" s="144">
        <f>VLOOKUP($A7,'Data shares'!$C:$FA,23)</f>
        <v>24.5</v>
      </c>
      <c r="E7" s="145">
        <f>VLOOKUP($A7,'Data shares'!$C:$FA,26)*100</f>
        <v>0.49</v>
      </c>
      <c r="F7" s="144">
        <f>VLOOKUP($A7,'Data shares'!$C:$FA,24)</f>
        <v>29</v>
      </c>
      <c r="G7" s="144">
        <f>VLOOKUP($A7,'Data shares'!$C:$FA,25)</f>
        <v>-4.5</v>
      </c>
    </row>
    <row r="8" spans="1:8" x14ac:dyDescent="0.25">
      <c r="A8" s="101" t="str">
        <f>'Data Vlaue (Cr)'!C4</f>
        <v>ABCAPITAL</v>
      </c>
      <c r="B8" s="144">
        <f>VLOOKUP($A8,'Data shares'!$C:$FA,7)</f>
        <v>348.3</v>
      </c>
      <c r="C8" s="144">
        <f>VLOOKUP($A8,'Data shares'!$C:$FA,3)</f>
        <v>350.65</v>
      </c>
      <c r="D8" s="144">
        <f>VLOOKUP($A8,'Data shares'!$C:$FA,23)</f>
        <v>2.35</v>
      </c>
      <c r="E8" s="145">
        <f>VLOOKUP($A8,'Data shares'!$C:$FA,26)*100</f>
        <v>0.67</v>
      </c>
      <c r="F8" s="144">
        <f>VLOOKUP($A8,'Data shares'!$C:$FA,24)</f>
        <v>2.2999999999999998</v>
      </c>
      <c r="G8" s="144">
        <f>VLOOKUP($A8,'Data shares'!$C:$FA,25)</f>
        <v>0.05</v>
      </c>
    </row>
    <row r="9" spans="1:8" x14ac:dyDescent="0.25">
      <c r="A9" s="101" t="str">
        <f>'Data Vlaue (Cr)'!C5</f>
        <v>ADANIENSOL</v>
      </c>
      <c r="B9" s="144">
        <f>VLOOKUP($A9,'Data shares'!$C:$FA,7)</f>
        <v>882</v>
      </c>
      <c r="C9" s="144">
        <f>VLOOKUP($A9,'Data shares'!$C:$FA,3)</f>
        <v>885.4</v>
      </c>
      <c r="D9" s="144">
        <f>VLOOKUP($A9,'Data shares'!$C:$FA,23)</f>
        <v>3.4</v>
      </c>
      <c r="E9" s="145">
        <f>VLOOKUP($A9,'Data shares'!$C:$FA,26)*100</f>
        <v>0.38999999999999996</v>
      </c>
      <c r="F9" s="144">
        <f>VLOOKUP($A9,'Data shares'!$C:$FA,24)</f>
        <v>4.3</v>
      </c>
      <c r="G9" s="144">
        <f>VLOOKUP($A9,'Data shares'!$C:$FA,25)</f>
        <v>-0.9</v>
      </c>
    </row>
    <row r="10" spans="1:8" x14ac:dyDescent="0.25">
      <c r="A10" s="101" t="str">
        <f>'Data Vlaue (Cr)'!C6</f>
        <v>ADANIENT</v>
      </c>
      <c r="B10" s="144">
        <f>VLOOKUP($A10,'Data shares'!$C:$FA,7)</f>
        <v>1994.7</v>
      </c>
      <c r="C10" s="144">
        <f>VLOOKUP($A10,'Data shares'!$C:$FA,3)</f>
        <v>2004.4</v>
      </c>
      <c r="D10" s="144">
        <f>VLOOKUP($A10,'Data shares'!$C:$FA,23)</f>
        <v>9.6999999999999993</v>
      </c>
      <c r="E10" s="145">
        <f>VLOOKUP($A10,'Data shares'!$C:$FA,26)*100</f>
        <v>0.49</v>
      </c>
      <c r="F10" s="144">
        <f>VLOOKUP($A10,'Data shares'!$C:$FA,24)</f>
        <v>10.1</v>
      </c>
      <c r="G10" s="144">
        <f>VLOOKUP($A10,'Data shares'!$C:$FA,25)</f>
        <v>-0.4</v>
      </c>
    </row>
    <row r="11" spans="1:8" x14ac:dyDescent="0.25">
      <c r="A11" s="101" t="str">
        <f>'Data Vlaue (Cr)'!C7</f>
        <v>ADANIGREEN</v>
      </c>
      <c r="B11" s="144">
        <f>VLOOKUP($A11,'Data shares'!$C:$FA,7)</f>
        <v>822.9</v>
      </c>
      <c r="C11" s="144">
        <f>VLOOKUP($A11,'Data shares'!$C:$FA,3)</f>
        <v>825.8</v>
      </c>
      <c r="D11" s="144">
        <f>VLOOKUP($A11,'Data shares'!$C:$FA,23)</f>
        <v>2.9</v>
      </c>
      <c r="E11" s="145">
        <f>VLOOKUP($A11,'Data shares'!$C:$FA,26)*100</f>
        <v>0.35000000000000003</v>
      </c>
      <c r="F11" s="144">
        <f>VLOOKUP($A11,'Data shares'!$C:$FA,24)</f>
        <v>5.3</v>
      </c>
      <c r="G11" s="144">
        <f>VLOOKUP($A11,'Data shares'!$C:$FA,25)</f>
        <v>-2.4</v>
      </c>
    </row>
    <row r="12" spans="1:8" x14ac:dyDescent="0.25">
      <c r="A12" s="101" t="str">
        <f>'Data Vlaue (Cr)'!C8</f>
        <v>ADANIPORTS</v>
      </c>
      <c r="B12" s="144">
        <f>VLOOKUP($A12,'Data shares'!$C:$FA,7)</f>
        <v>1381.9</v>
      </c>
      <c r="C12" s="144">
        <f>VLOOKUP($A12,'Data shares'!$C:$FA,3)</f>
        <v>1386.9</v>
      </c>
      <c r="D12" s="144">
        <f>VLOOKUP($A12,'Data shares'!$C:$FA,23)</f>
        <v>5</v>
      </c>
      <c r="E12" s="145">
        <f>VLOOKUP($A12,'Data shares'!$C:$FA,26)*100</f>
        <v>0.36</v>
      </c>
      <c r="F12" s="144">
        <f>VLOOKUP($A12,'Data shares'!$C:$FA,24)</f>
        <v>7.4</v>
      </c>
      <c r="G12" s="144">
        <f>VLOOKUP($A12,'Data shares'!$C:$FA,25)</f>
        <v>-2.4</v>
      </c>
    </row>
    <row r="13" spans="1:8" x14ac:dyDescent="0.25">
      <c r="A13" s="101" t="str">
        <f>'Data Vlaue (Cr)'!C9</f>
        <v>ALKEM</v>
      </c>
      <c r="B13" s="144">
        <f>VLOOKUP($A13,'Data shares'!$C:$FA,7)</f>
        <v>5722.5</v>
      </c>
      <c r="C13" s="144">
        <f>VLOOKUP($A13,'Data shares'!$C:$FA,3)</f>
        <v>5703</v>
      </c>
      <c r="D13" s="144">
        <f>VLOOKUP($A13,'Data shares'!$C:$FA,23)</f>
        <v>-19.5</v>
      </c>
      <c r="E13" s="145">
        <f>VLOOKUP($A13,'Data shares'!$C:$FA,26)*100</f>
        <v>-0.33999999999999997</v>
      </c>
      <c r="F13" s="144">
        <f>VLOOKUP($A13,'Data shares'!$C:$FA,24)</f>
        <v>-4</v>
      </c>
      <c r="G13" s="144">
        <f>VLOOKUP($A13,'Data shares'!$C:$FA,25)</f>
        <v>-15.5</v>
      </c>
    </row>
    <row r="14" spans="1:8" x14ac:dyDescent="0.25">
      <c r="A14" s="101" t="str">
        <f>'Data Vlaue (Cr)'!C10</f>
        <v>AMBER</v>
      </c>
      <c r="B14" s="144">
        <f>VLOOKUP($A14,'Data shares'!$C:$FA,7)</f>
        <v>5614</v>
      </c>
      <c r="C14" s="144">
        <f>VLOOKUP($A14,'Data shares'!$C:$FA,3)</f>
        <v>5650</v>
      </c>
      <c r="D14" s="144">
        <f>VLOOKUP($A14,'Data shares'!$C:$FA,23)</f>
        <v>36</v>
      </c>
      <c r="E14" s="145">
        <f>VLOOKUP($A14,'Data shares'!$C:$FA,26)*100</f>
        <v>0.64</v>
      </c>
      <c r="F14" s="144">
        <f>VLOOKUP($A14,'Data shares'!$C:$FA,24)</f>
        <v>45.5</v>
      </c>
      <c r="G14" s="144">
        <f>VLOOKUP($A14,'Data shares'!$C:$FA,25)</f>
        <v>-9.5</v>
      </c>
    </row>
    <row r="15" spans="1:8" x14ac:dyDescent="0.25">
      <c r="A15" s="101" t="str">
        <f>'Data Vlaue (Cr)'!C11</f>
        <v>AMBUJACEM</v>
      </c>
      <c r="B15" s="144">
        <f>VLOOKUP($A15,'Data shares'!$C:$FA,7)</f>
        <v>533.95000000000005</v>
      </c>
      <c r="C15" s="144">
        <f>VLOOKUP($A15,'Data shares'!$C:$FA,3)</f>
        <v>537.25</v>
      </c>
      <c r="D15" s="144">
        <f>VLOOKUP($A15,'Data shares'!$C:$FA,23)</f>
        <v>3.3</v>
      </c>
      <c r="E15" s="145">
        <f>VLOOKUP($A15,'Data shares'!$C:$FA,26)*100</f>
        <v>0.62</v>
      </c>
      <c r="F15" s="144">
        <f>VLOOKUP($A15,'Data shares'!$C:$FA,24)</f>
        <v>3.9</v>
      </c>
      <c r="G15" s="144">
        <f>VLOOKUP($A15,'Data shares'!$C:$FA,25)</f>
        <v>-0.6</v>
      </c>
    </row>
    <row r="16" spans="1:8" x14ac:dyDescent="0.25">
      <c r="A16" s="101" t="str">
        <f>'Data Vlaue (Cr)'!C12</f>
        <v>ANGELONE</v>
      </c>
      <c r="B16" s="144">
        <f>VLOOKUP($A16,'Data shares'!$C:$FA,7)</f>
        <v>2615.1</v>
      </c>
      <c r="C16" s="144">
        <f>VLOOKUP($A16,'Data shares'!$C:$FA,3)</f>
        <v>2629.1</v>
      </c>
      <c r="D16" s="144">
        <f>VLOOKUP($A16,'Data shares'!$C:$FA,23)</f>
        <v>14</v>
      </c>
      <c r="E16" s="145">
        <f>VLOOKUP($A16,'Data shares'!$C:$FA,26)*100</f>
        <v>0.54</v>
      </c>
      <c r="F16" s="144">
        <f>VLOOKUP($A16,'Data shares'!$C:$FA,24)</f>
        <v>8.3000000000000007</v>
      </c>
      <c r="G16" s="144">
        <f>VLOOKUP($A16,'Data shares'!$C:$FA,25)</f>
        <v>5.7</v>
      </c>
    </row>
    <row r="17" spans="1:7" x14ac:dyDescent="0.25">
      <c r="A17" s="101" t="str">
        <f>'Data Vlaue (Cr)'!C13</f>
        <v>APLAPOLLO</v>
      </c>
      <c r="B17" s="144">
        <f>VLOOKUP($A17,'Data shares'!$C:$FA,7)</f>
        <v>2091</v>
      </c>
      <c r="C17" s="144">
        <f>VLOOKUP($A17,'Data shares'!$C:$FA,3)</f>
        <v>2098.5</v>
      </c>
      <c r="D17" s="144">
        <f>VLOOKUP($A17,'Data shares'!$C:$FA,23)</f>
        <v>7.5</v>
      </c>
      <c r="E17" s="145">
        <f>VLOOKUP($A17,'Data shares'!$C:$FA,26)*100</f>
        <v>0.36</v>
      </c>
      <c r="F17" s="144">
        <f>VLOOKUP($A17,'Data shares'!$C:$FA,24)</f>
        <v>8.6</v>
      </c>
      <c r="G17" s="144">
        <f>VLOOKUP($A17,'Data shares'!$C:$FA,25)</f>
        <v>-1.1000000000000001</v>
      </c>
    </row>
    <row r="18" spans="1:7" x14ac:dyDescent="0.25">
      <c r="A18" s="101" t="str">
        <f>'Data Vlaue (Cr)'!C14</f>
        <v>APOLLOHOSP</v>
      </c>
      <c r="B18" s="144">
        <f>VLOOKUP($A18,'Data shares'!$C:$FA,7)</f>
        <v>6877.5</v>
      </c>
      <c r="C18" s="144">
        <f>VLOOKUP($A18,'Data shares'!$C:$FA,3)</f>
        <v>6892</v>
      </c>
      <c r="D18" s="144">
        <f>VLOOKUP($A18,'Data shares'!$C:$FA,23)</f>
        <v>14.5</v>
      </c>
      <c r="E18" s="145">
        <f>VLOOKUP($A18,'Data shares'!$C:$FA,26)*100</f>
        <v>0.21</v>
      </c>
      <c r="F18" s="144">
        <f>VLOOKUP($A18,'Data shares'!$C:$FA,24)</f>
        <v>38</v>
      </c>
      <c r="G18" s="144">
        <f>VLOOKUP($A18,'Data shares'!$C:$FA,25)</f>
        <v>-23.5</v>
      </c>
    </row>
    <row r="19" spans="1:7" x14ac:dyDescent="0.25">
      <c r="A19" s="101" t="str">
        <f>'Data Vlaue (Cr)'!C15</f>
        <v>ASHOKLEY</v>
      </c>
      <c r="B19" s="144">
        <f>VLOOKUP($A19,'Data shares'!$C:$FA,7)</f>
        <v>195.33</v>
      </c>
      <c r="C19" s="144">
        <f>VLOOKUP($A19,'Data shares'!$C:$FA,3)</f>
        <v>193.64</v>
      </c>
      <c r="D19" s="144">
        <f>VLOOKUP($A19,'Data shares'!$C:$FA,23)</f>
        <v>-1.69</v>
      </c>
      <c r="E19" s="145">
        <f>VLOOKUP($A19,'Data shares'!$C:$FA,26)*100</f>
        <v>-0.86999999999999988</v>
      </c>
      <c r="F19" s="144">
        <f>VLOOKUP($A19,'Data shares'!$C:$FA,24)</f>
        <v>-0.13</v>
      </c>
      <c r="G19" s="144">
        <f>VLOOKUP($A19,'Data shares'!$C:$FA,25)</f>
        <v>-1.56</v>
      </c>
    </row>
    <row r="20" spans="1:7" x14ac:dyDescent="0.25">
      <c r="A20" s="101" t="str">
        <f>'Data Vlaue (Cr)'!C16</f>
        <v>ASIANPAINT</v>
      </c>
      <c r="B20" s="144">
        <f>VLOOKUP($A20,'Data shares'!$C:$FA,7)</f>
        <v>2511.8000000000002</v>
      </c>
      <c r="C20" s="144">
        <f>VLOOKUP($A20,'Data shares'!$C:$FA,3)</f>
        <v>2513.9</v>
      </c>
      <c r="D20" s="144">
        <f>VLOOKUP($A20,'Data shares'!$C:$FA,23)</f>
        <v>2.1</v>
      </c>
      <c r="E20" s="145">
        <f>VLOOKUP($A20,'Data shares'!$C:$FA,26)*100</f>
        <v>0.08</v>
      </c>
      <c r="F20" s="144">
        <f>VLOOKUP($A20,'Data shares'!$C:$FA,24)</f>
        <v>7.2</v>
      </c>
      <c r="G20" s="144">
        <f>VLOOKUP($A20,'Data shares'!$C:$FA,25)</f>
        <v>-5.0999999999999996</v>
      </c>
    </row>
    <row r="21" spans="1:7" x14ac:dyDescent="0.25">
      <c r="A21" s="101" t="str">
        <f>'Data Vlaue (Cr)'!C17</f>
        <v>ASTRAL</v>
      </c>
      <c r="B21" s="144">
        <f>VLOOKUP($A21,'Data shares'!$C:$FA,7)</f>
        <v>1452.9</v>
      </c>
      <c r="C21" s="144">
        <f>VLOOKUP($A21,'Data shares'!$C:$FA,3)</f>
        <v>1456.2</v>
      </c>
      <c r="D21" s="144">
        <f>VLOOKUP($A21,'Data shares'!$C:$FA,23)</f>
        <v>3.3</v>
      </c>
      <c r="E21" s="145">
        <f>VLOOKUP($A21,'Data shares'!$C:$FA,26)*100</f>
        <v>0.22999999999999998</v>
      </c>
      <c r="F21" s="144">
        <f>VLOOKUP($A21,'Data shares'!$C:$FA,24)</f>
        <v>-2.8</v>
      </c>
      <c r="G21" s="144">
        <f>VLOOKUP($A21,'Data shares'!$C:$FA,25)</f>
        <v>6.1</v>
      </c>
    </row>
    <row r="22" spans="1:7" x14ac:dyDescent="0.25">
      <c r="A22" s="101" t="str">
        <f>'Data Vlaue (Cr)'!C18</f>
        <v>AUBANK</v>
      </c>
      <c r="B22" s="144">
        <f>VLOOKUP($A22,'Data shares'!$C:$FA,7)</f>
        <v>962.35</v>
      </c>
      <c r="C22" s="144">
        <f>VLOOKUP($A22,'Data shares'!$C:$FA,3)</f>
        <v>967.6</v>
      </c>
      <c r="D22" s="144">
        <f>VLOOKUP($A22,'Data shares'!$C:$FA,23)</f>
        <v>5.25</v>
      </c>
      <c r="E22" s="145">
        <f>VLOOKUP($A22,'Data shares'!$C:$FA,26)*100</f>
        <v>0.54999999999999993</v>
      </c>
      <c r="F22" s="144">
        <f>VLOOKUP($A22,'Data shares'!$C:$FA,24)</f>
        <v>4.75</v>
      </c>
      <c r="G22" s="144">
        <f>VLOOKUP($A22,'Data shares'!$C:$FA,25)</f>
        <v>0.5</v>
      </c>
    </row>
    <row r="23" spans="1:7" x14ac:dyDescent="0.25">
      <c r="A23" s="101" t="str">
        <f>'Data Vlaue (Cr)'!C19</f>
        <v>AUROPHARMA</v>
      </c>
      <c r="B23" s="144">
        <f>VLOOKUP($A23,'Data shares'!$C:$FA,7)</f>
        <v>1139.9000000000001</v>
      </c>
      <c r="C23" s="144">
        <f>VLOOKUP($A23,'Data shares'!$C:$FA,3)</f>
        <v>1142</v>
      </c>
      <c r="D23" s="144">
        <f>VLOOKUP($A23,'Data shares'!$C:$FA,23)</f>
        <v>2.1</v>
      </c>
      <c r="E23" s="145">
        <f>VLOOKUP($A23,'Data shares'!$C:$FA,26)*100</f>
        <v>0.18</v>
      </c>
      <c r="F23" s="144">
        <f>VLOOKUP($A23,'Data shares'!$C:$FA,24)</f>
        <v>6.7</v>
      </c>
      <c r="G23" s="144">
        <f>VLOOKUP($A23,'Data shares'!$C:$FA,25)</f>
        <v>-4.5999999999999996</v>
      </c>
    </row>
    <row r="24" spans="1:7" x14ac:dyDescent="0.25">
      <c r="A24" s="101" t="str">
        <f>'Data Vlaue (Cr)'!C20</f>
        <v>AXISBANK</v>
      </c>
      <c r="B24" s="144">
        <f>VLOOKUP($A24,'Data shares'!$C:$FA,7)</f>
        <v>1319.8</v>
      </c>
      <c r="C24" s="144">
        <f>VLOOKUP($A24,'Data shares'!$C:$FA,3)</f>
        <v>1323.6</v>
      </c>
      <c r="D24" s="144">
        <f>VLOOKUP($A24,'Data shares'!$C:$FA,23)</f>
        <v>3.8</v>
      </c>
      <c r="E24" s="145">
        <f>VLOOKUP($A24,'Data shares'!$C:$FA,26)*100</f>
        <v>0.28999999999999998</v>
      </c>
      <c r="F24" s="144">
        <f>VLOOKUP($A24,'Data shares'!$C:$FA,24)</f>
        <v>7.2</v>
      </c>
      <c r="G24" s="144">
        <f>VLOOKUP($A24,'Data shares'!$C:$FA,25)</f>
        <v>-3.4</v>
      </c>
    </row>
    <row r="25" spans="1:7" x14ac:dyDescent="0.25">
      <c r="A25" s="101" t="str">
        <f>'Data Vlaue (Cr)'!C21</f>
        <v>BAJAJ-AUTO</v>
      </c>
      <c r="B25" s="144">
        <f>VLOOKUP($A25,'Data shares'!$C:$FA,7)</f>
        <v>9433.5</v>
      </c>
      <c r="C25" s="144">
        <f>VLOOKUP($A25,'Data shares'!$C:$FA,3)</f>
        <v>9459</v>
      </c>
      <c r="D25" s="144">
        <f>VLOOKUP($A25,'Data shares'!$C:$FA,23)</f>
        <v>25.5</v>
      </c>
      <c r="E25" s="145">
        <f>VLOOKUP($A25,'Data shares'!$C:$FA,26)*100</f>
        <v>0.27</v>
      </c>
      <c r="F25" s="144">
        <f>VLOOKUP($A25,'Data shares'!$C:$FA,24)</f>
        <v>39.5</v>
      </c>
      <c r="G25" s="144">
        <f>VLOOKUP($A25,'Data shares'!$C:$FA,25)</f>
        <v>-14</v>
      </c>
    </row>
    <row r="26" spans="1:7" x14ac:dyDescent="0.25">
      <c r="A26" s="101" t="str">
        <f>'Data Vlaue (Cr)'!C22</f>
        <v>BAJAJFINSV</v>
      </c>
      <c r="B26" s="144">
        <f>VLOOKUP($A26,'Data shares'!$C:$FA,7)</f>
        <v>1940.3</v>
      </c>
      <c r="C26" s="144">
        <f>VLOOKUP($A26,'Data shares'!$C:$FA,3)</f>
        <v>1951.2</v>
      </c>
      <c r="D26" s="144">
        <f>VLOOKUP($A26,'Data shares'!$C:$FA,23)</f>
        <v>10.9</v>
      </c>
      <c r="E26" s="145">
        <f>VLOOKUP($A26,'Data shares'!$C:$FA,26)*100</f>
        <v>0.55999999999999994</v>
      </c>
      <c r="F26" s="144">
        <f>VLOOKUP($A26,'Data shares'!$C:$FA,24)</f>
        <v>10</v>
      </c>
      <c r="G26" s="144">
        <f>VLOOKUP($A26,'Data shares'!$C:$FA,25)</f>
        <v>0.9</v>
      </c>
    </row>
    <row r="27" spans="1:7" x14ac:dyDescent="0.25">
      <c r="A27" s="101" t="str">
        <f>'Data Vlaue (Cr)'!C23</f>
        <v>BAJAJHLDNG</v>
      </c>
      <c r="B27" s="144">
        <f>VLOOKUP($A27,'Data shares'!$C:$FA,7)</f>
        <v>10704</v>
      </c>
      <c r="C27" s="144">
        <f>VLOOKUP($A27,'Data shares'!$C:$FA,3)</f>
        <v>10732</v>
      </c>
      <c r="D27" s="144">
        <f>VLOOKUP($A27,'Data shares'!$C:$FA,23)</f>
        <v>28</v>
      </c>
      <c r="E27" s="145">
        <f>VLOOKUP($A27,'Data shares'!$C:$FA,26)*100</f>
        <v>0.26</v>
      </c>
      <c r="F27" s="144">
        <f>VLOOKUP($A27,'Data shares'!$C:$FA,24)</f>
        <v>69</v>
      </c>
      <c r="G27" s="144">
        <f>VLOOKUP($A27,'Data shares'!$C:$FA,25)</f>
        <v>-41</v>
      </c>
    </row>
    <row r="28" spans="1:7" x14ac:dyDescent="0.25">
      <c r="A28" s="101" t="str">
        <f>'Data Vlaue (Cr)'!C24</f>
        <v>BAJFINANCE</v>
      </c>
      <c r="B28" s="144">
        <f>VLOOKUP($A28,'Data shares'!$C:$FA,7)</f>
        <v>935.15</v>
      </c>
      <c r="C28" s="144">
        <f>VLOOKUP($A28,'Data shares'!$C:$FA,3)</f>
        <v>938.65</v>
      </c>
      <c r="D28" s="144">
        <f>VLOOKUP($A28,'Data shares'!$C:$FA,23)</f>
        <v>3.5</v>
      </c>
      <c r="E28" s="145">
        <f>VLOOKUP($A28,'Data shares'!$C:$FA,26)*100</f>
        <v>0.37</v>
      </c>
      <c r="F28" s="144">
        <f>VLOOKUP($A28,'Data shares'!$C:$FA,24)</f>
        <v>6.55</v>
      </c>
      <c r="G28" s="144">
        <f>VLOOKUP($A28,'Data shares'!$C:$FA,25)</f>
        <v>-3.05</v>
      </c>
    </row>
    <row r="29" spans="1:7" x14ac:dyDescent="0.25">
      <c r="A29" s="101" t="str">
        <f>'Data Vlaue (Cr)'!C25</f>
        <v>BANDHANBNK</v>
      </c>
      <c r="B29" s="144">
        <f>VLOOKUP($A29,'Data shares'!$C:$FA,7)</f>
        <v>153.35</v>
      </c>
      <c r="C29" s="144">
        <f>VLOOKUP($A29,'Data shares'!$C:$FA,3)</f>
        <v>154.37</v>
      </c>
      <c r="D29" s="144">
        <f>VLOOKUP($A29,'Data shares'!$C:$FA,23)</f>
        <v>1.02</v>
      </c>
      <c r="E29" s="145">
        <f>VLOOKUP($A29,'Data shares'!$C:$FA,26)*100</f>
        <v>0.67</v>
      </c>
      <c r="F29" s="144">
        <f>VLOOKUP($A29,'Data shares'!$C:$FA,24)</f>
        <v>0.79</v>
      </c>
      <c r="G29" s="144">
        <f>VLOOKUP($A29,'Data shares'!$C:$FA,25)</f>
        <v>0.23</v>
      </c>
    </row>
    <row r="30" spans="1:7" x14ac:dyDescent="0.25">
      <c r="A30" s="101" t="str">
        <f>'Data Vlaue (Cr)'!C26</f>
        <v>BANKBARODA</v>
      </c>
      <c r="B30" s="144">
        <f>VLOOKUP($A30,'Data shares'!$C:$FA,7)</f>
        <v>306.2</v>
      </c>
      <c r="C30" s="144">
        <f>VLOOKUP($A30,'Data shares'!$C:$FA,3)</f>
        <v>308.2</v>
      </c>
      <c r="D30" s="144">
        <f>VLOOKUP($A30,'Data shares'!$C:$FA,23)</f>
        <v>2</v>
      </c>
      <c r="E30" s="145">
        <f>VLOOKUP($A30,'Data shares'!$C:$FA,26)*100</f>
        <v>0.65</v>
      </c>
      <c r="F30" s="144">
        <f>VLOOKUP($A30,'Data shares'!$C:$FA,24)</f>
        <v>2.1</v>
      </c>
      <c r="G30" s="144">
        <f>VLOOKUP($A30,'Data shares'!$C:$FA,25)</f>
        <v>-0.1</v>
      </c>
    </row>
    <row r="31" spans="1:7" x14ac:dyDescent="0.25">
      <c r="A31" s="101" t="str">
        <f>'Data Vlaue (Cr)'!C27</f>
        <v>BANKINDIA</v>
      </c>
      <c r="B31" s="144">
        <f>VLOOKUP($A31,'Data shares'!$C:$FA,7)</f>
        <v>167.34</v>
      </c>
      <c r="C31" s="144">
        <f>VLOOKUP($A31,'Data shares'!$C:$FA,3)</f>
        <v>167.87</v>
      </c>
      <c r="D31" s="144">
        <f>VLOOKUP($A31,'Data shares'!$C:$FA,23)</f>
        <v>0.53</v>
      </c>
      <c r="E31" s="145">
        <f>VLOOKUP($A31,'Data shares'!$C:$FA,26)*100</f>
        <v>0.32</v>
      </c>
      <c r="F31" s="144">
        <f>VLOOKUP($A31,'Data shares'!$C:$FA,24)</f>
        <v>0.96</v>
      </c>
      <c r="G31" s="144">
        <f>VLOOKUP($A31,'Data shares'!$C:$FA,25)</f>
        <v>-0.43</v>
      </c>
    </row>
    <row r="32" spans="1:7" x14ac:dyDescent="0.25">
      <c r="A32" s="101" t="str">
        <f>'Data Vlaue (Cr)'!C28</f>
        <v>BANKNIFTY</v>
      </c>
      <c r="B32" s="144">
        <f>VLOOKUP($A32,'Data shares'!$C:$FA,7)</f>
        <v>59598.8</v>
      </c>
      <c r="C32" s="144">
        <f>VLOOKUP($A32,'Data shares'!$C:$FA,3)</f>
        <v>59866.400000000001</v>
      </c>
      <c r="D32" s="144">
        <f>VLOOKUP($A32,'Data shares'!$C:$FA,23)</f>
        <v>267.60000000000002</v>
      </c>
      <c r="E32" s="145">
        <f>VLOOKUP($A32,'Data shares'!$C:$FA,26)*100</f>
        <v>0.44999999999999996</v>
      </c>
      <c r="F32" s="144">
        <f>VLOOKUP($A32,'Data shares'!$C:$FA,24)</f>
        <v>424.15</v>
      </c>
      <c r="G32" s="144">
        <f>VLOOKUP($A32,'Data shares'!$C:$FA,25)</f>
        <v>-156.55000000000001</v>
      </c>
    </row>
    <row r="33" spans="1:7" x14ac:dyDescent="0.25">
      <c r="A33" s="101" t="str">
        <f>'Data Vlaue (Cr)'!C29</f>
        <v>BDL</v>
      </c>
      <c r="B33" s="144">
        <f>VLOOKUP($A33,'Data shares'!$C:$FA,7)</f>
        <v>1570</v>
      </c>
      <c r="C33" s="144">
        <f>VLOOKUP($A33,'Data shares'!$C:$FA,3)</f>
        <v>1576.6</v>
      </c>
      <c r="D33" s="144">
        <f>VLOOKUP($A33,'Data shares'!$C:$FA,23)</f>
        <v>6.6</v>
      </c>
      <c r="E33" s="145">
        <f>VLOOKUP($A33,'Data shares'!$C:$FA,26)*100</f>
        <v>0.42</v>
      </c>
      <c r="F33" s="144">
        <f>VLOOKUP($A33,'Data shares'!$C:$FA,24)</f>
        <v>4.5999999999999996</v>
      </c>
      <c r="G33" s="144">
        <f>VLOOKUP($A33,'Data shares'!$C:$FA,25)</f>
        <v>2</v>
      </c>
    </row>
    <row r="34" spans="1:7" x14ac:dyDescent="0.25">
      <c r="A34" s="101" t="str">
        <f>'Data Vlaue (Cr)'!C30</f>
        <v>BEL</v>
      </c>
      <c r="B34" s="144">
        <f>VLOOKUP($A34,'Data shares'!$C:$FA,7)</f>
        <v>453</v>
      </c>
      <c r="C34" s="144">
        <f>VLOOKUP($A34,'Data shares'!$C:$FA,3)</f>
        <v>455.95</v>
      </c>
      <c r="D34" s="144">
        <f>VLOOKUP($A34,'Data shares'!$C:$FA,23)</f>
        <v>2.95</v>
      </c>
      <c r="E34" s="145">
        <f>VLOOKUP($A34,'Data shares'!$C:$FA,26)*100</f>
        <v>0.65</v>
      </c>
      <c r="F34" s="144">
        <f>VLOOKUP($A34,'Data shares'!$C:$FA,24)</f>
        <v>1.45</v>
      </c>
      <c r="G34" s="144">
        <f>VLOOKUP($A34,'Data shares'!$C:$FA,25)</f>
        <v>1.5</v>
      </c>
    </row>
    <row r="35" spans="1:7" x14ac:dyDescent="0.25">
      <c r="A35" s="101" t="str">
        <f>'Data Vlaue (Cr)'!C31</f>
        <v>BHARATFORG</v>
      </c>
      <c r="B35" s="144">
        <f>VLOOKUP($A35,'Data shares'!$C:$FA,7)</f>
        <v>1459.1</v>
      </c>
      <c r="C35" s="144">
        <f>VLOOKUP($A35,'Data shares'!$C:$FA,3)</f>
        <v>1461.1</v>
      </c>
      <c r="D35" s="144">
        <f>VLOOKUP($A35,'Data shares'!$C:$FA,23)</f>
        <v>2</v>
      </c>
      <c r="E35" s="145">
        <f>VLOOKUP($A35,'Data shares'!$C:$FA,26)*100</f>
        <v>0.13999999999999999</v>
      </c>
      <c r="F35" s="144">
        <f>VLOOKUP($A35,'Data shares'!$C:$FA,24)</f>
        <v>6</v>
      </c>
      <c r="G35" s="144">
        <f>VLOOKUP($A35,'Data shares'!$C:$FA,25)</f>
        <v>-4</v>
      </c>
    </row>
    <row r="36" spans="1:7" x14ac:dyDescent="0.25">
      <c r="A36" s="101" t="str">
        <f>'Data Vlaue (Cr)'!C32</f>
        <v>BHARTIARTL</v>
      </c>
      <c r="B36" s="144">
        <f>VLOOKUP($A36,'Data shares'!$C:$FA,7)</f>
        <v>1957.7</v>
      </c>
      <c r="C36" s="144">
        <f>VLOOKUP($A36,'Data shares'!$C:$FA,3)</f>
        <v>1968.8</v>
      </c>
      <c r="D36" s="144">
        <f>VLOOKUP($A36,'Data shares'!$C:$FA,23)</f>
        <v>11.1</v>
      </c>
      <c r="E36" s="145">
        <f>VLOOKUP($A36,'Data shares'!$C:$FA,26)*100</f>
        <v>0.57000000000000006</v>
      </c>
      <c r="F36" s="144">
        <f>VLOOKUP($A36,'Data shares'!$C:$FA,24)</f>
        <v>13.9</v>
      </c>
      <c r="G36" s="144">
        <f>VLOOKUP($A36,'Data shares'!$C:$FA,25)</f>
        <v>-2.8</v>
      </c>
    </row>
    <row r="37" spans="1:7" x14ac:dyDescent="0.25">
      <c r="A37" s="101" t="str">
        <f>'Data Vlaue (Cr)'!C33</f>
        <v>BHEL</v>
      </c>
      <c r="B37" s="144">
        <f>VLOOKUP($A37,'Data shares'!$C:$FA,7)</f>
        <v>259.64999999999998</v>
      </c>
      <c r="C37" s="144">
        <f>VLOOKUP($A37,'Data shares'!$C:$FA,3)</f>
        <v>260.8</v>
      </c>
      <c r="D37" s="144">
        <f>VLOOKUP($A37,'Data shares'!$C:$FA,23)</f>
        <v>1.1499999999999999</v>
      </c>
      <c r="E37" s="145">
        <f>VLOOKUP($A37,'Data shares'!$C:$FA,26)*100</f>
        <v>0.44</v>
      </c>
      <c r="F37" s="144">
        <f>VLOOKUP($A37,'Data shares'!$C:$FA,24)</f>
        <v>1.1499999999999999</v>
      </c>
      <c r="G37" s="144">
        <f>VLOOKUP($A37,'Data shares'!$C:$FA,25)</f>
        <v>0</v>
      </c>
    </row>
    <row r="38" spans="1:7" x14ac:dyDescent="0.25">
      <c r="A38" s="101" t="str">
        <f>'Data Vlaue (Cr)'!C34</f>
        <v>BIOCON</v>
      </c>
      <c r="B38" s="144">
        <f>VLOOKUP($A38,'Data shares'!$C:$FA,7)</f>
        <v>370.5</v>
      </c>
      <c r="C38" s="144">
        <f>VLOOKUP($A38,'Data shares'!$C:$FA,3)</f>
        <v>371.85</v>
      </c>
      <c r="D38" s="144">
        <f>VLOOKUP($A38,'Data shares'!$C:$FA,23)</f>
        <v>1.35</v>
      </c>
      <c r="E38" s="145">
        <f>VLOOKUP($A38,'Data shares'!$C:$FA,26)*100</f>
        <v>0.36</v>
      </c>
      <c r="F38" s="144">
        <f>VLOOKUP($A38,'Data shares'!$C:$FA,24)</f>
        <v>1.75</v>
      </c>
      <c r="G38" s="144">
        <f>VLOOKUP($A38,'Data shares'!$C:$FA,25)</f>
        <v>-0.4</v>
      </c>
    </row>
    <row r="39" spans="1:7" x14ac:dyDescent="0.25">
      <c r="A39" s="101" t="str">
        <f>'Data Vlaue (Cr)'!C35</f>
        <v>BLUESTARCO</v>
      </c>
      <c r="B39" s="144">
        <f>VLOOKUP($A39,'Data shares'!$C:$FA,7)</f>
        <v>1701.5</v>
      </c>
      <c r="C39" s="144">
        <f>VLOOKUP($A39,'Data shares'!$C:$FA,3)</f>
        <v>1711.9</v>
      </c>
      <c r="D39" s="144">
        <f>VLOOKUP($A39,'Data shares'!$C:$FA,23)</f>
        <v>10.4</v>
      </c>
      <c r="E39" s="145">
        <f>VLOOKUP($A39,'Data shares'!$C:$FA,26)*100</f>
        <v>0.61</v>
      </c>
      <c r="F39" s="144">
        <f>VLOOKUP($A39,'Data shares'!$C:$FA,24)</f>
        <v>7.5</v>
      </c>
      <c r="G39" s="144">
        <f>VLOOKUP($A39,'Data shares'!$C:$FA,25)</f>
        <v>2.9</v>
      </c>
    </row>
    <row r="40" spans="1:7" x14ac:dyDescent="0.25">
      <c r="A40" s="101" t="str">
        <f>'Data Vlaue (Cr)'!C36</f>
        <v>BOSCHLTD</v>
      </c>
      <c r="B40" s="144">
        <f>VLOOKUP($A40,'Data shares'!$C:$FA,7)</f>
        <v>36185</v>
      </c>
      <c r="C40" s="144">
        <f>VLOOKUP($A40,'Data shares'!$C:$FA,3)</f>
        <v>36100</v>
      </c>
      <c r="D40" s="144">
        <f>VLOOKUP($A40,'Data shares'!$C:$FA,23)</f>
        <v>-85</v>
      </c>
      <c r="E40" s="145">
        <f>VLOOKUP($A40,'Data shares'!$C:$FA,26)*100</f>
        <v>-0.22999999999999998</v>
      </c>
      <c r="F40" s="144">
        <f>VLOOKUP($A40,'Data shares'!$C:$FA,24)</f>
        <v>90</v>
      </c>
      <c r="G40" s="144">
        <f>VLOOKUP($A40,'Data shares'!$C:$FA,25)</f>
        <v>-175</v>
      </c>
    </row>
    <row r="41" spans="1:7" x14ac:dyDescent="0.25">
      <c r="A41" s="101" t="str">
        <f>'Data Vlaue (Cr)'!C37</f>
        <v>BPCL</v>
      </c>
      <c r="B41" s="144">
        <f>VLOOKUP($A41,'Data shares'!$C:$FA,7)</f>
        <v>362.35</v>
      </c>
      <c r="C41" s="144">
        <f>VLOOKUP($A41,'Data shares'!$C:$FA,3)</f>
        <v>364.5</v>
      </c>
      <c r="D41" s="144">
        <f>VLOOKUP($A41,'Data shares'!$C:$FA,23)</f>
        <v>2.15</v>
      </c>
      <c r="E41" s="145">
        <f>VLOOKUP($A41,'Data shares'!$C:$FA,26)*100</f>
        <v>0.59</v>
      </c>
      <c r="F41" s="144">
        <f>VLOOKUP($A41,'Data shares'!$C:$FA,24)</f>
        <v>1.65</v>
      </c>
      <c r="G41" s="144">
        <f>VLOOKUP($A41,'Data shares'!$C:$FA,25)</f>
        <v>0.5</v>
      </c>
    </row>
    <row r="42" spans="1:7" x14ac:dyDescent="0.25">
      <c r="A42" s="101" t="str">
        <f>'Data Vlaue (Cr)'!C38</f>
        <v>BRITANNIA</v>
      </c>
      <c r="B42" s="144">
        <f>VLOOKUP($A42,'Data shares'!$C:$FA,7)</f>
        <v>5748.5</v>
      </c>
      <c r="C42" s="144">
        <f>VLOOKUP($A42,'Data shares'!$C:$FA,3)</f>
        <v>5768.5</v>
      </c>
      <c r="D42" s="144">
        <f>VLOOKUP($A42,'Data shares'!$C:$FA,23)</f>
        <v>20</v>
      </c>
      <c r="E42" s="145">
        <f>VLOOKUP($A42,'Data shares'!$C:$FA,26)*100</f>
        <v>0.35000000000000003</v>
      </c>
      <c r="F42" s="144">
        <f>VLOOKUP($A42,'Data shares'!$C:$FA,24)</f>
        <v>41</v>
      </c>
      <c r="G42" s="144">
        <f>VLOOKUP($A42,'Data shares'!$C:$FA,25)</f>
        <v>-21</v>
      </c>
    </row>
    <row r="43" spans="1:7" x14ac:dyDescent="0.25">
      <c r="A43" s="101" t="str">
        <f>'Data Vlaue (Cr)'!C39</f>
        <v>BSE</v>
      </c>
      <c r="B43" s="144">
        <f>VLOOKUP($A43,'Data shares'!$C:$FA,7)</f>
        <v>2821.5</v>
      </c>
      <c r="C43" s="144">
        <f>VLOOKUP($A43,'Data shares'!$C:$FA,3)</f>
        <v>2839.5</v>
      </c>
      <c r="D43" s="144">
        <f>VLOOKUP($A43,'Data shares'!$C:$FA,23)</f>
        <v>18</v>
      </c>
      <c r="E43" s="145">
        <f>VLOOKUP($A43,'Data shares'!$C:$FA,26)*100</f>
        <v>0.64</v>
      </c>
      <c r="F43" s="144">
        <f>VLOOKUP($A43,'Data shares'!$C:$FA,24)</f>
        <v>19.399999999999999</v>
      </c>
      <c r="G43" s="144">
        <f>VLOOKUP($A43,'Data shares'!$C:$FA,25)</f>
        <v>-1.4</v>
      </c>
    </row>
    <row r="44" spans="1:7" x14ac:dyDescent="0.25">
      <c r="A44" s="101" t="str">
        <f>'Data Vlaue (Cr)'!C40</f>
        <v>CAMS</v>
      </c>
      <c r="B44" s="144">
        <f>VLOOKUP($A44,'Data shares'!$C:$FA,7)</f>
        <v>709.4</v>
      </c>
      <c r="C44" s="144">
        <f>VLOOKUP($A44,'Data shares'!$C:$FA,3)</f>
        <v>710.65</v>
      </c>
      <c r="D44" s="144">
        <f>VLOOKUP($A44,'Data shares'!$C:$FA,23)</f>
        <v>1.25</v>
      </c>
      <c r="E44" s="145">
        <f>VLOOKUP($A44,'Data shares'!$C:$FA,26)*100</f>
        <v>0.18</v>
      </c>
      <c r="F44" s="144">
        <f>VLOOKUP($A44,'Data shares'!$C:$FA,24)</f>
        <v>0.65</v>
      </c>
      <c r="G44" s="144">
        <f>VLOOKUP($A44,'Data shares'!$C:$FA,25)</f>
        <v>0.6</v>
      </c>
    </row>
    <row r="45" spans="1:7" x14ac:dyDescent="0.25">
      <c r="A45" s="101" t="str">
        <f>'Data Vlaue (Cr)'!C41</f>
        <v>CANBK</v>
      </c>
      <c r="B45" s="144">
        <f>VLOOKUP($A45,'Data shares'!$C:$FA,7)</f>
        <v>157.74</v>
      </c>
      <c r="C45" s="144">
        <f>VLOOKUP($A45,'Data shares'!$C:$FA,3)</f>
        <v>158.41999999999999</v>
      </c>
      <c r="D45" s="144">
        <f>VLOOKUP($A45,'Data shares'!$C:$FA,23)</f>
        <v>0.68</v>
      </c>
      <c r="E45" s="145">
        <f>VLOOKUP($A45,'Data shares'!$C:$FA,26)*100</f>
        <v>0.43</v>
      </c>
      <c r="F45" s="144">
        <f>VLOOKUP($A45,'Data shares'!$C:$FA,24)</f>
        <v>0.56999999999999995</v>
      </c>
      <c r="G45" s="144">
        <f>VLOOKUP($A45,'Data shares'!$C:$FA,25)</f>
        <v>0.11</v>
      </c>
    </row>
    <row r="46" spans="1:7" x14ac:dyDescent="0.25">
      <c r="A46" s="101" t="str">
        <f>'Data Vlaue (Cr)'!C42</f>
        <v>CDSL</v>
      </c>
      <c r="B46" s="144">
        <f>VLOOKUP($A46,'Data shares'!$C:$FA,7)</f>
        <v>1356.9</v>
      </c>
      <c r="C46" s="144">
        <f>VLOOKUP($A46,'Data shares'!$C:$FA,3)</f>
        <v>1365.5</v>
      </c>
      <c r="D46" s="144">
        <f>VLOOKUP($A46,'Data shares'!$C:$FA,23)</f>
        <v>8.6</v>
      </c>
      <c r="E46" s="145">
        <f>VLOOKUP($A46,'Data shares'!$C:$FA,26)*100</f>
        <v>0.63</v>
      </c>
      <c r="F46" s="144">
        <f>VLOOKUP($A46,'Data shares'!$C:$FA,24)</f>
        <v>6.7</v>
      </c>
      <c r="G46" s="144">
        <f>VLOOKUP($A46,'Data shares'!$C:$FA,25)</f>
        <v>1.9</v>
      </c>
    </row>
    <row r="47" spans="1:7" x14ac:dyDescent="0.25">
      <c r="A47" s="101" t="str">
        <f>'Data Vlaue (Cr)'!C43</f>
        <v>CGPOWER</v>
      </c>
      <c r="B47" s="144">
        <f>VLOOKUP($A47,'Data shares'!$C:$FA,7)</f>
        <v>581.95000000000005</v>
      </c>
      <c r="C47" s="144">
        <f>VLOOKUP($A47,'Data shares'!$C:$FA,3)</f>
        <v>583.29999999999995</v>
      </c>
      <c r="D47" s="144">
        <f>VLOOKUP($A47,'Data shares'!$C:$FA,23)</f>
        <v>1.35</v>
      </c>
      <c r="E47" s="145">
        <f>VLOOKUP($A47,'Data shares'!$C:$FA,26)*100</f>
        <v>0.22999999999999998</v>
      </c>
      <c r="F47" s="144">
        <f>VLOOKUP($A47,'Data shares'!$C:$FA,24)</f>
        <v>2.7</v>
      </c>
      <c r="G47" s="144">
        <f>VLOOKUP($A47,'Data shares'!$C:$FA,25)</f>
        <v>-1.35</v>
      </c>
    </row>
    <row r="48" spans="1:7" x14ac:dyDescent="0.25">
      <c r="A48" s="101" t="str">
        <f>'Data Vlaue (Cr)'!C44</f>
        <v>CHOLAFIN</v>
      </c>
      <c r="B48" s="144">
        <f>VLOOKUP($A48,'Data shares'!$C:$FA,7)</f>
        <v>1636.8</v>
      </c>
      <c r="C48" s="144">
        <f>VLOOKUP($A48,'Data shares'!$C:$FA,3)</f>
        <v>1646.4</v>
      </c>
      <c r="D48" s="144">
        <f>VLOOKUP($A48,'Data shares'!$C:$FA,23)</f>
        <v>9.6</v>
      </c>
      <c r="E48" s="145">
        <f>VLOOKUP($A48,'Data shares'!$C:$FA,26)*100</f>
        <v>0.59</v>
      </c>
      <c r="F48" s="144">
        <f>VLOOKUP($A48,'Data shares'!$C:$FA,24)</f>
        <v>9.6999999999999993</v>
      </c>
      <c r="G48" s="144">
        <f>VLOOKUP($A48,'Data shares'!$C:$FA,25)</f>
        <v>-0.1</v>
      </c>
    </row>
    <row r="49" spans="1:7" x14ac:dyDescent="0.25">
      <c r="A49" s="101" t="str">
        <f>'Data Vlaue (Cr)'!C45</f>
        <v>CIPLA</v>
      </c>
      <c r="B49" s="144">
        <f>VLOOKUP($A49,'Data shares'!$C:$FA,7)</f>
        <v>1328.4</v>
      </c>
      <c r="C49" s="144">
        <f>VLOOKUP($A49,'Data shares'!$C:$FA,3)</f>
        <v>1334.3</v>
      </c>
      <c r="D49" s="144">
        <f>VLOOKUP($A49,'Data shares'!$C:$FA,23)</f>
        <v>5.9</v>
      </c>
      <c r="E49" s="145">
        <f>VLOOKUP($A49,'Data shares'!$C:$FA,26)*100</f>
        <v>0.44</v>
      </c>
      <c r="F49" s="144">
        <f>VLOOKUP($A49,'Data shares'!$C:$FA,24)</f>
        <v>7.6</v>
      </c>
      <c r="G49" s="144">
        <f>VLOOKUP($A49,'Data shares'!$C:$FA,25)</f>
        <v>-1.7</v>
      </c>
    </row>
    <row r="50" spans="1:7" x14ac:dyDescent="0.25">
      <c r="A50" s="101" t="str">
        <f>'Data Vlaue (Cr)'!C46</f>
        <v>COALINDIA</v>
      </c>
      <c r="B50" s="144">
        <f>VLOOKUP($A50,'Data shares'!$C:$FA,7)</f>
        <v>444.05</v>
      </c>
      <c r="C50" s="144">
        <f>VLOOKUP($A50,'Data shares'!$C:$FA,3)</f>
        <v>440.55</v>
      </c>
      <c r="D50" s="144">
        <f>VLOOKUP($A50,'Data shares'!$C:$FA,23)</f>
        <v>-3.5</v>
      </c>
      <c r="E50" s="145">
        <f>VLOOKUP($A50,'Data shares'!$C:$FA,26)*100</f>
        <v>-0.79</v>
      </c>
      <c r="F50" s="144">
        <f>VLOOKUP($A50,'Data shares'!$C:$FA,24)</f>
        <v>-2.5</v>
      </c>
      <c r="G50" s="144">
        <f>VLOOKUP($A50,'Data shares'!$C:$FA,25)</f>
        <v>-1</v>
      </c>
    </row>
    <row r="51" spans="1:7" x14ac:dyDescent="0.25">
      <c r="A51" s="101" t="str">
        <f>'Data Vlaue (Cr)'!C47</f>
        <v>COFORGE</v>
      </c>
      <c r="B51" s="144">
        <f>VLOOKUP($A51,'Data shares'!$C:$FA,7)</f>
        <v>1694.2</v>
      </c>
      <c r="C51" s="144">
        <f>VLOOKUP($A51,'Data shares'!$C:$FA,3)</f>
        <v>1693</v>
      </c>
      <c r="D51" s="144">
        <f>VLOOKUP($A51,'Data shares'!$C:$FA,23)</f>
        <v>-1.2</v>
      </c>
      <c r="E51" s="145">
        <f>VLOOKUP($A51,'Data shares'!$C:$FA,26)*100</f>
        <v>-6.9999999999999993E-2</v>
      </c>
      <c r="F51" s="144">
        <f>VLOOKUP($A51,'Data shares'!$C:$FA,24)</f>
        <v>6.5</v>
      </c>
      <c r="G51" s="144">
        <f>VLOOKUP($A51,'Data shares'!$C:$FA,25)</f>
        <v>-7.7</v>
      </c>
    </row>
    <row r="52" spans="1:7" x14ac:dyDescent="0.25">
      <c r="A52" s="101" t="str">
        <f>'Data Vlaue (Cr)'!C48</f>
        <v>COLPAL</v>
      </c>
      <c r="B52" s="144">
        <f>VLOOKUP($A52,'Data shares'!$C:$FA,7)</f>
        <v>2154.4</v>
      </c>
      <c r="C52" s="144">
        <f>VLOOKUP($A52,'Data shares'!$C:$FA,3)</f>
        <v>2160.6999999999998</v>
      </c>
      <c r="D52" s="144">
        <f>VLOOKUP($A52,'Data shares'!$C:$FA,23)</f>
        <v>6.3</v>
      </c>
      <c r="E52" s="145">
        <f>VLOOKUP($A52,'Data shares'!$C:$FA,26)*100</f>
        <v>0.28999999999999998</v>
      </c>
      <c r="F52" s="144">
        <f>VLOOKUP($A52,'Data shares'!$C:$FA,24)</f>
        <v>8.3000000000000007</v>
      </c>
      <c r="G52" s="144">
        <f>VLOOKUP($A52,'Data shares'!$C:$FA,25)</f>
        <v>-2</v>
      </c>
    </row>
    <row r="53" spans="1:7" x14ac:dyDescent="0.25">
      <c r="A53" s="101" t="str">
        <f>'Data Vlaue (Cr)'!C49</f>
        <v>CONCOR</v>
      </c>
      <c r="B53" s="144">
        <f>VLOOKUP($A53,'Data shares'!$C:$FA,7)</f>
        <v>496.35</v>
      </c>
      <c r="C53" s="144">
        <f>VLOOKUP($A53,'Data shares'!$C:$FA,3)</f>
        <v>496.4</v>
      </c>
      <c r="D53" s="144">
        <f>VLOOKUP($A53,'Data shares'!$C:$FA,23)</f>
        <v>0.05</v>
      </c>
      <c r="E53" s="145">
        <f>VLOOKUP($A53,'Data shares'!$C:$FA,26)*100</f>
        <v>0.01</v>
      </c>
      <c r="F53" s="144">
        <f>VLOOKUP($A53,'Data shares'!$C:$FA,24)</f>
        <v>-1.1499999999999999</v>
      </c>
      <c r="G53" s="144">
        <f>VLOOKUP($A53,'Data shares'!$C:$FA,25)</f>
        <v>1.2</v>
      </c>
    </row>
    <row r="54" spans="1:7" x14ac:dyDescent="0.25">
      <c r="A54" s="101" t="str">
        <f>'Data Vlaue (Cr)'!C50</f>
        <v>CROMPTON</v>
      </c>
      <c r="B54" s="144">
        <f>VLOOKUP($A54,'Data shares'!$C:$FA,7)</f>
        <v>225.4</v>
      </c>
      <c r="C54" s="144">
        <f>VLOOKUP($A54,'Data shares'!$C:$FA,3)</f>
        <v>226.9</v>
      </c>
      <c r="D54" s="144">
        <f>VLOOKUP($A54,'Data shares'!$C:$FA,23)</f>
        <v>1.5</v>
      </c>
      <c r="E54" s="145">
        <f>VLOOKUP($A54,'Data shares'!$C:$FA,26)*100</f>
        <v>0.67</v>
      </c>
      <c r="F54" s="144">
        <f>VLOOKUP($A54,'Data shares'!$C:$FA,24)</f>
        <v>1.4</v>
      </c>
      <c r="G54" s="144">
        <f>VLOOKUP($A54,'Data shares'!$C:$FA,25)</f>
        <v>0.1</v>
      </c>
    </row>
    <row r="55" spans="1:7" x14ac:dyDescent="0.25">
      <c r="A55" s="101" t="str">
        <f>'Data Vlaue (Cr)'!C51</f>
        <v>CUMMINSIND</v>
      </c>
      <c r="B55" s="144">
        <f>VLOOKUP($A55,'Data shares'!$C:$FA,7)</f>
        <v>4024</v>
      </c>
      <c r="C55" s="144">
        <f>VLOOKUP($A55,'Data shares'!$C:$FA,3)</f>
        <v>4025.9</v>
      </c>
      <c r="D55" s="144">
        <f>VLOOKUP($A55,'Data shares'!$C:$FA,23)</f>
        <v>1.9</v>
      </c>
      <c r="E55" s="145">
        <f>VLOOKUP($A55,'Data shares'!$C:$FA,26)*100</f>
        <v>0.05</v>
      </c>
      <c r="F55" s="144">
        <f>VLOOKUP($A55,'Data shares'!$C:$FA,24)</f>
        <v>6.1</v>
      </c>
      <c r="G55" s="144">
        <f>VLOOKUP($A55,'Data shares'!$C:$FA,25)</f>
        <v>-4.2</v>
      </c>
    </row>
    <row r="56" spans="1:7" x14ac:dyDescent="0.25">
      <c r="A56" s="101" t="str">
        <f>'Data Vlaue (Cr)'!C52</f>
        <v>DABUR</v>
      </c>
      <c r="B56" s="144">
        <f>VLOOKUP($A56,'Data shares'!$C:$FA,7)</f>
        <v>515.75</v>
      </c>
      <c r="C56" s="144">
        <f>VLOOKUP($A56,'Data shares'!$C:$FA,3)</f>
        <v>517.65</v>
      </c>
      <c r="D56" s="144">
        <f>VLOOKUP($A56,'Data shares'!$C:$FA,23)</f>
        <v>1.9</v>
      </c>
      <c r="E56" s="145">
        <f>VLOOKUP($A56,'Data shares'!$C:$FA,26)*100</f>
        <v>0.37</v>
      </c>
      <c r="F56" s="144">
        <f>VLOOKUP($A56,'Data shares'!$C:$FA,24)</f>
        <v>3.35</v>
      </c>
      <c r="G56" s="144">
        <f>VLOOKUP($A56,'Data shares'!$C:$FA,25)</f>
        <v>-1.45</v>
      </c>
    </row>
    <row r="57" spans="1:7" x14ac:dyDescent="0.25">
      <c r="A57" s="101" t="str">
        <f>'Data Vlaue (Cr)'!C53</f>
        <v>DALBHARAT</v>
      </c>
      <c r="B57" s="144">
        <f>VLOOKUP($A57,'Data shares'!$C:$FA,7)</f>
        <v>2074.4</v>
      </c>
      <c r="C57" s="144">
        <f>VLOOKUP($A57,'Data shares'!$C:$FA,3)</f>
        <v>2087.5</v>
      </c>
      <c r="D57" s="144">
        <f>VLOOKUP($A57,'Data shares'!$C:$FA,23)</f>
        <v>13.1</v>
      </c>
      <c r="E57" s="145">
        <f>VLOOKUP($A57,'Data shares'!$C:$FA,26)*100</f>
        <v>0.63</v>
      </c>
      <c r="F57" s="144">
        <f>VLOOKUP($A57,'Data shares'!$C:$FA,24)</f>
        <v>16.100000000000001</v>
      </c>
      <c r="G57" s="144">
        <f>VLOOKUP($A57,'Data shares'!$C:$FA,25)</f>
        <v>-3</v>
      </c>
    </row>
    <row r="58" spans="1:7" x14ac:dyDescent="0.25">
      <c r="A58" s="101" t="str">
        <f>'Data Vlaue (Cr)'!C54</f>
        <v>DELHIVERY</v>
      </c>
      <c r="B58" s="144">
        <f>VLOOKUP($A58,'Data shares'!$C:$FA,7)</f>
        <v>407.75</v>
      </c>
      <c r="C58" s="144">
        <f>VLOOKUP($A58,'Data shares'!$C:$FA,3)</f>
        <v>410.35</v>
      </c>
      <c r="D58" s="144">
        <f>VLOOKUP($A58,'Data shares'!$C:$FA,23)</f>
        <v>2.6</v>
      </c>
      <c r="E58" s="145">
        <f>VLOOKUP($A58,'Data shares'!$C:$FA,26)*100</f>
        <v>0.64</v>
      </c>
      <c r="F58" s="144">
        <f>VLOOKUP($A58,'Data shares'!$C:$FA,24)</f>
        <v>2.65</v>
      </c>
      <c r="G58" s="144">
        <f>VLOOKUP($A58,'Data shares'!$C:$FA,25)</f>
        <v>-0.05</v>
      </c>
    </row>
    <row r="59" spans="1:7" x14ac:dyDescent="0.25">
      <c r="A59" s="101" t="str">
        <f>'Data Vlaue (Cr)'!C55</f>
        <v>DIVISLAB</v>
      </c>
      <c r="B59" s="144">
        <f>VLOOKUP($A59,'Data shares'!$C:$FA,7)</f>
        <v>6188</v>
      </c>
      <c r="C59" s="144">
        <f>VLOOKUP($A59,'Data shares'!$C:$FA,3)</f>
        <v>6220.5</v>
      </c>
      <c r="D59" s="144">
        <f>VLOOKUP($A59,'Data shares'!$C:$FA,23)</f>
        <v>32.5</v>
      </c>
      <c r="E59" s="145">
        <f>VLOOKUP($A59,'Data shares'!$C:$FA,26)*100</f>
        <v>0.53</v>
      </c>
      <c r="F59" s="144">
        <f>VLOOKUP($A59,'Data shares'!$C:$FA,24)</f>
        <v>32</v>
      </c>
      <c r="G59" s="144">
        <f>VLOOKUP($A59,'Data shares'!$C:$FA,25)</f>
        <v>0.5</v>
      </c>
    </row>
    <row r="60" spans="1:7" x14ac:dyDescent="0.25">
      <c r="A60" s="101" t="str">
        <f>'Data Vlaue (Cr)'!C56</f>
        <v>DIXON</v>
      </c>
      <c r="B60" s="144">
        <f>VLOOKUP($A60,'Data shares'!$C:$FA,7)</f>
        <v>10279</v>
      </c>
      <c r="C60" s="144">
        <f>VLOOKUP($A60,'Data shares'!$C:$FA,3)</f>
        <v>10324</v>
      </c>
      <c r="D60" s="144">
        <f>VLOOKUP($A60,'Data shares'!$C:$FA,23)</f>
        <v>45</v>
      </c>
      <c r="E60" s="145">
        <f>VLOOKUP($A60,'Data shares'!$C:$FA,26)*100</f>
        <v>0.44</v>
      </c>
      <c r="F60" s="144">
        <f>VLOOKUP($A60,'Data shares'!$C:$FA,24)</f>
        <v>42</v>
      </c>
      <c r="G60" s="144">
        <f>VLOOKUP($A60,'Data shares'!$C:$FA,25)</f>
        <v>3</v>
      </c>
    </row>
    <row r="61" spans="1:7" x14ac:dyDescent="0.25">
      <c r="A61" s="101" t="str">
        <f>'Data Vlaue (Cr)'!C57</f>
        <v>DLF</v>
      </c>
      <c r="B61" s="144">
        <f>VLOOKUP($A61,'Data shares'!$C:$FA,7)</f>
        <v>625.54999999999995</v>
      </c>
      <c r="C61" s="144">
        <f>VLOOKUP($A61,'Data shares'!$C:$FA,3)</f>
        <v>628.4</v>
      </c>
      <c r="D61" s="144">
        <f>VLOOKUP($A61,'Data shares'!$C:$FA,23)</f>
        <v>2.85</v>
      </c>
      <c r="E61" s="145">
        <f>VLOOKUP($A61,'Data shares'!$C:$FA,26)*100</f>
        <v>0.45999999999999996</v>
      </c>
      <c r="F61" s="144">
        <f>VLOOKUP($A61,'Data shares'!$C:$FA,24)</f>
        <v>2.5499999999999998</v>
      </c>
      <c r="G61" s="144">
        <f>VLOOKUP($A61,'Data shares'!$C:$FA,25)</f>
        <v>0.3</v>
      </c>
    </row>
    <row r="62" spans="1:7" x14ac:dyDescent="0.25">
      <c r="A62" s="101" t="str">
        <f>'Data Vlaue (Cr)'!C58</f>
        <v>DMART</v>
      </c>
      <c r="B62" s="144">
        <f>VLOOKUP($A62,'Data shares'!$C:$FA,7)</f>
        <v>3735.7</v>
      </c>
      <c r="C62" s="144">
        <f>VLOOKUP($A62,'Data shares'!$C:$FA,3)</f>
        <v>3733.5</v>
      </c>
      <c r="D62" s="144">
        <f>VLOOKUP($A62,'Data shares'!$C:$FA,23)</f>
        <v>-2.2000000000000002</v>
      </c>
      <c r="E62" s="145">
        <f>VLOOKUP($A62,'Data shares'!$C:$FA,26)*100</f>
        <v>-0.06</v>
      </c>
      <c r="F62" s="144">
        <f>VLOOKUP($A62,'Data shares'!$C:$FA,24)</f>
        <v>8.9</v>
      </c>
      <c r="G62" s="144">
        <f>VLOOKUP($A62,'Data shares'!$C:$FA,25)</f>
        <v>-11.1</v>
      </c>
    </row>
    <row r="63" spans="1:7" x14ac:dyDescent="0.25">
      <c r="A63" s="101" t="str">
        <f>'Data Vlaue (Cr)'!C59</f>
        <v>DRREDDY</v>
      </c>
      <c r="B63" s="144">
        <f>VLOOKUP($A63,'Data shares'!$C:$FA,7)</f>
        <v>1222.5</v>
      </c>
      <c r="C63" s="144">
        <f>VLOOKUP($A63,'Data shares'!$C:$FA,3)</f>
        <v>1230.4000000000001</v>
      </c>
      <c r="D63" s="144">
        <f>VLOOKUP($A63,'Data shares'!$C:$FA,23)</f>
        <v>7.9</v>
      </c>
      <c r="E63" s="145">
        <f>VLOOKUP($A63,'Data shares'!$C:$FA,26)*100</f>
        <v>0.65</v>
      </c>
      <c r="F63" s="144">
        <f>VLOOKUP($A63,'Data shares'!$C:$FA,24)</f>
        <v>8.5</v>
      </c>
      <c r="G63" s="144">
        <f>VLOOKUP($A63,'Data shares'!$C:$FA,25)</f>
        <v>-0.6</v>
      </c>
    </row>
    <row r="64" spans="1:7" x14ac:dyDescent="0.25">
      <c r="A64" s="101" t="str">
        <f>'Data Vlaue (Cr)'!C60</f>
        <v>EICHERMOT</v>
      </c>
      <c r="B64" s="144">
        <f>VLOOKUP($A64,'Data shares'!$C:$FA,7)</f>
        <v>7071</v>
      </c>
      <c r="C64" s="144">
        <f>VLOOKUP($A64,'Data shares'!$C:$FA,3)</f>
        <v>7115.5</v>
      </c>
      <c r="D64" s="144">
        <f>VLOOKUP($A64,'Data shares'!$C:$FA,23)</f>
        <v>44.5</v>
      </c>
      <c r="E64" s="145">
        <f>VLOOKUP($A64,'Data shares'!$C:$FA,26)*100</f>
        <v>0.63</v>
      </c>
      <c r="F64" s="144">
        <f>VLOOKUP($A64,'Data shares'!$C:$FA,24)</f>
        <v>25</v>
      </c>
      <c r="G64" s="144">
        <f>VLOOKUP($A64,'Data shares'!$C:$FA,25)</f>
        <v>19.5</v>
      </c>
    </row>
    <row r="65" spans="1:7" x14ac:dyDescent="0.25">
      <c r="A65" s="101" t="str">
        <f>'Data Vlaue (Cr)'!C61</f>
        <v>ETERNAL</v>
      </c>
      <c r="B65" s="144">
        <f>VLOOKUP($A65,'Data shares'!$C:$FA,7)</f>
        <v>266.3</v>
      </c>
      <c r="C65" s="144">
        <f>VLOOKUP($A65,'Data shares'!$C:$FA,3)</f>
        <v>267.35000000000002</v>
      </c>
      <c r="D65" s="144">
        <f>VLOOKUP($A65,'Data shares'!$C:$FA,23)</f>
        <v>1.05</v>
      </c>
      <c r="E65" s="145">
        <f>VLOOKUP($A65,'Data shares'!$C:$FA,26)*100</f>
        <v>0.38999999999999996</v>
      </c>
      <c r="F65" s="144">
        <f>VLOOKUP($A65,'Data shares'!$C:$FA,24)</f>
        <v>1.95</v>
      </c>
      <c r="G65" s="144">
        <f>VLOOKUP($A65,'Data shares'!$C:$FA,25)</f>
        <v>-0.9</v>
      </c>
    </row>
    <row r="66" spans="1:7" x14ac:dyDescent="0.25">
      <c r="A66" s="101" t="str">
        <f>'Data Vlaue (Cr)'!C62</f>
        <v>EXIDEIND</v>
      </c>
      <c r="B66" s="144">
        <f>VLOOKUP($A66,'Data shares'!$C:$FA,7)</f>
        <v>321.14999999999998</v>
      </c>
      <c r="C66" s="144">
        <f>VLOOKUP($A66,'Data shares'!$C:$FA,3)</f>
        <v>323.35000000000002</v>
      </c>
      <c r="D66" s="144">
        <f>VLOOKUP($A66,'Data shares'!$C:$FA,23)</f>
        <v>2.2000000000000002</v>
      </c>
      <c r="E66" s="145">
        <f>VLOOKUP($A66,'Data shares'!$C:$FA,26)*100</f>
        <v>0.69</v>
      </c>
      <c r="F66" s="144">
        <f>VLOOKUP($A66,'Data shares'!$C:$FA,24)</f>
        <v>2.1</v>
      </c>
      <c r="G66" s="144">
        <f>VLOOKUP($A66,'Data shares'!$C:$FA,25)</f>
        <v>0.1</v>
      </c>
    </row>
    <row r="67" spans="1:7" x14ac:dyDescent="0.25">
      <c r="A67" s="101" t="str">
        <f>'Data Vlaue (Cr)'!C63</f>
        <v>FEDERALBNK</v>
      </c>
      <c r="B67" s="144">
        <f>VLOOKUP($A67,'Data shares'!$C:$FA,7)</f>
        <v>284.45</v>
      </c>
      <c r="C67" s="144">
        <f>VLOOKUP($A67,'Data shares'!$C:$FA,3)</f>
        <v>286.10000000000002</v>
      </c>
      <c r="D67" s="144">
        <f>VLOOKUP($A67,'Data shares'!$C:$FA,23)</f>
        <v>1.65</v>
      </c>
      <c r="E67" s="145">
        <f>VLOOKUP($A67,'Data shares'!$C:$FA,26)*100</f>
        <v>0.57999999999999996</v>
      </c>
      <c r="F67" s="144">
        <f>VLOOKUP($A67,'Data shares'!$C:$FA,24)</f>
        <v>1.35</v>
      </c>
      <c r="G67" s="144">
        <f>VLOOKUP($A67,'Data shares'!$C:$FA,25)</f>
        <v>0.3</v>
      </c>
    </row>
    <row r="68" spans="1:7" x14ac:dyDescent="0.25">
      <c r="A68" s="101" t="str">
        <f>'Data Vlaue (Cr)'!C64</f>
        <v>FINNIFTY</v>
      </c>
      <c r="B68" s="144">
        <f>VLOOKUP($A68,'Data shares'!$C:$FA,7)</f>
        <v>27335.200000000001</v>
      </c>
      <c r="C68" s="144">
        <f>VLOOKUP($A68,'Data shares'!$C:$FA,3)</f>
        <v>27445.4</v>
      </c>
      <c r="D68" s="144">
        <f>VLOOKUP($A68,'Data shares'!$C:$FA,23)</f>
        <v>110.2</v>
      </c>
      <c r="E68" s="145">
        <f>VLOOKUP($A68,'Data shares'!$C:$FA,26)*100</f>
        <v>0.4</v>
      </c>
      <c r="F68" s="144">
        <f>VLOOKUP($A68,'Data shares'!$C:$FA,24)</f>
        <v>140.19999999999999</v>
      </c>
      <c r="G68" s="144">
        <f>VLOOKUP($A68,'Data shares'!$C:$FA,25)</f>
        <v>-30</v>
      </c>
    </row>
    <row r="69" spans="1:7" x14ac:dyDescent="0.25">
      <c r="A69" s="101" t="str">
        <f>'Data Vlaue (Cr)'!C65</f>
        <v>FORTIS</v>
      </c>
      <c r="B69" s="144">
        <f>VLOOKUP($A69,'Data shares'!$C:$FA,7)</f>
        <v>849.05</v>
      </c>
      <c r="C69" s="144">
        <f>VLOOKUP($A69,'Data shares'!$C:$FA,3)</f>
        <v>852.15</v>
      </c>
      <c r="D69" s="144">
        <f>VLOOKUP($A69,'Data shares'!$C:$FA,23)</f>
        <v>3.1</v>
      </c>
      <c r="E69" s="145">
        <f>VLOOKUP($A69,'Data shares'!$C:$FA,26)*100</f>
        <v>0.37</v>
      </c>
      <c r="F69" s="144">
        <f>VLOOKUP($A69,'Data shares'!$C:$FA,24)</f>
        <v>5.8</v>
      </c>
      <c r="G69" s="144">
        <f>VLOOKUP($A69,'Data shares'!$C:$FA,25)</f>
        <v>-2.7</v>
      </c>
    </row>
    <row r="70" spans="1:7" x14ac:dyDescent="0.25">
      <c r="A70" s="101" t="str">
        <f>'Data Vlaue (Cr)'!C66</f>
        <v>GAIL</v>
      </c>
      <c r="B70" s="144">
        <f>VLOOKUP($A70,'Data shares'!$C:$FA,7)</f>
        <v>168.14</v>
      </c>
      <c r="C70" s="144">
        <f>VLOOKUP($A70,'Data shares'!$C:$FA,3)</f>
        <v>168.87</v>
      </c>
      <c r="D70" s="144">
        <f>VLOOKUP($A70,'Data shares'!$C:$FA,23)</f>
        <v>0.73</v>
      </c>
      <c r="E70" s="145">
        <f>VLOOKUP($A70,'Data shares'!$C:$FA,26)*100</f>
        <v>0.43</v>
      </c>
      <c r="F70" s="144">
        <f>VLOOKUP($A70,'Data shares'!$C:$FA,24)</f>
        <v>1.05</v>
      </c>
      <c r="G70" s="144">
        <f>VLOOKUP($A70,'Data shares'!$C:$FA,25)</f>
        <v>-0.32</v>
      </c>
    </row>
    <row r="71" spans="1:7" x14ac:dyDescent="0.25">
      <c r="A71" s="101" t="str">
        <f>'Data Vlaue (Cr)'!C67</f>
        <v>GLENMARK</v>
      </c>
      <c r="B71" s="144">
        <f>VLOOKUP($A71,'Data shares'!$C:$FA,7)</f>
        <v>1993.5</v>
      </c>
      <c r="C71" s="144">
        <f>VLOOKUP($A71,'Data shares'!$C:$FA,3)</f>
        <v>2001.1</v>
      </c>
      <c r="D71" s="144">
        <f>VLOOKUP($A71,'Data shares'!$C:$FA,23)</f>
        <v>7.6</v>
      </c>
      <c r="E71" s="145">
        <f>VLOOKUP($A71,'Data shares'!$C:$FA,26)*100</f>
        <v>0.38</v>
      </c>
      <c r="F71" s="144">
        <f>VLOOKUP($A71,'Data shares'!$C:$FA,24)</f>
        <v>12.9</v>
      </c>
      <c r="G71" s="144">
        <f>VLOOKUP($A71,'Data shares'!$C:$FA,25)</f>
        <v>-5.3</v>
      </c>
    </row>
    <row r="72" spans="1:7" x14ac:dyDescent="0.25">
      <c r="A72" s="101" t="str">
        <f>'Data Vlaue (Cr)'!C68</f>
        <v>GMRAIRPORT</v>
      </c>
      <c r="B72" s="144">
        <f>VLOOKUP($A72,'Data shares'!$C:$FA,7)</f>
        <v>93.91</v>
      </c>
      <c r="C72" s="144">
        <f>VLOOKUP($A72,'Data shares'!$C:$FA,3)</f>
        <v>94.57</v>
      </c>
      <c r="D72" s="144">
        <f>VLOOKUP($A72,'Data shares'!$C:$FA,23)</f>
        <v>0.66</v>
      </c>
      <c r="E72" s="145">
        <f>VLOOKUP($A72,'Data shares'!$C:$FA,26)*100</f>
        <v>0.70000000000000007</v>
      </c>
      <c r="F72" s="144">
        <f>VLOOKUP($A72,'Data shares'!$C:$FA,24)</f>
        <v>0.67</v>
      </c>
      <c r="G72" s="144">
        <f>VLOOKUP($A72,'Data shares'!$C:$FA,25)</f>
        <v>-0.01</v>
      </c>
    </row>
    <row r="73" spans="1:7" x14ac:dyDescent="0.25">
      <c r="A73" s="101" t="str">
        <f>'Data Vlaue (Cr)'!C69</f>
        <v>GODREJCP</v>
      </c>
      <c r="B73" s="144">
        <f>VLOOKUP($A73,'Data shares'!$C:$FA,7)</f>
        <v>1171.8</v>
      </c>
      <c r="C73" s="144">
        <f>VLOOKUP($A73,'Data shares'!$C:$FA,3)</f>
        <v>1173.2</v>
      </c>
      <c r="D73" s="144">
        <f>VLOOKUP($A73,'Data shares'!$C:$FA,23)</f>
        <v>1.4</v>
      </c>
      <c r="E73" s="145">
        <f>VLOOKUP($A73,'Data shares'!$C:$FA,26)*100</f>
        <v>0.12</v>
      </c>
      <c r="F73" s="144">
        <f>VLOOKUP($A73,'Data shares'!$C:$FA,24)</f>
        <v>0</v>
      </c>
      <c r="G73" s="144">
        <f>VLOOKUP($A73,'Data shares'!$C:$FA,25)</f>
        <v>1.4</v>
      </c>
    </row>
    <row r="74" spans="1:7" x14ac:dyDescent="0.25">
      <c r="A74" s="101" t="str">
        <f>'Data Vlaue (Cr)'!C70</f>
        <v>GODREJPROP</v>
      </c>
      <c r="B74" s="144">
        <f>VLOOKUP($A74,'Data shares'!$C:$FA,7)</f>
        <v>1550.3</v>
      </c>
      <c r="C74" s="144">
        <f>VLOOKUP($A74,'Data shares'!$C:$FA,3)</f>
        <v>1560.7</v>
      </c>
      <c r="D74" s="144">
        <f>VLOOKUP($A74,'Data shares'!$C:$FA,23)</f>
        <v>10.4</v>
      </c>
      <c r="E74" s="145">
        <f>VLOOKUP($A74,'Data shares'!$C:$FA,26)*100</f>
        <v>0.67</v>
      </c>
      <c r="F74" s="144">
        <f>VLOOKUP($A74,'Data shares'!$C:$FA,24)</f>
        <v>11.1</v>
      </c>
      <c r="G74" s="144">
        <f>VLOOKUP($A74,'Data shares'!$C:$FA,25)</f>
        <v>-0.7</v>
      </c>
    </row>
    <row r="75" spans="1:7" x14ac:dyDescent="0.25">
      <c r="A75" s="101" t="str">
        <f>'Data Vlaue (Cr)'!C71</f>
        <v>GRASIM</v>
      </c>
      <c r="B75" s="144">
        <f>VLOOKUP($A75,'Data shares'!$C:$FA,7)</f>
        <v>2839.1</v>
      </c>
      <c r="C75" s="144">
        <f>VLOOKUP($A75,'Data shares'!$C:$FA,3)</f>
        <v>2856.2</v>
      </c>
      <c r="D75" s="144">
        <f>VLOOKUP($A75,'Data shares'!$C:$FA,23)</f>
        <v>17.100000000000001</v>
      </c>
      <c r="E75" s="145">
        <f>VLOOKUP($A75,'Data shares'!$C:$FA,26)*100</f>
        <v>0.6</v>
      </c>
      <c r="F75" s="144">
        <f>VLOOKUP($A75,'Data shares'!$C:$FA,24)</f>
        <v>20.3</v>
      </c>
      <c r="G75" s="144">
        <f>VLOOKUP($A75,'Data shares'!$C:$FA,25)</f>
        <v>-3.2</v>
      </c>
    </row>
    <row r="76" spans="1:7" x14ac:dyDescent="0.25">
      <c r="A76" s="101" t="str">
        <f>'Data Vlaue (Cr)'!C72</f>
        <v>HAL</v>
      </c>
      <c r="B76" s="144">
        <f>VLOOKUP($A76,'Data shares'!$C:$FA,7)</f>
        <v>4624</v>
      </c>
      <c r="C76" s="144">
        <f>VLOOKUP($A76,'Data shares'!$C:$FA,3)</f>
        <v>4639.5</v>
      </c>
      <c r="D76" s="144">
        <f>VLOOKUP($A76,'Data shares'!$C:$FA,23)</f>
        <v>15.5</v>
      </c>
      <c r="E76" s="145">
        <f>VLOOKUP($A76,'Data shares'!$C:$FA,26)*100</f>
        <v>0.33999999999999997</v>
      </c>
      <c r="F76" s="144">
        <f>VLOOKUP($A76,'Data shares'!$C:$FA,24)</f>
        <v>2.1</v>
      </c>
      <c r="G76" s="144">
        <f>VLOOKUP($A76,'Data shares'!$C:$FA,25)</f>
        <v>13.4</v>
      </c>
    </row>
    <row r="77" spans="1:7" x14ac:dyDescent="0.25">
      <c r="A77" s="101" t="str">
        <f>'Data Vlaue (Cr)'!C73</f>
        <v>HAVELLS</v>
      </c>
      <c r="B77" s="144">
        <f>VLOOKUP($A77,'Data shares'!$C:$FA,7)</f>
        <v>1286.8</v>
      </c>
      <c r="C77" s="144">
        <f>VLOOKUP($A77,'Data shares'!$C:$FA,3)</f>
        <v>1295.5</v>
      </c>
      <c r="D77" s="144">
        <f>VLOOKUP($A77,'Data shares'!$C:$FA,23)</f>
        <v>8.6999999999999993</v>
      </c>
      <c r="E77" s="145">
        <f>VLOOKUP($A77,'Data shares'!$C:$FA,26)*100</f>
        <v>0.67999999999999994</v>
      </c>
      <c r="F77" s="144">
        <f>VLOOKUP($A77,'Data shares'!$C:$FA,24)</f>
        <v>6.8</v>
      </c>
      <c r="G77" s="144">
        <f>VLOOKUP($A77,'Data shares'!$C:$FA,25)</f>
        <v>1.9</v>
      </c>
    </row>
    <row r="78" spans="1:7" x14ac:dyDescent="0.25">
      <c r="A78" s="101" t="str">
        <f>'Data Vlaue (Cr)'!C74</f>
        <v>HCLTECH</v>
      </c>
      <c r="B78" s="144">
        <f>VLOOKUP($A78,'Data shares'!$C:$FA,7)</f>
        <v>1729.6</v>
      </c>
      <c r="C78" s="144">
        <f>VLOOKUP($A78,'Data shares'!$C:$FA,3)</f>
        <v>1735.8</v>
      </c>
      <c r="D78" s="144">
        <f>VLOOKUP($A78,'Data shares'!$C:$FA,23)</f>
        <v>6.2</v>
      </c>
      <c r="E78" s="145">
        <f>VLOOKUP($A78,'Data shares'!$C:$FA,26)*100</f>
        <v>0.36</v>
      </c>
      <c r="F78" s="144">
        <f>VLOOKUP($A78,'Data shares'!$C:$FA,24)</f>
        <v>8</v>
      </c>
      <c r="G78" s="144">
        <f>VLOOKUP($A78,'Data shares'!$C:$FA,25)</f>
        <v>-1.8</v>
      </c>
    </row>
    <row r="79" spans="1:7" x14ac:dyDescent="0.25">
      <c r="A79" s="101" t="str">
        <f>'Data Vlaue (Cr)'!C75</f>
        <v>HDFCAMC</v>
      </c>
      <c r="B79" s="144">
        <f>VLOOKUP($A79,'Data shares'!$C:$FA,7)</f>
        <v>2477.6</v>
      </c>
      <c r="C79" s="144">
        <f>VLOOKUP($A79,'Data shares'!$C:$FA,3)</f>
        <v>2489.8000000000002</v>
      </c>
      <c r="D79" s="144">
        <f>VLOOKUP($A79,'Data shares'!$C:$FA,23)</f>
        <v>12.2</v>
      </c>
      <c r="E79" s="145">
        <f>VLOOKUP($A79,'Data shares'!$C:$FA,26)*100</f>
        <v>0.49</v>
      </c>
      <c r="F79" s="144">
        <f>VLOOKUP($A79,'Data shares'!$C:$FA,24)</f>
        <v>15.8</v>
      </c>
      <c r="G79" s="144">
        <f>VLOOKUP($A79,'Data shares'!$C:$FA,25)</f>
        <v>-3.6</v>
      </c>
    </row>
    <row r="80" spans="1:7" x14ac:dyDescent="0.25">
      <c r="A80" s="101" t="str">
        <f>'Data Vlaue (Cr)'!C76</f>
        <v>HDFCBANK</v>
      </c>
      <c r="B80" s="144">
        <f>VLOOKUP($A80,'Data shares'!$C:$FA,7)</f>
        <v>932.7</v>
      </c>
      <c r="C80" s="144">
        <f>VLOOKUP($A80,'Data shares'!$C:$FA,3)</f>
        <v>936.2</v>
      </c>
      <c r="D80" s="144">
        <f>VLOOKUP($A80,'Data shares'!$C:$FA,23)</f>
        <v>3.5</v>
      </c>
      <c r="E80" s="145">
        <f>VLOOKUP($A80,'Data shares'!$C:$FA,26)*100</f>
        <v>0.38</v>
      </c>
      <c r="F80" s="144">
        <f>VLOOKUP($A80,'Data shares'!$C:$FA,24)</f>
        <v>6.4</v>
      </c>
      <c r="G80" s="144">
        <f>VLOOKUP($A80,'Data shares'!$C:$FA,25)</f>
        <v>-2.9</v>
      </c>
    </row>
    <row r="81" spans="1:7" x14ac:dyDescent="0.25">
      <c r="A81" s="101" t="str">
        <f>'Data Vlaue (Cr)'!C77</f>
        <v>HDFCLIFE</v>
      </c>
      <c r="B81" s="144">
        <f>VLOOKUP($A81,'Data shares'!$C:$FA,7)</f>
        <v>728.6</v>
      </c>
      <c r="C81" s="144">
        <f>VLOOKUP($A81,'Data shares'!$C:$FA,3)</f>
        <v>730.5</v>
      </c>
      <c r="D81" s="144">
        <f>VLOOKUP($A81,'Data shares'!$C:$FA,23)</f>
        <v>1.9</v>
      </c>
      <c r="E81" s="145">
        <f>VLOOKUP($A81,'Data shares'!$C:$FA,26)*100</f>
        <v>0.26</v>
      </c>
      <c r="F81" s="144">
        <f>VLOOKUP($A81,'Data shares'!$C:$FA,24)</f>
        <v>4.3499999999999996</v>
      </c>
      <c r="G81" s="144">
        <f>VLOOKUP($A81,'Data shares'!$C:$FA,25)</f>
        <v>-2.4500000000000002</v>
      </c>
    </row>
    <row r="82" spans="1:7" x14ac:dyDescent="0.25">
      <c r="A82" s="101" t="str">
        <f>'Data Vlaue (Cr)'!C78</f>
        <v>HEROMOTOCO</v>
      </c>
      <c r="B82" s="144">
        <f>VLOOKUP($A82,'Data shares'!$C:$FA,7)</f>
        <v>5512.5</v>
      </c>
      <c r="C82" s="144">
        <f>VLOOKUP($A82,'Data shares'!$C:$FA,3)</f>
        <v>5511</v>
      </c>
      <c r="D82" s="144">
        <f>VLOOKUP($A82,'Data shares'!$C:$FA,23)</f>
        <v>-1.5</v>
      </c>
      <c r="E82" s="145">
        <f>VLOOKUP($A82,'Data shares'!$C:$FA,26)*100</f>
        <v>-0.03</v>
      </c>
      <c r="F82" s="144">
        <f>VLOOKUP($A82,'Data shares'!$C:$FA,24)</f>
        <v>-13.5</v>
      </c>
      <c r="G82" s="144">
        <f>VLOOKUP($A82,'Data shares'!$C:$FA,25)</f>
        <v>12</v>
      </c>
    </row>
    <row r="83" spans="1:7" x14ac:dyDescent="0.25">
      <c r="A83" s="101" t="str">
        <f>'Data Vlaue (Cr)'!C79</f>
        <v>HINDALCO</v>
      </c>
      <c r="B83" s="144">
        <f>VLOOKUP($A83,'Data shares'!$C:$FA,7)</f>
        <v>998.2</v>
      </c>
      <c r="C83" s="144">
        <f>VLOOKUP($A83,'Data shares'!$C:$FA,3)</f>
        <v>998.85</v>
      </c>
      <c r="D83" s="144">
        <f>VLOOKUP($A83,'Data shares'!$C:$FA,23)</f>
        <v>0.65</v>
      </c>
      <c r="E83" s="145">
        <f>VLOOKUP($A83,'Data shares'!$C:$FA,26)*100</f>
        <v>6.9999999999999993E-2</v>
      </c>
      <c r="F83" s="144">
        <f>VLOOKUP($A83,'Data shares'!$C:$FA,24)</f>
        <v>1.8</v>
      </c>
      <c r="G83" s="144">
        <f>VLOOKUP($A83,'Data shares'!$C:$FA,25)</f>
        <v>-1.1499999999999999</v>
      </c>
    </row>
    <row r="84" spans="1:7" x14ac:dyDescent="0.25">
      <c r="A84" s="101" t="str">
        <f>'Data Vlaue (Cr)'!C80</f>
        <v>HINDPETRO</v>
      </c>
      <c r="B84" s="144">
        <f>VLOOKUP($A84,'Data shares'!$C:$FA,7)</f>
        <v>433.25</v>
      </c>
      <c r="C84" s="144">
        <f>VLOOKUP($A84,'Data shares'!$C:$FA,3)</f>
        <v>434.75</v>
      </c>
      <c r="D84" s="144">
        <f>VLOOKUP($A84,'Data shares'!$C:$FA,23)</f>
        <v>1.5</v>
      </c>
      <c r="E84" s="145">
        <f>VLOOKUP($A84,'Data shares'!$C:$FA,26)*100</f>
        <v>0.35000000000000003</v>
      </c>
      <c r="F84" s="144">
        <f>VLOOKUP($A84,'Data shares'!$C:$FA,24)</f>
        <v>2.5</v>
      </c>
      <c r="G84" s="144">
        <f>VLOOKUP($A84,'Data shares'!$C:$FA,25)</f>
        <v>-1</v>
      </c>
    </row>
    <row r="85" spans="1:7" x14ac:dyDescent="0.25">
      <c r="A85" s="101" t="str">
        <f>'Data Vlaue (Cr)'!C81</f>
        <v>HINDUNILVR</v>
      </c>
      <c r="B85" s="144">
        <f>VLOOKUP($A85,'Data shares'!$C:$FA,7)</f>
        <v>2378.4</v>
      </c>
      <c r="C85" s="144">
        <f>VLOOKUP($A85,'Data shares'!$C:$FA,3)</f>
        <v>2382.4</v>
      </c>
      <c r="D85" s="144">
        <f>VLOOKUP($A85,'Data shares'!$C:$FA,23)</f>
        <v>4</v>
      </c>
      <c r="E85" s="145">
        <f>VLOOKUP($A85,'Data shares'!$C:$FA,26)*100</f>
        <v>0.16999999999999998</v>
      </c>
      <c r="F85" s="144">
        <f>VLOOKUP($A85,'Data shares'!$C:$FA,24)</f>
        <v>16.8</v>
      </c>
      <c r="G85" s="144">
        <f>VLOOKUP($A85,'Data shares'!$C:$FA,25)</f>
        <v>-12.8</v>
      </c>
    </row>
    <row r="86" spans="1:7" x14ac:dyDescent="0.25">
      <c r="A86" s="101" t="str">
        <f>'Data Vlaue (Cr)'!C82</f>
        <v>HINDZINC</v>
      </c>
      <c r="B86" s="144">
        <f>VLOOKUP($A86,'Data shares'!$C:$FA,7)</f>
        <v>708.2</v>
      </c>
      <c r="C86" s="144">
        <f>VLOOKUP($A86,'Data shares'!$C:$FA,3)</f>
        <v>706.35</v>
      </c>
      <c r="D86" s="144">
        <f>VLOOKUP($A86,'Data shares'!$C:$FA,23)</f>
        <v>-1.85</v>
      </c>
      <c r="E86" s="145">
        <f>VLOOKUP($A86,'Data shares'!$C:$FA,26)*100</f>
        <v>-0.26</v>
      </c>
      <c r="F86" s="144">
        <f>VLOOKUP($A86,'Data shares'!$C:$FA,24)</f>
        <v>-1.3</v>
      </c>
      <c r="G86" s="144">
        <f>VLOOKUP($A86,'Data shares'!$C:$FA,25)</f>
        <v>-0.55000000000000004</v>
      </c>
    </row>
    <row r="87" spans="1:7" x14ac:dyDescent="0.25">
      <c r="A87" s="101" t="str">
        <f>'Data Vlaue (Cr)'!C83</f>
        <v>HUDCO</v>
      </c>
      <c r="B87" s="144">
        <f>VLOOKUP($A87,'Data shares'!$C:$FA,7)</f>
        <v>204.33</v>
      </c>
      <c r="C87" s="144">
        <f>VLOOKUP($A87,'Data shares'!$C:$FA,3)</f>
        <v>204.7</v>
      </c>
      <c r="D87" s="144">
        <f>VLOOKUP($A87,'Data shares'!$C:$FA,23)</f>
        <v>0.37</v>
      </c>
      <c r="E87" s="145">
        <f>VLOOKUP($A87,'Data shares'!$C:$FA,26)*100</f>
        <v>0.18</v>
      </c>
      <c r="F87" s="144">
        <f>VLOOKUP($A87,'Data shares'!$C:$FA,24)</f>
        <v>0.26</v>
      </c>
      <c r="G87" s="144">
        <f>VLOOKUP($A87,'Data shares'!$C:$FA,25)</f>
        <v>0.11</v>
      </c>
    </row>
    <row r="88" spans="1:7" x14ac:dyDescent="0.25">
      <c r="A88" s="101" t="str">
        <f>'Data Vlaue (Cr)'!C84</f>
        <v>ICICIBANK</v>
      </c>
      <c r="B88" s="144">
        <f>VLOOKUP($A88,'Data shares'!$C:$FA,7)</f>
        <v>1367.7</v>
      </c>
      <c r="C88" s="144">
        <f>VLOOKUP($A88,'Data shares'!$C:$FA,3)</f>
        <v>1373.2</v>
      </c>
      <c r="D88" s="144">
        <f>VLOOKUP($A88,'Data shares'!$C:$FA,23)</f>
        <v>5.5</v>
      </c>
      <c r="E88" s="145">
        <f>VLOOKUP($A88,'Data shares'!$C:$FA,26)*100</f>
        <v>0.4</v>
      </c>
      <c r="F88" s="144">
        <f>VLOOKUP($A88,'Data shares'!$C:$FA,24)</f>
        <v>9.6999999999999993</v>
      </c>
      <c r="G88" s="144">
        <f>VLOOKUP($A88,'Data shares'!$C:$FA,25)</f>
        <v>-4.2</v>
      </c>
    </row>
    <row r="89" spans="1:7" x14ac:dyDescent="0.25">
      <c r="A89" s="101" t="str">
        <f>'Data Vlaue (Cr)'!C85</f>
        <v>ICICIGI</v>
      </c>
      <c r="B89" s="144">
        <f>VLOOKUP($A89,'Data shares'!$C:$FA,7)</f>
        <v>1822.2</v>
      </c>
      <c r="C89" s="144">
        <f>VLOOKUP($A89,'Data shares'!$C:$FA,3)</f>
        <v>1826</v>
      </c>
      <c r="D89" s="144">
        <f>VLOOKUP($A89,'Data shares'!$C:$FA,23)</f>
        <v>3.8</v>
      </c>
      <c r="E89" s="145">
        <f>VLOOKUP($A89,'Data shares'!$C:$FA,26)*100</f>
        <v>0.21</v>
      </c>
      <c r="F89" s="144">
        <f>VLOOKUP($A89,'Data shares'!$C:$FA,24)</f>
        <v>11.8</v>
      </c>
      <c r="G89" s="144">
        <f>VLOOKUP($A89,'Data shares'!$C:$FA,25)</f>
        <v>-8</v>
      </c>
    </row>
    <row r="90" spans="1:7" x14ac:dyDescent="0.25">
      <c r="A90" s="101" t="str">
        <f>'Data Vlaue (Cr)'!C86</f>
        <v>ICICIPRULI</v>
      </c>
      <c r="B90" s="144">
        <f>VLOOKUP($A90,'Data shares'!$C:$FA,7)</f>
        <v>642.4</v>
      </c>
      <c r="C90" s="144">
        <f>VLOOKUP($A90,'Data shares'!$C:$FA,3)</f>
        <v>644.95000000000005</v>
      </c>
      <c r="D90" s="144">
        <f>VLOOKUP($A90,'Data shares'!$C:$FA,23)</f>
        <v>2.5499999999999998</v>
      </c>
      <c r="E90" s="145">
        <f>VLOOKUP($A90,'Data shares'!$C:$FA,26)*100</f>
        <v>0.4</v>
      </c>
      <c r="F90" s="144">
        <f>VLOOKUP($A90,'Data shares'!$C:$FA,24)</f>
        <v>4.5</v>
      </c>
      <c r="G90" s="144">
        <f>VLOOKUP($A90,'Data shares'!$C:$FA,25)</f>
        <v>-1.95</v>
      </c>
    </row>
    <row r="91" spans="1:7" x14ac:dyDescent="0.25">
      <c r="A91" s="101" t="str">
        <f>'Data Vlaue (Cr)'!C87</f>
        <v>IDEA</v>
      </c>
      <c r="B91" s="144">
        <f>VLOOKUP($A91,'Data shares'!$C:$FA,7)</f>
        <v>9.9499999999999993</v>
      </c>
      <c r="C91" s="144">
        <f>VLOOKUP($A91,'Data shares'!$C:$FA,3)</f>
        <v>10.01</v>
      </c>
      <c r="D91" s="144">
        <f>VLOOKUP($A91,'Data shares'!$C:$FA,23)</f>
        <v>0.06</v>
      </c>
      <c r="E91" s="145">
        <f>VLOOKUP($A91,'Data shares'!$C:$FA,26)*100</f>
        <v>0.6</v>
      </c>
      <c r="F91" s="144">
        <f>VLOOKUP($A91,'Data shares'!$C:$FA,24)</f>
        <v>7.0000000000000007E-2</v>
      </c>
      <c r="G91" s="144">
        <f>VLOOKUP($A91,'Data shares'!$C:$FA,25)</f>
        <v>-0.01</v>
      </c>
    </row>
    <row r="92" spans="1:7" x14ac:dyDescent="0.25">
      <c r="A92" s="101" t="str">
        <f>'Data Vlaue (Cr)'!C88</f>
        <v>IDFCFIRSTB</v>
      </c>
      <c r="B92" s="144">
        <f>VLOOKUP($A92,'Data shares'!$C:$FA,7)</f>
        <v>82.93</v>
      </c>
      <c r="C92" s="144">
        <f>VLOOKUP($A92,'Data shares'!$C:$FA,3)</f>
        <v>83.23</v>
      </c>
      <c r="D92" s="144">
        <f>VLOOKUP($A92,'Data shares'!$C:$FA,23)</f>
        <v>0.3</v>
      </c>
      <c r="E92" s="145">
        <f>VLOOKUP($A92,'Data shares'!$C:$FA,26)*100</f>
        <v>0.36</v>
      </c>
      <c r="F92" s="144">
        <f>VLOOKUP($A92,'Data shares'!$C:$FA,24)</f>
        <v>0.31</v>
      </c>
      <c r="G92" s="144">
        <f>VLOOKUP($A92,'Data shares'!$C:$FA,25)</f>
        <v>-0.01</v>
      </c>
    </row>
    <row r="93" spans="1:7" x14ac:dyDescent="0.25">
      <c r="A93" s="101" t="str">
        <f>'Data Vlaue (Cr)'!C89</f>
        <v>IEX</v>
      </c>
      <c r="B93" s="144">
        <f>VLOOKUP($A93,'Data shares'!$C:$FA,7)</f>
        <v>128.71</v>
      </c>
      <c r="C93" s="144">
        <f>VLOOKUP($A93,'Data shares'!$C:$FA,3)</f>
        <v>128.31</v>
      </c>
      <c r="D93" s="144">
        <f>VLOOKUP($A93,'Data shares'!$C:$FA,23)</f>
        <v>-0.4</v>
      </c>
      <c r="E93" s="145">
        <f>VLOOKUP($A93,'Data shares'!$C:$FA,26)*100</f>
        <v>-0.31</v>
      </c>
      <c r="F93" s="144">
        <f>VLOOKUP($A93,'Data shares'!$C:$FA,24)</f>
        <v>-0.5</v>
      </c>
      <c r="G93" s="144">
        <f>VLOOKUP($A93,'Data shares'!$C:$FA,25)</f>
        <v>0.1</v>
      </c>
    </row>
    <row r="94" spans="1:7" x14ac:dyDescent="0.25">
      <c r="A94" s="101" t="str">
        <f>'Data Vlaue (Cr)'!C90</f>
        <v>INDHOTEL</v>
      </c>
      <c r="B94" s="144">
        <f>VLOOKUP($A94,'Data shares'!$C:$FA,7)</f>
        <v>656.2</v>
      </c>
      <c r="C94" s="144">
        <f>VLOOKUP($A94,'Data shares'!$C:$FA,3)</f>
        <v>659.3</v>
      </c>
      <c r="D94" s="144">
        <f>VLOOKUP($A94,'Data shares'!$C:$FA,23)</f>
        <v>3.1</v>
      </c>
      <c r="E94" s="145">
        <f>VLOOKUP($A94,'Data shares'!$C:$FA,26)*100</f>
        <v>0.47000000000000003</v>
      </c>
      <c r="F94" s="144">
        <f>VLOOKUP($A94,'Data shares'!$C:$FA,24)</f>
        <v>4.8</v>
      </c>
      <c r="G94" s="144">
        <f>VLOOKUP($A94,'Data shares'!$C:$FA,25)</f>
        <v>-1.7</v>
      </c>
    </row>
    <row r="95" spans="1:7" x14ac:dyDescent="0.25">
      <c r="A95" s="101" t="str">
        <f>'Data Vlaue (Cr)'!C91</f>
        <v>INDIANB</v>
      </c>
      <c r="B95" s="144">
        <f>VLOOKUP($A95,'Data shares'!$C:$FA,7)</f>
        <v>898.35</v>
      </c>
      <c r="C95" s="144">
        <f>VLOOKUP($A95,'Data shares'!$C:$FA,3)</f>
        <v>901</v>
      </c>
      <c r="D95" s="144">
        <f>VLOOKUP($A95,'Data shares'!$C:$FA,23)</f>
        <v>2.65</v>
      </c>
      <c r="E95" s="145">
        <f>VLOOKUP($A95,'Data shares'!$C:$FA,26)*100</f>
        <v>0.28999999999999998</v>
      </c>
      <c r="F95" s="144">
        <f>VLOOKUP($A95,'Data shares'!$C:$FA,24)</f>
        <v>6.3</v>
      </c>
      <c r="G95" s="144">
        <f>VLOOKUP($A95,'Data shares'!$C:$FA,25)</f>
        <v>-3.65</v>
      </c>
    </row>
    <row r="96" spans="1:7" x14ac:dyDescent="0.25">
      <c r="A96" s="101" t="str">
        <f>'Data Vlaue (Cr)'!C92</f>
        <v>INDIAVIX</v>
      </c>
      <c r="B96" s="144">
        <f>VLOOKUP($A96,'Data shares'!$C:$FA,7)</f>
        <v>13.53</v>
      </c>
      <c r="C96" s="144">
        <f>VLOOKUP($A96,'Data shares'!$C:$FA,3)</f>
        <v>13.53</v>
      </c>
      <c r="D96" s="144">
        <f>VLOOKUP($A96,'Data shares'!$C:$FA,23)</f>
        <v>0</v>
      </c>
      <c r="E96" s="145">
        <f>VLOOKUP($A96,'Data shares'!$C:$FA,26)*100</f>
        <v>0</v>
      </c>
      <c r="F96" s="144">
        <f>VLOOKUP($A96,'Data shares'!$C:$FA,24)</f>
        <v>0</v>
      </c>
      <c r="G96" s="144">
        <f>VLOOKUP($A96,'Data shares'!$C:$FA,25)</f>
        <v>0</v>
      </c>
    </row>
    <row r="97" spans="1:7" x14ac:dyDescent="0.25">
      <c r="A97" s="101" t="str">
        <f>'Data Vlaue (Cr)'!C93</f>
        <v>INDIGO</v>
      </c>
      <c r="B97" s="144">
        <f>VLOOKUP($A97,'Data shares'!$C:$FA,7)</f>
        <v>4749</v>
      </c>
      <c r="C97" s="144">
        <f>VLOOKUP($A97,'Data shares'!$C:$FA,3)</f>
        <v>4780</v>
      </c>
      <c r="D97" s="144">
        <f>VLOOKUP($A97,'Data shares'!$C:$FA,23)</f>
        <v>31</v>
      </c>
      <c r="E97" s="145">
        <f>VLOOKUP($A97,'Data shares'!$C:$FA,26)*100</f>
        <v>0.65</v>
      </c>
      <c r="F97" s="144">
        <f>VLOOKUP($A97,'Data shares'!$C:$FA,24)</f>
        <v>34</v>
      </c>
      <c r="G97" s="144">
        <f>VLOOKUP($A97,'Data shares'!$C:$FA,25)</f>
        <v>-3</v>
      </c>
    </row>
    <row r="98" spans="1:7" x14ac:dyDescent="0.25">
      <c r="A98" s="101" t="str">
        <f>'Data Vlaue (Cr)'!C94</f>
        <v>INDUSINDBK</v>
      </c>
      <c r="B98" s="144">
        <f>VLOOKUP($A98,'Data shares'!$C:$FA,7)</f>
        <v>901.7</v>
      </c>
      <c r="C98" s="144">
        <f>VLOOKUP($A98,'Data shares'!$C:$FA,3)</f>
        <v>903.85</v>
      </c>
      <c r="D98" s="144">
        <f>VLOOKUP($A98,'Data shares'!$C:$FA,23)</f>
        <v>2.15</v>
      </c>
      <c r="E98" s="145">
        <f>VLOOKUP($A98,'Data shares'!$C:$FA,26)*100</f>
        <v>0.24</v>
      </c>
      <c r="F98" s="144">
        <f>VLOOKUP($A98,'Data shares'!$C:$FA,24)</f>
        <v>4.75</v>
      </c>
      <c r="G98" s="144">
        <f>VLOOKUP($A98,'Data shares'!$C:$FA,25)</f>
        <v>-2.6</v>
      </c>
    </row>
    <row r="99" spans="1:7" x14ac:dyDescent="0.25">
      <c r="A99" s="101" t="str">
        <f>'Data Vlaue (Cr)'!C95</f>
        <v>INDUSTOWER</v>
      </c>
      <c r="B99" s="144">
        <f>VLOOKUP($A99,'Data shares'!$C:$FA,7)</f>
        <v>425.3</v>
      </c>
      <c r="C99" s="144">
        <f>VLOOKUP($A99,'Data shares'!$C:$FA,3)</f>
        <v>426.95</v>
      </c>
      <c r="D99" s="144">
        <f>VLOOKUP($A99,'Data shares'!$C:$FA,23)</f>
        <v>1.65</v>
      </c>
      <c r="E99" s="145">
        <f>VLOOKUP($A99,'Data shares'!$C:$FA,26)*100</f>
        <v>0.38999999999999996</v>
      </c>
      <c r="F99" s="144">
        <f>VLOOKUP($A99,'Data shares'!$C:$FA,24)</f>
        <v>2</v>
      </c>
      <c r="G99" s="144">
        <f>VLOOKUP($A99,'Data shares'!$C:$FA,25)</f>
        <v>-0.35</v>
      </c>
    </row>
    <row r="100" spans="1:7" x14ac:dyDescent="0.25">
      <c r="A100" s="101" t="str">
        <f>'Data Vlaue (Cr)'!C96</f>
        <v>INFY</v>
      </c>
      <c r="B100" s="144">
        <f>VLOOKUP($A100,'Data shares'!$C:$FA,7)</f>
        <v>1666.5</v>
      </c>
      <c r="C100" s="144">
        <f>VLOOKUP($A100,'Data shares'!$C:$FA,3)</f>
        <v>1673.2</v>
      </c>
      <c r="D100" s="144">
        <f>VLOOKUP($A100,'Data shares'!$C:$FA,23)</f>
        <v>6.7</v>
      </c>
      <c r="E100" s="145">
        <f>VLOOKUP($A100,'Data shares'!$C:$FA,26)*100</f>
        <v>0.4</v>
      </c>
      <c r="F100" s="144">
        <f>VLOOKUP($A100,'Data shares'!$C:$FA,24)</f>
        <v>12.9</v>
      </c>
      <c r="G100" s="144">
        <f>VLOOKUP($A100,'Data shares'!$C:$FA,25)</f>
        <v>-6.2</v>
      </c>
    </row>
    <row r="101" spans="1:7" x14ac:dyDescent="0.25">
      <c r="A101" s="101" t="str">
        <f>'Data Vlaue (Cr)'!C97</f>
        <v>INOXWIND</v>
      </c>
      <c r="B101" s="144">
        <f>VLOOKUP($A101,'Data shares'!$C:$FA,7)</f>
        <v>109.25</v>
      </c>
      <c r="C101" s="144">
        <f>VLOOKUP($A101,'Data shares'!$C:$FA,3)</f>
        <v>109.79</v>
      </c>
      <c r="D101" s="144">
        <f>VLOOKUP($A101,'Data shares'!$C:$FA,23)</f>
        <v>0.54</v>
      </c>
      <c r="E101" s="145">
        <f>VLOOKUP($A101,'Data shares'!$C:$FA,26)*100</f>
        <v>0.49</v>
      </c>
      <c r="F101" s="144">
        <f>VLOOKUP($A101,'Data shares'!$C:$FA,24)</f>
        <v>0.44</v>
      </c>
      <c r="G101" s="144">
        <f>VLOOKUP($A101,'Data shares'!$C:$FA,25)</f>
        <v>0.1</v>
      </c>
    </row>
    <row r="102" spans="1:7" x14ac:dyDescent="0.25">
      <c r="A102" s="101" t="str">
        <f>'Data Vlaue (Cr)'!C98</f>
        <v>IOC</v>
      </c>
      <c r="B102" s="144">
        <f>VLOOKUP($A102,'Data shares'!$C:$FA,7)</f>
        <v>162.85</v>
      </c>
      <c r="C102" s="144">
        <f>VLOOKUP($A102,'Data shares'!$C:$FA,3)</f>
        <v>163.75</v>
      </c>
      <c r="D102" s="144">
        <f>VLOOKUP($A102,'Data shares'!$C:$FA,23)</f>
        <v>0.9</v>
      </c>
      <c r="E102" s="145">
        <f>VLOOKUP($A102,'Data shares'!$C:$FA,26)*100</f>
        <v>0.54999999999999993</v>
      </c>
      <c r="F102" s="144">
        <f>VLOOKUP($A102,'Data shares'!$C:$FA,24)</f>
        <v>0.73</v>
      </c>
      <c r="G102" s="144">
        <f>VLOOKUP($A102,'Data shares'!$C:$FA,25)</f>
        <v>0.17</v>
      </c>
    </row>
    <row r="103" spans="1:7" x14ac:dyDescent="0.25">
      <c r="A103" s="101" t="str">
        <f>'Data Vlaue (Cr)'!C99</f>
        <v>IRCTC</v>
      </c>
      <c r="B103" s="144">
        <f>VLOOKUP($A103,'Data shares'!$C:$FA,7)</f>
        <v>625.1</v>
      </c>
      <c r="C103" s="144">
        <f>VLOOKUP($A103,'Data shares'!$C:$FA,3)</f>
        <v>623.35</v>
      </c>
      <c r="D103" s="144">
        <f>VLOOKUP($A103,'Data shares'!$C:$FA,23)</f>
        <v>-1.75</v>
      </c>
      <c r="E103" s="145">
        <f>VLOOKUP($A103,'Data shares'!$C:$FA,26)*100</f>
        <v>-0.27999999999999997</v>
      </c>
      <c r="F103" s="144">
        <f>VLOOKUP($A103,'Data shares'!$C:$FA,24)</f>
        <v>1.55</v>
      </c>
      <c r="G103" s="144">
        <f>VLOOKUP($A103,'Data shares'!$C:$FA,25)</f>
        <v>-3.3</v>
      </c>
    </row>
    <row r="104" spans="1:7" x14ac:dyDescent="0.25">
      <c r="A104" s="101" t="str">
        <f>'Data Vlaue (Cr)'!C100</f>
        <v>IREDA</v>
      </c>
      <c r="B104" s="144">
        <f>VLOOKUP($A104,'Data shares'!$C:$FA,7)</f>
        <v>133.87</v>
      </c>
      <c r="C104" s="144">
        <f>VLOOKUP($A104,'Data shares'!$C:$FA,3)</f>
        <v>131.54</v>
      </c>
      <c r="D104" s="144">
        <f>VLOOKUP($A104,'Data shares'!$C:$FA,23)</f>
        <v>-2.33</v>
      </c>
      <c r="E104" s="145">
        <f>VLOOKUP($A104,'Data shares'!$C:$FA,26)*100</f>
        <v>-1.7399999999999998</v>
      </c>
      <c r="F104" s="144">
        <f>VLOOKUP($A104,'Data shares'!$C:$FA,24)</f>
        <v>-1.17</v>
      </c>
      <c r="G104" s="144">
        <f>VLOOKUP($A104,'Data shares'!$C:$FA,25)</f>
        <v>-1.1599999999999999</v>
      </c>
    </row>
    <row r="105" spans="1:7" x14ac:dyDescent="0.25">
      <c r="A105" s="101" t="str">
        <f>'Data Vlaue (Cr)'!C101</f>
        <v>IRFC</v>
      </c>
      <c r="B105" s="144">
        <f>VLOOKUP($A105,'Data shares'!$C:$FA,7)</f>
        <v>120.15</v>
      </c>
      <c r="C105" s="144">
        <f>VLOOKUP($A105,'Data shares'!$C:$FA,3)</f>
        <v>120.33</v>
      </c>
      <c r="D105" s="144">
        <f>VLOOKUP($A105,'Data shares'!$C:$FA,23)</f>
        <v>0.18</v>
      </c>
      <c r="E105" s="145">
        <f>VLOOKUP($A105,'Data shares'!$C:$FA,26)*100</f>
        <v>0.15</v>
      </c>
      <c r="F105" s="144">
        <f>VLOOKUP($A105,'Data shares'!$C:$FA,24)</f>
        <v>0.56999999999999995</v>
      </c>
      <c r="G105" s="144">
        <f>VLOOKUP($A105,'Data shares'!$C:$FA,25)</f>
        <v>-0.39</v>
      </c>
    </row>
    <row r="106" spans="1:7" x14ac:dyDescent="0.25">
      <c r="A106" s="101" t="str">
        <f>'Data Vlaue (Cr)'!C102</f>
        <v>ITC</v>
      </c>
      <c r="B106" s="144">
        <f>VLOOKUP($A106,'Data shares'!$C:$FA,7)</f>
        <v>321.14999999999998</v>
      </c>
      <c r="C106" s="144">
        <f>VLOOKUP($A106,'Data shares'!$C:$FA,3)</f>
        <v>322.75</v>
      </c>
      <c r="D106" s="144">
        <f>VLOOKUP($A106,'Data shares'!$C:$FA,23)</f>
        <v>1.6</v>
      </c>
      <c r="E106" s="145">
        <f>VLOOKUP($A106,'Data shares'!$C:$FA,26)*100</f>
        <v>0.5</v>
      </c>
      <c r="F106" s="144">
        <f>VLOOKUP($A106,'Data shares'!$C:$FA,24)</f>
        <v>1.8</v>
      </c>
      <c r="G106" s="144">
        <f>VLOOKUP($A106,'Data shares'!$C:$FA,25)</f>
        <v>-0.2</v>
      </c>
    </row>
    <row r="107" spans="1:7" x14ac:dyDescent="0.25">
      <c r="A107" s="101" t="str">
        <f>'Data Vlaue (Cr)'!C103</f>
        <v>JINDALSTEL</v>
      </c>
      <c r="B107" s="144">
        <f>VLOOKUP($A107,'Data shares'!$C:$FA,7)</f>
        <v>1119.4000000000001</v>
      </c>
      <c r="C107" s="144">
        <f>VLOOKUP($A107,'Data shares'!$C:$FA,3)</f>
        <v>1123.9000000000001</v>
      </c>
      <c r="D107" s="144">
        <f>VLOOKUP($A107,'Data shares'!$C:$FA,23)</f>
        <v>4.5</v>
      </c>
      <c r="E107" s="145">
        <f>VLOOKUP($A107,'Data shares'!$C:$FA,26)*100</f>
        <v>0.4</v>
      </c>
      <c r="F107" s="144">
        <f>VLOOKUP($A107,'Data shares'!$C:$FA,24)</f>
        <v>7.9</v>
      </c>
      <c r="G107" s="144">
        <f>VLOOKUP($A107,'Data shares'!$C:$FA,25)</f>
        <v>-3.4</v>
      </c>
    </row>
    <row r="108" spans="1:7" x14ac:dyDescent="0.25">
      <c r="A108" s="101" t="str">
        <f>'Data Vlaue (Cr)'!C104</f>
        <v>JIOFIN</v>
      </c>
      <c r="B108" s="144">
        <f>VLOOKUP($A108,'Data shares'!$C:$FA,7)</f>
        <v>255.2</v>
      </c>
      <c r="C108" s="144">
        <f>VLOOKUP($A108,'Data shares'!$C:$FA,3)</f>
        <v>256.95</v>
      </c>
      <c r="D108" s="144">
        <f>VLOOKUP($A108,'Data shares'!$C:$FA,23)</f>
        <v>1.75</v>
      </c>
      <c r="E108" s="145">
        <f>VLOOKUP($A108,'Data shares'!$C:$FA,26)*100</f>
        <v>0.69</v>
      </c>
      <c r="F108" s="144">
        <f>VLOOKUP($A108,'Data shares'!$C:$FA,24)</f>
        <v>1.25</v>
      </c>
      <c r="G108" s="144">
        <f>VLOOKUP($A108,'Data shares'!$C:$FA,25)</f>
        <v>0.5</v>
      </c>
    </row>
    <row r="109" spans="1:7" x14ac:dyDescent="0.25">
      <c r="A109" s="101" t="str">
        <f>'Data Vlaue (Cr)'!C105</f>
        <v>JSWENERGY</v>
      </c>
      <c r="B109" s="144">
        <f>VLOOKUP($A109,'Data shares'!$C:$FA,7)</f>
        <v>446.25</v>
      </c>
      <c r="C109" s="144">
        <f>VLOOKUP($A109,'Data shares'!$C:$FA,3)</f>
        <v>449.35</v>
      </c>
      <c r="D109" s="144">
        <f>VLOOKUP($A109,'Data shares'!$C:$FA,23)</f>
        <v>3.1</v>
      </c>
      <c r="E109" s="145">
        <f>VLOOKUP($A109,'Data shares'!$C:$FA,26)*100</f>
        <v>0.69</v>
      </c>
      <c r="F109" s="144">
        <f>VLOOKUP($A109,'Data shares'!$C:$FA,24)</f>
        <v>1.65</v>
      </c>
      <c r="G109" s="144">
        <f>VLOOKUP($A109,'Data shares'!$C:$FA,25)</f>
        <v>1.45</v>
      </c>
    </row>
    <row r="110" spans="1:7" x14ac:dyDescent="0.25">
      <c r="A110" s="101" t="str">
        <f>'Data Vlaue (Cr)'!C106</f>
        <v>JSWSTEEL</v>
      </c>
      <c r="B110" s="144">
        <f>VLOOKUP($A110,'Data shares'!$C:$FA,7)</f>
        <v>1218.7</v>
      </c>
      <c r="C110" s="144">
        <f>VLOOKUP($A110,'Data shares'!$C:$FA,3)</f>
        <v>1223.5999999999999</v>
      </c>
      <c r="D110" s="144">
        <f>VLOOKUP($A110,'Data shares'!$C:$FA,23)</f>
        <v>4.9000000000000004</v>
      </c>
      <c r="E110" s="145">
        <f>VLOOKUP($A110,'Data shares'!$C:$FA,26)*100</f>
        <v>0.4</v>
      </c>
      <c r="F110" s="144">
        <f>VLOOKUP($A110,'Data shares'!$C:$FA,24)</f>
        <v>9.4</v>
      </c>
      <c r="G110" s="144">
        <f>VLOOKUP($A110,'Data shares'!$C:$FA,25)</f>
        <v>-4.5</v>
      </c>
    </row>
    <row r="111" spans="1:7" x14ac:dyDescent="0.25">
      <c r="A111" s="101" t="str">
        <f>'Data Vlaue (Cr)'!C107</f>
        <v>JUBLFOOD</v>
      </c>
      <c r="B111" s="144">
        <f>VLOOKUP($A111,'Data shares'!$C:$FA,7)</f>
        <v>493.65</v>
      </c>
      <c r="C111" s="144">
        <f>VLOOKUP($A111,'Data shares'!$C:$FA,3)</f>
        <v>494.15</v>
      </c>
      <c r="D111" s="144">
        <f>VLOOKUP($A111,'Data shares'!$C:$FA,23)</f>
        <v>0.5</v>
      </c>
      <c r="E111" s="145">
        <f>VLOOKUP($A111,'Data shares'!$C:$FA,26)*100</f>
        <v>0.1</v>
      </c>
      <c r="F111" s="144">
        <f>VLOOKUP($A111,'Data shares'!$C:$FA,24)</f>
        <v>3</v>
      </c>
      <c r="G111" s="144">
        <f>VLOOKUP($A111,'Data shares'!$C:$FA,25)</f>
        <v>-2.5</v>
      </c>
    </row>
    <row r="112" spans="1:7" x14ac:dyDescent="0.25">
      <c r="A112" s="101" t="str">
        <f>'Data Vlaue (Cr)'!C108</f>
        <v>KALYANKJIL</v>
      </c>
      <c r="B112" s="144">
        <f>VLOOKUP($A112,'Data shares'!$C:$FA,7)</f>
        <v>367.95</v>
      </c>
      <c r="C112" s="144">
        <f>VLOOKUP($A112,'Data shares'!$C:$FA,3)</f>
        <v>370.35</v>
      </c>
      <c r="D112" s="144">
        <f>VLOOKUP($A112,'Data shares'!$C:$FA,23)</f>
        <v>2.4</v>
      </c>
      <c r="E112" s="145">
        <f>VLOOKUP($A112,'Data shares'!$C:$FA,26)*100</f>
        <v>0.65</v>
      </c>
      <c r="F112" s="144">
        <f>VLOOKUP($A112,'Data shares'!$C:$FA,24)</f>
        <v>2.5</v>
      </c>
      <c r="G112" s="144">
        <f>VLOOKUP($A112,'Data shares'!$C:$FA,25)</f>
        <v>-0.1</v>
      </c>
    </row>
    <row r="113" spans="1:7" x14ac:dyDescent="0.25">
      <c r="A113" s="101" t="str">
        <f>'Data Vlaue (Cr)'!C109</f>
        <v>KAYNES</v>
      </c>
      <c r="B113" s="144">
        <f>VLOOKUP($A113,'Data shares'!$C:$FA,7)</f>
        <v>3490.6</v>
      </c>
      <c r="C113" s="144">
        <f>VLOOKUP($A113,'Data shares'!$C:$FA,3)</f>
        <v>3503.6</v>
      </c>
      <c r="D113" s="144">
        <f>VLOOKUP($A113,'Data shares'!$C:$FA,23)</f>
        <v>13</v>
      </c>
      <c r="E113" s="145">
        <f>VLOOKUP($A113,'Data shares'!$C:$FA,26)*100</f>
        <v>0.37</v>
      </c>
      <c r="F113" s="144">
        <f>VLOOKUP($A113,'Data shares'!$C:$FA,24)</f>
        <v>17.8</v>
      </c>
      <c r="G113" s="144">
        <f>VLOOKUP($A113,'Data shares'!$C:$FA,25)</f>
        <v>-4.8</v>
      </c>
    </row>
    <row r="114" spans="1:7" x14ac:dyDescent="0.25">
      <c r="A114" s="101" t="str">
        <f>'Data Vlaue (Cr)'!C110</f>
        <v>KEI</v>
      </c>
      <c r="B114" s="144">
        <f>VLOOKUP($A114,'Data shares'!$C:$FA,7)</f>
        <v>3879.1</v>
      </c>
      <c r="C114" s="144">
        <f>VLOOKUP($A114,'Data shares'!$C:$FA,3)</f>
        <v>3871.2</v>
      </c>
      <c r="D114" s="144">
        <f>VLOOKUP($A114,'Data shares'!$C:$FA,23)</f>
        <v>-7.9</v>
      </c>
      <c r="E114" s="145">
        <f>VLOOKUP($A114,'Data shares'!$C:$FA,26)*100</f>
        <v>-0.2</v>
      </c>
      <c r="F114" s="144">
        <f>VLOOKUP($A114,'Data shares'!$C:$FA,24)</f>
        <v>-43.5</v>
      </c>
      <c r="G114" s="144">
        <f>VLOOKUP($A114,'Data shares'!$C:$FA,25)</f>
        <v>35.6</v>
      </c>
    </row>
    <row r="115" spans="1:7" x14ac:dyDescent="0.25">
      <c r="A115" s="101" t="str">
        <f>'Data Vlaue (Cr)'!C111</f>
        <v>KFINTECH</v>
      </c>
      <c r="B115" s="144">
        <f>VLOOKUP($A115,'Data shares'!$C:$FA,7)</f>
        <v>1022.1</v>
      </c>
      <c r="C115" s="144">
        <f>VLOOKUP($A115,'Data shares'!$C:$FA,3)</f>
        <v>1000.9</v>
      </c>
      <c r="D115" s="144">
        <f>VLOOKUP($A115,'Data shares'!$C:$FA,23)</f>
        <v>-21.2</v>
      </c>
      <c r="E115" s="145">
        <f>VLOOKUP($A115,'Data shares'!$C:$FA,26)*100</f>
        <v>-2.0699999999999998</v>
      </c>
      <c r="F115" s="144">
        <f>VLOOKUP($A115,'Data shares'!$C:$FA,24)</f>
        <v>-29.7</v>
      </c>
      <c r="G115" s="144">
        <f>VLOOKUP($A115,'Data shares'!$C:$FA,25)</f>
        <v>8.5</v>
      </c>
    </row>
    <row r="116" spans="1:7" x14ac:dyDescent="0.25">
      <c r="A116" s="101" t="str">
        <f>'Data Vlaue (Cr)'!C112</f>
        <v>KOTAKBANK</v>
      </c>
      <c r="B116" s="144">
        <f>VLOOKUP($A116,'Data shares'!$C:$FA,7)</f>
        <v>412.4</v>
      </c>
      <c r="C116" s="144">
        <f>VLOOKUP($A116,'Data shares'!$C:$FA,3)</f>
        <v>413.8</v>
      </c>
      <c r="D116" s="144">
        <f>VLOOKUP($A116,'Data shares'!$C:$FA,23)</f>
        <v>1.4</v>
      </c>
      <c r="E116" s="145">
        <f>VLOOKUP($A116,'Data shares'!$C:$FA,26)*100</f>
        <v>0.33999999999999997</v>
      </c>
      <c r="F116" s="144">
        <f>VLOOKUP($A116,'Data shares'!$C:$FA,24)</f>
        <v>2.7</v>
      </c>
      <c r="G116" s="144">
        <f>VLOOKUP($A116,'Data shares'!$C:$FA,25)</f>
        <v>-1.3</v>
      </c>
    </row>
    <row r="117" spans="1:7" x14ac:dyDescent="0.25">
      <c r="A117" s="101" t="str">
        <f>'Data Vlaue (Cr)'!C113</f>
        <v>KPITTECH</v>
      </c>
      <c r="B117" s="144">
        <f>VLOOKUP($A117,'Data shares'!$C:$FA,7)</f>
        <v>1105.8</v>
      </c>
      <c r="C117" s="144">
        <f>VLOOKUP($A117,'Data shares'!$C:$FA,3)</f>
        <v>1104.8</v>
      </c>
      <c r="D117" s="144">
        <f>VLOOKUP($A117,'Data shares'!$C:$FA,23)</f>
        <v>-1</v>
      </c>
      <c r="E117" s="145">
        <f>VLOOKUP($A117,'Data shares'!$C:$FA,26)*100</f>
        <v>-0.09</v>
      </c>
      <c r="F117" s="144">
        <f>VLOOKUP($A117,'Data shares'!$C:$FA,24)</f>
        <v>5.6</v>
      </c>
      <c r="G117" s="144">
        <f>VLOOKUP($A117,'Data shares'!$C:$FA,25)</f>
        <v>-6.6</v>
      </c>
    </row>
    <row r="118" spans="1:7" x14ac:dyDescent="0.25">
      <c r="A118" s="101" t="str">
        <f>'Data Vlaue (Cr)'!C114</f>
        <v>LAURUSLABS</v>
      </c>
      <c r="B118" s="144">
        <f>VLOOKUP($A118,'Data shares'!$C:$FA,7)</f>
        <v>999</v>
      </c>
      <c r="C118" s="144">
        <f>VLOOKUP($A118,'Data shares'!$C:$FA,3)</f>
        <v>1005.7</v>
      </c>
      <c r="D118" s="144">
        <f>VLOOKUP($A118,'Data shares'!$C:$FA,23)</f>
        <v>6.7</v>
      </c>
      <c r="E118" s="145">
        <f>VLOOKUP($A118,'Data shares'!$C:$FA,26)*100</f>
        <v>0.67</v>
      </c>
      <c r="F118" s="144">
        <f>VLOOKUP($A118,'Data shares'!$C:$FA,24)</f>
        <v>7.2</v>
      </c>
      <c r="G118" s="144">
        <f>VLOOKUP($A118,'Data shares'!$C:$FA,25)</f>
        <v>-0.5</v>
      </c>
    </row>
    <row r="119" spans="1:7" x14ac:dyDescent="0.25">
      <c r="A119" s="101" t="str">
        <f>'Data Vlaue (Cr)'!C115</f>
        <v>LICHSGFIN</v>
      </c>
      <c r="B119" s="144">
        <f>VLOOKUP($A119,'Data shares'!$C:$FA,7)</f>
        <v>519</v>
      </c>
      <c r="C119" s="144">
        <f>VLOOKUP($A119,'Data shares'!$C:$FA,3)</f>
        <v>521.20000000000005</v>
      </c>
      <c r="D119" s="144">
        <f>VLOOKUP($A119,'Data shares'!$C:$FA,23)</f>
        <v>2.2000000000000002</v>
      </c>
      <c r="E119" s="145">
        <f>VLOOKUP($A119,'Data shares'!$C:$FA,26)*100</f>
        <v>0.42</v>
      </c>
      <c r="F119" s="144">
        <f>VLOOKUP($A119,'Data shares'!$C:$FA,24)</f>
        <v>2.75</v>
      </c>
      <c r="G119" s="144">
        <f>VLOOKUP($A119,'Data shares'!$C:$FA,25)</f>
        <v>-0.55000000000000004</v>
      </c>
    </row>
    <row r="120" spans="1:7" x14ac:dyDescent="0.25">
      <c r="A120" s="101" t="str">
        <f>'Data Vlaue (Cr)'!C116</f>
        <v>LICI</v>
      </c>
      <c r="B120" s="144">
        <f>VLOOKUP($A120,'Data shares'!$C:$FA,7)</f>
        <v>822.15</v>
      </c>
      <c r="C120" s="144">
        <f>VLOOKUP($A120,'Data shares'!$C:$FA,3)</f>
        <v>827</v>
      </c>
      <c r="D120" s="144">
        <f>VLOOKUP($A120,'Data shares'!$C:$FA,23)</f>
        <v>4.8499999999999996</v>
      </c>
      <c r="E120" s="145">
        <f>VLOOKUP($A120,'Data shares'!$C:$FA,26)*100</f>
        <v>0.59</v>
      </c>
      <c r="F120" s="144">
        <f>VLOOKUP($A120,'Data shares'!$C:$FA,24)</f>
        <v>4.0999999999999996</v>
      </c>
      <c r="G120" s="144">
        <f>VLOOKUP($A120,'Data shares'!$C:$FA,25)</f>
        <v>0.75</v>
      </c>
    </row>
    <row r="121" spans="1:7" x14ac:dyDescent="0.25">
      <c r="A121" s="101" t="str">
        <f>'Data Vlaue (Cr)'!C117</f>
        <v>LODHA</v>
      </c>
      <c r="B121" s="144">
        <f>VLOOKUP($A121,'Data shares'!$C:$FA,7)</f>
        <v>929.1</v>
      </c>
      <c r="C121" s="144">
        <f>VLOOKUP($A121,'Data shares'!$C:$FA,3)</f>
        <v>931.9</v>
      </c>
      <c r="D121" s="144">
        <f>VLOOKUP($A121,'Data shares'!$C:$FA,23)</f>
        <v>2.8</v>
      </c>
      <c r="E121" s="145">
        <f>VLOOKUP($A121,'Data shares'!$C:$FA,26)*100</f>
        <v>0.3</v>
      </c>
      <c r="F121" s="144">
        <f>VLOOKUP($A121,'Data shares'!$C:$FA,24)</f>
        <v>4.8</v>
      </c>
      <c r="G121" s="144">
        <f>VLOOKUP($A121,'Data shares'!$C:$FA,25)</f>
        <v>-2</v>
      </c>
    </row>
    <row r="122" spans="1:7" x14ac:dyDescent="0.25">
      <c r="A122" s="101" t="str">
        <f>'Data Vlaue (Cr)'!C118</f>
        <v>LT</v>
      </c>
      <c r="B122" s="144">
        <f>VLOOKUP($A122,'Data shares'!$C:$FA,7)</f>
        <v>3794</v>
      </c>
      <c r="C122" s="144">
        <f>VLOOKUP($A122,'Data shares'!$C:$FA,3)</f>
        <v>3815.8</v>
      </c>
      <c r="D122" s="144">
        <f>VLOOKUP($A122,'Data shares'!$C:$FA,23)</f>
        <v>21.8</v>
      </c>
      <c r="E122" s="145">
        <f>VLOOKUP($A122,'Data shares'!$C:$FA,26)*100</f>
        <v>0.57000000000000006</v>
      </c>
      <c r="F122" s="144">
        <f>VLOOKUP($A122,'Data shares'!$C:$FA,24)</f>
        <v>20.9</v>
      </c>
      <c r="G122" s="144">
        <f>VLOOKUP($A122,'Data shares'!$C:$FA,25)</f>
        <v>0.9</v>
      </c>
    </row>
    <row r="123" spans="1:7" x14ac:dyDescent="0.25">
      <c r="A123" s="101" t="str">
        <f>'Data Vlaue (Cr)'!C119</f>
        <v>LTF</v>
      </c>
      <c r="B123" s="144">
        <f>VLOOKUP($A123,'Data shares'!$C:$FA,7)</f>
        <v>289.39999999999998</v>
      </c>
      <c r="C123" s="144">
        <f>VLOOKUP($A123,'Data shares'!$C:$FA,3)</f>
        <v>290.85000000000002</v>
      </c>
      <c r="D123" s="144">
        <f>VLOOKUP($A123,'Data shares'!$C:$FA,23)</f>
        <v>1.45</v>
      </c>
      <c r="E123" s="145">
        <f>VLOOKUP($A123,'Data shares'!$C:$FA,26)*100</f>
        <v>0.5</v>
      </c>
      <c r="F123" s="144">
        <f>VLOOKUP($A123,'Data shares'!$C:$FA,24)</f>
        <v>2</v>
      </c>
      <c r="G123" s="144">
        <f>VLOOKUP($A123,'Data shares'!$C:$FA,25)</f>
        <v>-0.55000000000000004</v>
      </c>
    </row>
    <row r="124" spans="1:7" x14ac:dyDescent="0.25">
      <c r="A124" s="101" t="str">
        <f>'Data Vlaue (Cr)'!C120</f>
        <v>LTIM</v>
      </c>
      <c r="B124" s="144">
        <f>VLOOKUP($A124,'Data shares'!$C:$FA,7)</f>
        <v>6015.5</v>
      </c>
      <c r="C124" s="144">
        <f>VLOOKUP($A124,'Data shares'!$C:$FA,3)</f>
        <v>6047</v>
      </c>
      <c r="D124" s="144">
        <f>VLOOKUP($A124,'Data shares'!$C:$FA,23)</f>
        <v>31.5</v>
      </c>
      <c r="E124" s="145">
        <f>VLOOKUP($A124,'Data shares'!$C:$FA,26)*100</f>
        <v>0.52</v>
      </c>
      <c r="F124" s="144">
        <f>VLOOKUP($A124,'Data shares'!$C:$FA,24)</f>
        <v>42</v>
      </c>
      <c r="G124" s="144">
        <f>VLOOKUP($A124,'Data shares'!$C:$FA,25)</f>
        <v>-10.5</v>
      </c>
    </row>
    <row r="125" spans="1:7" x14ac:dyDescent="0.25">
      <c r="A125" s="101" t="str">
        <f>'Data Vlaue (Cr)'!C121</f>
        <v>LUPIN</v>
      </c>
      <c r="B125" s="144">
        <f>VLOOKUP($A125,'Data shares'!$C:$FA,7)</f>
        <v>2129.5</v>
      </c>
      <c r="C125" s="144">
        <f>VLOOKUP($A125,'Data shares'!$C:$FA,3)</f>
        <v>2135.5</v>
      </c>
      <c r="D125" s="144">
        <f>VLOOKUP($A125,'Data shares'!$C:$FA,23)</f>
        <v>6</v>
      </c>
      <c r="E125" s="145">
        <f>VLOOKUP($A125,'Data shares'!$C:$FA,26)*100</f>
        <v>0.27999999999999997</v>
      </c>
      <c r="F125" s="144">
        <f>VLOOKUP($A125,'Data shares'!$C:$FA,24)</f>
        <v>7.6</v>
      </c>
      <c r="G125" s="144">
        <f>VLOOKUP($A125,'Data shares'!$C:$FA,25)</f>
        <v>-1.6</v>
      </c>
    </row>
    <row r="126" spans="1:7" x14ac:dyDescent="0.25">
      <c r="A126" s="101" t="str">
        <f>'Data Vlaue (Cr)'!C122</f>
        <v>M&amp;M</v>
      </c>
      <c r="B126" s="144">
        <f>VLOOKUP($A126,'Data shares'!$C:$FA,7)</f>
        <v>3449.2</v>
      </c>
      <c r="C126" s="144">
        <f>VLOOKUP($A126,'Data shares'!$C:$FA,3)</f>
        <v>3470.4</v>
      </c>
      <c r="D126" s="144">
        <f>VLOOKUP($A126,'Data shares'!$C:$FA,23)</f>
        <v>21.2</v>
      </c>
      <c r="E126" s="145">
        <f>VLOOKUP($A126,'Data shares'!$C:$FA,26)*100</f>
        <v>0.61</v>
      </c>
      <c r="F126" s="144">
        <f>VLOOKUP($A126,'Data shares'!$C:$FA,24)</f>
        <v>23.8</v>
      </c>
      <c r="G126" s="144">
        <f>VLOOKUP($A126,'Data shares'!$C:$FA,25)</f>
        <v>-2.6</v>
      </c>
    </row>
    <row r="127" spans="1:7" x14ac:dyDescent="0.25">
      <c r="A127" s="101" t="str">
        <f>'Data Vlaue (Cr)'!C123</f>
        <v>MANAPPURAM</v>
      </c>
      <c r="B127" s="144">
        <f>VLOOKUP($A127,'Data shares'!$C:$FA,7)</f>
        <v>291.7</v>
      </c>
      <c r="C127" s="144">
        <f>VLOOKUP($A127,'Data shares'!$C:$FA,3)</f>
        <v>292.45</v>
      </c>
      <c r="D127" s="144">
        <f>VLOOKUP($A127,'Data shares'!$C:$FA,23)</f>
        <v>0.75</v>
      </c>
      <c r="E127" s="145">
        <f>VLOOKUP($A127,'Data shares'!$C:$FA,26)*100</f>
        <v>0.26</v>
      </c>
      <c r="F127" s="144">
        <f>VLOOKUP($A127,'Data shares'!$C:$FA,24)</f>
        <v>1.85</v>
      </c>
      <c r="G127" s="144">
        <f>VLOOKUP($A127,'Data shares'!$C:$FA,25)</f>
        <v>-1.1000000000000001</v>
      </c>
    </row>
    <row r="128" spans="1:7" x14ac:dyDescent="0.25">
      <c r="A128" s="101" t="str">
        <f>'Data Vlaue (Cr)'!C124</f>
        <v>MANKIND</v>
      </c>
      <c r="B128" s="144">
        <f>VLOOKUP($A128,'Data shares'!$C:$FA,7)</f>
        <v>2116.9</v>
      </c>
      <c r="C128" s="144">
        <f>VLOOKUP($A128,'Data shares'!$C:$FA,3)</f>
        <v>2122.5</v>
      </c>
      <c r="D128" s="144">
        <f>VLOOKUP($A128,'Data shares'!$C:$FA,23)</f>
        <v>5.6</v>
      </c>
      <c r="E128" s="145">
        <f>VLOOKUP($A128,'Data shares'!$C:$FA,26)*100</f>
        <v>0.26</v>
      </c>
      <c r="F128" s="144">
        <f>VLOOKUP($A128,'Data shares'!$C:$FA,24)</f>
        <v>12.5</v>
      </c>
      <c r="G128" s="144">
        <f>VLOOKUP($A128,'Data shares'!$C:$FA,25)</f>
        <v>-6.9</v>
      </c>
    </row>
    <row r="129" spans="1:7" x14ac:dyDescent="0.25">
      <c r="A129" s="101" t="str">
        <f>'Data Vlaue (Cr)'!C125</f>
        <v>MARICO</v>
      </c>
      <c r="B129" s="144">
        <f>VLOOKUP($A129,'Data shares'!$C:$FA,7)</f>
        <v>736.65</v>
      </c>
      <c r="C129" s="144">
        <f>VLOOKUP($A129,'Data shares'!$C:$FA,3)</f>
        <v>741.65</v>
      </c>
      <c r="D129" s="144">
        <f>VLOOKUP($A129,'Data shares'!$C:$FA,23)</f>
        <v>5</v>
      </c>
      <c r="E129" s="145">
        <f>VLOOKUP($A129,'Data shares'!$C:$FA,26)*100</f>
        <v>0.67999999999999994</v>
      </c>
      <c r="F129" s="144">
        <f>VLOOKUP($A129,'Data shares'!$C:$FA,24)</f>
        <v>5.05</v>
      </c>
      <c r="G129" s="144">
        <f>VLOOKUP($A129,'Data shares'!$C:$FA,25)</f>
        <v>-0.05</v>
      </c>
    </row>
    <row r="130" spans="1:7" x14ac:dyDescent="0.25">
      <c r="A130" s="101" t="str">
        <f>'Data Vlaue (Cr)'!C126</f>
        <v>MARUTI</v>
      </c>
      <c r="B130" s="144">
        <f>VLOOKUP($A130,'Data shares'!$C:$FA,7)</f>
        <v>14877</v>
      </c>
      <c r="C130" s="144">
        <f>VLOOKUP($A130,'Data shares'!$C:$FA,3)</f>
        <v>14950</v>
      </c>
      <c r="D130" s="144">
        <f>VLOOKUP($A130,'Data shares'!$C:$FA,23)</f>
        <v>73</v>
      </c>
      <c r="E130" s="145">
        <f>VLOOKUP($A130,'Data shares'!$C:$FA,26)*100</f>
        <v>0.49</v>
      </c>
      <c r="F130" s="144">
        <f>VLOOKUP($A130,'Data shares'!$C:$FA,24)</f>
        <v>96</v>
      </c>
      <c r="G130" s="144">
        <f>VLOOKUP($A130,'Data shares'!$C:$FA,25)</f>
        <v>-23</v>
      </c>
    </row>
    <row r="131" spans="1:7" x14ac:dyDescent="0.25">
      <c r="A131" s="101" t="str">
        <f>'Data Vlaue (Cr)'!C127</f>
        <v>MAXHEALTH</v>
      </c>
      <c r="B131" s="144">
        <f>VLOOKUP($A131,'Data shares'!$C:$FA,7)</f>
        <v>958.6</v>
      </c>
      <c r="C131" s="144">
        <f>VLOOKUP($A131,'Data shares'!$C:$FA,3)</f>
        <v>964</v>
      </c>
      <c r="D131" s="144">
        <f>VLOOKUP($A131,'Data shares'!$C:$FA,23)</f>
        <v>5.4</v>
      </c>
      <c r="E131" s="145">
        <f>VLOOKUP($A131,'Data shares'!$C:$FA,26)*100</f>
        <v>0.55999999999999994</v>
      </c>
      <c r="F131" s="144">
        <f>VLOOKUP($A131,'Data shares'!$C:$FA,24)</f>
        <v>7.1</v>
      </c>
      <c r="G131" s="144">
        <f>VLOOKUP($A131,'Data shares'!$C:$FA,25)</f>
        <v>-1.7</v>
      </c>
    </row>
    <row r="132" spans="1:7" x14ac:dyDescent="0.25">
      <c r="A132" s="101" t="str">
        <f>'Data Vlaue (Cr)'!C128</f>
        <v>MAZDOCK</v>
      </c>
      <c r="B132" s="144">
        <f>VLOOKUP($A132,'Data shares'!$C:$FA,7)</f>
        <v>2505.6</v>
      </c>
      <c r="C132" s="144">
        <f>VLOOKUP($A132,'Data shares'!$C:$FA,3)</f>
        <v>2518.1999999999998</v>
      </c>
      <c r="D132" s="144">
        <f>VLOOKUP($A132,'Data shares'!$C:$FA,23)</f>
        <v>12.6</v>
      </c>
      <c r="E132" s="145">
        <f>VLOOKUP($A132,'Data shares'!$C:$FA,26)*100</f>
        <v>0.5</v>
      </c>
      <c r="F132" s="144">
        <f>VLOOKUP($A132,'Data shares'!$C:$FA,24)</f>
        <v>7.4</v>
      </c>
      <c r="G132" s="144">
        <f>VLOOKUP($A132,'Data shares'!$C:$FA,25)</f>
        <v>5.2</v>
      </c>
    </row>
    <row r="133" spans="1:7" x14ac:dyDescent="0.25">
      <c r="A133" s="101" t="str">
        <f>'Data Vlaue (Cr)'!C129</f>
        <v>MCX</v>
      </c>
      <c r="B133" s="144">
        <f>VLOOKUP($A133,'Data shares'!$C:$FA,7)</f>
        <v>2593</v>
      </c>
      <c r="C133" s="144">
        <f>VLOOKUP($A133,'Data shares'!$C:$FA,3)</f>
        <v>2605</v>
      </c>
      <c r="D133" s="144">
        <f>VLOOKUP($A133,'Data shares'!$C:$FA,23)</f>
        <v>12</v>
      </c>
      <c r="E133" s="145">
        <f>VLOOKUP($A133,'Data shares'!$C:$FA,26)*100</f>
        <v>0.45999999999999996</v>
      </c>
      <c r="F133" s="144">
        <f>VLOOKUP($A133,'Data shares'!$C:$FA,24)</f>
        <v>19</v>
      </c>
      <c r="G133" s="144">
        <f>VLOOKUP($A133,'Data shares'!$C:$FA,25)</f>
        <v>-7</v>
      </c>
    </row>
    <row r="134" spans="1:7" x14ac:dyDescent="0.25">
      <c r="A134" s="101" t="str">
        <f>'Data Vlaue (Cr)'!C130</f>
        <v>MFSL</v>
      </c>
      <c r="B134" s="144">
        <f>VLOOKUP($A134,'Data shares'!$C:$FA,7)</f>
        <v>1623.9</v>
      </c>
      <c r="C134" s="144">
        <f>VLOOKUP($A134,'Data shares'!$C:$FA,3)</f>
        <v>1629.7</v>
      </c>
      <c r="D134" s="144">
        <f>VLOOKUP($A134,'Data shares'!$C:$FA,23)</f>
        <v>5.8</v>
      </c>
      <c r="E134" s="145">
        <f>VLOOKUP($A134,'Data shares'!$C:$FA,26)*100</f>
        <v>0.36</v>
      </c>
      <c r="F134" s="144">
        <f>VLOOKUP($A134,'Data shares'!$C:$FA,24)</f>
        <v>13.1</v>
      </c>
      <c r="G134" s="144">
        <f>VLOOKUP($A134,'Data shares'!$C:$FA,25)</f>
        <v>-7.3</v>
      </c>
    </row>
    <row r="135" spans="1:7" x14ac:dyDescent="0.25">
      <c r="A135" s="101" t="str">
        <f>'Data Vlaue (Cr)'!C131</f>
        <v>MIDCPNIFTY</v>
      </c>
      <c r="B135" s="144">
        <f>VLOOKUP($A135,'Data shares'!$C:$FA,7)</f>
        <v>13381.9</v>
      </c>
      <c r="C135" s="144">
        <f>VLOOKUP($A135,'Data shares'!$C:$FA,3)</f>
        <v>13409.05</v>
      </c>
      <c r="D135" s="144">
        <f>VLOOKUP($A135,'Data shares'!$C:$FA,23)</f>
        <v>27.15</v>
      </c>
      <c r="E135" s="145">
        <f>VLOOKUP($A135,'Data shares'!$C:$FA,26)*100</f>
        <v>0.2</v>
      </c>
      <c r="F135" s="144">
        <f>VLOOKUP($A135,'Data shares'!$C:$FA,24)</f>
        <v>78.3</v>
      </c>
      <c r="G135" s="144">
        <f>VLOOKUP($A135,'Data shares'!$C:$FA,25)</f>
        <v>-51.15</v>
      </c>
    </row>
    <row r="136" spans="1:7" x14ac:dyDescent="0.25">
      <c r="A136" s="101" t="str">
        <f>'Data Vlaue (Cr)'!C132</f>
        <v>MOTHERSON</v>
      </c>
      <c r="B136" s="144">
        <f>VLOOKUP($A136,'Data shares'!$C:$FA,7)</f>
        <v>111.43</v>
      </c>
      <c r="C136" s="144">
        <f>VLOOKUP($A136,'Data shares'!$C:$FA,3)</f>
        <v>111.88</v>
      </c>
      <c r="D136" s="144">
        <f>VLOOKUP($A136,'Data shares'!$C:$FA,23)</f>
        <v>0.45</v>
      </c>
      <c r="E136" s="145">
        <f>VLOOKUP($A136,'Data shares'!$C:$FA,26)*100</f>
        <v>0.4</v>
      </c>
      <c r="F136" s="144">
        <f>VLOOKUP($A136,'Data shares'!$C:$FA,24)</f>
        <v>0.56000000000000005</v>
      </c>
      <c r="G136" s="144">
        <f>VLOOKUP($A136,'Data shares'!$C:$FA,25)</f>
        <v>-0.11</v>
      </c>
    </row>
    <row r="137" spans="1:7" x14ac:dyDescent="0.25">
      <c r="A137" s="101" t="str">
        <f>'Data Vlaue (Cr)'!C133</f>
        <v>MPHASIS</v>
      </c>
      <c r="B137" s="144">
        <f>VLOOKUP($A137,'Data shares'!$C:$FA,7)</f>
        <v>2833.7</v>
      </c>
      <c r="C137" s="144">
        <f>VLOOKUP($A137,'Data shares'!$C:$FA,3)</f>
        <v>2843.6</v>
      </c>
      <c r="D137" s="144">
        <f>VLOOKUP($A137,'Data shares'!$C:$FA,23)</f>
        <v>9.9</v>
      </c>
      <c r="E137" s="145">
        <f>VLOOKUP($A137,'Data shares'!$C:$FA,26)*100</f>
        <v>0.35000000000000003</v>
      </c>
      <c r="F137" s="144">
        <f>VLOOKUP($A137,'Data shares'!$C:$FA,24)</f>
        <v>19.899999999999999</v>
      </c>
      <c r="G137" s="144">
        <f>VLOOKUP($A137,'Data shares'!$C:$FA,25)</f>
        <v>-10</v>
      </c>
    </row>
    <row r="138" spans="1:7" x14ac:dyDescent="0.25">
      <c r="A138" s="101" t="str">
        <f>'Data Vlaue (Cr)'!C134</f>
        <v>MUTHOOTFIN</v>
      </c>
      <c r="B138" s="144">
        <f>VLOOKUP($A138,'Data shares'!$C:$FA,7)</f>
        <v>3955.5</v>
      </c>
      <c r="C138" s="144">
        <f>VLOOKUP($A138,'Data shares'!$C:$FA,3)</f>
        <v>3986.5</v>
      </c>
      <c r="D138" s="144">
        <f>VLOOKUP($A138,'Data shares'!$C:$FA,23)</f>
        <v>31</v>
      </c>
      <c r="E138" s="145">
        <f>VLOOKUP($A138,'Data shares'!$C:$FA,26)*100</f>
        <v>0.77999999999999992</v>
      </c>
      <c r="F138" s="144">
        <f>VLOOKUP($A138,'Data shares'!$C:$FA,24)</f>
        <v>22.3</v>
      </c>
      <c r="G138" s="144">
        <f>VLOOKUP($A138,'Data shares'!$C:$FA,25)</f>
        <v>8.6999999999999993</v>
      </c>
    </row>
    <row r="139" spans="1:7" x14ac:dyDescent="0.25">
      <c r="A139" s="101" t="str">
        <f>'Data Vlaue (Cr)'!C135</f>
        <v>NATIONALUM</v>
      </c>
      <c r="B139" s="144">
        <f>VLOOKUP($A139,'Data shares'!$C:$FA,7)</f>
        <v>406.15</v>
      </c>
      <c r="C139" s="144">
        <f>VLOOKUP($A139,'Data shares'!$C:$FA,3)</f>
        <v>404.05</v>
      </c>
      <c r="D139" s="144">
        <f>VLOOKUP($A139,'Data shares'!$C:$FA,23)</f>
        <v>-2.1</v>
      </c>
      <c r="E139" s="145">
        <f>VLOOKUP($A139,'Data shares'!$C:$FA,26)*100</f>
        <v>-0.52</v>
      </c>
      <c r="F139" s="144">
        <f>VLOOKUP($A139,'Data shares'!$C:$FA,24)</f>
        <v>-2.5499999999999998</v>
      </c>
      <c r="G139" s="144">
        <f>VLOOKUP($A139,'Data shares'!$C:$FA,25)</f>
        <v>0.45</v>
      </c>
    </row>
    <row r="140" spans="1:7" x14ac:dyDescent="0.25">
      <c r="A140" s="101" t="str">
        <f>'Data Vlaue (Cr)'!C136</f>
        <v>NAUKRI</v>
      </c>
      <c r="B140" s="144">
        <f>VLOOKUP($A140,'Data shares'!$C:$FA,7)</f>
        <v>1299.9000000000001</v>
      </c>
      <c r="C140" s="144">
        <f>VLOOKUP($A140,'Data shares'!$C:$FA,3)</f>
        <v>1307.7</v>
      </c>
      <c r="D140" s="144">
        <f>VLOOKUP($A140,'Data shares'!$C:$FA,23)</f>
        <v>7.8</v>
      </c>
      <c r="E140" s="145">
        <f>VLOOKUP($A140,'Data shares'!$C:$FA,26)*100</f>
        <v>0.6</v>
      </c>
      <c r="F140" s="144">
        <f>VLOOKUP($A140,'Data shares'!$C:$FA,24)</f>
        <v>7.2</v>
      </c>
      <c r="G140" s="144">
        <f>VLOOKUP($A140,'Data shares'!$C:$FA,25)</f>
        <v>0.6</v>
      </c>
    </row>
    <row r="141" spans="1:7" x14ac:dyDescent="0.25">
      <c r="A141" s="101" t="str">
        <f>'Data Vlaue (Cr)'!C137</f>
        <v>NBCC</v>
      </c>
      <c r="B141" s="144">
        <f>VLOOKUP($A141,'Data shares'!$C:$FA,7)</f>
        <v>99.53</v>
      </c>
      <c r="C141" s="144">
        <f>VLOOKUP($A141,'Data shares'!$C:$FA,3)</f>
        <v>99.8</v>
      </c>
      <c r="D141" s="144">
        <f>VLOOKUP($A141,'Data shares'!$C:$FA,23)</f>
        <v>0.27</v>
      </c>
      <c r="E141" s="145">
        <f>VLOOKUP($A141,'Data shares'!$C:$FA,26)*100</f>
        <v>0.27</v>
      </c>
      <c r="F141" s="144">
        <f>VLOOKUP($A141,'Data shares'!$C:$FA,24)</f>
        <v>0.39</v>
      </c>
      <c r="G141" s="144">
        <f>VLOOKUP($A141,'Data shares'!$C:$FA,25)</f>
        <v>-0.12</v>
      </c>
    </row>
    <row r="142" spans="1:7" x14ac:dyDescent="0.25">
      <c r="A142" s="101" t="str">
        <f>'Data Vlaue (Cr)'!C138</f>
        <v>NESTLEIND</v>
      </c>
      <c r="B142" s="144">
        <f>VLOOKUP($A142,'Data shares'!$C:$FA,7)</f>
        <v>1292.4000000000001</v>
      </c>
      <c r="C142" s="144">
        <f>VLOOKUP($A142,'Data shares'!$C:$FA,3)</f>
        <v>1288.5999999999999</v>
      </c>
      <c r="D142" s="144">
        <f>VLOOKUP($A142,'Data shares'!$C:$FA,23)</f>
        <v>-3.8</v>
      </c>
      <c r="E142" s="145">
        <f>VLOOKUP($A142,'Data shares'!$C:$FA,26)*100</f>
        <v>-0.28999999999999998</v>
      </c>
      <c r="F142" s="144">
        <f>VLOOKUP($A142,'Data shares'!$C:$FA,24)</f>
        <v>1.3</v>
      </c>
      <c r="G142" s="144">
        <f>VLOOKUP($A142,'Data shares'!$C:$FA,25)</f>
        <v>-5.0999999999999996</v>
      </c>
    </row>
    <row r="143" spans="1:7" x14ac:dyDescent="0.25">
      <c r="A143" s="101" t="str">
        <f>'Data Vlaue (Cr)'!C139</f>
        <v>NHPC</v>
      </c>
      <c r="B143" s="144">
        <f>VLOOKUP($A143,'Data shares'!$C:$FA,7)</f>
        <v>78.89</v>
      </c>
      <c r="C143" s="144">
        <f>VLOOKUP($A143,'Data shares'!$C:$FA,3)</f>
        <v>78.38</v>
      </c>
      <c r="D143" s="144">
        <f>VLOOKUP($A143,'Data shares'!$C:$FA,23)</f>
        <v>-0.51</v>
      </c>
      <c r="E143" s="145">
        <f>VLOOKUP($A143,'Data shares'!$C:$FA,26)*100</f>
        <v>-0.65</v>
      </c>
      <c r="F143" s="144">
        <f>VLOOKUP($A143,'Data shares'!$C:$FA,24)</f>
        <v>-0.06</v>
      </c>
      <c r="G143" s="144">
        <f>VLOOKUP($A143,'Data shares'!$C:$FA,25)</f>
        <v>-0.45</v>
      </c>
    </row>
    <row r="144" spans="1:7" x14ac:dyDescent="0.25">
      <c r="A144" s="101" t="str">
        <f>'Data Vlaue (Cr)'!C140</f>
        <v>NIFTY</v>
      </c>
      <c r="B144" s="144">
        <f>VLOOKUP($A144,'Data shares'!$C:$FA,7)</f>
        <v>25342.75</v>
      </c>
      <c r="C144" s="144">
        <f>VLOOKUP($A144,'Data shares'!$C:$FA,3)</f>
        <v>25450.400000000001</v>
      </c>
      <c r="D144" s="144">
        <f>VLOOKUP($A144,'Data shares'!$C:$FA,23)</f>
        <v>107.65</v>
      </c>
      <c r="E144" s="145">
        <f>VLOOKUP($A144,'Data shares'!$C:$FA,26)*100</f>
        <v>0.42</v>
      </c>
      <c r="F144" s="144">
        <f>VLOOKUP($A144,'Data shares'!$C:$FA,24)</f>
        <v>207.2</v>
      </c>
      <c r="G144" s="144">
        <f>VLOOKUP($A144,'Data shares'!$C:$FA,25)</f>
        <v>-99.55</v>
      </c>
    </row>
    <row r="145" spans="1:7" x14ac:dyDescent="0.25">
      <c r="A145" s="101" t="str">
        <f>'Data Vlaue (Cr)'!C141</f>
        <v>NIFTYNXT50</v>
      </c>
      <c r="B145" s="144">
        <f>VLOOKUP($A145,'Data shares'!$C:$FA,7)</f>
        <v>68205.649999999994</v>
      </c>
      <c r="C145" s="144">
        <f>VLOOKUP($A145,'Data shares'!$C:$FA,3)</f>
        <v>68402.8</v>
      </c>
      <c r="D145" s="144">
        <f>VLOOKUP($A145,'Data shares'!$C:$FA,23)</f>
        <v>197.15</v>
      </c>
      <c r="E145" s="145">
        <f>VLOOKUP($A145,'Data shares'!$C:$FA,26)*100</f>
        <v>0.28999999999999998</v>
      </c>
      <c r="F145" s="144">
        <f>VLOOKUP($A145,'Data shares'!$C:$FA,24)</f>
        <v>339.85</v>
      </c>
      <c r="G145" s="144">
        <f>VLOOKUP($A145,'Data shares'!$C:$FA,25)</f>
        <v>-142.69999999999999</v>
      </c>
    </row>
    <row r="146" spans="1:7" x14ac:dyDescent="0.25">
      <c r="A146" s="101" t="str">
        <f>'Data Vlaue (Cr)'!C142</f>
        <v>NMDC</v>
      </c>
      <c r="B146" s="144">
        <f>VLOOKUP($A146,'Data shares'!$C:$FA,7)</f>
        <v>81.52</v>
      </c>
      <c r="C146" s="144">
        <f>VLOOKUP($A146,'Data shares'!$C:$FA,3)</f>
        <v>81.69</v>
      </c>
      <c r="D146" s="144">
        <f>VLOOKUP($A146,'Data shares'!$C:$FA,23)</f>
        <v>0.17</v>
      </c>
      <c r="E146" s="145">
        <f>VLOOKUP($A146,'Data shares'!$C:$FA,26)*100</f>
        <v>0.21</v>
      </c>
      <c r="F146" s="144">
        <f>VLOOKUP($A146,'Data shares'!$C:$FA,24)</f>
        <v>0.57999999999999996</v>
      </c>
      <c r="G146" s="144">
        <f>VLOOKUP($A146,'Data shares'!$C:$FA,25)</f>
        <v>-0.41</v>
      </c>
    </row>
    <row r="147" spans="1:7" x14ac:dyDescent="0.25">
      <c r="A147" s="101" t="str">
        <f>'Data Vlaue (Cr)'!C143</f>
        <v>NTPC</v>
      </c>
      <c r="B147" s="144">
        <f>VLOOKUP($A147,'Data shares'!$C:$FA,7)</f>
        <v>348.05</v>
      </c>
      <c r="C147" s="144">
        <f>VLOOKUP($A147,'Data shares'!$C:$FA,3)</f>
        <v>347.5</v>
      </c>
      <c r="D147" s="144">
        <f>VLOOKUP($A147,'Data shares'!$C:$FA,23)</f>
        <v>-0.55000000000000004</v>
      </c>
      <c r="E147" s="145">
        <f>VLOOKUP($A147,'Data shares'!$C:$FA,26)*100</f>
        <v>-0.16</v>
      </c>
      <c r="F147" s="144">
        <f>VLOOKUP($A147,'Data shares'!$C:$FA,24)</f>
        <v>-1.2</v>
      </c>
      <c r="G147" s="144">
        <f>VLOOKUP($A147,'Data shares'!$C:$FA,25)</f>
        <v>0.65</v>
      </c>
    </row>
    <row r="148" spans="1:7" x14ac:dyDescent="0.25">
      <c r="A148" s="101" t="str">
        <f>'Data Vlaue (Cr)'!C144</f>
        <v>NUVAMA</v>
      </c>
      <c r="B148" s="144">
        <f>VLOOKUP($A148,'Data shares'!$C:$FA,7)</f>
        <v>1322.5</v>
      </c>
      <c r="C148" s="144">
        <f>VLOOKUP($A148,'Data shares'!$C:$FA,3)</f>
        <v>1332.7</v>
      </c>
      <c r="D148" s="144">
        <f>VLOOKUP($A148,'Data shares'!$C:$FA,23)</f>
        <v>10.199999999999999</v>
      </c>
      <c r="E148" s="145">
        <f>VLOOKUP($A148,'Data shares'!$C:$FA,26)*100</f>
        <v>0.77</v>
      </c>
      <c r="F148" s="144">
        <f>VLOOKUP($A148,'Data shares'!$C:$FA,24)</f>
        <v>11.3</v>
      </c>
      <c r="G148" s="144">
        <f>VLOOKUP($A148,'Data shares'!$C:$FA,25)</f>
        <v>-1.1000000000000001</v>
      </c>
    </row>
    <row r="149" spans="1:7" x14ac:dyDescent="0.25">
      <c r="A149" s="101" t="str">
        <f>'Data Vlaue (Cr)'!C145</f>
        <v>NYKAA</v>
      </c>
      <c r="B149" s="144">
        <f>VLOOKUP($A149,'Data shares'!$C:$FA,7)</f>
        <v>237.2</v>
      </c>
      <c r="C149" s="144">
        <f>VLOOKUP($A149,'Data shares'!$C:$FA,3)</f>
        <v>238.8</v>
      </c>
      <c r="D149" s="144">
        <f>VLOOKUP($A149,'Data shares'!$C:$FA,23)</f>
        <v>1.6</v>
      </c>
      <c r="E149" s="145">
        <f>VLOOKUP($A149,'Data shares'!$C:$FA,26)*100</f>
        <v>0.67</v>
      </c>
      <c r="F149" s="144">
        <f>VLOOKUP($A149,'Data shares'!$C:$FA,24)</f>
        <v>1.8</v>
      </c>
      <c r="G149" s="144">
        <f>VLOOKUP($A149,'Data shares'!$C:$FA,25)</f>
        <v>-0.2</v>
      </c>
    </row>
    <row r="150" spans="1:7" x14ac:dyDescent="0.25">
      <c r="A150" s="101" t="str">
        <f>'Data Vlaue (Cr)'!C146</f>
        <v>OBEROIRLTY</v>
      </c>
      <c r="B150" s="144">
        <f>VLOOKUP($A150,'Data shares'!$C:$FA,7)</f>
        <v>1483.2</v>
      </c>
      <c r="C150" s="144">
        <f>VLOOKUP($A150,'Data shares'!$C:$FA,3)</f>
        <v>1488.5</v>
      </c>
      <c r="D150" s="144">
        <f>VLOOKUP($A150,'Data shares'!$C:$FA,23)</f>
        <v>5.3</v>
      </c>
      <c r="E150" s="145">
        <f>VLOOKUP($A150,'Data shares'!$C:$FA,26)*100</f>
        <v>0.36</v>
      </c>
      <c r="F150" s="144">
        <f>VLOOKUP($A150,'Data shares'!$C:$FA,24)</f>
        <v>9.1999999999999993</v>
      </c>
      <c r="G150" s="144">
        <f>VLOOKUP($A150,'Data shares'!$C:$FA,25)</f>
        <v>-3.9</v>
      </c>
    </row>
    <row r="151" spans="1:7" x14ac:dyDescent="0.25">
      <c r="A151" s="101" t="str">
        <f>'Data Vlaue (Cr)'!C147</f>
        <v>OFSS</v>
      </c>
      <c r="B151" s="144">
        <f>VLOOKUP($A151,'Data shares'!$C:$FA,7)</f>
        <v>8012.5</v>
      </c>
      <c r="C151" s="144">
        <f>VLOOKUP($A151,'Data shares'!$C:$FA,3)</f>
        <v>8059</v>
      </c>
      <c r="D151" s="144">
        <f>VLOOKUP($A151,'Data shares'!$C:$FA,23)</f>
        <v>46.5</v>
      </c>
      <c r="E151" s="145">
        <f>VLOOKUP($A151,'Data shares'!$C:$FA,26)*100</f>
        <v>0.57999999999999996</v>
      </c>
      <c r="F151" s="144">
        <f>VLOOKUP($A151,'Data shares'!$C:$FA,24)</f>
        <v>35.5</v>
      </c>
      <c r="G151" s="144">
        <f>VLOOKUP($A151,'Data shares'!$C:$FA,25)</f>
        <v>11</v>
      </c>
    </row>
    <row r="152" spans="1:7" x14ac:dyDescent="0.25">
      <c r="A152" s="101" t="str">
        <f>'Data Vlaue (Cr)'!C148</f>
        <v>OIL</v>
      </c>
      <c r="B152" s="144">
        <f>VLOOKUP($A152,'Data shares'!$C:$FA,7)</f>
        <v>490.5</v>
      </c>
      <c r="C152" s="144">
        <f>VLOOKUP($A152,'Data shares'!$C:$FA,3)</f>
        <v>490.5</v>
      </c>
      <c r="D152" s="144">
        <f>VLOOKUP($A152,'Data shares'!$C:$FA,23)</f>
        <v>0</v>
      </c>
      <c r="E152" s="145">
        <f>VLOOKUP($A152,'Data shares'!$C:$FA,26)*100</f>
        <v>0</v>
      </c>
      <c r="F152" s="144">
        <f>VLOOKUP($A152,'Data shares'!$C:$FA,24)</f>
        <v>-2.25</v>
      </c>
      <c r="G152" s="144">
        <f>VLOOKUP($A152,'Data shares'!$C:$FA,25)</f>
        <v>2.25</v>
      </c>
    </row>
    <row r="153" spans="1:7" x14ac:dyDescent="0.25">
      <c r="A153" s="101" t="str">
        <f>'Data Vlaue (Cr)'!C149</f>
        <v>ONGC</v>
      </c>
      <c r="B153" s="144">
        <f>VLOOKUP($A153,'Data shares'!$C:$FA,7)</f>
        <v>268.58</v>
      </c>
      <c r="C153" s="144">
        <f>VLOOKUP($A153,'Data shares'!$C:$FA,3)</f>
        <v>267.95</v>
      </c>
      <c r="D153" s="144">
        <f>VLOOKUP($A153,'Data shares'!$C:$FA,23)</f>
        <v>-0.63</v>
      </c>
      <c r="E153" s="145">
        <f>VLOOKUP($A153,'Data shares'!$C:$FA,26)*100</f>
        <v>-0.22999999999999998</v>
      </c>
      <c r="F153" s="144">
        <f>VLOOKUP($A153,'Data shares'!$C:$FA,24)</f>
        <v>-0.08</v>
      </c>
      <c r="G153" s="144">
        <f>VLOOKUP($A153,'Data shares'!$C:$FA,25)</f>
        <v>-0.55000000000000004</v>
      </c>
    </row>
    <row r="154" spans="1:7" x14ac:dyDescent="0.25">
      <c r="A154" s="101" t="str">
        <f>'Data Vlaue (Cr)'!C150</f>
        <v>PAGEIND</v>
      </c>
      <c r="B154" s="144">
        <f>VLOOKUP($A154,'Data shares'!$C:$FA,7)</f>
        <v>32615</v>
      </c>
      <c r="C154" s="144">
        <f>VLOOKUP($A154,'Data shares'!$C:$FA,3)</f>
        <v>32065</v>
      </c>
      <c r="D154" s="144">
        <f>VLOOKUP($A154,'Data shares'!$C:$FA,23)</f>
        <v>-550</v>
      </c>
      <c r="E154" s="145">
        <f>VLOOKUP($A154,'Data shares'!$C:$FA,26)*100</f>
        <v>-1.69</v>
      </c>
      <c r="F154" s="144">
        <f>VLOOKUP($A154,'Data shares'!$C:$FA,24)</f>
        <v>-735</v>
      </c>
      <c r="G154" s="144">
        <f>VLOOKUP($A154,'Data shares'!$C:$FA,25)</f>
        <v>185</v>
      </c>
    </row>
    <row r="155" spans="1:7" x14ac:dyDescent="0.25">
      <c r="A155" s="101" t="str">
        <f>'Data Vlaue (Cr)'!C151</f>
        <v>PATANJALI</v>
      </c>
      <c r="B155" s="144">
        <f>VLOOKUP($A155,'Data shares'!$C:$FA,7)</f>
        <v>505.75</v>
      </c>
      <c r="C155" s="144">
        <f>VLOOKUP($A155,'Data shares'!$C:$FA,3)</f>
        <v>507.45</v>
      </c>
      <c r="D155" s="144">
        <f>VLOOKUP($A155,'Data shares'!$C:$FA,23)</f>
        <v>1.7</v>
      </c>
      <c r="E155" s="145">
        <f>VLOOKUP($A155,'Data shares'!$C:$FA,26)*100</f>
        <v>0.33999999999999997</v>
      </c>
      <c r="F155" s="144">
        <f>VLOOKUP($A155,'Data shares'!$C:$FA,24)</f>
        <v>-0.05</v>
      </c>
      <c r="G155" s="144">
        <f>VLOOKUP($A155,'Data shares'!$C:$FA,25)</f>
        <v>1.75</v>
      </c>
    </row>
    <row r="156" spans="1:7" x14ac:dyDescent="0.25">
      <c r="A156" s="101" t="str">
        <f>'Data Vlaue (Cr)'!C152</f>
        <v>PAYTM</v>
      </c>
      <c r="B156" s="144">
        <f>VLOOKUP($A156,'Data shares'!$C:$FA,7)</f>
        <v>1177</v>
      </c>
      <c r="C156" s="144">
        <f>VLOOKUP($A156,'Data shares'!$C:$FA,3)</f>
        <v>1184.7</v>
      </c>
      <c r="D156" s="144">
        <f>VLOOKUP($A156,'Data shares'!$C:$FA,23)</f>
        <v>7.7</v>
      </c>
      <c r="E156" s="145">
        <f>VLOOKUP($A156,'Data shares'!$C:$FA,26)*100</f>
        <v>0.65</v>
      </c>
      <c r="F156" s="144">
        <f>VLOOKUP($A156,'Data shares'!$C:$FA,24)</f>
        <v>9.3000000000000007</v>
      </c>
      <c r="G156" s="144">
        <f>VLOOKUP($A156,'Data shares'!$C:$FA,25)</f>
        <v>-1.6</v>
      </c>
    </row>
    <row r="157" spans="1:7" x14ac:dyDescent="0.25">
      <c r="A157" s="101" t="str">
        <f>'Data Vlaue (Cr)'!C153</f>
        <v>PERSISTENT</v>
      </c>
      <c r="B157" s="144">
        <f>VLOOKUP($A157,'Data shares'!$C:$FA,7)</f>
        <v>6213</v>
      </c>
      <c r="C157" s="144">
        <f>VLOOKUP($A157,'Data shares'!$C:$FA,3)</f>
        <v>6235.5</v>
      </c>
      <c r="D157" s="144">
        <f>VLOOKUP($A157,'Data shares'!$C:$FA,23)</f>
        <v>22.5</v>
      </c>
      <c r="E157" s="145">
        <f>VLOOKUP($A157,'Data shares'!$C:$FA,26)*100</f>
        <v>0.36</v>
      </c>
      <c r="F157" s="144">
        <f>VLOOKUP($A157,'Data shares'!$C:$FA,24)</f>
        <v>36.5</v>
      </c>
      <c r="G157" s="144">
        <f>VLOOKUP($A157,'Data shares'!$C:$FA,25)</f>
        <v>-14</v>
      </c>
    </row>
    <row r="158" spans="1:7" x14ac:dyDescent="0.25">
      <c r="A158" s="101" t="str">
        <f>'Data Vlaue (Cr)'!C154</f>
        <v>PETRONET</v>
      </c>
      <c r="B158" s="144">
        <f>VLOOKUP($A158,'Data shares'!$C:$FA,7)</f>
        <v>290.64999999999998</v>
      </c>
      <c r="C158" s="144">
        <f>VLOOKUP($A158,'Data shares'!$C:$FA,3)</f>
        <v>292.64999999999998</v>
      </c>
      <c r="D158" s="144">
        <f>VLOOKUP($A158,'Data shares'!$C:$FA,23)</f>
        <v>2</v>
      </c>
      <c r="E158" s="145">
        <f>VLOOKUP($A158,'Data shares'!$C:$FA,26)*100</f>
        <v>0.69</v>
      </c>
      <c r="F158" s="144">
        <f>VLOOKUP($A158,'Data shares'!$C:$FA,24)</f>
        <v>1.95</v>
      </c>
      <c r="G158" s="144">
        <f>VLOOKUP($A158,'Data shares'!$C:$FA,25)</f>
        <v>0.05</v>
      </c>
    </row>
    <row r="159" spans="1:7" x14ac:dyDescent="0.25">
      <c r="A159" s="101" t="str">
        <f>'Data Vlaue (Cr)'!C155</f>
        <v>PFC</v>
      </c>
      <c r="B159" s="144">
        <f>VLOOKUP($A159,'Data shares'!$C:$FA,7)</f>
        <v>383.05</v>
      </c>
      <c r="C159" s="144">
        <f>VLOOKUP($A159,'Data shares'!$C:$FA,3)</f>
        <v>382.5</v>
      </c>
      <c r="D159" s="144">
        <f>VLOOKUP($A159,'Data shares'!$C:$FA,23)</f>
        <v>-0.55000000000000004</v>
      </c>
      <c r="E159" s="145">
        <f>VLOOKUP($A159,'Data shares'!$C:$FA,26)*100</f>
        <v>-0.13999999999999999</v>
      </c>
      <c r="F159" s="144">
        <f>VLOOKUP($A159,'Data shares'!$C:$FA,24)</f>
        <v>0.85</v>
      </c>
      <c r="G159" s="144">
        <f>VLOOKUP($A159,'Data shares'!$C:$FA,25)</f>
        <v>-1.4</v>
      </c>
    </row>
    <row r="160" spans="1:7" x14ac:dyDescent="0.25">
      <c r="A160" s="101" t="str">
        <f>'Data Vlaue (Cr)'!C156</f>
        <v>PGEL</v>
      </c>
      <c r="B160" s="144">
        <f>VLOOKUP($A160,'Data shares'!$C:$FA,7)</f>
        <v>540.04999999999995</v>
      </c>
      <c r="C160" s="144">
        <f>VLOOKUP($A160,'Data shares'!$C:$FA,3)</f>
        <v>544.1</v>
      </c>
      <c r="D160" s="144">
        <f>VLOOKUP($A160,'Data shares'!$C:$FA,23)</f>
        <v>4.05</v>
      </c>
      <c r="E160" s="145">
        <f>VLOOKUP($A160,'Data shares'!$C:$FA,26)*100</f>
        <v>0.75</v>
      </c>
      <c r="F160" s="144">
        <f>VLOOKUP($A160,'Data shares'!$C:$FA,24)</f>
        <v>3.05</v>
      </c>
      <c r="G160" s="144">
        <f>VLOOKUP($A160,'Data shares'!$C:$FA,25)</f>
        <v>1</v>
      </c>
    </row>
    <row r="161" spans="1:7" x14ac:dyDescent="0.25">
      <c r="A161" s="101" t="str">
        <f>'Data Vlaue (Cr)'!C157</f>
        <v>PHOENIXLTD</v>
      </c>
      <c r="B161" s="144">
        <f>VLOOKUP($A161,'Data shares'!$C:$FA,7)</f>
        <v>1726.2</v>
      </c>
      <c r="C161" s="144">
        <f>VLOOKUP($A161,'Data shares'!$C:$FA,3)</f>
        <v>1735.9</v>
      </c>
      <c r="D161" s="144">
        <f>VLOOKUP($A161,'Data shares'!$C:$FA,23)</f>
        <v>9.6999999999999993</v>
      </c>
      <c r="E161" s="145">
        <f>VLOOKUP($A161,'Data shares'!$C:$FA,26)*100</f>
        <v>0.55999999999999994</v>
      </c>
      <c r="F161" s="144">
        <f>VLOOKUP($A161,'Data shares'!$C:$FA,24)</f>
        <v>10.7</v>
      </c>
      <c r="G161" s="144">
        <f>VLOOKUP($A161,'Data shares'!$C:$FA,25)</f>
        <v>-1</v>
      </c>
    </row>
    <row r="162" spans="1:7" x14ac:dyDescent="0.25">
      <c r="A162" s="101" t="str">
        <f>'Data Vlaue (Cr)'!C158</f>
        <v>PIDILITIND</v>
      </c>
      <c r="B162" s="144">
        <f>VLOOKUP($A162,'Data shares'!$C:$FA,7)</f>
        <v>1460.7</v>
      </c>
      <c r="C162" s="144">
        <f>VLOOKUP($A162,'Data shares'!$C:$FA,3)</f>
        <v>1469.4</v>
      </c>
      <c r="D162" s="144">
        <f>VLOOKUP($A162,'Data shares'!$C:$FA,23)</f>
        <v>8.6999999999999993</v>
      </c>
      <c r="E162" s="145">
        <f>VLOOKUP($A162,'Data shares'!$C:$FA,26)*100</f>
        <v>0.6</v>
      </c>
      <c r="F162" s="144">
        <f>VLOOKUP($A162,'Data shares'!$C:$FA,24)</f>
        <v>7.2</v>
      </c>
      <c r="G162" s="144">
        <f>VLOOKUP($A162,'Data shares'!$C:$FA,25)</f>
        <v>1.5</v>
      </c>
    </row>
    <row r="163" spans="1:7" x14ac:dyDescent="0.25">
      <c r="A163" s="101" t="str">
        <f>'Data Vlaue (Cr)'!C159</f>
        <v>PIIND</v>
      </c>
      <c r="B163" s="144">
        <f>VLOOKUP($A163,'Data shares'!$C:$FA,7)</f>
        <v>3220.8</v>
      </c>
      <c r="C163" s="144">
        <f>VLOOKUP($A163,'Data shares'!$C:$FA,3)</f>
        <v>3217.5</v>
      </c>
      <c r="D163" s="144">
        <f>VLOOKUP($A163,'Data shares'!$C:$FA,23)</f>
        <v>-3.3</v>
      </c>
      <c r="E163" s="145">
        <f>VLOOKUP($A163,'Data shares'!$C:$FA,26)*100</f>
        <v>-0.1</v>
      </c>
      <c r="F163" s="144">
        <f>VLOOKUP($A163,'Data shares'!$C:$FA,24)</f>
        <v>1.9</v>
      </c>
      <c r="G163" s="144">
        <f>VLOOKUP($A163,'Data shares'!$C:$FA,25)</f>
        <v>-5.2</v>
      </c>
    </row>
    <row r="164" spans="1:7" x14ac:dyDescent="0.25">
      <c r="A164" s="101" t="str">
        <f>'Data Vlaue (Cr)'!C160</f>
        <v>PNB</v>
      </c>
      <c r="B164" s="144">
        <f>VLOOKUP($A164,'Data shares'!$C:$FA,7)</f>
        <v>124.5</v>
      </c>
      <c r="C164" s="144">
        <f>VLOOKUP($A164,'Data shares'!$C:$FA,3)</f>
        <v>125.3</v>
      </c>
      <c r="D164" s="144">
        <f>VLOOKUP($A164,'Data shares'!$C:$FA,23)</f>
        <v>0.8</v>
      </c>
      <c r="E164" s="145">
        <f>VLOOKUP($A164,'Data shares'!$C:$FA,26)*100</f>
        <v>0.64</v>
      </c>
      <c r="F164" s="144">
        <f>VLOOKUP($A164,'Data shares'!$C:$FA,24)</f>
        <v>0.6</v>
      </c>
      <c r="G164" s="144">
        <f>VLOOKUP($A164,'Data shares'!$C:$FA,25)</f>
        <v>0.2</v>
      </c>
    </row>
    <row r="165" spans="1:7" x14ac:dyDescent="0.25">
      <c r="A165" s="101" t="str">
        <f>'Data Vlaue (Cr)'!C161</f>
        <v>PNBHOUSING</v>
      </c>
      <c r="B165" s="144">
        <f>VLOOKUP($A165,'Data shares'!$C:$FA,7)</f>
        <v>845.55</v>
      </c>
      <c r="C165" s="144">
        <f>VLOOKUP($A165,'Data shares'!$C:$FA,3)</f>
        <v>849</v>
      </c>
      <c r="D165" s="144">
        <f>VLOOKUP($A165,'Data shares'!$C:$FA,23)</f>
        <v>3.45</v>
      </c>
      <c r="E165" s="145">
        <f>VLOOKUP($A165,'Data shares'!$C:$FA,26)*100</f>
        <v>0.41000000000000003</v>
      </c>
      <c r="F165" s="144">
        <f>VLOOKUP($A165,'Data shares'!$C:$FA,24)</f>
        <v>6.7</v>
      </c>
      <c r="G165" s="144">
        <f>VLOOKUP($A165,'Data shares'!$C:$FA,25)</f>
        <v>-3.25</v>
      </c>
    </row>
    <row r="166" spans="1:7" x14ac:dyDescent="0.25">
      <c r="A166" s="101" t="str">
        <f>'Data Vlaue (Cr)'!C162</f>
        <v>POLICYBZR</v>
      </c>
      <c r="B166" s="144">
        <f>VLOOKUP($A166,'Data shares'!$C:$FA,7)</f>
        <v>1653.1</v>
      </c>
      <c r="C166" s="144">
        <f>VLOOKUP($A166,'Data shares'!$C:$FA,3)</f>
        <v>1658</v>
      </c>
      <c r="D166" s="144">
        <f>VLOOKUP($A166,'Data shares'!$C:$FA,23)</f>
        <v>4.9000000000000004</v>
      </c>
      <c r="E166" s="145">
        <f>VLOOKUP($A166,'Data shares'!$C:$FA,26)*100</f>
        <v>0.3</v>
      </c>
      <c r="F166" s="144">
        <f>VLOOKUP($A166,'Data shares'!$C:$FA,24)</f>
        <v>1</v>
      </c>
      <c r="G166" s="144">
        <f>VLOOKUP($A166,'Data shares'!$C:$FA,25)</f>
        <v>3.9</v>
      </c>
    </row>
    <row r="167" spans="1:7" x14ac:dyDescent="0.25">
      <c r="A167" s="101" t="str">
        <f>'Data Vlaue (Cr)'!C163</f>
        <v>POLYCAB</v>
      </c>
      <c r="B167" s="144">
        <f>VLOOKUP($A167,'Data shares'!$C:$FA,7)</f>
        <v>6928</v>
      </c>
      <c r="C167" s="144">
        <f>VLOOKUP($A167,'Data shares'!$C:$FA,3)</f>
        <v>6952.5</v>
      </c>
      <c r="D167" s="144">
        <f>VLOOKUP($A167,'Data shares'!$C:$FA,23)</f>
        <v>24.5</v>
      </c>
      <c r="E167" s="145">
        <f>VLOOKUP($A167,'Data shares'!$C:$FA,26)*100</f>
        <v>0.35000000000000003</v>
      </c>
      <c r="F167" s="144">
        <f>VLOOKUP($A167,'Data shares'!$C:$FA,24)</f>
        <v>37.5</v>
      </c>
      <c r="G167" s="144">
        <f>VLOOKUP($A167,'Data shares'!$C:$FA,25)</f>
        <v>-13</v>
      </c>
    </row>
    <row r="168" spans="1:7" s="175" customFormat="1" x14ac:dyDescent="0.25">
      <c r="A168" s="101" t="str">
        <f>'Data Vlaue (Cr)'!C164</f>
        <v>POWERGRID</v>
      </c>
      <c r="B168" s="144">
        <f>VLOOKUP($A168,'Data shares'!$C:$FA,7)</f>
        <v>259.8</v>
      </c>
      <c r="C168" s="144">
        <f>VLOOKUP($A168,'Data shares'!$C:$FA,3)</f>
        <v>257.89999999999998</v>
      </c>
      <c r="D168" s="144">
        <f>VLOOKUP($A168,'Data shares'!$C:$FA,23)</f>
        <v>-1.9</v>
      </c>
      <c r="E168" s="145">
        <f>VLOOKUP($A168,'Data shares'!$C:$FA,26)*100</f>
        <v>-0.73</v>
      </c>
      <c r="F168" s="144">
        <f>VLOOKUP($A168,'Data shares'!$C:$FA,24)</f>
        <v>-1.7</v>
      </c>
      <c r="G168" s="144">
        <f>VLOOKUP($A168,'Data shares'!$C:$FA,25)</f>
        <v>-0.2</v>
      </c>
    </row>
    <row r="169" spans="1:7" x14ac:dyDescent="0.25">
      <c r="A169" s="101" t="str">
        <f>'Data Vlaue (Cr)'!C165</f>
        <v>POWERINDIA</v>
      </c>
      <c r="B169" s="144">
        <f>VLOOKUP($A169,'Data shares'!$C:$FA,7)</f>
        <v>17683</v>
      </c>
      <c r="C169" s="144">
        <f>VLOOKUP($A169,'Data shares'!$C:$FA,3)</f>
        <v>17803</v>
      </c>
      <c r="D169" s="144">
        <f>VLOOKUP($A169,'Data shares'!$C:$FA,23)</f>
        <v>120</v>
      </c>
      <c r="E169" s="145">
        <f>VLOOKUP($A169,'Data shares'!$C:$FA,26)*100</f>
        <v>0.67999999999999994</v>
      </c>
      <c r="F169" s="144">
        <f>VLOOKUP($A169,'Data shares'!$C:$FA,24)</f>
        <v>103</v>
      </c>
      <c r="G169" s="144">
        <f>VLOOKUP($A169,'Data shares'!$C:$FA,25)</f>
        <v>17</v>
      </c>
    </row>
    <row r="170" spans="1:7" x14ac:dyDescent="0.25">
      <c r="A170" s="101" t="str">
        <f>'Data Vlaue (Cr)'!C166</f>
        <v>PPLPHARMA</v>
      </c>
      <c r="B170" s="144">
        <f>VLOOKUP($A170,'Data shares'!$C:$FA,7)</f>
        <v>153.96</v>
      </c>
      <c r="C170" s="144">
        <f>VLOOKUP($A170,'Data shares'!$C:$FA,3)</f>
        <v>154.24</v>
      </c>
      <c r="D170" s="144">
        <f>VLOOKUP($A170,'Data shares'!$C:$FA,23)</f>
        <v>0.28000000000000003</v>
      </c>
      <c r="E170" s="145">
        <f>VLOOKUP($A170,'Data shares'!$C:$FA,26)*100</f>
        <v>0.18</v>
      </c>
      <c r="F170" s="144">
        <f>VLOOKUP($A170,'Data shares'!$C:$FA,24)</f>
        <v>0.25</v>
      </c>
      <c r="G170" s="144">
        <f>VLOOKUP($A170,'Data shares'!$C:$FA,25)</f>
        <v>0.03</v>
      </c>
    </row>
    <row r="171" spans="1:7" x14ac:dyDescent="0.25">
      <c r="A171" s="101" t="str">
        <f>'Data Vlaue (Cr)'!C167</f>
        <v>PREMIERENE</v>
      </c>
      <c r="B171" s="144">
        <f>VLOOKUP($A171,'Data shares'!$C:$FA,7)</f>
        <v>715.05</v>
      </c>
      <c r="C171" s="144">
        <f>VLOOKUP($A171,'Data shares'!$C:$FA,3)</f>
        <v>719.2</v>
      </c>
      <c r="D171" s="144">
        <f>VLOOKUP($A171,'Data shares'!$C:$FA,23)</f>
        <v>4.1500000000000004</v>
      </c>
      <c r="E171" s="145">
        <f>VLOOKUP($A171,'Data shares'!$C:$FA,26)*100</f>
        <v>0.57999999999999996</v>
      </c>
      <c r="F171" s="144">
        <f>VLOOKUP($A171,'Data shares'!$C:$FA,24)</f>
        <v>3.1</v>
      </c>
      <c r="G171" s="144">
        <f>VLOOKUP($A171,'Data shares'!$C:$FA,25)</f>
        <v>1.05</v>
      </c>
    </row>
    <row r="172" spans="1:7" x14ac:dyDescent="0.25">
      <c r="A172" s="101" t="str">
        <f>'Data Vlaue (Cr)'!C168</f>
        <v>PRESTIGE</v>
      </c>
      <c r="B172" s="144">
        <f>VLOOKUP($A172,'Data shares'!$C:$FA,7)</f>
        <v>1422</v>
      </c>
      <c r="C172" s="144">
        <f>VLOOKUP($A172,'Data shares'!$C:$FA,3)</f>
        <v>1430.4</v>
      </c>
      <c r="D172" s="144">
        <f>VLOOKUP($A172,'Data shares'!$C:$FA,23)</f>
        <v>8.4</v>
      </c>
      <c r="E172" s="145">
        <f>VLOOKUP($A172,'Data shares'!$C:$FA,26)*100</f>
        <v>0.59</v>
      </c>
      <c r="F172" s="144">
        <f>VLOOKUP($A172,'Data shares'!$C:$FA,24)</f>
        <v>8</v>
      </c>
      <c r="G172" s="144">
        <f>VLOOKUP($A172,'Data shares'!$C:$FA,25)</f>
        <v>0.4</v>
      </c>
    </row>
    <row r="173" spans="1:7" x14ac:dyDescent="0.25">
      <c r="A173" s="101" t="str">
        <f>'Data Vlaue (Cr)'!C169</f>
        <v>RBLBANK</v>
      </c>
      <c r="B173" s="144">
        <f>VLOOKUP($A173,'Data shares'!$C:$FA,7)</f>
        <v>297.35000000000002</v>
      </c>
      <c r="C173" s="144">
        <f>VLOOKUP($A173,'Data shares'!$C:$FA,3)</f>
        <v>298.89999999999998</v>
      </c>
      <c r="D173" s="144">
        <f>VLOOKUP($A173,'Data shares'!$C:$FA,23)</f>
        <v>1.55</v>
      </c>
      <c r="E173" s="145">
        <f>VLOOKUP($A173,'Data shares'!$C:$FA,26)*100</f>
        <v>0.52</v>
      </c>
      <c r="F173" s="144">
        <f>VLOOKUP($A173,'Data shares'!$C:$FA,24)</f>
        <v>1.85</v>
      </c>
      <c r="G173" s="144">
        <f>VLOOKUP($A173,'Data shares'!$C:$FA,25)</f>
        <v>-0.3</v>
      </c>
    </row>
    <row r="174" spans="1:7" x14ac:dyDescent="0.25">
      <c r="A174" s="101" t="str">
        <f>'Data Vlaue (Cr)'!C170</f>
        <v>RECLTD</v>
      </c>
      <c r="B174" s="144">
        <f>VLOOKUP($A174,'Data shares'!$C:$FA,7)</f>
        <v>377.5</v>
      </c>
      <c r="C174" s="144">
        <f>VLOOKUP($A174,'Data shares'!$C:$FA,3)</f>
        <v>375.95</v>
      </c>
      <c r="D174" s="144">
        <f>VLOOKUP($A174,'Data shares'!$C:$FA,23)</f>
        <v>-1.55</v>
      </c>
      <c r="E174" s="145">
        <f>VLOOKUP($A174,'Data shares'!$C:$FA,26)*100</f>
        <v>-0.41000000000000003</v>
      </c>
      <c r="F174" s="144">
        <f>VLOOKUP($A174,'Data shares'!$C:$FA,24)</f>
        <v>-2.2000000000000002</v>
      </c>
      <c r="G174" s="144">
        <f>VLOOKUP($A174,'Data shares'!$C:$FA,25)</f>
        <v>0.65</v>
      </c>
    </row>
    <row r="175" spans="1:7" x14ac:dyDescent="0.25">
      <c r="A175" s="101" t="str">
        <f>'Data Vlaue (Cr)'!C171</f>
        <v>RELIANCE</v>
      </c>
      <c r="B175" s="144">
        <f>VLOOKUP($A175,'Data shares'!$C:$FA,7)</f>
        <v>1396.7</v>
      </c>
      <c r="C175" s="144">
        <f>VLOOKUP($A175,'Data shares'!$C:$FA,3)</f>
        <v>1402.7</v>
      </c>
      <c r="D175" s="144">
        <f>VLOOKUP($A175,'Data shares'!$C:$FA,23)</f>
        <v>6</v>
      </c>
      <c r="E175" s="145">
        <f>VLOOKUP($A175,'Data shares'!$C:$FA,26)*100</f>
        <v>0.43</v>
      </c>
      <c r="F175" s="144">
        <f>VLOOKUP($A175,'Data shares'!$C:$FA,24)</f>
        <v>10</v>
      </c>
      <c r="G175" s="144">
        <f>VLOOKUP($A175,'Data shares'!$C:$FA,25)</f>
        <v>-4</v>
      </c>
    </row>
    <row r="176" spans="1:7" x14ac:dyDescent="0.25">
      <c r="A176" s="101" t="str">
        <f>'Data Vlaue (Cr)'!C172</f>
        <v>RVNL</v>
      </c>
      <c r="B176" s="144">
        <f>VLOOKUP($A176,'Data shares'!$C:$FA,7)</f>
        <v>342.5</v>
      </c>
      <c r="C176" s="144">
        <f>VLOOKUP($A176,'Data shares'!$C:$FA,3)</f>
        <v>336.15</v>
      </c>
      <c r="D176" s="144">
        <f>VLOOKUP($A176,'Data shares'!$C:$FA,23)</f>
        <v>-6.35</v>
      </c>
      <c r="E176" s="145">
        <f>VLOOKUP($A176,'Data shares'!$C:$FA,26)*100</f>
        <v>-1.8499999999999999</v>
      </c>
      <c r="F176" s="144">
        <f>VLOOKUP($A176,'Data shares'!$C:$FA,24)</f>
        <v>-8.25</v>
      </c>
      <c r="G176" s="144">
        <f>VLOOKUP($A176,'Data shares'!$C:$FA,25)</f>
        <v>1.9</v>
      </c>
    </row>
    <row r="177" spans="1:7" x14ac:dyDescent="0.25">
      <c r="A177" s="101" t="str">
        <f>'Data Vlaue (Cr)'!C173</f>
        <v>SAIL</v>
      </c>
      <c r="B177" s="144">
        <f>VLOOKUP($A177,'Data shares'!$C:$FA,7)</f>
        <v>155.74</v>
      </c>
      <c r="C177" s="144">
        <f>VLOOKUP($A177,'Data shares'!$C:$FA,3)</f>
        <v>156.82</v>
      </c>
      <c r="D177" s="144">
        <f>VLOOKUP($A177,'Data shares'!$C:$FA,23)</f>
        <v>1.08</v>
      </c>
      <c r="E177" s="145">
        <f>VLOOKUP($A177,'Data shares'!$C:$FA,26)*100</f>
        <v>0.69</v>
      </c>
      <c r="F177" s="144">
        <f>VLOOKUP($A177,'Data shares'!$C:$FA,24)</f>
        <v>1.24</v>
      </c>
      <c r="G177" s="144">
        <f>VLOOKUP($A177,'Data shares'!$C:$FA,25)</f>
        <v>-0.16</v>
      </c>
    </row>
    <row r="178" spans="1:7" x14ac:dyDescent="0.25">
      <c r="A178" s="101" t="str">
        <f>'Data Vlaue (Cr)'!C174</f>
        <v>SAMMAANCAP</v>
      </c>
      <c r="B178" s="144">
        <f>VLOOKUP($A178,'Data shares'!$C:$FA,7)</f>
        <v>141.83000000000001</v>
      </c>
      <c r="C178" s="144">
        <f>VLOOKUP($A178,'Data shares'!$C:$FA,3)</f>
        <v>142.86000000000001</v>
      </c>
      <c r="D178" s="144">
        <f>VLOOKUP($A178,'Data shares'!$C:$FA,23)</f>
        <v>1.03</v>
      </c>
      <c r="E178" s="145">
        <f>VLOOKUP($A178,'Data shares'!$C:$FA,26)*100</f>
        <v>0.73</v>
      </c>
      <c r="F178" s="144">
        <f>VLOOKUP($A178,'Data shares'!$C:$FA,24)</f>
        <v>0.41</v>
      </c>
      <c r="G178" s="144">
        <f>VLOOKUP($A178,'Data shares'!$C:$FA,25)</f>
        <v>0.62</v>
      </c>
    </row>
    <row r="179" spans="1:7" x14ac:dyDescent="0.25">
      <c r="A179" s="101" t="str">
        <f>'Data Vlaue (Cr)'!C175</f>
        <v>SBICARD</v>
      </c>
      <c r="B179" s="144">
        <f>VLOOKUP($A179,'Data shares'!$C:$FA,7)</f>
        <v>782.4</v>
      </c>
      <c r="C179" s="144">
        <f>VLOOKUP($A179,'Data shares'!$C:$FA,3)</f>
        <v>783.65</v>
      </c>
      <c r="D179" s="144">
        <f>VLOOKUP($A179,'Data shares'!$C:$FA,23)</f>
        <v>1.25</v>
      </c>
      <c r="E179" s="145">
        <f>VLOOKUP($A179,'Data shares'!$C:$FA,26)*100</f>
        <v>0.16</v>
      </c>
      <c r="F179" s="144">
        <f>VLOOKUP($A179,'Data shares'!$C:$FA,24)</f>
        <v>3.7</v>
      </c>
      <c r="G179" s="144">
        <f>VLOOKUP($A179,'Data shares'!$C:$FA,25)</f>
        <v>-2.4500000000000002</v>
      </c>
    </row>
    <row r="180" spans="1:7" x14ac:dyDescent="0.25">
      <c r="A180" s="101" t="str">
        <f>'Data Vlaue (Cr)'!C176</f>
        <v>SBILIFE</v>
      </c>
      <c r="B180" s="144">
        <f>VLOOKUP($A180,'Data shares'!$C:$FA,7)</f>
        <v>2053.1999999999998</v>
      </c>
      <c r="C180" s="144">
        <f>VLOOKUP($A180,'Data shares'!$C:$FA,3)</f>
        <v>2060.6999999999998</v>
      </c>
      <c r="D180" s="144">
        <f>VLOOKUP($A180,'Data shares'!$C:$FA,23)</f>
        <v>7.5</v>
      </c>
      <c r="E180" s="145">
        <f>VLOOKUP($A180,'Data shares'!$C:$FA,26)*100</f>
        <v>0.37</v>
      </c>
      <c r="F180" s="144">
        <f>VLOOKUP($A180,'Data shares'!$C:$FA,24)</f>
        <v>14.4</v>
      </c>
      <c r="G180" s="144">
        <f>VLOOKUP($A180,'Data shares'!$C:$FA,25)</f>
        <v>-6.9</v>
      </c>
    </row>
    <row r="181" spans="1:7" x14ac:dyDescent="0.25">
      <c r="A181" s="101" t="str">
        <f>'Data Vlaue (Cr)'!C177</f>
        <v>SBIN</v>
      </c>
      <c r="B181" s="144">
        <f>VLOOKUP($A181,'Data shares'!$C:$FA,7)</f>
        <v>1063.5</v>
      </c>
      <c r="C181" s="144">
        <f>VLOOKUP($A181,'Data shares'!$C:$FA,3)</f>
        <v>1067.3</v>
      </c>
      <c r="D181" s="144">
        <f>VLOOKUP($A181,'Data shares'!$C:$FA,23)</f>
        <v>3.8</v>
      </c>
      <c r="E181" s="145">
        <f>VLOOKUP($A181,'Data shares'!$C:$FA,26)*100</f>
        <v>0.36</v>
      </c>
      <c r="F181" s="144">
        <f>VLOOKUP($A181,'Data shares'!$C:$FA,24)</f>
        <v>5.25</v>
      </c>
      <c r="G181" s="144">
        <f>VLOOKUP($A181,'Data shares'!$C:$FA,25)</f>
        <v>-1.45</v>
      </c>
    </row>
    <row r="182" spans="1:7" x14ac:dyDescent="0.25">
      <c r="A182" s="101" t="str">
        <f>'Data Vlaue (Cr)'!C178</f>
        <v>SHREECEM</v>
      </c>
      <c r="B182" s="144">
        <f>VLOOKUP($A182,'Data shares'!$C:$FA,7)</f>
        <v>27480</v>
      </c>
      <c r="C182" s="144">
        <f>VLOOKUP($A182,'Data shares'!$C:$FA,3)</f>
        <v>27500</v>
      </c>
      <c r="D182" s="144">
        <f>VLOOKUP($A182,'Data shares'!$C:$FA,23)</f>
        <v>20</v>
      </c>
      <c r="E182" s="145">
        <f>VLOOKUP($A182,'Data shares'!$C:$FA,26)*100</f>
        <v>6.9999999999999993E-2</v>
      </c>
      <c r="F182" s="144">
        <f>VLOOKUP($A182,'Data shares'!$C:$FA,24)</f>
        <v>80</v>
      </c>
      <c r="G182" s="144">
        <f>VLOOKUP($A182,'Data shares'!$C:$FA,25)</f>
        <v>-60</v>
      </c>
    </row>
    <row r="183" spans="1:7" x14ac:dyDescent="0.25">
      <c r="A183" s="101" t="str">
        <f>'Data Vlaue (Cr)'!C179</f>
        <v>SHRIRAMFIN</v>
      </c>
      <c r="B183" s="144">
        <f>VLOOKUP($A183,'Data shares'!$C:$FA,7)</f>
        <v>1018.8</v>
      </c>
      <c r="C183" s="144">
        <f>VLOOKUP($A183,'Data shares'!$C:$FA,3)</f>
        <v>1022.55</v>
      </c>
      <c r="D183" s="144">
        <f>VLOOKUP($A183,'Data shares'!$C:$FA,23)</f>
        <v>3.75</v>
      </c>
      <c r="E183" s="145">
        <f>VLOOKUP($A183,'Data shares'!$C:$FA,26)*100</f>
        <v>0.37</v>
      </c>
      <c r="F183" s="144">
        <f>VLOOKUP($A183,'Data shares'!$C:$FA,24)</f>
        <v>5.25</v>
      </c>
      <c r="G183" s="144">
        <f>VLOOKUP($A183,'Data shares'!$C:$FA,25)</f>
        <v>-1.5</v>
      </c>
    </row>
    <row r="184" spans="1:7" x14ac:dyDescent="0.25">
      <c r="A184" s="101" t="str">
        <f>'Data Vlaue (Cr)'!C180</f>
        <v>SIEMENS</v>
      </c>
      <c r="B184" s="144">
        <f>VLOOKUP($A184,'Data shares'!$C:$FA,7)</f>
        <v>2980.8</v>
      </c>
      <c r="C184" s="144">
        <f>VLOOKUP($A184,'Data shares'!$C:$FA,3)</f>
        <v>2996.2</v>
      </c>
      <c r="D184" s="144">
        <f>VLOOKUP($A184,'Data shares'!$C:$FA,23)</f>
        <v>15.4</v>
      </c>
      <c r="E184" s="145">
        <f>VLOOKUP($A184,'Data shares'!$C:$FA,26)*100</f>
        <v>0.52</v>
      </c>
      <c r="F184" s="144">
        <f>VLOOKUP($A184,'Data shares'!$C:$FA,24)</f>
        <v>14</v>
      </c>
      <c r="G184" s="144">
        <f>VLOOKUP($A184,'Data shares'!$C:$FA,25)</f>
        <v>1.4</v>
      </c>
    </row>
    <row r="185" spans="1:7" x14ac:dyDescent="0.25">
      <c r="A185" s="101" t="str">
        <f>'Data Vlaue (Cr)'!C181</f>
        <v>SOLARINDS</v>
      </c>
      <c r="B185" s="144">
        <f>VLOOKUP($A185,'Data shares'!$C:$FA,7)</f>
        <v>13916</v>
      </c>
      <c r="C185" s="144">
        <f>VLOOKUP($A185,'Data shares'!$C:$FA,3)</f>
        <v>13975</v>
      </c>
      <c r="D185" s="144">
        <f>VLOOKUP($A185,'Data shares'!$C:$FA,23)</f>
        <v>59</v>
      </c>
      <c r="E185" s="145">
        <f>VLOOKUP($A185,'Data shares'!$C:$FA,26)*100</f>
        <v>0.42</v>
      </c>
      <c r="F185" s="144">
        <f>VLOOKUP($A185,'Data shares'!$C:$FA,24)</f>
        <v>47</v>
      </c>
      <c r="G185" s="144">
        <f>VLOOKUP($A185,'Data shares'!$C:$FA,25)</f>
        <v>12</v>
      </c>
    </row>
    <row r="186" spans="1:7" x14ac:dyDescent="0.25">
      <c r="A186" s="101" t="str">
        <f>'Data Vlaue (Cr)'!C182</f>
        <v>SONACOMS</v>
      </c>
      <c r="B186" s="144">
        <f>VLOOKUP($A186,'Data shares'!$C:$FA,7)</f>
        <v>494.1</v>
      </c>
      <c r="C186" s="144">
        <f>VLOOKUP($A186,'Data shares'!$C:$FA,3)</f>
        <v>494.4</v>
      </c>
      <c r="D186" s="144">
        <f>VLOOKUP($A186,'Data shares'!$C:$FA,23)</f>
        <v>0.3</v>
      </c>
      <c r="E186" s="145">
        <f>VLOOKUP($A186,'Data shares'!$C:$FA,26)*100</f>
        <v>0.06</v>
      </c>
      <c r="F186" s="144">
        <f>VLOOKUP($A186,'Data shares'!$C:$FA,24)</f>
        <v>1.35</v>
      </c>
      <c r="G186" s="144">
        <f>VLOOKUP($A186,'Data shares'!$C:$FA,25)</f>
        <v>-1.05</v>
      </c>
    </row>
    <row r="187" spans="1:7" x14ac:dyDescent="0.25">
      <c r="A187" s="101" t="str">
        <f>'Data Vlaue (Cr)'!C183</f>
        <v>SRF</v>
      </c>
      <c r="B187" s="144">
        <f>VLOOKUP($A187,'Data shares'!$C:$FA,7)</f>
        <v>2817</v>
      </c>
      <c r="C187" s="144">
        <f>VLOOKUP($A187,'Data shares'!$C:$FA,3)</f>
        <v>2835.1</v>
      </c>
      <c r="D187" s="144">
        <f>VLOOKUP($A187,'Data shares'!$C:$FA,23)</f>
        <v>18.100000000000001</v>
      </c>
      <c r="E187" s="145">
        <f>VLOOKUP($A187,'Data shares'!$C:$FA,26)*100</f>
        <v>0.64</v>
      </c>
      <c r="F187" s="144">
        <f>VLOOKUP($A187,'Data shares'!$C:$FA,24)</f>
        <v>19.399999999999999</v>
      </c>
      <c r="G187" s="144">
        <f>VLOOKUP($A187,'Data shares'!$C:$FA,25)</f>
        <v>-1.3</v>
      </c>
    </row>
    <row r="188" spans="1:7" x14ac:dyDescent="0.25">
      <c r="A188" s="101" t="str">
        <f>'Data Vlaue (Cr)'!C184</f>
        <v>SUNPHARMA</v>
      </c>
      <c r="B188" s="144">
        <f>VLOOKUP($A188,'Data shares'!$C:$FA,7)</f>
        <v>1610.6</v>
      </c>
      <c r="C188" s="144">
        <f>VLOOKUP($A188,'Data shares'!$C:$FA,3)</f>
        <v>1608</v>
      </c>
      <c r="D188" s="144">
        <f>VLOOKUP($A188,'Data shares'!$C:$FA,23)</f>
        <v>-2.6</v>
      </c>
      <c r="E188" s="145">
        <f>VLOOKUP($A188,'Data shares'!$C:$FA,26)*100</f>
        <v>-0.16</v>
      </c>
      <c r="F188" s="144">
        <f>VLOOKUP($A188,'Data shares'!$C:$FA,24)</f>
        <v>-0.3</v>
      </c>
      <c r="G188" s="144">
        <f>VLOOKUP($A188,'Data shares'!$C:$FA,25)</f>
        <v>-2.2999999999999998</v>
      </c>
    </row>
    <row r="189" spans="1:7" x14ac:dyDescent="0.25">
      <c r="A189" s="101" t="str">
        <f>'Data Vlaue (Cr)'!C185</f>
        <v>SUPREMEIND</v>
      </c>
      <c r="B189" s="144">
        <f>VLOOKUP($A189,'Data shares'!$C:$FA,7)</f>
        <v>3512.9</v>
      </c>
      <c r="C189" s="144">
        <f>VLOOKUP($A189,'Data shares'!$C:$FA,3)</f>
        <v>3533.6</v>
      </c>
      <c r="D189" s="144">
        <f>VLOOKUP($A189,'Data shares'!$C:$FA,23)</f>
        <v>20.7</v>
      </c>
      <c r="E189" s="145">
        <f>VLOOKUP($A189,'Data shares'!$C:$FA,26)*100</f>
        <v>0.59</v>
      </c>
      <c r="F189" s="144">
        <f>VLOOKUP($A189,'Data shares'!$C:$FA,24)</f>
        <v>30</v>
      </c>
      <c r="G189" s="144">
        <f>VLOOKUP($A189,'Data shares'!$C:$FA,25)</f>
        <v>-9.3000000000000007</v>
      </c>
    </row>
    <row r="190" spans="1:7" x14ac:dyDescent="0.25">
      <c r="A190" s="101" t="str">
        <f>'Data Vlaue (Cr)'!C186</f>
        <v>SUZLON</v>
      </c>
      <c r="B190" s="144">
        <f>VLOOKUP($A190,'Data shares'!$C:$FA,7)</f>
        <v>47.8</v>
      </c>
      <c r="C190" s="144">
        <f>VLOOKUP($A190,'Data shares'!$C:$FA,3)</f>
        <v>48.01</v>
      </c>
      <c r="D190" s="144">
        <f>VLOOKUP($A190,'Data shares'!$C:$FA,23)</f>
        <v>0.21</v>
      </c>
      <c r="E190" s="145">
        <f>VLOOKUP($A190,'Data shares'!$C:$FA,26)*100</f>
        <v>0.44</v>
      </c>
      <c r="F190" s="144">
        <f>VLOOKUP($A190,'Data shares'!$C:$FA,24)</f>
        <v>0.26</v>
      </c>
      <c r="G190" s="144">
        <f>VLOOKUP($A190,'Data shares'!$C:$FA,25)</f>
        <v>-0.05</v>
      </c>
    </row>
    <row r="191" spans="1:7" x14ac:dyDescent="0.25">
      <c r="A191" s="101" t="str">
        <f>'Data Vlaue (Cr)'!C187</f>
        <v>SWIGGY</v>
      </c>
      <c r="B191" s="144">
        <f>VLOOKUP($A191,'Data shares'!$C:$FA,7)</f>
        <v>323.5</v>
      </c>
      <c r="C191" s="144">
        <f>VLOOKUP($A191,'Data shares'!$C:$FA,3)</f>
        <v>324.5</v>
      </c>
      <c r="D191" s="144">
        <f>VLOOKUP($A191,'Data shares'!$C:$FA,23)</f>
        <v>1</v>
      </c>
      <c r="E191" s="145">
        <f>VLOOKUP($A191,'Data shares'!$C:$FA,26)*100</f>
        <v>0.31</v>
      </c>
      <c r="F191" s="144">
        <f>VLOOKUP($A191,'Data shares'!$C:$FA,24)</f>
        <v>2.35</v>
      </c>
      <c r="G191" s="144">
        <f>VLOOKUP($A191,'Data shares'!$C:$FA,25)</f>
        <v>-1.35</v>
      </c>
    </row>
    <row r="192" spans="1:7" x14ac:dyDescent="0.25">
      <c r="A192" s="101" t="str">
        <f>'Data Vlaue (Cr)'!C188</f>
        <v>SYNGENE</v>
      </c>
      <c r="B192" s="144">
        <f>VLOOKUP($A192,'Data shares'!$C:$FA,7)</f>
        <v>480.3</v>
      </c>
      <c r="C192" s="144">
        <f>VLOOKUP($A192,'Data shares'!$C:$FA,3)</f>
        <v>483.4</v>
      </c>
      <c r="D192" s="144">
        <f>VLOOKUP($A192,'Data shares'!$C:$FA,23)</f>
        <v>3.1</v>
      </c>
      <c r="E192" s="145">
        <f>VLOOKUP($A192,'Data shares'!$C:$FA,26)*100</f>
        <v>0.65</v>
      </c>
      <c r="F192" s="144">
        <f>VLOOKUP($A192,'Data shares'!$C:$FA,24)</f>
        <v>-0.85</v>
      </c>
      <c r="G192" s="144">
        <f>VLOOKUP($A192,'Data shares'!$C:$FA,25)</f>
        <v>3.95</v>
      </c>
    </row>
    <row r="193" spans="1:7" x14ac:dyDescent="0.25">
      <c r="A193" s="101" t="str">
        <f>'Data Vlaue (Cr)'!C189</f>
        <v>TATACONSUM</v>
      </c>
      <c r="B193" s="144">
        <f>VLOOKUP($A193,'Data shares'!$C:$FA,7)</f>
        <v>1131.8</v>
      </c>
      <c r="C193" s="144">
        <f>VLOOKUP($A193,'Data shares'!$C:$FA,3)</f>
        <v>1136.0999999999999</v>
      </c>
      <c r="D193" s="144">
        <f>VLOOKUP($A193,'Data shares'!$C:$FA,23)</f>
        <v>4.3</v>
      </c>
      <c r="E193" s="145">
        <f>VLOOKUP($A193,'Data shares'!$C:$FA,26)*100</f>
        <v>0.38</v>
      </c>
      <c r="F193" s="144">
        <f>VLOOKUP($A193,'Data shares'!$C:$FA,24)</f>
        <v>6.2</v>
      </c>
      <c r="G193" s="144">
        <f>VLOOKUP($A193,'Data shares'!$C:$FA,25)</f>
        <v>-1.9</v>
      </c>
    </row>
    <row r="194" spans="1:7" x14ac:dyDescent="0.25">
      <c r="A194" s="101" t="str">
        <f>'Data Vlaue (Cr)'!C190</f>
        <v>TATAELXSI</v>
      </c>
      <c r="B194" s="144">
        <f>VLOOKUP($A194,'Data shares'!$C:$FA,7)</f>
        <v>5391</v>
      </c>
      <c r="C194" s="144">
        <f>VLOOKUP($A194,'Data shares'!$C:$FA,3)</f>
        <v>5423</v>
      </c>
      <c r="D194" s="144">
        <f>VLOOKUP($A194,'Data shares'!$C:$FA,23)</f>
        <v>32</v>
      </c>
      <c r="E194" s="145">
        <f>VLOOKUP($A194,'Data shares'!$C:$FA,26)*100</f>
        <v>0.59</v>
      </c>
      <c r="F194" s="144">
        <f>VLOOKUP($A194,'Data shares'!$C:$FA,24)</f>
        <v>21.5</v>
      </c>
      <c r="G194" s="144">
        <f>VLOOKUP($A194,'Data shares'!$C:$FA,25)</f>
        <v>10.5</v>
      </c>
    </row>
    <row r="195" spans="1:7" x14ac:dyDescent="0.25">
      <c r="A195" s="101" t="str">
        <f>'Data Vlaue (Cr)'!C191</f>
        <v>TATAPOWER</v>
      </c>
      <c r="B195" s="144">
        <f>VLOOKUP($A195,'Data shares'!$C:$FA,7)</f>
        <v>355.05</v>
      </c>
      <c r="C195" s="144">
        <f>VLOOKUP($A195,'Data shares'!$C:$FA,3)</f>
        <v>357.25</v>
      </c>
      <c r="D195" s="144">
        <f>VLOOKUP($A195,'Data shares'!$C:$FA,23)</f>
        <v>2.2000000000000002</v>
      </c>
      <c r="E195" s="145">
        <f>VLOOKUP($A195,'Data shares'!$C:$FA,26)*100</f>
        <v>0.62</v>
      </c>
      <c r="F195" s="144">
        <f>VLOOKUP($A195,'Data shares'!$C:$FA,24)</f>
        <v>1.7</v>
      </c>
      <c r="G195" s="144">
        <f>VLOOKUP($A195,'Data shares'!$C:$FA,25)</f>
        <v>0.5</v>
      </c>
    </row>
    <row r="196" spans="1:7" x14ac:dyDescent="0.25">
      <c r="A196" s="101" t="str">
        <f>'Data Vlaue (Cr)'!C192</f>
        <v>TATASTEEL</v>
      </c>
      <c r="B196" s="144">
        <f>VLOOKUP($A196,'Data shares'!$C:$FA,7)</f>
        <v>193.85</v>
      </c>
      <c r="C196" s="144">
        <f>VLOOKUP($A196,'Data shares'!$C:$FA,3)</f>
        <v>195.01</v>
      </c>
      <c r="D196" s="144">
        <f>VLOOKUP($A196,'Data shares'!$C:$FA,23)</f>
        <v>1.1599999999999999</v>
      </c>
      <c r="E196" s="145">
        <f>VLOOKUP($A196,'Data shares'!$C:$FA,26)*100</f>
        <v>0.6</v>
      </c>
      <c r="F196" s="144">
        <f>VLOOKUP($A196,'Data shares'!$C:$FA,24)</f>
        <v>0.83</v>
      </c>
      <c r="G196" s="144">
        <f>VLOOKUP($A196,'Data shares'!$C:$FA,25)</f>
        <v>0.33</v>
      </c>
    </row>
    <row r="197" spans="1:7" x14ac:dyDescent="0.25">
      <c r="A197" s="101" t="str">
        <f>'Data Vlaue (Cr)'!C193</f>
        <v>TATATECH</v>
      </c>
      <c r="B197" s="144">
        <f>VLOOKUP($A197,'Data shares'!$C:$FA,7)</f>
        <v>660.65</v>
      </c>
      <c r="C197" s="144">
        <f>VLOOKUP($A197,'Data shares'!$C:$FA,3)</f>
        <v>665.05</v>
      </c>
      <c r="D197" s="144">
        <f>VLOOKUP($A197,'Data shares'!$C:$FA,23)</f>
        <v>4.4000000000000004</v>
      </c>
      <c r="E197" s="145">
        <f>VLOOKUP($A197,'Data shares'!$C:$FA,26)*100</f>
        <v>0.67</v>
      </c>
      <c r="F197" s="144">
        <f>VLOOKUP($A197,'Data shares'!$C:$FA,24)</f>
        <v>4.2</v>
      </c>
      <c r="G197" s="144">
        <f>VLOOKUP($A197,'Data shares'!$C:$FA,25)</f>
        <v>0.2</v>
      </c>
    </row>
    <row r="198" spans="1:7" x14ac:dyDescent="0.25">
      <c r="A198" s="101" t="str">
        <f>'Data Vlaue (Cr)'!C194</f>
        <v>TCS</v>
      </c>
      <c r="B198" s="144">
        <f>VLOOKUP($A198,'Data shares'!$C:$FA,7)</f>
        <v>3200.1</v>
      </c>
      <c r="C198" s="144">
        <f>VLOOKUP($A198,'Data shares'!$C:$FA,3)</f>
        <v>3210</v>
      </c>
      <c r="D198" s="144">
        <f>VLOOKUP($A198,'Data shares'!$C:$FA,23)</f>
        <v>9.9</v>
      </c>
      <c r="E198" s="145">
        <f>VLOOKUP($A198,'Data shares'!$C:$FA,26)*100</f>
        <v>0.31</v>
      </c>
      <c r="F198" s="144">
        <f>VLOOKUP($A198,'Data shares'!$C:$FA,24)</f>
        <v>21.9</v>
      </c>
      <c r="G198" s="144">
        <f>VLOOKUP($A198,'Data shares'!$C:$FA,25)</f>
        <v>-12</v>
      </c>
    </row>
    <row r="199" spans="1:7" x14ac:dyDescent="0.25">
      <c r="A199" s="101" t="str">
        <f>'Data Vlaue (Cr)'!C195</f>
        <v>TECHM</v>
      </c>
      <c r="B199" s="144">
        <f>VLOOKUP($A199,'Data shares'!$C:$FA,7)</f>
        <v>1762.9</v>
      </c>
      <c r="C199" s="144">
        <f>VLOOKUP($A199,'Data shares'!$C:$FA,3)</f>
        <v>1769.4</v>
      </c>
      <c r="D199" s="144">
        <f>VLOOKUP($A199,'Data shares'!$C:$FA,23)</f>
        <v>6.5</v>
      </c>
      <c r="E199" s="145">
        <f>VLOOKUP($A199,'Data shares'!$C:$FA,26)*100</f>
        <v>0.37</v>
      </c>
      <c r="F199" s="144">
        <f>VLOOKUP($A199,'Data shares'!$C:$FA,24)</f>
        <v>8.9</v>
      </c>
      <c r="G199" s="144">
        <f>VLOOKUP($A199,'Data shares'!$C:$FA,25)</f>
        <v>-2.4</v>
      </c>
    </row>
    <row r="200" spans="1:7" x14ac:dyDescent="0.25">
      <c r="A200" s="101" t="str">
        <f>'Data Vlaue (Cr)'!C196</f>
        <v>TIINDIA</v>
      </c>
      <c r="B200" s="144">
        <f>VLOOKUP($A200,'Data shares'!$C:$FA,7)</f>
        <v>2280.6999999999998</v>
      </c>
      <c r="C200" s="144">
        <f>VLOOKUP($A200,'Data shares'!$C:$FA,3)</f>
        <v>2295.4</v>
      </c>
      <c r="D200" s="144">
        <f>VLOOKUP($A200,'Data shares'!$C:$FA,23)</f>
        <v>14.7</v>
      </c>
      <c r="E200" s="145">
        <f>VLOOKUP($A200,'Data shares'!$C:$FA,26)*100</f>
        <v>0.64</v>
      </c>
      <c r="F200" s="144">
        <f>VLOOKUP($A200,'Data shares'!$C:$FA,24)</f>
        <v>10.6</v>
      </c>
      <c r="G200" s="144">
        <f>VLOOKUP($A200,'Data shares'!$C:$FA,25)</f>
        <v>4.0999999999999996</v>
      </c>
    </row>
    <row r="201" spans="1:7" x14ac:dyDescent="0.25">
      <c r="A201" s="101" t="str">
        <f>'Data Vlaue (Cr)'!C197</f>
        <v>TITAN</v>
      </c>
      <c r="B201" s="144">
        <f>VLOOKUP($A201,'Data shares'!$C:$FA,7)</f>
        <v>3975.2</v>
      </c>
      <c r="C201" s="144">
        <f>VLOOKUP($A201,'Data shares'!$C:$FA,3)</f>
        <v>3990.6</v>
      </c>
      <c r="D201" s="144">
        <f>VLOOKUP($A201,'Data shares'!$C:$FA,23)</f>
        <v>15.4</v>
      </c>
      <c r="E201" s="145">
        <f>VLOOKUP($A201,'Data shares'!$C:$FA,26)*100</f>
        <v>0.38999999999999996</v>
      </c>
      <c r="F201" s="144">
        <f>VLOOKUP($A201,'Data shares'!$C:$FA,24)</f>
        <v>28.5</v>
      </c>
      <c r="G201" s="144">
        <f>VLOOKUP($A201,'Data shares'!$C:$FA,25)</f>
        <v>-13.1</v>
      </c>
    </row>
    <row r="202" spans="1:7" x14ac:dyDescent="0.25">
      <c r="A202" s="101" t="str">
        <f>'Data Vlaue (Cr)'!C198</f>
        <v>TMPV</v>
      </c>
      <c r="B202" s="144">
        <f>VLOOKUP($A202,'Data shares'!$C:$FA,7)</f>
        <v>340.45</v>
      </c>
      <c r="C202" s="144">
        <f>VLOOKUP($A202,'Data shares'!$C:$FA,3)</f>
        <v>341.95</v>
      </c>
      <c r="D202" s="144">
        <f>VLOOKUP($A202,'Data shares'!$C:$FA,23)</f>
        <v>1.5</v>
      </c>
      <c r="E202" s="145">
        <f>VLOOKUP($A202,'Data shares'!$C:$FA,26)*100</f>
        <v>0.44</v>
      </c>
      <c r="F202" s="144">
        <f>VLOOKUP($A202,'Data shares'!$C:$FA,24)</f>
        <v>1.1499999999999999</v>
      </c>
      <c r="G202" s="144">
        <f>VLOOKUP($A202,'Data shares'!$C:$FA,25)</f>
        <v>0.35</v>
      </c>
    </row>
    <row r="203" spans="1:7" x14ac:dyDescent="0.25">
      <c r="A203" s="101" t="str">
        <f>'Data Vlaue (Cr)'!C199</f>
        <v>TORNTPHARM</v>
      </c>
      <c r="B203" s="144">
        <f>VLOOKUP($A203,'Data shares'!$C:$FA,7)</f>
        <v>3958.7</v>
      </c>
      <c r="C203" s="144">
        <f>VLOOKUP($A203,'Data shares'!$C:$FA,3)</f>
        <v>3936</v>
      </c>
      <c r="D203" s="144">
        <f>VLOOKUP($A203,'Data shares'!$C:$FA,23)</f>
        <v>-22.7</v>
      </c>
      <c r="E203" s="145">
        <f>VLOOKUP($A203,'Data shares'!$C:$FA,26)*100</f>
        <v>-0.57000000000000006</v>
      </c>
      <c r="F203" s="144">
        <f>VLOOKUP($A203,'Data shares'!$C:$FA,24)</f>
        <v>-17.100000000000001</v>
      </c>
      <c r="G203" s="144">
        <f>VLOOKUP($A203,'Data shares'!$C:$FA,25)</f>
        <v>-5.6</v>
      </c>
    </row>
    <row r="204" spans="1:7" x14ac:dyDescent="0.25">
      <c r="A204" s="101" t="str">
        <f>'Data Vlaue (Cr)'!C200</f>
        <v>TORNTPOWER</v>
      </c>
      <c r="B204" s="144">
        <f>VLOOKUP($A204,'Data shares'!$C:$FA,7)</f>
        <v>1332.9</v>
      </c>
      <c r="C204" s="144">
        <f>VLOOKUP($A204,'Data shares'!$C:$FA,3)</f>
        <v>1331.4</v>
      </c>
      <c r="D204" s="144">
        <f>VLOOKUP($A204,'Data shares'!$C:$FA,23)</f>
        <v>-1.5</v>
      </c>
      <c r="E204" s="145">
        <f>VLOOKUP($A204,'Data shares'!$C:$FA,26)*100</f>
        <v>-0.11</v>
      </c>
      <c r="F204" s="144">
        <f>VLOOKUP($A204,'Data shares'!$C:$FA,24)</f>
        <v>-3.2</v>
      </c>
      <c r="G204" s="144">
        <f>VLOOKUP($A204,'Data shares'!$C:$FA,25)</f>
        <v>1.7</v>
      </c>
    </row>
    <row r="205" spans="1:7" x14ac:dyDescent="0.25">
      <c r="A205" s="101" t="str">
        <f>'Data Vlaue (Cr)'!C201</f>
        <v>TRENT</v>
      </c>
      <c r="B205" s="144">
        <f>VLOOKUP($A205,'Data shares'!$C:$FA,7)</f>
        <v>3864</v>
      </c>
      <c r="C205" s="144">
        <f>VLOOKUP($A205,'Data shares'!$C:$FA,3)</f>
        <v>3878.1</v>
      </c>
      <c r="D205" s="144">
        <f>VLOOKUP($A205,'Data shares'!$C:$FA,23)</f>
        <v>14.1</v>
      </c>
      <c r="E205" s="145">
        <f>VLOOKUP($A205,'Data shares'!$C:$FA,26)*100</f>
        <v>0.36</v>
      </c>
      <c r="F205" s="144">
        <f>VLOOKUP($A205,'Data shares'!$C:$FA,24)</f>
        <v>26</v>
      </c>
      <c r="G205" s="144">
        <f>VLOOKUP($A205,'Data shares'!$C:$FA,25)</f>
        <v>-11.9</v>
      </c>
    </row>
    <row r="206" spans="1:7" x14ac:dyDescent="0.25">
      <c r="A206" s="101" t="str">
        <f>'Data Vlaue (Cr)'!C202</f>
        <v>TVSMOTOR</v>
      </c>
      <c r="B206" s="144">
        <f>VLOOKUP($A206,'Data shares'!$C:$FA,7)</f>
        <v>3728.4</v>
      </c>
      <c r="C206" s="144">
        <f>VLOOKUP($A206,'Data shares'!$C:$FA,3)</f>
        <v>3753.7</v>
      </c>
      <c r="D206" s="144">
        <f>VLOOKUP($A206,'Data shares'!$C:$FA,23)</f>
        <v>25.3</v>
      </c>
      <c r="E206" s="145">
        <f>VLOOKUP($A206,'Data shares'!$C:$FA,26)*100</f>
        <v>0.67999999999999994</v>
      </c>
      <c r="F206" s="144">
        <f>VLOOKUP($A206,'Data shares'!$C:$FA,24)</f>
        <v>12.2</v>
      </c>
      <c r="G206" s="144">
        <f>VLOOKUP($A206,'Data shares'!$C:$FA,25)</f>
        <v>13.1</v>
      </c>
    </row>
    <row r="207" spans="1:7" x14ac:dyDescent="0.25">
      <c r="A207" s="101" t="str">
        <f>'Data Vlaue (Cr)'!C203</f>
        <v>ULTRACEMCO</v>
      </c>
      <c r="B207" s="144">
        <f>VLOOKUP($A207,'Data shares'!$C:$FA,7)</f>
        <v>12767</v>
      </c>
      <c r="C207" s="144">
        <f>VLOOKUP($A207,'Data shares'!$C:$FA,3)</f>
        <v>12812</v>
      </c>
      <c r="D207" s="144">
        <f>VLOOKUP($A207,'Data shares'!$C:$FA,23)</f>
        <v>45</v>
      </c>
      <c r="E207" s="145">
        <f>VLOOKUP($A207,'Data shares'!$C:$FA,26)*100</f>
        <v>0.35000000000000003</v>
      </c>
      <c r="F207" s="144">
        <f>VLOOKUP($A207,'Data shares'!$C:$FA,24)</f>
        <v>87</v>
      </c>
      <c r="G207" s="144">
        <f>VLOOKUP($A207,'Data shares'!$C:$FA,25)</f>
        <v>-42</v>
      </c>
    </row>
    <row r="208" spans="1:7" x14ac:dyDescent="0.25">
      <c r="A208" s="101" t="str">
        <f>'Data Vlaue (Cr)'!C204</f>
        <v>UNIONBANK</v>
      </c>
      <c r="B208" s="144">
        <f>VLOOKUP($A208,'Data shares'!$C:$FA,7)</f>
        <v>181.93</v>
      </c>
      <c r="C208" s="144">
        <f>VLOOKUP($A208,'Data shares'!$C:$FA,3)</f>
        <v>182.98</v>
      </c>
      <c r="D208" s="144">
        <f>VLOOKUP($A208,'Data shares'!$C:$FA,23)</f>
        <v>1.05</v>
      </c>
      <c r="E208" s="145">
        <f>VLOOKUP($A208,'Data shares'!$C:$FA,26)*100</f>
        <v>0.57999999999999996</v>
      </c>
      <c r="F208" s="144">
        <f>VLOOKUP($A208,'Data shares'!$C:$FA,24)</f>
        <v>1.18</v>
      </c>
      <c r="G208" s="144">
        <f>VLOOKUP($A208,'Data shares'!$C:$FA,25)</f>
        <v>-0.13</v>
      </c>
    </row>
    <row r="209" spans="1:7" x14ac:dyDescent="0.25">
      <c r="A209" s="101" t="str">
        <f>'Data Vlaue (Cr)'!C205</f>
        <v>UNITDSPR</v>
      </c>
      <c r="B209" s="144">
        <f>VLOOKUP($A209,'Data shares'!$C:$FA,7)</f>
        <v>1326.7</v>
      </c>
      <c r="C209" s="144">
        <f>VLOOKUP($A209,'Data shares'!$C:$FA,3)</f>
        <v>1331.4</v>
      </c>
      <c r="D209" s="144">
        <f>VLOOKUP($A209,'Data shares'!$C:$FA,23)</f>
        <v>4.7</v>
      </c>
      <c r="E209" s="145">
        <f>VLOOKUP($A209,'Data shares'!$C:$FA,26)*100</f>
        <v>0.35000000000000003</v>
      </c>
      <c r="F209" s="144">
        <f>VLOOKUP($A209,'Data shares'!$C:$FA,24)</f>
        <v>7.1</v>
      </c>
      <c r="G209" s="144">
        <f>VLOOKUP($A209,'Data shares'!$C:$FA,25)</f>
        <v>-2.4</v>
      </c>
    </row>
    <row r="210" spans="1:7" x14ac:dyDescent="0.25">
      <c r="A210" s="101" t="str">
        <f>'Data Vlaue (Cr)'!C206</f>
        <v>UNOMINDA</v>
      </c>
      <c r="B210" s="144">
        <f>VLOOKUP($A210,'Data shares'!$C:$FA,7)</f>
        <v>1148.5999999999999</v>
      </c>
      <c r="C210" s="144">
        <f>VLOOKUP($A210,'Data shares'!$C:$FA,3)</f>
        <v>1155.0999999999999</v>
      </c>
      <c r="D210" s="144">
        <f>VLOOKUP($A210,'Data shares'!$C:$FA,23)</f>
        <v>6.5</v>
      </c>
      <c r="E210" s="145">
        <f>VLOOKUP($A210,'Data shares'!$C:$FA,26)*100</f>
        <v>0.57000000000000006</v>
      </c>
      <c r="F210" s="144">
        <f>VLOOKUP($A210,'Data shares'!$C:$FA,24)</f>
        <v>6</v>
      </c>
      <c r="G210" s="144">
        <f>VLOOKUP($A210,'Data shares'!$C:$FA,25)</f>
        <v>0.5</v>
      </c>
    </row>
    <row r="211" spans="1:7" x14ac:dyDescent="0.25">
      <c r="A211" s="101" t="str">
        <f>'Data Vlaue (Cr)'!C207</f>
        <v>UPL</v>
      </c>
      <c r="B211" s="144">
        <f>VLOOKUP($A211,'Data shares'!$C:$FA,7)</f>
        <v>715.1</v>
      </c>
      <c r="C211" s="144">
        <f>VLOOKUP($A211,'Data shares'!$C:$FA,3)</f>
        <v>718.35</v>
      </c>
      <c r="D211" s="144">
        <f>VLOOKUP($A211,'Data shares'!$C:$FA,23)</f>
        <v>3.25</v>
      </c>
      <c r="E211" s="145">
        <f>VLOOKUP($A211,'Data shares'!$C:$FA,26)*100</f>
        <v>0.44999999999999996</v>
      </c>
      <c r="F211" s="144">
        <f>VLOOKUP($A211,'Data shares'!$C:$FA,24)</f>
        <v>3.9</v>
      </c>
      <c r="G211" s="144">
        <f>VLOOKUP($A211,'Data shares'!$C:$FA,25)</f>
        <v>-0.65</v>
      </c>
    </row>
    <row r="212" spans="1:7" x14ac:dyDescent="0.25">
      <c r="A212" s="101" t="str">
        <f>'Data Vlaue (Cr)'!C208</f>
        <v>VBL</v>
      </c>
      <c r="B212" s="144">
        <f>VLOOKUP($A212,'Data shares'!$C:$FA,7)</f>
        <v>468.4</v>
      </c>
      <c r="C212" s="144">
        <f>VLOOKUP($A212,'Data shares'!$C:$FA,3)</f>
        <v>471.55</v>
      </c>
      <c r="D212" s="144">
        <f>VLOOKUP($A212,'Data shares'!$C:$FA,23)</f>
        <v>3.15</v>
      </c>
      <c r="E212" s="145">
        <f>VLOOKUP($A212,'Data shares'!$C:$FA,26)*100</f>
        <v>0.67</v>
      </c>
      <c r="F212" s="144">
        <f>VLOOKUP($A212,'Data shares'!$C:$FA,24)</f>
        <v>3.4</v>
      </c>
      <c r="G212" s="144">
        <f>VLOOKUP($A212,'Data shares'!$C:$FA,25)</f>
        <v>-0.25</v>
      </c>
    </row>
    <row r="213" spans="1:7" x14ac:dyDescent="0.25">
      <c r="A213" s="101" t="str">
        <f>'Data Vlaue (Cr)'!C209</f>
        <v>VEDL</v>
      </c>
      <c r="B213" s="144">
        <f>VLOOKUP($A213,'Data shares'!$C:$FA,7)</f>
        <v>737.1</v>
      </c>
      <c r="C213" s="144">
        <f>VLOOKUP($A213,'Data shares'!$C:$FA,3)</f>
        <v>739.5</v>
      </c>
      <c r="D213" s="144">
        <f>VLOOKUP($A213,'Data shares'!$C:$FA,23)</f>
        <v>2.4</v>
      </c>
      <c r="E213" s="145">
        <f>VLOOKUP($A213,'Data shares'!$C:$FA,26)*100</f>
        <v>0.33</v>
      </c>
      <c r="F213" s="144">
        <f>VLOOKUP($A213,'Data shares'!$C:$FA,24)</f>
        <v>2.4500000000000002</v>
      </c>
      <c r="G213" s="144">
        <f>VLOOKUP($A213,'Data shares'!$C:$FA,25)</f>
        <v>-0.05</v>
      </c>
    </row>
    <row r="214" spans="1:7" x14ac:dyDescent="0.25">
      <c r="A214" s="101" t="str">
        <f>'Data Vlaue (Cr)'!C210</f>
        <v>VOLTAS</v>
      </c>
      <c r="B214" s="144">
        <f>VLOOKUP($A214,'Data shares'!$C:$FA,7)</f>
        <v>1372.9</v>
      </c>
      <c r="C214" s="144">
        <f>VLOOKUP($A214,'Data shares'!$C:$FA,3)</f>
        <v>1374.3</v>
      </c>
      <c r="D214" s="144">
        <f>VLOOKUP($A214,'Data shares'!$C:$FA,23)</f>
        <v>1.4</v>
      </c>
      <c r="E214" s="145">
        <f>VLOOKUP($A214,'Data shares'!$C:$FA,26)*100</f>
        <v>0.1</v>
      </c>
      <c r="F214" s="144">
        <f>VLOOKUP($A214,'Data shares'!$C:$FA,24)</f>
        <v>6</v>
      </c>
      <c r="G214" s="144">
        <f>VLOOKUP($A214,'Data shares'!$C:$FA,25)</f>
        <v>-4.5999999999999996</v>
      </c>
    </row>
    <row r="215" spans="1:7" x14ac:dyDescent="0.25">
      <c r="A215" s="101" t="str">
        <f>'Data Vlaue (Cr)'!C211</f>
        <v>WAAREEENER</v>
      </c>
      <c r="B215" s="144">
        <f>VLOOKUP($A215,'Data shares'!$C:$FA,7)</f>
        <v>2749.6</v>
      </c>
      <c r="C215" s="144">
        <f>VLOOKUP($A215,'Data shares'!$C:$FA,3)</f>
        <v>2768.1</v>
      </c>
      <c r="D215" s="144">
        <f>VLOOKUP($A215,'Data shares'!$C:$FA,23)</f>
        <v>18.5</v>
      </c>
      <c r="E215" s="145">
        <f>VLOOKUP($A215,'Data shares'!$C:$FA,26)*100</f>
        <v>0.67</v>
      </c>
      <c r="F215" s="144">
        <f>VLOOKUP($A215,'Data shares'!$C:$FA,24)</f>
        <v>14.6</v>
      </c>
      <c r="G215" s="144">
        <f>VLOOKUP($A215,'Data shares'!$C:$FA,25)</f>
        <v>3.9</v>
      </c>
    </row>
    <row r="216" spans="1:7" x14ac:dyDescent="0.25">
      <c r="A216" s="101" t="str">
        <f>'Data Vlaue (Cr)'!C212</f>
        <v>WIPRO</v>
      </c>
      <c r="B216" s="144">
        <f>VLOOKUP($A216,'Data shares'!$C:$FA,7)</f>
        <v>237.35</v>
      </c>
      <c r="C216" s="144">
        <f>VLOOKUP($A216,'Data shares'!$C:$FA,3)</f>
        <v>238.5</v>
      </c>
      <c r="D216" s="144">
        <f>VLOOKUP($A216,'Data shares'!$C:$FA,23)</f>
        <v>1.1499999999999999</v>
      </c>
      <c r="E216" s="145">
        <f>VLOOKUP($A216,'Data shares'!$C:$FA,26)*100</f>
        <v>0.48</v>
      </c>
      <c r="F216" s="144">
        <f>VLOOKUP($A216,'Data shares'!$C:$FA,24)</f>
        <v>1.5</v>
      </c>
      <c r="G216" s="144">
        <f>VLOOKUP($A216,'Data shares'!$C:$FA,25)</f>
        <v>-0.35</v>
      </c>
    </row>
    <row r="217" spans="1:7" x14ac:dyDescent="0.25">
      <c r="A217" s="101" t="str">
        <f>'Data Vlaue (Cr)'!C213</f>
        <v>YESBANK</v>
      </c>
      <c r="B217" s="144">
        <f>VLOOKUP($A217,'Data shares'!$C:$FA,7)</f>
        <v>21.48</v>
      </c>
      <c r="C217" s="144">
        <f>VLOOKUP($A217,'Data shares'!$C:$FA,3)</f>
        <v>21.56</v>
      </c>
      <c r="D217" s="144">
        <f>VLOOKUP($A217,'Data shares'!$C:$FA,23)</f>
        <v>0.08</v>
      </c>
      <c r="E217" s="145">
        <f>VLOOKUP($A217,'Data shares'!$C:$FA,26)*100</f>
        <v>0.37</v>
      </c>
      <c r="F217" s="144">
        <f>VLOOKUP($A217,'Data shares'!$C:$FA,24)</f>
        <v>0.12</v>
      </c>
      <c r="G217" s="144">
        <f>VLOOKUP($A217,'Data shares'!$C:$FA,25)</f>
        <v>-0.04</v>
      </c>
    </row>
    <row r="218" spans="1:7" x14ac:dyDescent="0.25">
      <c r="A218" s="101"/>
      <c r="B218" s="144"/>
      <c r="C218" s="144"/>
      <c r="D218" s="144"/>
      <c r="E218" s="145"/>
      <c r="F218" s="144"/>
      <c r="G218" s="144"/>
    </row>
    <row r="219" spans="1:7" x14ac:dyDescent="0.25">
      <c r="A219" s="101" t="str">
        <f>'Data Vlaue (Cr)'!C214</f>
        <v>ZYDUSLIFE</v>
      </c>
      <c r="B219" s="144">
        <f>VLOOKUP($A219,'Data shares'!$C:$FA,7)</f>
        <v>896.9</v>
      </c>
      <c r="C219" s="144">
        <f>VLOOKUP($A219,'Data shares'!$C:$FA,3)</f>
        <v>900.45</v>
      </c>
      <c r="D219" s="144">
        <f>VLOOKUP($A219,'Data shares'!$C:$FA,23)</f>
        <v>3.55</v>
      </c>
      <c r="E219" s="145">
        <f>VLOOKUP($A219,'Data shares'!$C:$FA,26)*100</f>
        <v>0.4</v>
      </c>
      <c r="F219" s="144">
        <f>VLOOKUP($A219,'Data shares'!$C:$FA,24)</f>
        <v>5.95</v>
      </c>
      <c r="G219" s="144">
        <f>VLOOKUP($A219,'Data shares'!$C:$FA,25)</f>
        <v>-2.4</v>
      </c>
    </row>
    <row r="220" spans="1:7" x14ac:dyDescent="0.25">
      <c r="A220">
        <f>'Data Vlaue (Cr)'!C215</f>
        <v>0</v>
      </c>
    </row>
  </sheetData>
  <mergeCells count="3">
    <mergeCell ref="A4:A5"/>
    <mergeCell ref="D4:G4"/>
    <mergeCell ref="A3:G3"/>
  </mergeCell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20"/>
  <sheetViews>
    <sheetView workbookViewId="0">
      <pane ySplit="6" topLeftCell="A191" activePane="bottomLeft" state="frozen"/>
      <selection pane="bottomLeft" activeCell="A219" sqref="A219:H219"/>
    </sheetView>
  </sheetViews>
  <sheetFormatPr defaultRowHeight="15" x14ac:dyDescent="0.25"/>
  <cols>
    <col min="1" max="1" width="21.42578125" customWidth="1"/>
    <col min="2" max="2" width="12.7109375" customWidth="1"/>
    <col min="3" max="7" width="10.42578125" customWidth="1"/>
  </cols>
  <sheetData>
    <row r="2" spans="1:7" ht="22.5" customHeight="1" thickBot="1" x14ac:dyDescent="0.3"/>
    <row r="3" spans="1:7" ht="19.5" customHeight="1" thickBot="1" x14ac:dyDescent="0.3">
      <c r="A3" s="312" t="s">
        <v>370</v>
      </c>
      <c r="B3" s="313"/>
      <c r="C3" s="313"/>
      <c r="D3" s="313"/>
      <c r="E3" s="313"/>
      <c r="F3" s="313"/>
      <c r="G3" s="314"/>
    </row>
    <row r="4" spans="1:7" x14ac:dyDescent="0.25">
      <c r="A4" s="316" t="s">
        <v>318</v>
      </c>
      <c r="B4" s="250" t="s">
        <v>371</v>
      </c>
      <c r="C4" s="250"/>
      <c r="D4" s="250"/>
      <c r="E4" s="250"/>
      <c r="F4" s="250"/>
      <c r="G4" s="250"/>
    </row>
    <row r="5" spans="1:7" x14ac:dyDescent="0.25">
      <c r="A5" s="317"/>
      <c r="B5" s="315" t="s">
        <v>372</v>
      </c>
      <c r="C5" s="315"/>
      <c r="D5" s="315"/>
      <c r="E5" s="315" t="s">
        <v>373</v>
      </c>
      <c r="F5" s="315"/>
      <c r="G5" s="315"/>
    </row>
    <row r="6" spans="1:7" x14ac:dyDescent="0.25">
      <c r="A6" s="250"/>
      <c r="B6" s="2" t="s">
        <v>374</v>
      </c>
      <c r="C6" s="2" t="s">
        <v>375</v>
      </c>
      <c r="D6" s="2" t="s">
        <v>376</v>
      </c>
      <c r="E6" s="2" t="s">
        <v>377</v>
      </c>
      <c r="F6" s="2" t="s">
        <v>378</v>
      </c>
      <c r="G6" s="2" t="s">
        <v>379</v>
      </c>
    </row>
    <row r="7" spans="1:7" x14ac:dyDescent="0.25">
      <c r="A7" s="49" t="str">
        <f>'Data Vlaue (Cr)'!C2</f>
        <v>360ONE</v>
      </c>
      <c r="B7" s="50">
        <f>VLOOKUP($A7,'Data shares'!$C:$FM,102)</f>
        <v>33.6</v>
      </c>
      <c r="C7" s="50">
        <f>VLOOKUP($A7,'Data shares'!$C:$FM,110)</f>
        <v>33.15</v>
      </c>
      <c r="D7" s="50">
        <f>VLOOKUP($A7,'Data shares'!$C:$FM,114)</f>
        <v>34.630000000000003</v>
      </c>
      <c r="E7" s="50">
        <f>VLOOKUP($A7,'Data shares'!$C:$FM,106)</f>
        <v>42.43</v>
      </c>
      <c r="F7" s="50">
        <f>VLOOKUP($A7,'Data shares'!$C:$FM,108)</f>
        <v>-8.83</v>
      </c>
      <c r="G7" s="50">
        <f t="shared" ref="G7:G38" si="0">B7/E7</f>
        <v>0.79189252887108186</v>
      </c>
    </row>
    <row r="8" spans="1:7" x14ac:dyDescent="0.25">
      <c r="A8" s="49" t="str">
        <f>'Data Vlaue (Cr)'!C3</f>
        <v>ABB</v>
      </c>
      <c r="B8" s="50">
        <f>VLOOKUP($A8,'Data shares'!$C:$FM,102)</f>
        <v>32.65</v>
      </c>
      <c r="C8" s="50">
        <f>VLOOKUP($A8,'Data shares'!$C:$FM,110)</f>
        <v>32.1</v>
      </c>
      <c r="D8" s="50">
        <f>VLOOKUP($A8,'Data shares'!$C:$FM,114)</f>
        <v>34.31</v>
      </c>
      <c r="E8" s="50">
        <f>VLOOKUP($A8,'Data shares'!$C:$FM,106)</f>
        <v>35.090000000000003</v>
      </c>
      <c r="F8" s="50">
        <f>VLOOKUP($A8,'Data shares'!$C:$FM,108)</f>
        <v>-2.44</v>
      </c>
      <c r="G8" s="50">
        <f t="shared" si="0"/>
        <v>0.93046451980621248</v>
      </c>
    </row>
    <row r="9" spans="1:7" x14ac:dyDescent="0.25">
      <c r="A9" s="49" t="str">
        <f>'Data Vlaue (Cr)'!C4</f>
        <v>ABCAPITAL</v>
      </c>
      <c r="B9" s="50">
        <f>VLOOKUP($A9,'Data shares'!$C:$FM,102)</f>
        <v>36.119999999999997</v>
      </c>
      <c r="C9" s="50">
        <f>VLOOKUP($A9,'Data shares'!$C:$FM,110)</f>
        <v>35.75</v>
      </c>
      <c r="D9" s="50">
        <f>VLOOKUP($A9,'Data shares'!$C:$FM,114)</f>
        <v>36.86</v>
      </c>
      <c r="E9" s="50">
        <f>VLOOKUP($A9,'Data shares'!$C:$FM,106)</f>
        <v>37.33</v>
      </c>
      <c r="F9" s="50">
        <f>VLOOKUP($A9,'Data shares'!$C:$FM,108)</f>
        <v>-1.21</v>
      </c>
      <c r="G9" s="50">
        <f t="shared" si="0"/>
        <v>0.96758639164211091</v>
      </c>
    </row>
    <row r="10" spans="1:7" x14ac:dyDescent="0.25">
      <c r="A10" s="49" t="str">
        <f>'Data Vlaue (Cr)'!C5</f>
        <v>ADANIENSOL</v>
      </c>
      <c r="B10" s="50">
        <f>VLOOKUP($A10,'Data shares'!$C:$FM,102)</f>
        <v>42.78</v>
      </c>
      <c r="C10" s="50">
        <f>VLOOKUP($A10,'Data shares'!$C:$FM,110)</f>
        <v>42.11</v>
      </c>
      <c r="D10" s="50">
        <f>VLOOKUP($A10,'Data shares'!$C:$FM,114)</f>
        <v>44.15</v>
      </c>
      <c r="E10" s="50">
        <f>VLOOKUP($A10,'Data shares'!$C:$FM,106)</f>
        <v>53.59</v>
      </c>
      <c r="F10" s="50">
        <f>VLOOKUP($A10,'Data shares'!$C:$FM,108)</f>
        <v>-10.81</v>
      </c>
      <c r="G10" s="50">
        <f t="shared" si="0"/>
        <v>0.79828326180257503</v>
      </c>
    </row>
    <row r="11" spans="1:7" x14ac:dyDescent="0.25">
      <c r="A11" s="49" t="str">
        <f>'Data Vlaue (Cr)'!C6</f>
        <v>ADANIENT</v>
      </c>
      <c r="B11" s="50">
        <f>VLOOKUP($A11,'Data shares'!$C:$FM,102)</f>
        <v>43.61</v>
      </c>
      <c r="C11" s="50">
        <f>VLOOKUP($A11,'Data shares'!$C:$FM,110)</f>
        <v>42.02</v>
      </c>
      <c r="D11" s="50">
        <f>VLOOKUP($A11,'Data shares'!$C:$FM,114)</f>
        <v>45.94</v>
      </c>
      <c r="E11" s="50">
        <f>VLOOKUP($A11,'Data shares'!$C:$FM,106)</f>
        <v>48.03</v>
      </c>
      <c r="F11" s="50">
        <f>VLOOKUP($A11,'Data shares'!$C:$FM,108)</f>
        <v>-4.42</v>
      </c>
      <c r="G11" s="50">
        <f t="shared" si="0"/>
        <v>0.90797418280241515</v>
      </c>
    </row>
    <row r="12" spans="1:7" x14ac:dyDescent="0.25">
      <c r="A12" s="49" t="str">
        <f>'Data Vlaue (Cr)'!C7</f>
        <v>ADANIGREEN</v>
      </c>
      <c r="B12" s="50">
        <f>VLOOKUP($A12,'Data shares'!$C:$FM,102)</f>
        <v>46.93</v>
      </c>
      <c r="C12" s="50">
        <f>VLOOKUP($A12,'Data shares'!$C:$FM,110)</f>
        <v>45.96</v>
      </c>
      <c r="D12" s="50">
        <f>VLOOKUP($A12,'Data shares'!$C:$FM,114)</f>
        <v>48.86</v>
      </c>
      <c r="E12" s="50">
        <f>VLOOKUP($A12,'Data shares'!$C:$FM,106)</f>
        <v>57.5</v>
      </c>
      <c r="F12" s="50">
        <f>VLOOKUP($A12,'Data shares'!$C:$FM,108)</f>
        <v>-10.57</v>
      </c>
      <c r="G12" s="50">
        <f t="shared" si="0"/>
        <v>0.81617391304347831</v>
      </c>
    </row>
    <row r="13" spans="1:7" x14ac:dyDescent="0.25">
      <c r="A13" s="49" t="str">
        <f>'Data Vlaue (Cr)'!C8</f>
        <v>ADANIPORTS</v>
      </c>
      <c r="B13" s="50">
        <f>VLOOKUP($A13,'Data shares'!$C:$FM,102)</f>
        <v>32.409999999999997</v>
      </c>
      <c r="C13" s="50">
        <f>VLOOKUP($A13,'Data shares'!$C:$FM,110)</f>
        <v>31.27</v>
      </c>
      <c r="D13" s="50">
        <f>VLOOKUP($A13,'Data shares'!$C:$FM,114)</f>
        <v>34.229999999999997</v>
      </c>
      <c r="E13" s="50">
        <f>VLOOKUP($A13,'Data shares'!$C:$FM,106)</f>
        <v>36.58</v>
      </c>
      <c r="F13" s="50">
        <f>VLOOKUP($A13,'Data shares'!$C:$FM,108)</f>
        <v>-4.17</v>
      </c>
      <c r="G13" s="50">
        <f t="shared" si="0"/>
        <v>0.88600328048113719</v>
      </c>
    </row>
    <row r="14" spans="1:7" x14ac:dyDescent="0.25">
      <c r="A14" s="49" t="str">
        <f>'Data Vlaue (Cr)'!C9</f>
        <v>ALKEM</v>
      </c>
      <c r="B14" s="50">
        <f>VLOOKUP($A14,'Data shares'!$C:$FM,102)</f>
        <v>28.34</v>
      </c>
      <c r="C14" s="50">
        <f>VLOOKUP($A14,'Data shares'!$C:$FM,110)</f>
        <v>28.48</v>
      </c>
      <c r="D14" s="50">
        <f>VLOOKUP($A14,'Data shares'!$C:$FM,114)</f>
        <v>28.16</v>
      </c>
      <c r="E14" s="50">
        <f>VLOOKUP($A14,'Data shares'!$C:$FM,106)</f>
        <v>25.48</v>
      </c>
      <c r="F14" s="50">
        <f>VLOOKUP($A14,'Data shares'!$C:$FM,108)</f>
        <v>2.86</v>
      </c>
      <c r="G14" s="50">
        <f t="shared" si="0"/>
        <v>1.1122448979591837</v>
      </c>
    </row>
    <row r="15" spans="1:7" x14ac:dyDescent="0.25">
      <c r="A15" s="49" t="str">
        <f>'Data Vlaue (Cr)'!C10</f>
        <v>AMBER</v>
      </c>
      <c r="B15" s="50">
        <f>VLOOKUP($A15,'Data shares'!$C:$FM,102)</f>
        <v>41.45</v>
      </c>
      <c r="C15" s="50">
        <f>VLOOKUP($A15,'Data shares'!$C:$FM,110)</f>
        <v>40.9</v>
      </c>
      <c r="D15" s="50">
        <f>VLOOKUP($A15,'Data shares'!$C:$FM,114)</f>
        <v>42.89</v>
      </c>
      <c r="E15" s="50">
        <f>VLOOKUP($A15,'Data shares'!$C:$FM,106)</f>
        <v>50.71</v>
      </c>
      <c r="F15" s="50">
        <f>VLOOKUP($A15,'Data shares'!$C:$FM,108)</f>
        <v>-9.26</v>
      </c>
      <c r="G15" s="50">
        <f t="shared" si="0"/>
        <v>0.81739301912837714</v>
      </c>
    </row>
    <row r="16" spans="1:7" x14ac:dyDescent="0.25">
      <c r="A16" s="49" t="str">
        <f>'Data Vlaue (Cr)'!C11</f>
        <v>AMBUJACEM</v>
      </c>
      <c r="B16" s="50">
        <f>VLOOKUP($A16,'Data shares'!$C:$FM,102)</f>
        <v>29.49</v>
      </c>
      <c r="C16" s="50">
        <f>VLOOKUP($A16,'Data shares'!$C:$FM,110)</f>
        <v>28.97</v>
      </c>
      <c r="D16" s="50">
        <f>VLOOKUP($A16,'Data shares'!$C:$FM,114)</f>
        <v>30.37</v>
      </c>
      <c r="E16" s="50">
        <f>VLOOKUP($A16,'Data shares'!$C:$FM,106)</f>
        <v>31.86</v>
      </c>
      <c r="F16" s="50">
        <f>VLOOKUP($A16,'Data shares'!$C:$FM,108)</f>
        <v>-2.37</v>
      </c>
      <c r="G16" s="50">
        <f t="shared" si="0"/>
        <v>0.9256120527306968</v>
      </c>
    </row>
    <row r="17" spans="1:7" x14ac:dyDescent="0.25">
      <c r="A17" s="49" t="str">
        <f>'Data Vlaue (Cr)'!C12</f>
        <v>ANGELONE</v>
      </c>
      <c r="B17" s="50">
        <f>VLOOKUP($A17,'Data shares'!$C:$FM,102)</f>
        <v>38.590000000000003</v>
      </c>
      <c r="C17" s="50">
        <f>VLOOKUP($A17,'Data shares'!$C:$FM,110)</f>
        <v>37.94</v>
      </c>
      <c r="D17" s="50">
        <f>VLOOKUP($A17,'Data shares'!$C:$FM,114)</f>
        <v>40.450000000000003</v>
      </c>
      <c r="E17" s="50">
        <f>VLOOKUP($A17,'Data shares'!$C:$FM,106)</f>
        <v>52.52</v>
      </c>
      <c r="F17" s="50">
        <f>VLOOKUP($A17,'Data shares'!$C:$FM,108)</f>
        <v>-13.93</v>
      </c>
      <c r="G17" s="50">
        <f t="shared" si="0"/>
        <v>0.73476770753998477</v>
      </c>
    </row>
    <row r="18" spans="1:7" x14ac:dyDescent="0.25">
      <c r="A18" s="49" t="str">
        <f>'Data Vlaue (Cr)'!C13</f>
        <v>APLAPOLLO</v>
      </c>
      <c r="B18" s="50">
        <f>VLOOKUP($A18,'Data shares'!$C:$FM,102)</f>
        <v>29.11</v>
      </c>
      <c r="C18" s="50">
        <f>VLOOKUP($A18,'Data shares'!$C:$FM,110)</f>
        <v>28.88</v>
      </c>
      <c r="D18" s="50">
        <f>VLOOKUP($A18,'Data shares'!$C:$FM,114)</f>
        <v>29.8</v>
      </c>
      <c r="E18" s="50">
        <f>VLOOKUP($A18,'Data shares'!$C:$FM,106)</f>
        <v>32.409999999999997</v>
      </c>
      <c r="F18" s="50">
        <f>VLOOKUP($A18,'Data shares'!$C:$FM,108)</f>
        <v>-3.3</v>
      </c>
      <c r="G18" s="50">
        <f t="shared" si="0"/>
        <v>0.89817957420549221</v>
      </c>
    </row>
    <row r="19" spans="1:7" x14ac:dyDescent="0.25">
      <c r="A19" s="49" t="str">
        <f>'Data Vlaue (Cr)'!C14</f>
        <v>APOLLOHOSP</v>
      </c>
      <c r="B19" s="50">
        <f>VLOOKUP($A19,'Data shares'!$C:$FM,102)</f>
        <v>26.2</v>
      </c>
      <c r="C19" s="50">
        <f>VLOOKUP($A19,'Data shares'!$C:$FM,110)</f>
        <v>26.02</v>
      </c>
      <c r="D19" s="50">
        <f>VLOOKUP($A19,'Data shares'!$C:$FM,114)</f>
        <v>26.78</v>
      </c>
      <c r="E19" s="50">
        <f>VLOOKUP($A19,'Data shares'!$C:$FM,106)</f>
        <v>24.9</v>
      </c>
      <c r="F19" s="50">
        <f>VLOOKUP($A19,'Data shares'!$C:$FM,108)</f>
        <v>1.3</v>
      </c>
      <c r="G19" s="50">
        <f t="shared" si="0"/>
        <v>1.0522088353413654</v>
      </c>
    </row>
    <row r="20" spans="1:7" x14ac:dyDescent="0.25">
      <c r="A20" s="49" t="str">
        <f>'Data Vlaue (Cr)'!C15</f>
        <v>ASHOKLEY</v>
      </c>
      <c r="B20" s="50">
        <f>VLOOKUP($A20,'Data shares'!$C:$FM,102)</f>
        <v>39.049999999999997</v>
      </c>
      <c r="C20" s="50">
        <f>VLOOKUP($A20,'Data shares'!$C:$FM,110)</f>
        <v>38.81</v>
      </c>
      <c r="D20" s="50">
        <f>VLOOKUP($A20,'Data shares'!$C:$FM,114)</f>
        <v>39.729999999999997</v>
      </c>
      <c r="E20" s="50">
        <f>VLOOKUP($A20,'Data shares'!$C:$FM,106)</f>
        <v>35.119999999999997</v>
      </c>
      <c r="F20" s="50">
        <f>VLOOKUP($A20,'Data shares'!$C:$FM,108)</f>
        <v>3.93</v>
      </c>
      <c r="G20" s="50">
        <f t="shared" si="0"/>
        <v>1.1119020501138952</v>
      </c>
    </row>
    <row r="21" spans="1:7" x14ac:dyDescent="0.25">
      <c r="A21" s="49" t="str">
        <f>'Data Vlaue (Cr)'!C16</f>
        <v>ASIANPAINT</v>
      </c>
      <c r="B21" s="50">
        <f>VLOOKUP($A21,'Data shares'!$C:$FM,102)</f>
        <v>25.33</v>
      </c>
      <c r="C21" s="50">
        <f>VLOOKUP($A21,'Data shares'!$C:$FM,110)</f>
        <v>25.1</v>
      </c>
      <c r="D21" s="50">
        <f>VLOOKUP($A21,'Data shares'!$C:$FM,114)</f>
        <v>25.65</v>
      </c>
      <c r="E21" s="50">
        <f>VLOOKUP($A21,'Data shares'!$C:$FM,106)</f>
        <v>26.1</v>
      </c>
      <c r="F21" s="50">
        <f>VLOOKUP($A21,'Data shares'!$C:$FM,108)</f>
        <v>-0.77</v>
      </c>
      <c r="G21" s="50">
        <f t="shared" si="0"/>
        <v>0.97049808429118767</v>
      </c>
    </row>
    <row r="22" spans="1:7" x14ac:dyDescent="0.25">
      <c r="A22" s="49" t="str">
        <f>'Data Vlaue (Cr)'!C17</f>
        <v>ASTRAL</v>
      </c>
      <c r="B22" s="50">
        <f>VLOOKUP($A22,'Data shares'!$C:$FM,102)</f>
        <v>31.78</v>
      </c>
      <c r="C22" s="50">
        <f>VLOOKUP($A22,'Data shares'!$C:$FM,110)</f>
        <v>31.16</v>
      </c>
      <c r="D22" s="50">
        <f>VLOOKUP($A22,'Data shares'!$C:$FM,114)</f>
        <v>32.89</v>
      </c>
      <c r="E22" s="50">
        <f>VLOOKUP($A22,'Data shares'!$C:$FM,106)</f>
        <v>34.6</v>
      </c>
      <c r="F22" s="50">
        <f>VLOOKUP($A22,'Data shares'!$C:$FM,108)</f>
        <v>-2.82</v>
      </c>
      <c r="G22" s="50">
        <f t="shared" si="0"/>
        <v>0.91849710982658961</v>
      </c>
    </row>
    <row r="23" spans="1:7" x14ac:dyDescent="0.25">
      <c r="A23" s="49" t="str">
        <f>'Data Vlaue (Cr)'!C18</f>
        <v>AUBANK</v>
      </c>
      <c r="B23" s="50">
        <f>VLOOKUP($A23,'Data shares'!$C:$FM,102)</f>
        <v>30.19</v>
      </c>
      <c r="C23" s="50">
        <f>VLOOKUP($A23,'Data shares'!$C:$FM,110)</f>
        <v>29.95</v>
      </c>
      <c r="D23" s="50">
        <f>VLOOKUP($A23,'Data shares'!$C:$FM,114)</f>
        <v>30.68</v>
      </c>
      <c r="E23" s="50">
        <f>VLOOKUP($A23,'Data shares'!$C:$FM,106)</f>
        <v>35</v>
      </c>
      <c r="F23" s="50">
        <f>VLOOKUP($A23,'Data shares'!$C:$FM,108)</f>
        <v>-4.8099999999999996</v>
      </c>
      <c r="G23" s="50">
        <f t="shared" si="0"/>
        <v>0.86257142857142866</v>
      </c>
    </row>
    <row r="24" spans="1:7" x14ac:dyDescent="0.25">
      <c r="A24" s="49" t="str">
        <f>'Data Vlaue (Cr)'!C19</f>
        <v>AUROPHARMA</v>
      </c>
      <c r="B24" s="50">
        <f>VLOOKUP($A24,'Data shares'!$C:$FM,102)</f>
        <v>33.65</v>
      </c>
      <c r="C24" s="50">
        <f>VLOOKUP($A24,'Data shares'!$C:$FM,110)</f>
        <v>32.61</v>
      </c>
      <c r="D24" s="50">
        <f>VLOOKUP($A24,'Data shares'!$C:$FM,114)</f>
        <v>35.64</v>
      </c>
      <c r="E24" s="50">
        <f>VLOOKUP($A24,'Data shares'!$C:$FM,106)</f>
        <v>32.130000000000003</v>
      </c>
      <c r="F24" s="50">
        <f>VLOOKUP($A24,'Data shares'!$C:$FM,108)</f>
        <v>1.52</v>
      </c>
      <c r="G24" s="50">
        <f t="shared" si="0"/>
        <v>1.0473078120136943</v>
      </c>
    </row>
    <row r="25" spans="1:7" x14ac:dyDescent="0.25">
      <c r="A25" s="49" t="str">
        <f>'Data Vlaue (Cr)'!C20</f>
        <v>AXISBANK</v>
      </c>
      <c r="B25" s="50">
        <f>VLOOKUP($A25,'Data shares'!$C:$FM,102)</f>
        <v>23.19</v>
      </c>
      <c r="C25" s="50">
        <f>VLOOKUP($A25,'Data shares'!$C:$FM,110)</f>
        <v>22.88</v>
      </c>
      <c r="D25" s="50">
        <f>VLOOKUP($A25,'Data shares'!$C:$FM,114)</f>
        <v>23.63</v>
      </c>
      <c r="E25" s="50">
        <f>VLOOKUP($A25,'Data shares'!$C:$FM,106)</f>
        <v>26.29</v>
      </c>
      <c r="F25" s="50">
        <f>VLOOKUP($A25,'Data shares'!$C:$FM,108)</f>
        <v>-3.1</v>
      </c>
      <c r="G25" s="50">
        <f t="shared" si="0"/>
        <v>0.88208444275389886</v>
      </c>
    </row>
    <row r="26" spans="1:7" x14ac:dyDescent="0.25">
      <c r="A26" s="49" t="str">
        <f>'Data Vlaue (Cr)'!C21</f>
        <v>BAJAJ-AUTO</v>
      </c>
      <c r="B26" s="50">
        <f>VLOOKUP($A26,'Data shares'!$C:$FM,102)</f>
        <v>29.34</v>
      </c>
      <c r="C26" s="50">
        <f>VLOOKUP($A26,'Data shares'!$C:$FM,110)</f>
        <v>28.45</v>
      </c>
      <c r="D26" s="50">
        <f>VLOOKUP($A26,'Data shares'!$C:$FM,114)</f>
        <v>30.13</v>
      </c>
      <c r="E26" s="50">
        <f>VLOOKUP($A26,'Data shares'!$C:$FM,106)</f>
        <v>27.8</v>
      </c>
      <c r="F26" s="50">
        <f>VLOOKUP($A26,'Data shares'!$C:$FM,108)</f>
        <v>1.54</v>
      </c>
      <c r="G26" s="50">
        <f t="shared" si="0"/>
        <v>1.0553956834532374</v>
      </c>
    </row>
    <row r="27" spans="1:7" x14ac:dyDescent="0.25">
      <c r="A27" s="49" t="str">
        <f>'Data Vlaue (Cr)'!C22</f>
        <v>BAJAJFINSV</v>
      </c>
      <c r="B27" s="50">
        <f>VLOOKUP($A27,'Data shares'!$C:$FM,102)</f>
        <v>28.77</v>
      </c>
      <c r="C27" s="50">
        <f>VLOOKUP($A27,'Data shares'!$C:$FM,110)</f>
        <v>28.06</v>
      </c>
      <c r="D27" s="50">
        <f>VLOOKUP($A27,'Data shares'!$C:$FM,114)</f>
        <v>30.01</v>
      </c>
      <c r="E27" s="50">
        <f>VLOOKUP($A27,'Data shares'!$C:$FM,106)</f>
        <v>27.82</v>
      </c>
      <c r="F27" s="50">
        <f>VLOOKUP($A27,'Data shares'!$C:$FM,108)</f>
        <v>0.95</v>
      </c>
      <c r="G27" s="50">
        <f t="shared" si="0"/>
        <v>1.0341480948957584</v>
      </c>
    </row>
    <row r="28" spans="1:7" x14ac:dyDescent="0.25">
      <c r="A28" s="49" t="str">
        <f>'Data Vlaue (Cr)'!C23</f>
        <v>BAJAJHLDNG</v>
      </c>
      <c r="B28" s="50">
        <f>VLOOKUP($A28,'Data shares'!$C:$FM,102)</f>
        <v>32.56</v>
      </c>
      <c r="C28" s="50">
        <f>VLOOKUP($A28,'Data shares'!$C:$FM,110)</f>
        <v>32.53</v>
      </c>
      <c r="D28" s="50">
        <f>VLOOKUP($A28,'Data shares'!$C:$FM,114)</f>
        <v>32.619999999999997</v>
      </c>
      <c r="E28" s="50">
        <f>VLOOKUP($A28,'Data shares'!$C:$FM,106)</f>
        <v>38.18</v>
      </c>
      <c r="F28" s="50">
        <f>VLOOKUP($A28,'Data shares'!$C:$FM,108)</f>
        <v>-5.62</v>
      </c>
      <c r="G28" s="50">
        <f t="shared" si="0"/>
        <v>0.85280251440544796</v>
      </c>
    </row>
    <row r="29" spans="1:7" x14ac:dyDescent="0.25">
      <c r="A29" s="49" t="str">
        <f>'Data Vlaue (Cr)'!C24</f>
        <v>BAJFINANCE</v>
      </c>
      <c r="B29" s="50">
        <f>VLOOKUP($A29,'Data shares'!$C:$FM,102)</f>
        <v>32.14</v>
      </c>
      <c r="C29" s="50">
        <f>VLOOKUP($A29,'Data shares'!$C:$FM,110)</f>
        <v>31.43</v>
      </c>
      <c r="D29" s="50">
        <f>VLOOKUP($A29,'Data shares'!$C:$FM,114)</f>
        <v>33.68</v>
      </c>
      <c r="E29" s="50">
        <f>VLOOKUP($A29,'Data shares'!$C:$FM,106)</f>
        <v>30.75</v>
      </c>
      <c r="F29" s="50">
        <f>VLOOKUP($A29,'Data shares'!$C:$FM,108)</f>
        <v>1.39</v>
      </c>
      <c r="G29" s="50">
        <f t="shared" si="0"/>
        <v>1.0452032520325203</v>
      </c>
    </row>
    <row r="30" spans="1:7" x14ac:dyDescent="0.25">
      <c r="A30" s="49" t="str">
        <f>'Data Vlaue (Cr)'!C25</f>
        <v>BANDHANBNK</v>
      </c>
      <c r="B30" s="50">
        <f>VLOOKUP($A30,'Data shares'!$C:$FM,102)</f>
        <v>34.93</v>
      </c>
      <c r="C30" s="50">
        <f>VLOOKUP($A30,'Data shares'!$C:$FM,110)</f>
        <v>34.43</v>
      </c>
      <c r="D30" s="50">
        <f>VLOOKUP($A30,'Data shares'!$C:$FM,114)</f>
        <v>36.5</v>
      </c>
      <c r="E30" s="50">
        <f>VLOOKUP($A30,'Data shares'!$C:$FM,106)</f>
        <v>41.19</v>
      </c>
      <c r="F30" s="50">
        <f>VLOOKUP($A30,'Data shares'!$C:$FM,108)</f>
        <v>-6.26</v>
      </c>
      <c r="G30" s="50">
        <f t="shared" si="0"/>
        <v>0.84802136440883713</v>
      </c>
    </row>
    <row r="31" spans="1:7" x14ac:dyDescent="0.25">
      <c r="A31" s="49" t="str">
        <f>'Data Vlaue (Cr)'!C26</f>
        <v>BANKBARODA</v>
      </c>
      <c r="B31" s="50">
        <f>VLOOKUP($A31,'Data shares'!$C:$FM,102)</f>
        <v>34.96</v>
      </c>
      <c r="C31" s="50">
        <f>VLOOKUP($A31,'Data shares'!$C:$FM,110)</f>
        <v>34.479999999999997</v>
      </c>
      <c r="D31" s="50">
        <f>VLOOKUP($A31,'Data shares'!$C:$FM,114)</f>
        <v>36.04</v>
      </c>
      <c r="E31" s="50">
        <f>VLOOKUP($A31,'Data shares'!$C:$FM,106)</f>
        <v>33.19</v>
      </c>
      <c r="F31" s="50">
        <f>VLOOKUP($A31,'Data shares'!$C:$FM,108)</f>
        <v>1.77</v>
      </c>
      <c r="G31" s="50">
        <f t="shared" si="0"/>
        <v>1.053329316059054</v>
      </c>
    </row>
    <row r="32" spans="1:7" x14ac:dyDescent="0.25">
      <c r="A32" s="49" t="str">
        <f>'Data Vlaue (Cr)'!C27</f>
        <v>BANKINDIA</v>
      </c>
      <c r="B32" s="50">
        <f>VLOOKUP($A32,'Data shares'!$C:$FM,102)</f>
        <v>37.450000000000003</v>
      </c>
      <c r="C32" s="50">
        <f>VLOOKUP($A32,'Data shares'!$C:$FM,110)</f>
        <v>36.46</v>
      </c>
      <c r="D32" s="50">
        <f>VLOOKUP($A32,'Data shares'!$C:$FM,114)</f>
        <v>38.94</v>
      </c>
      <c r="E32" s="50">
        <f>VLOOKUP($A32,'Data shares'!$C:$FM,106)</f>
        <v>39.020000000000003</v>
      </c>
      <c r="F32" s="50">
        <f>VLOOKUP($A32,'Data shares'!$C:$FM,108)</f>
        <v>-1.57</v>
      </c>
      <c r="G32" s="50">
        <f t="shared" si="0"/>
        <v>0.9597642234751409</v>
      </c>
    </row>
    <row r="33" spans="1:7" x14ac:dyDescent="0.25">
      <c r="A33" s="49" t="str">
        <f>'Data Vlaue (Cr)'!C28</f>
        <v>BANKNIFTY</v>
      </c>
      <c r="B33" s="50">
        <f>VLOOKUP($A33,'Data shares'!$C:$FM,102)</f>
        <v>14.3</v>
      </c>
      <c r="C33" s="50">
        <f>VLOOKUP($A33,'Data shares'!$C:$FM,110)</f>
        <v>13.52</v>
      </c>
      <c r="D33" s="50">
        <f>VLOOKUP($A33,'Data shares'!$C:$FM,114)</f>
        <v>15.13</v>
      </c>
      <c r="E33" s="50">
        <f>VLOOKUP($A33,'Data shares'!$C:$FM,106)</f>
        <v>15.5</v>
      </c>
      <c r="F33" s="50">
        <f>VLOOKUP($A33,'Data shares'!$C:$FM,108)</f>
        <v>-1.2</v>
      </c>
      <c r="G33" s="50">
        <f t="shared" si="0"/>
        <v>0.92258064516129035</v>
      </c>
    </row>
    <row r="34" spans="1:7" x14ac:dyDescent="0.25">
      <c r="A34" s="49" t="str">
        <f>'Data Vlaue (Cr)'!C29</f>
        <v>BDL</v>
      </c>
      <c r="B34" s="50">
        <f>VLOOKUP($A34,'Data shares'!$C:$FM,102)</f>
        <v>49.55</v>
      </c>
      <c r="C34" s="50">
        <f>VLOOKUP($A34,'Data shares'!$C:$FM,110)</f>
        <v>49.38</v>
      </c>
      <c r="D34" s="50">
        <f>VLOOKUP($A34,'Data shares'!$C:$FM,114)</f>
        <v>50.33</v>
      </c>
      <c r="E34" s="50">
        <f>VLOOKUP($A34,'Data shares'!$C:$FM,106)</f>
        <v>50.63</v>
      </c>
      <c r="F34" s="50">
        <f>VLOOKUP($A34,'Data shares'!$C:$FM,108)</f>
        <v>-1.08</v>
      </c>
      <c r="G34" s="50">
        <f t="shared" si="0"/>
        <v>0.97866877345447356</v>
      </c>
    </row>
    <row r="35" spans="1:7" x14ac:dyDescent="0.25">
      <c r="A35" s="49" t="str">
        <f>'Data Vlaue (Cr)'!C30</f>
        <v>BEL</v>
      </c>
      <c r="B35" s="50">
        <f>VLOOKUP($A35,'Data shares'!$C:$FM,102)</f>
        <v>37.72</v>
      </c>
      <c r="C35" s="50">
        <f>VLOOKUP($A35,'Data shares'!$C:$FM,110)</f>
        <v>37.54</v>
      </c>
      <c r="D35" s="50">
        <f>VLOOKUP($A35,'Data shares'!$C:$FM,114)</f>
        <v>38.19</v>
      </c>
      <c r="E35" s="50">
        <f>VLOOKUP($A35,'Data shares'!$C:$FM,106)</f>
        <v>36.869999999999997</v>
      </c>
      <c r="F35" s="50">
        <f>VLOOKUP($A35,'Data shares'!$C:$FM,108)</f>
        <v>0.85</v>
      </c>
      <c r="G35" s="50">
        <f t="shared" si="0"/>
        <v>1.0230539734201247</v>
      </c>
    </row>
    <row r="36" spans="1:7" x14ac:dyDescent="0.25">
      <c r="A36" s="49" t="str">
        <f>'Data Vlaue (Cr)'!C31</f>
        <v>BHARATFORG</v>
      </c>
      <c r="B36" s="50">
        <f>VLOOKUP($A36,'Data shares'!$C:$FM,102)</f>
        <v>35.86</v>
      </c>
      <c r="C36" s="50">
        <f>VLOOKUP($A36,'Data shares'!$C:$FM,110)</f>
        <v>35.549999999999997</v>
      </c>
      <c r="D36" s="50">
        <f>VLOOKUP($A36,'Data shares'!$C:$FM,114)</f>
        <v>37.090000000000003</v>
      </c>
      <c r="E36" s="50">
        <f>VLOOKUP($A36,'Data shares'!$C:$FM,106)</f>
        <v>35.979999999999997</v>
      </c>
      <c r="F36" s="50">
        <f>VLOOKUP($A36,'Data shares'!$C:$FM,108)</f>
        <v>-0.12</v>
      </c>
      <c r="G36" s="50">
        <f t="shared" si="0"/>
        <v>0.99666481378543648</v>
      </c>
    </row>
    <row r="37" spans="1:7" x14ac:dyDescent="0.25">
      <c r="A37" s="49" t="str">
        <f>'Data Vlaue (Cr)'!C32</f>
        <v>BHARTIARTL</v>
      </c>
      <c r="B37" s="50">
        <f>VLOOKUP($A37,'Data shares'!$C:$FM,102)</f>
        <v>24.27</v>
      </c>
      <c r="C37" s="50">
        <f>VLOOKUP($A37,'Data shares'!$C:$FM,110)</f>
        <v>24.18</v>
      </c>
      <c r="D37" s="50">
        <f>VLOOKUP($A37,'Data shares'!$C:$FM,114)</f>
        <v>24.47</v>
      </c>
      <c r="E37" s="50">
        <f>VLOOKUP($A37,'Data shares'!$C:$FM,106)</f>
        <v>23.7</v>
      </c>
      <c r="F37" s="50">
        <f>VLOOKUP($A37,'Data shares'!$C:$FM,108)</f>
        <v>0.56999999999999995</v>
      </c>
      <c r="G37" s="50">
        <f t="shared" si="0"/>
        <v>1.0240506329113923</v>
      </c>
    </row>
    <row r="38" spans="1:7" x14ac:dyDescent="0.25">
      <c r="A38" s="49" t="str">
        <f>'Data Vlaue (Cr)'!C33</f>
        <v>BHEL</v>
      </c>
      <c r="B38" s="50">
        <f>VLOOKUP($A38,'Data shares'!$C:$FM,102)</f>
        <v>39.200000000000003</v>
      </c>
      <c r="C38" s="50">
        <f>VLOOKUP($A38,'Data shares'!$C:$FM,110)</f>
        <v>38.97</v>
      </c>
      <c r="D38" s="50">
        <f>VLOOKUP($A38,'Data shares'!$C:$FM,114)</f>
        <v>39.99</v>
      </c>
      <c r="E38" s="50">
        <f>VLOOKUP($A38,'Data shares'!$C:$FM,106)</f>
        <v>45.92</v>
      </c>
      <c r="F38" s="50">
        <f>VLOOKUP($A38,'Data shares'!$C:$FM,108)</f>
        <v>-6.72</v>
      </c>
      <c r="G38" s="50">
        <f t="shared" si="0"/>
        <v>0.85365853658536583</v>
      </c>
    </row>
    <row r="39" spans="1:7" x14ac:dyDescent="0.25">
      <c r="A39" s="49" t="str">
        <f>'Data Vlaue (Cr)'!C34</f>
        <v>BIOCON</v>
      </c>
      <c r="B39" s="50">
        <f>VLOOKUP($A39,'Data shares'!$C:$FM,102)</f>
        <v>31.21</v>
      </c>
      <c r="C39" s="50">
        <f>VLOOKUP($A39,'Data shares'!$C:$FM,110)</f>
        <v>30.54</v>
      </c>
      <c r="D39" s="50">
        <f>VLOOKUP($A39,'Data shares'!$C:$FM,114)</f>
        <v>32.950000000000003</v>
      </c>
      <c r="E39" s="50">
        <f>VLOOKUP($A39,'Data shares'!$C:$FM,106)</f>
        <v>37.1</v>
      </c>
      <c r="F39" s="50">
        <f>VLOOKUP($A39,'Data shares'!$C:$FM,108)</f>
        <v>-5.89</v>
      </c>
      <c r="G39" s="50">
        <f t="shared" ref="G39:G70" si="1">B39/E39</f>
        <v>0.84123989218328843</v>
      </c>
    </row>
    <row r="40" spans="1:7" x14ac:dyDescent="0.25">
      <c r="A40" s="49" t="str">
        <f>'Data Vlaue (Cr)'!C35</f>
        <v>BLUESTARCO</v>
      </c>
      <c r="B40" s="50">
        <f>VLOOKUP($A40,'Data shares'!$C:$FM,102)</f>
        <v>41.12</v>
      </c>
      <c r="C40" s="50">
        <f>VLOOKUP($A40,'Data shares'!$C:$FM,110)</f>
        <v>37.909999999999997</v>
      </c>
      <c r="D40" s="50">
        <f>VLOOKUP($A40,'Data shares'!$C:$FM,114)</f>
        <v>44.65</v>
      </c>
      <c r="E40" s="50">
        <f>VLOOKUP($A40,'Data shares'!$C:$FM,106)</f>
        <v>38.74</v>
      </c>
      <c r="F40" s="50">
        <f>VLOOKUP($A40,'Data shares'!$C:$FM,108)</f>
        <v>2.38</v>
      </c>
      <c r="G40" s="50">
        <f t="shared" si="1"/>
        <v>1.0614352090862156</v>
      </c>
    </row>
    <row r="41" spans="1:7" x14ac:dyDescent="0.25">
      <c r="A41" s="49" t="str">
        <f>'Data Vlaue (Cr)'!C36</f>
        <v>BOSCHLTD</v>
      </c>
      <c r="B41" s="50">
        <f>VLOOKUP($A41,'Data shares'!$C:$FM,102)</f>
        <v>30.86</v>
      </c>
      <c r="C41" s="50">
        <f>VLOOKUP($A41,'Data shares'!$C:$FM,110)</f>
        <v>30.39</v>
      </c>
      <c r="D41" s="50">
        <f>VLOOKUP($A41,'Data shares'!$C:$FM,114)</f>
        <v>32.25</v>
      </c>
      <c r="E41" s="50">
        <f>VLOOKUP($A41,'Data shares'!$C:$FM,106)</f>
        <v>29.14</v>
      </c>
      <c r="F41" s="50">
        <f>VLOOKUP($A41,'Data shares'!$C:$FM,108)</f>
        <v>1.72</v>
      </c>
      <c r="G41" s="50">
        <f t="shared" si="1"/>
        <v>1.059025394646534</v>
      </c>
    </row>
    <row r="42" spans="1:7" x14ac:dyDescent="0.25">
      <c r="A42" s="49" t="str">
        <f>'Data Vlaue (Cr)'!C37</f>
        <v>BPCL</v>
      </c>
      <c r="B42" s="50">
        <f>VLOOKUP($A42,'Data shares'!$C:$FM,102)</f>
        <v>31.76</v>
      </c>
      <c r="C42" s="50">
        <f>VLOOKUP($A42,'Data shares'!$C:$FM,110)</f>
        <v>31.14</v>
      </c>
      <c r="D42" s="50">
        <f>VLOOKUP($A42,'Data shares'!$C:$FM,114)</f>
        <v>33.01</v>
      </c>
      <c r="E42" s="50">
        <f>VLOOKUP($A42,'Data shares'!$C:$FM,106)</f>
        <v>32.18</v>
      </c>
      <c r="F42" s="50">
        <f>VLOOKUP($A42,'Data shares'!$C:$FM,108)</f>
        <v>-0.42</v>
      </c>
      <c r="G42" s="50">
        <f t="shared" si="1"/>
        <v>0.98694841516469867</v>
      </c>
    </row>
    <row r="43" spans="1:7" x14ac:dyDescent="0.25">
      <c r="A43" s="49" t="str">
        <f>'Data Vlaue (Cr)'!C38</f>
        <v>BRITANNIA</v>
      </c>
      <c r="B43" s="50">
        <f>VLOOKUP($A43,'Data shares'!$C:$FM,102)</f>
        <v>30.06</v>
      </c>
      <c r="C43" s="50">
        <f>VLOOKUP($A43,'Data shares'!$C:$FM,110)</f>
        <v>29.52</v>
      </c>
      <c r="D43" s="50">
        <f>VLOOKUP($A43,'Data shares'!$C:$FM,114)</f>
        <v>31.07</v>
      </c>
      <c r="E43" s="50">
        <f>VLOOKUP($A43,'Data shares'!$C:$FM,106)</f>
        <v>23.8</v>
      </c>
      <c r="F43" s="50">
        <f>VLOOKUP($A43,'Data shares'!$C:$FM,108)</f>
        <v>6.26</v>
      </c>
      <c r="G43" s="50">
        <f t="shared" si="1"/>
        <v>1.2630252100840336</v>
      </c>
    </row>
    <row r="44" spans="1:7" x14ac:dyDescent="0.25">
      <c r="A44" s="49" t="str">
        <f>'Data Vlaue (Cr)'!C39</f>
        <v>BSE</v>
      </c>
      <c r="B44" s="50">
        <f>VLOOKUP($A44,'Data shares'!$C:$FM,102)</f>
        <v>44.05</v>
      </c>
      <c r="C44" s="50">
        <f>VLOOKUP($A44,'Data shares'!$C:$FM,110)</f>
        <v>43.64</v>
      </c>
      <c r="D44" s="50">
        <f>VLOOKUP($A44,'Data shares'!$C:$FM,114)</f>
        <v>45.1</v>
      </c>
      <c r="E44" s="50">
        <f>VLOOKUP($A44,'Data shares'!$C:$FM,106)</f>
        <v>58.21</v>
      </c>
      <c r="F44" s="50">
        <f>VLOOKUP($A44,'Data shares'!$C:$FM,108)</f>
        <v>-14.16</v>
      </c>
      <c r="G44" s="50">
        <f t="shared" si="1"/>
        <v>0.75674282769283618</v>
      </c>
    </row>
    <row r="45" spans="1:7" x14ac:dyDescent="0.25">
      <c r="A45" s="49" t="str">
        <f>'Data Vlaue (Cr)'!C40</f>
        <v>CAMS</v>
      </c>
      <c r="B45" s="50">
        <f>VLOOKUP($A45,'Data shares'!$C:$FM,102)</f>
        <v>33.619999999999997</v>
      </c>
      <c r="C45" s="50">
        <f>VLOOKUP($A45,'Data shares'!$C:$FM,110)</f>
        <v>33.22</v>
      </c>
      <c r="D45" s="50">
        <f>VLOOKUP($A45,'Data shares'!$C:$FM,114)</f>
        <v>34.340000000000003</v>
      </c>
      <c r="E45" s="50">
        <f>VLOOKUP($A45,'Data shares'!$C:$FM,106)</f>
        <v>39.85</v>
      </c>
      <c r="F45" s="50">
        <f>VLOOKUP($A45,'Data shares'!$C:$FM,108)</f>
        <v>-6.23</v>
      </c>
      <c r="G45" s="50">
        <f t="shared" si="1"/>
        <v>0.84366373902132985</v>
      </c>
    </row>
    <row r="46" spans="1:7" x14ac:dyDescent="0.25">
      <c r="A46" s="49" t="str">
        <f>'Data Vlaue (Cr)'!C41</f>
        <v>CANBK</v>
      </c>
      <c r="B46" s="50">
        <f>VLOOKUP($A46,'Data shares'!$C:$FM,102)</f>
        <v>39.79</v>
      </c>
      <c r="C46" s="50">
        <f>VLOOKUP($A46,'Data shares'!$C:$FM,110)</f>
        <v>39.04</v>
      </c>
      <c r="D46" s="50">
        <f>VLOOKUP($A46,'Data shares'!$C:$FM,114)</f>
        <v>41.12</v>
      </c>
      <c r="E46" s="50">
        <f>VLOOKUP($A46,'Data shares'!$C:$FM,106)</f>
        <v>34.869999999999997</v>
      </c>
      <c r="F46" s="50">
        <f>VLOOKUP($A46,'Data shares'!$C:$FM,108)</f>
        <v>4.92</v>
      </c>
      <c r="G46" s="50">
        <f t="shared" si="1"/>
        <v>1.1410954975623746</v>
      </c>
    </row>
    <row r="47" spans="1:7" x14ac:dyDescent="0.25">
      <c r="A47" s="49" t="str">
        <f>'Data Vlaue (Cr)'!C42</f>
        <v>CDSL</v>
      </c>
      <c r="B47" s="50">
        <f>VLOOKUP($A47,'Data shares'!$C:$FM,102)</f>
        <v>38.65</v>
      </c>
      <c r="C47" s="50">
        <f>VLOOKUP($A47,'Data shares'!$C:$FM,110)</f>
        <v>38.36</v>
      </c>
      <c r="D47" s="50">
        <f>VLOOKUP($A47,'Data shares'!$C:$FM,114)</f>
        <v>39.54</v>
      </c>
      <c r="E47" s="50">
        <f>VLOOKUP($A47,'Data shares'!$C:$FM,106)</f>
        <v>43.7</v>
      </c>
      <c r="F47" s="50">
        <f>VLOOKUP($A47,'Data shares'!$C:$FM,108)</f>
        <v>-5.05</v>
      </c>
      <c r="G47" s="50">
        <f t="shared" si="1"/>
        <v>0.88443935926773443</v>
      </c>
    </row>
    <row r="48" spans="1:7" x14ac:dyDescent="0.25">
      <c r="A48" s="49" t="str">
        <f>'Data Vlaue (Cr)'!C43</f>
        <v>CGPOWER</v>
      </c>
      <c r="B48" s="50">
        <f>VLOOKUP($A48,'Data shares'!$C:$FM,102)</f>
        <v>38.479999999999997</v>
      </c>
      <c r="C48" s="50">
        <f>VLOOKUP($A48,'Data shares'!$C:$FM,110)</f>
        <v>37.89</v>
      </c>
      <c r="D48" s="50">
        <f>VLOOKUP($A48,'Data shares'!$C:$FM,114)</f>
        <v>40.270000000000003</v>
      </c>
      <c r="E48" s="50">
        <f>VLOOKUP($A48,'Data shares'!$C:$FM,106)</f>
        <v>41.17</v>
      </c>
      <c r="F48" s="50">
        <f>VLOOKUP($A48,'Data shares'!$C:$FM,108)</f>
        <v>-2.69</v>
      </c>
      <c r="G48" s="50">
        <f t="shared" si="1"/>
        <v>0.93466116103959185</v>
      </c>
    </row>
    <row r="49" spans="1:7" x14ac:dyDescent="0.25">
      <c r="A49" s="49" t="str">
        <f>'Data Vlaue (Cr)'!C44</f>
        <v>CHOLAFIN</v>
      </c>
      <c r="B49" s="50">
        <f>VLOOKUP($A49,'Data shares'!$C:$FM,102)</f>
        <v>34.83</v>
      </c>
      <c r="C49" s="50">
        <f>VLOOKUP($A49,'Data shares'!$C:$FM,110)</f>
        <v>34.229999999999997</v>
      </c>
      <c r="D49" s="50">
        <f>VLOOKUP($A49,'Data shares'!$C:$FM,114)</f>
        <v>35.549999999999997</v>
      </c>
      <c r="E49" s="50">
        <f>VLOOKUP($A49,'Data shares'!$C:$FM,106)</f>
        <v>36.83</v>
      </c>
      <c r="F49" s="50">
        <f>VLOOKUP($A49,'Data shares'!$C:$FM,108)</f>
        <v>-2</v>
      </c>
      <c r="G49" s="50">
        <f t="shared" si="1"/>
        <v>0.94569644311702417</v>
      </c>
    </row>
    <row r="50" spans="1:7" x14ac:dyDescent="0.25">
      <c r="A50" s="49" t="str">
        <f>'Data Vlaue (Cr)'!C45</f>
        <v>CIPLA</v>
      </c>
      <c r="B50" s="50">
        <f>VLOOKUP($A50,'Data shares'!$C:$FM,102)</f>
        <v>22.68</v>
      </c>
      <c r="C50" s="50">
        <f>VLOOKUP($A50,'Data shares'!$C:$FM,110)</f>
        <v>22.29</v>
      </c>
      <c r="D50" s="50">
        <f>VLOOKUP($A50,'Data shares'!$C:$FM,114)</f>
        <v>23.41</v>
      </c>
      <c r="E50" s="50">
        <f>VLOOKUP($A50,'Data shares'!$C:$FM,106)</f>
        <v>25.99</v>
      </c>
      <c r="F50" s="50">
        <f>VLOOKUP($A50,'Data shares'!$C:$FM,108)</f>
        <v>-3.31</v>
      </c>
      <c r="G50" s="50">
        <f t="shared" si="1"/>
        <v>0.87264332435552139</v>
      </c>
    </row>
    <row r="51" spans="1:7" x14ac:dyDescent="0.25">
      <c r="A51" s="49" t="str">
        <f>'Data Vlaue (Cr)'!C46</f>
        <v>COALINDIA</v>
      </c>
      <c r="B51" s="50">
        <f>VLOOKUP($A51,'Data shares'!$C:$FM,102)</f>
        <v>27.98</v>
      </c>
      <c r="C51" s="50">
        <f>VLOOKUP($A51,'Data shares'!$C:$FM,110)</f>
        <v>27.72</v>
      </c>
      <c r="D51" s="50">
        <f>VLOOKUP($A51,'Data shares'!$C:$FM,114)</f>
        <v>28.85</v>
      </c>
      <c r="E51" s="50">
        <f>VLOOKUP($A51,'Data shares'!$C:$FM,106)</f>
        <v>28.91</v>
      </c>
      <c r="F51" s="50">
        <f>VLOOKUP($A51,'Data shares'!$C:$FM,108)</f>
        <v>-0.93</v>
      </c>
      <c r="G51" s="50">
        <f t="shared" si="1"/>
        <v>0.96783120027672087</v>
      </c>
    </row>
    <row r="52" spans="1:7" x14ac:dyDescent="0.25">
      <c r="A52" s="49" t="str">
        <f>'Data Vlaue (Cr)'!C47</f>
        <v>COFORGE</v>
      </c>
      <c r="B52" s="50">
        <f>VLOOKUP($A52,'Data shares'!$C:$FM,102)</f>
        <v>30.38</v>
      </c>
      <c r="C52" s="50">
        <f>VLOOKUP($A52,'Data shares'!$C:$FM,110)</f>
        <v>29.92</v>
      </c>
      <c r="D52" s="50">
        <f>VLOOKUP($A52,'Data shares'!$C:$FM,114)</f>
        <v>30.88</v>
      </c>
      <c r="E52" s="50">
        <f>VLOOKUP($A52,'Data shares'!$C:$FM,106)</f>
        <v>40.75</v>
      </c>
      <c r="F52" s="50">
        <f>VLOOKUP($A52,'Data shares'!$C:$FM,108)</f>
        <v>-10.37</v>
      </c>
      <c r="G52" s="50">
        <f t="shared" si="1"/>
        <v>0.745521472392638</v>
      </c>
    </row>
    <row r="53" spans="1:7" x14ac:dyDescent="0.25">
      <c r="A53" s="49" t="str">
        <f>'Data Vlaue (Cr)'!C48</f>
        <v>COLPAL</v>
      </c>
      <c r="B53" s="50">
        <f>VLOOKUP($A53,'Data shares'!$C:$FM,102)</f>
        <v>28.98</v>
      </c>
      <c r="C53" s="50">
        <f>VLOOKUP($A53,'Data shares'!$C:$FM,110)</f>
        <v>28.65</v>
      </c>
      <c r="D53" s="50">
        <f>VLOOKUP($A53,'Data shares'!$C:$FM,114)</f>
        <v>29.48</v>
      </c>
      <c r="E53" s="50">
        <f>VLOOKUP($A53,'Data shares'!$C:$FM,106)</f>
        <v>26.84</v>
      </c>
      <c r="F53" s="50">
        <f>VLOOKUP($A53,'Data shares'!$C:$FM,108)</f>
        <v>2.14</v>
      </c>
      <c r="G53" s="50">
        <f t="shared" si="1"/>
        <v>1.07973174366617</v>
      </c>
    </row>
    <row r="54" spans="1:7" x14ac:dyDescent="0.25">
      <c r="A54" s="49" t="str">
        <f>'Data Vlaue (Cr)'!C49</f>
        <v>CONCOR</v>
      </c>
      <c r="B54" s="50">
        <f>VLOOKUP($A54,'Data shares'!$C:$FM,102)</f>
        <v>32.72</v>
      </c>
      <c r="C54" s="50">
        <f>VLOOKUP($A54,'Data shares'!$C:$FM,110)</f>
        <v>32.21</v>
      </c>
      <c r="D54" s="50">
        <f>VLOOKUP($A54,'Data shares'!$C:$FM,114)</f>
        <v>34.130000000000003</v>
      </c>
      <c r="E54" s="50">
        <f>VLOOKUP($A54,'Data shares'!$C:$FM,106)</f>
        <v>33.299999999999997</v>
      </c>
      <c r="F54" s="50">
        <f>VLOOKUP($A54,'Data shares'!$C:$FM,108)</f>
        <v>-0.57999999999999996</v>
      </c>
      <c r="G54" s="50">
        <f t="shared" si="1"/>
        <v>0.98258258258258269</v>
      </c>
    </row>
    <row r="55" spans="1:7" x14ac:dyDescent="0.25">
      <c r="A55" s="49" t="str">
        <f>'Data Vlaue (Cr)'!C50</f>
        <v>CROMPTON</v>
      </c>
      <c r="B55" s="50">
        <f>VLOOKUP($A55,'Data shares'!$C:$FM,102)</f>
        <v>36.950000000000003</v>
      </c>
      <c r="C55" s="50">
        <f>VLOOKUP($A55,'Data shares'!$C:$FM,110)</f>
        <v>37</v>
      </c>
      <c r="D55" s="50">
        <f>VLOOKUP($A55,'Data shares'!$C:$FM,114)</f>
        <v>36.81</v>
      </c>
      <c r="E55" s="50">
        <f>VLOOKUP($A55,'Data shares'!$C:$FM,106)</f>
        <v>30.88</v>
      </c>
      <c r="F55" s="50">
        <f>VLOOKUP($A55,'Data shares'!$C:$FM,108)</f>
        <v>6.07</v>
      </c>
      <c r="G55" s="50">
        <f t="shared" si="1"/>
        <v>1.1965673575129534</v>
      </c>
    </row>
    <row r="56" spans="1:7" x14ac:dyDescent="0.25">
      <c r="A56" s="49" t="str">
        <f>'Data Vlaue (Cr)'!C51</f>
        <v>CUMMINSIND</v>
      </c>
      <c r="B56" s="50">
        <f>VLOOKUP($A56,'Data shares'!$C:$FM,102)</f>
        <v>34.65</v>
      </c>
      <c r="C56" s="50">
        <f>VLOOKUP($A56,'Data shares'!$C:$FM,110)</f>
        <v>34.25</v>
      </c>
      <c r="D56" s="50">
        <f>VLOOKUP($A56,'Data shares'!$C:$FM,114)</f>
        <v>35.549999999999997</v>
      </c>
      <c r="E56" s="50">
        <f>VLOOKUP($A56,'Data shares'!$C:$FM,106)</f>
        <v>33.76</v>
      </c>
      <c r="F56" s="50">
        <f>VLOOKUP($A56,'Data shares'!$C:$FM,108)</f>
        <v>0.89</v>
      </c>
      <c r="G56" s="50">
        <f t="shared" si="1"/>
        <v>1.0263625592417063</v>
      </c>
    </row>
    <row r="57" spans="1:7" x14ac:dyDescent="0.25">
      <c r="A57" s="49" t="str">
        <f>'Data Vlaue (Cr)'!C52</f>
        <v>DABUR</v>
      </c>
      <c r="B57" s="50">
        <f>VLOOKUP($A57,'Data shares'!$C:$FM,102)</f>
        <v>30.81</v>
      </c>
      <c r="C57" s="50">
        <f>VLOOKUP($A57,'Data shares'!$C:$FM,110)</f>
        <v>30.37</v>
      </c>
      <c r="D57" s="50">
        <f>VLOOKUP($A57,'Data shares'!$C:$FM,114)</f>
        <v>31.68</v>
      </c>
      <c r="E57" s="50">
        <f>VLOOKUP($A57,'Data shares'!$C:$FM,106)</f>
        <v>24.53</v>
      </c>
      <c r="F57" s="50">
        <f>VLOOKUP($A57,'Data shares'!$C:$FM,108)</f>
        <v>6.28</v>
      </c>
      <c r="G57" s="50">
        <f t="shared" si="1"/>
        <v>1.2560130452507132</v>
      </c>
    </row>
    <row r="58" spans="1:7" x14ac:dyDescent="0.25">
      <c r="A58" s="49" t="str">
        <f>'Data Vlaue (Cr)'!C53</f>
        <v>DALBHARAT</v>
      </c>
      <c r="B58" s="50">
        <f>VLOOKUP($A58,'Data shares'!$C:$FM,102)</f>
        <v>31.52</v>
      </c>
      <c r="C58" s="50">
        <f>VLOOKUP($A58,'Data shares'!$C:$FM,110)</f>
        <v>30.96</v>
      </c>
      <c r="D58" s="50">
        <f>VLOOKUP($A58,'Data shares'!$C:$FM,114)</f>
        <v>32.03</v>
      </c>
      <c r="E58" s="50">
        <f>VLOOKUP($A58,'Data shares'!$C:$FM,106)</f>
        <v>29.79</v>
      </c>
      <c r="F58" s="50">
        <f>VLOOKUP($A58,'Data shares'!$C:$FM,108)</f>
        <v>1.73</v>
      </c>
      <c r="G58" s="50">
        <f t="shared" si="1"/>
        <v>1.0580731789191005</v>
      </c>
    </row>
    <row r="59" spans="1:7" x14ac:dyDescent="0.25">
      <c r="A59" s="49" t="str">
        <f>'Data Vlaue (Cr)'!C54</f>
        <v>DELHIVERY</v>
      </c>
      <c r="B59" s="50">
        <f>VLOOKUP($A59,'Data shares'!$C:$FM,102)</f>
        <v>39.22</v>
      </c>
      <c r="C59" s="50">
        <f>VLOOKUP($A59,'Data shares'!$C:$FM,110)</f>
        <v>38.71</v>
      </c>
      <c r="D59" s="50">
        <f>VLOOKUP($A59,'Data shares'!$C:$FM,114)</f>
        <v>40.21</v>
      </c>
      <c r="E59" s="50">
        <f>VLOOKUP($A59,'Data shares'!$C:$FM,106)</f>
        <v>40.11</v>
      </c>
      <c r="F59" s="50">
        <f>VLOOKUP($A59,'Data shares'!$C:$FM,108)</f>
        <v>-0.89</v>
      </c>
      <c r="G59" s="50">
        <f t="shared" si="1"/>
        <v>0.97781101969583639</v>
      </c>
    </row>
    <row r="60" spans="1:7" x14ac:dyDescent="0.25">
      <c r="A60" s="49" t="str">
        <f>'Data Vlaue (Cr)'!C55</f>
        <v>DIVISLAB</v>
      </c>
      <c r="B60" s="50">
        <f>VLOOKUP($A60,'Data shares'!$C:$FM,102)</f>
        <v>30.43</v>
      </c>
      <c r="C60" s="50">
        <f>VLOOKUP($A60,'Data shares'!$C:$FM,110)</f>
        <v>28.99</v>
      </c>
      <c r="D60" s="50">
        <f>VLOOKUP($A60,'Data shares'!$C:$FM,114)</f>
        <v>33.520000000000003</v>
      </c>
      <c r="E60" s="50">
        <f>VLOOKUP($A60,'Data shares'!$C:$FM,106)</f>
        <v>29.91</v>
      </c>
      <c r="F60" s="50">
        <f>VLOOKUP($A60,'Data shares'!$C:$FM,108)</f>
        <v>0.52</v>
      </c>
      <c r="G60" s="50">
        <f t="shared" si="1"/>
        <v>1.0173854898027415</v>
      </c>
    </row>
    <row r="61" spans="1:7" x14ac:dyDescent="0.25">
      <c r="A61" s="49" t="str">
        <f>'Data Vlaue (Cr)'!C56</f>
        <v>DIXON</v>
      </c>
      <c r="B61" s="50">
        <f>VLOOKUP($A61,'Data shares'!$C:$FM,102)</f>
        <v>50.83</v>
      </c>
      <c r="C61" s="50">
        <f>VLOOKUP($A61,'Data shares'!$C:$FM,110)</f>
        <v>50.45</v>
      </c>
      <c r="D61" s="50">
        <f>VLOOKUP($A61,'Data shares'!$C:$FM,114)</f>
        <v>51.55</v>
      </c>
      <c r="E61" s="50">
        <f>VLOOKUP($A61,'Data shares'!$C:$FM,106)</f>
        <v>44.43</v>
      </c>
      <c r="F61" s="50">
        <f>VLOOKUP($A61,'Data shares'!$C:$FM,108)</f>
        <v>6.4</v>
      </c>
      <c r="G61" s="50">
        <f t="shared" si="1"/>
        <v>1.1440468152149448</v>
      </c>
    </row>
    <row r="62" spans="1:7" x14ac:dyDescent="0.25">
      <c r="A62" s="49" t="str">
        <f>'Data Vlaue (Cr)'!C57</f>
        <v>DLF</v>
      </c>
      <c r="B62" s="50">
        <f>VLOOKUP($A62,'Data shares'!$C:$FM,102)</f>
        <v>34.49</v>
      </c>
      <c r="C62" s="50">
        <f>VLOOKUP($A62,'Data shares'!$C:$FM,110)</f>
        <v>33.630000000000003</v>
      </c>
      <c r="D62" s="50">
        <f>VLOOKUP($A62,'Data shares'!$C:$FM,114)</f>
        <v>36.450000000000003</v>
      </c>
      <c r="E62" s="50">
        <f>VLOOKUP($A62,'Data shares'!$C:$FM,106)</f>
        <v>35.11</v>
      </c>
      <c r="F62" s="50">
        <f>VLOOKUP($A62,'Data shares'!$C:$FM,108)</f>
        <v>-0.62</v>
      </c>
      <c r="G62" s="50">
        <f t="shared" si="1"/>
        <v>0.98234121332953583</v>
      </c>
    </row>
    <row r="63" spans="1:7" x14ac:dyDescent="0.25">
      <c r="A63" s="49" t="str">
        <f>'Data Vlaue (Cr)'!C58</f>
        <v>DMART</v>
      </c>
      <c r="B63" s="50">
        <f>VLOOKUP($A63,'Data shares'!$C:$FM,102)</f>
        <v>29.66</v>
      </c>
      <c r="C63" s="50">
        <f>VLOOKUP($A63,'Data shares'!$C:$FM,110)</f>
        <v>29.86</v>
      </c>
      <c r="D63" s="50">
        <f>VLOOKUP($A63,'Data shares'!$C:$FM,114)</f>
        <v>28.83</v>
      </c>
      <c r="E63" s="50">
        <f>VLOOKUP($A63,'Data shares'!$C:$FM,106)</f>
        <v>30.45</v>
      </c>
      <c r="F63" s="50">
        <f>VLOOKUP($A63,'Data shares'!$C:$FM,108)</f>
        <v>-0.79</v>
      </c>
      <c r="G63" s="50">
        <f t="shared" si="1"/>
        <v>0.97405582922824308</v>
      </c>
    </row>
    <row r="64" spans="1:7" x14ac:dyDescent="0.25">
      <c r="A64" s="49" t="str">
        <f>'Data Vlaue (Cr)'!C59</f>
        <v>DRREDDY</v>
      </c>
      <c r="B64" s="50">
        <f>VLOOKUP($A64,'Data shares'!$C:$FM,102)</f>
        <v>23.01</v>
      </c>
      <c r="C64" s="50">
        <f>VLOOKUP($A64,'Data shares'!$C:$FM,110)</f>
        <v>22.62</v>
      </c>
      <c r="D64" s="50">
        <f>VLOOKUP($A64,'Data shares'!$C:$FM,114)</f>
        <v>23.41</v>
      </c>
      <c r="E64" s="50">
        <f>VLOOKUP($A64,'Data shares'!$C:$FM,106)</f>
        <v>24.49</v>
      </c>
      <c r="F64" s="50">
        <f>VLOOKUP($A64,'Data shares'!$C:$FM,108)</f>
        <v>-1.48</v>
      </c>
      <c r="G64" s="50">
        <f t="shared" si="1"/>
        <v>0.93956717027358116</v>
      </c>
    </row>
    <row r="65" spans="1:7" x14ac:dyDescent="0.25">
      <c r="A65" s="49" t="str">
        <f>'Data Vlaue (Cr)'!C60</f>
        <v>EICHERMOT</v>
      </c>
      <c r="B65" s="50">
        <f>VLOOKUP($A65,'Data shares'!$C:$FM,102)</f>
        <v>31.68</v>
      </c>
      <c r="C65" s="50">
        <f>VLOOKUP($A65,'Data shares'!$C:$FM,110)</f>
        <v>30.23</v>
      </c>
      <c r="D65" s="50">
        <f>VLOOKUP($A65,'Data shares'!$C:$FM,114)</f>
        <v>32.81</v>
      </c>
      <c r="E65" s="50">
        <f>VLOOKUP($A65,'Data shares'!$C:$FM,106)</f>
        <v>26.45</v>
      </c>
      <c r="F65" s="50">
        <f>VLOOKUP($A65,'Data shares'!$C:$FM,108)</f>
        <v>5.23</v>
      </c>
      <c r="G65" s="50">
        <f t="shared" si="1"/>
        <v>1.1977315689981096</v>
      </c>
    </row>
    <row r="66" spans="1:7" x14ac:dyDescent="0.25">
      <c r="A66" s="49" t="str">
        <f>'Data Vlaue (Cr)'!C61</f>
        <v>ETERNAL</v>
      </c>
      <c r="B66" s="50">
        <f>VLOOKUP($A66,'Data shares'!$C:$FM,102)</f>
        <v>38.94</v>
      </c>
      <c r="C66" s="50">
        <f>VLOOKUP($A66,'Data shares'!$C:$FM,110)</f>
        <v>38.33</v>
      </c>
      <c r="D66" s="50">
        <f>VLOOKUP($A66,'Data shares'!$C:$FM,114)</f>
        <v>40.04</v>
      </c>
      <c r="E66" s="50">
        <f>VLOOKUP($A66,'Data shares'!$C:$FM,106)</f>
        <v>44.52</v>
      </c>
      <c r="F66" s="50">
        <f>VLOOKUP($A66,'Data shares'!$C:$FM,108)</f>
        <v>-5.58</v>
      </c>
      <c r="G66" s="50">
        <f t="shared" si="1"/>
        <v>0.87466307277628019</v>
      </c>
    </row>
    <row r="67" spans="1:7" x14ac:dyDescent="0.25">
      <c r="A67" s="49" t="str">
        <f>'Data Vlaue (Cr)'!C62</f>
        <v>EXIDEIND</v>
      </c>
      <c r="B67" s="50">
        <f>VLOOKUP($A67,'Data shares'!$C:$FM,102)</f>
        <v>31.76</v>
      </c>
      <c r="C67" s="50">
        <f>VLOOKUP($A67,'Data shares'!$C:$FM,110)</f>
        <v>31.71</v>
      </c>
      <c r="D67" s="50">
        <f>VLOOKUP($A67,'Data shares'!$C:$FM,114)</f>
        <v>31.84</v>
      </c>
      <c r="E67" s="50">
        <f>VLOOKUP($A67,'Data shares'!$C:$FM,106)</f>
        <v>32.76</v>
      </c>
      <c r="F67" s="50">
        <f>VLOOKUP($A67,'Data shares'!$C:$FM,108)</f>
        <v>-1</v>
      </c>
      <c r="G67" s="50">
        <f t="shared" si="1"/>
        <v>0.96947496947496958</v>
      </c>
    </row>
    <row r="68" spans="1:7" x14ac:dyDescent="0.25">
      <c r="A68" s="49" t="str">
        <f>'Data Vlaue (Cr)'!C63</f>
        <v>FEDERALBNK</v>
      </c>
      <c r="B68" s="50">
        <f>VLOOKUP($A68,'Data shares'!$C:$FM,102)</f>
        <v>28.41</v>
      </c>
      <c r="C68" s="50">
        <f>VLOOKUP($A68,'Data shares'!$C:$FM,110)</f>
        <v>27.23</v>
      </c>
      <c r="D68" s="50">
        <f>VLOOKUP($A68,'Data shares'!$C:$FM,114)</f>
        <v>30.41</v>
      </c>
      <c r="E68" s="50">
        <f>VLOOKUP($A68,'Data shares'!$C:$FM,106)</f>
        <v>30.67</v>
      </c>
      <c r="F68" s="50">
        <f>VLOOKUP($A68,'Data shares'!$C:$FM,108)</f>
        <v>-2.2599999999999998</v>
      </c>
      <c r="G68" s="50">
        <f t="shared" si="1"/>
        <v>0.92631235735246165</v>
      </c>
    </row>
    <row r="69" spans="1:7" x14ac:dyDescent="0.25">
      <c r="A69" s="49" t="str">
        <f>'Data Vlaue (Cr)'!C64</f>
        <v>FINNIFTY</v>
      </c>
      <c r="B69" s="50">
        <f>VLOOKUP($A69,'Data shares'!$C:$FM,102)</f>
        <v>14.98</v>
      </c>
      <c r="C69" s="50">
        <f>VLOOKUP($A69,'Data shares'!$C:$FM,110)</f>
        <v>14.63</v>
      </c>
      <c r="D69" s="50">
        <f>VLOOKUP($A69,'Data shares'!$C:$FM,114)</f>
        <v>15.25</v>
      </c>
      <c r="E69" s="50">
        <f>VLOOKUP($A69,'Data shares'!$C:$FM,106)</f>
        <v>16.11</v>
      </c>
      <c r="F69" s="50">
        <f>VLOOKUP($A69,'Data shares'!$C:$FM,108)</f>
        <v>-1.1299999999999999</v>
      </c>
      <c r="G69" s="50">
        <f t="shared" si="1"/>
        <v>0.92985723153320921</v>
      </c>
    </row>
    <row r="70" spans="1:7" x14ac:dyDescent="0.25">
      <c r="A70" s="49" t="str">
        <f>'Data Vlaue (Cr)'!C65</f>
        <v>FORTIS</v>
      </c>
      <c r="B70" s="50">
        <f>VLOOKUP($A70,'Data shares'!$C:$FM,102)</f>
        <v>32.35</v>
      </c>
      <c r="C70" s="50">
        <f>VLOOKUP($A70,'Data shares'!$C:$FM,110)</f>
        <v>32.15</v>
      </c>
      <c r="D70" s="50">
        <f>VLOOKUP($A70,'Data shares'!$C:$FM,114)</f>
        <v>32.78</v>
      </c>
      <c r="E70" s="50">
        <f>VLOOKUP($A70,'Data shares'!$C:$FM,106)</f>
        <v>34.83</v>
      </c>
      <c r="F70" s="50">
        <f>VLOOKUP($A70,'Data shares'!$C:$FM,108)</f>
        <v>-2.48</v>
      </c>
      <c r="G70" s="50">
        <f t="shared" si="1"/>
        <v>0.92879701406833204</v>
      </c>
    </row>
    <row r="71" spans="1:7" x14ac:dyDescent="0.25">
      <c r="A71" s="49" t="str">
        <f>'Data Vlaue (Cr)'!C66</f>
        <v>GAIL</v>
      </c>
      <c r="B71" s="50">
        <f>VLOOKUP($A71,'Data shares'!$C:$FM,102)</f>
        <v>32.229999999999997</v>
      </c>
      <c r="C71" s="50">
        <f>VLOOKUP($A71,'Data shares'!$C:$FM,110)</f>
        <v>31.14</v>
      </c>
      <c r="D71" s="50">
        <f>VLOOKUP($A71,'Data shares'!$C:$FM,114)</f>
        <v>35.15</v>
      </c>
      <c r="E71" s="50">
        <f>VLOOKUP($A71,'Data shares'!$C:$FM,106)</f>
        <v>33.869999999999997</v>
      </c>
      <c r="F71" s="50">
        <f>VLOOKUP($A71,'Data shares'!$C:$FM,108)</f>
        <v>-1.64</v>
      </c>
      <c r="G71" s="50">
        <f t="shared" ref="G71:G102" si="2">B71/E71</f>
        <v>0.9515795689400649</v>
      </c>
    </row>
    <row r="72" spans="1:7" x14ac:dyDescent="0.25">
      <c r="A72" s="49" t="str">
        <f>'Data Vlaue (Cr)'!C67</f>
        <v>GLENMARK</v>
      </c>
      <c r="B72" s="50">
        <f>VLOOKUP($A72,'Data shares'!$C:$FM,102)</f>
        <v>34.64</v>
      </c>
      <c r="C72" s="50">
        <f>VLOOKUP($A72,'Data shares'!$C:$FM,110)</f>
        <v>34.43</v>
      </c>
      <c r="D72" s="50">
        <f>VLOOKUP($A72,'Data shares'!$C:$FM,114)</f>
        <v>35.03</v>
      </c>
      <c r="E72" s="50">
        <f>VLOOKUP($A72,'Data shares'!$C:$FM,106)</f>
        <v>35.119999999999997</v>
      </c>
      <c r="F72" s="50">
        <f>VLOOKUP($A72,'Data shares'!$C:$FM,108)</f>
        <v>-0.48</v>
      </c>
      <c r="G72" s="50">
        <f t="shared" si="2"/>
        <v>0.98633257403189079</v>
      </c>
    </row>
    <row r="73" spans="1:7" x14ac:dyDescent="0.25">
      <c r="A73" s="49" t="str">
        <f>'Data Vlaue (Cr)'!C68</f>
        <v>GMRAIRPORT</v>
      </c>
      <c r="B73" s="50">
        <f>VLOOKUP($A73,'Data shares'!$C:$FM,102)</f>
        <v>34.75</v>
      </c>
      <c r="C73" s="50">
        <f>VLOOKUP($A73,'Data shares'!$C:$FM,110)</f>
        <v>34.450000000000003</v>
      </c>
      <c r="D73" s="50">
        <f>VLOOKUP($A73,'Data shares'!$C:$FM,114)</f>
        <v>36.18</v>
      </c>
      <c r="E73" s="50">
        <f>VLOOKUP($A73,'Data shares'!$C:$FM,106)</f>
        <v>36.61</v>
      </c>
      <c r="F73" s="50">
        <f>VLOOKUP($A73,'Data shares'!$C:$FM,108)</f>
        <v>-1.86</v>
      </c>
      <c r="G73" s="50">
        <f t="shared" si="2"/>
        <v>0.94919420923245013</v>
      </c>
    </row>
    <row r="74" spans="1:7" x14ac:dyDescent="0.25">
      <c r="A74" s="49" t="str">
        <f>'Data Vlaue (Cr)'!C69</f>
        <v>GODREJCP</v>
      </c>
      <c r="B74" s="50">
        <f>VLOOKUP($A74,'Data shares'!$C:$FM,102)</f>
        <v>27.34</v>
      </c>
      <c r="C74" s="50">
        <f>VLOOKUP($A74,'Data shares'!$C:$FM,110)</f>
        <v>26.89</v>
      </c>
      <c r="D74" s="50">
        <f>VLOOKUP($A74,'Data shares'!$C:$FM,114)</f>
        <v>27.83</v>
      </c>
      <c r="E74" s="50">
        <f>VLOOKUP($A74,'Data shares'!$C:$FM,106)</f>
        <v>28.49</v>
      </c>
      <c r="F74" s="50">
        <f>VLOOKUP($A74,'Data shares'!$C:$FM,108)</f>
        <v>-1.1499999999999999</v>
      </c>
      <c r="G74" s="50">
        <f t="shared" si="2"/>
        <v>0.95963495963495971</v>
      </c>
    </row>
    <row r="75" spans="1:7" x14ac:dyDescent="0.25">
      <c r="A75" s="49" t="str">
        <f>'Data Vlaue (Cr)'!C70</f>
        <v>GODREJPROP</v>
      </c>
      <c r="B75" s="50">
        <f>VLOOKUP($A75,'Data shares'!$C:$FM,102)</f>
        <v>46.6</v>
      </c>
      <c r="C75" s="50">
        <f>VLOOKUP($A75,'Data shares'!$C:$FM,110)</f>
        <v>46.33</v>
      </c>
      <c r="D75" s="50">
        <f>VLOOKUP($A75,'Data shares'!$C:$FM,114)</f>
        <v>47.42</v>
      </c>
      <c r="E75" s="50">
        <f>VLOOKUP($A75,'Data shares'!$C:$FM,106)</f>
        <v>43.32</v>
      </c>
      <c r="F75" s="50">
        <f>VLOOKUP($A75,'Data shares'!$C:$FM,108)</f>
        <v>3.28</v>
      </c>
      <c r="G75" s="50">
        <f t="shared" si="2"/>
        <v>1.0757156048014773</v>
      </c>
    </row>
    <row r="76" spans="1:7" x14ac:dyDescent="0.25">
      <c r="A76" s="49" t="str">
        <f>'Data Vlaue (Cr)'!C71</f>
        <v>GRASIM</v>
      </c>
      <c r="B76" s="50">
        <f>VLOOKUP($A76,'Data shares'!$C:$FM,102)</f>
        <v>24.4</v>
      </c>
      <c r="C76" s="50">
        <f>VLOOKUP($A76,'Data shares'!$C:$FM,110)</f>
        <v>24.24</v>
      </c>
      <c r="D76" s="50">
        <f>VLOOKUP($A76,'Data shares'!$C:$FM,114)</f>
        <v>24.67</v>
      </c>
      <c r="E76" s="50">
        <f>VLOOKUP($A76,'Data shares'!$C:$FM,106)</f>
        <v>25.23</v>
      </c>
      <c r="F76" s="50">
        <f>VLOOKUP($A76,'Data shares'!$C:$FM,108)</f>
        <v>-0.83</v>
      </c>
      <c r="G76" s="50">
        <f t="shared" si="2"/>
        <v>0.96710265556876729</v>
      </c>
    </row>
    <row r="77" spans="1:7" x14ac:dyDescent="0.25">
      <c r="A77" s="49" t="str">
        <f>'Data Vlaue (Cr)'!C72</f>
        <v>HAL</v>
      </c>
      <c r="B77" s="50">
        <f>VLOOKUP($A77,'Data shares'!$C:$FM,102)</f>
        <v>36.28</v>
      </c>
      <c r="C77" s="50">
        <f>VLOOKUP($A77,'Data shares'!$C:$FM,110)</f>
        <v>36.03</v>
      </c>
      <c r="D77" s="50">
        <f>VLOOKUP($A77,'Data shares'!$C:$FM,114)</f>
        <v>37.270000000000003</v>
      </c>
      <c r="E77" s="50">
        <f>VLOOKUP($A77,'Data shares'!$C:$FM,106)</f>
        <v>37.47</v>
      </c>
      <c r="F77" s="50">
        <f>VLOOKUP($A77,'Data shares'!$C:$FM,108)</f>
        <v>-1.19</v>
      </c>
      <c r="G77" s="50">
        <f t="shared" si="2"/>
        <v>0.96824125967440622</v>
      </c>
    </row>
    <row r="78" spans="1:7" x14ac:dyDescent="0.25">
      <c r="A78" s="49" t="str">
        <f>'Data Vlaue (Cr)'!C73</f>
        <v>HAVELLS</v>
      </c>
      <c r="B78" s="50">
        <f>VLOOKUP($A78,'Data shares'!$C:$FM,102)</f>
        <v>26.13</v>
      </c>
      <c r="C78" s="50">
        <f>VLOOKUP($A78,'Data shares'!$C:$FM,110)</f>
        <v>26.2</v>
      </c>
      <c r="D78" s="50">
        <f>VLOOKUP($A78,'Data shares'!$C:$FM,114)</f>
        <v>25.99</v>
      </c>
      <c r="E78" s="50">
        <f>VLOOKUP($A78,'Data shares'!$C:$FM,106)</f>
        <v>28.33</v>
      </c>
      <c r="F78" s="50">
        <f>VLOOKUP($A78,'Data shares'!$C:$FM,108)</f>
        <v>-2.2000000000000002</v>
      </c>
      <c r="G78" s="50">
        <f t="shared" si="2"/>
        <v>0.92234380515354752</v>
      </c>
    </row>
    <row r="79" spans="1:7" x14ac:dyDescent="0.25">
      <c r="A79" s="49" t="str">
        <f>'Data Vlaue (Cr)'!C74</f>
        <v>HCLTECH</v>
      </c>
      <c r="B79" s="50">
        <f>VLOOKUP($A79,'Data shares'!$C:$FM,102)</f>
        <v>22.11</v>
      </c>
      <c r="C79" s="50">
        <f>VLOOKUP($A79,'Data shares'!$C:$FM,110)</f>
        <v>21.27</v>
      </c>
      <c r="D79" s="50">
        <f>VLOOKUP($A79,'Data shares'!$C:$FM,114)</f>
        <v>23.63</v>
      </c>
      <c r="E79" s="50">
        <f>VLOOKUP($A79,'Data shares'!$C:$FM,106)</f>
        <v>27.25</v>
      </c>
      <c r="F79" s="50">
        <f>VLOOKUP($A79,'Data shares'!$C:$FM,108)</f>
        <v>-5.14</v>
      </c>
      <c r="G79" s="50">
        <f t="shared" si="2"/>
        <v>0.81137614678899084</v>
      </c>
    </row>
    <row r="80" spans="1:7" x14ac:dyDescent="0.25">
      <c r="A80" s="49" t="str">
        <f>'Data Vlaue (Cr)'!C75</f>
        <v>HDFCAMC</v>
      </c>
      <c r="B80" s="50">
        <f>VLOOKUP($A80,'Data shares'!$C:$FM,102)</f>
        <v>26.1</v>
      </c>
      <c r="C80" s="50">
        <f>VLOOKUP($A80,'Data shares'!$C:$FM,110)</f>
        <v>25.6</v>
      </c>
      <c r="D80" s="50">
        <f>VLOOKUP($A80,'Data shares'!$C:$FM,114)</f>
        <v>27.78</v>
      </c>
      <c r="E80" s="50">
        <f>VLOOKUP($A80,'Data shares'!$C:$FM,106)</f>
        <v>33.64</v>
      </c>
      <c r="F80" s="50">
        <f>VLOOKUP($A80,'Data shares'!$C:$FM,108)</f>
        <v>-7.54</v>
      </c>
      <c r="G80" s="50">
        <f t="shared" si="2"/>
        <v>0.77586206896551724</v>
      </c>
    </row>
    <row r="81" spans="1:7" x14ac:dyDescent="0.25">
      <c r="A81" s="49" t="str">
        <f>'Data Vlaue (Cr)'!C76</f>
        <v>HDFCBANK</v>
      </c>
      <c r="B81" s="50">
        <f>VLOOKUP($A81,'Data shares'!$C:$FM,102)</f>
        <v>19.63</v>
      </c>
      <c r="C81" s="50">
        <f>VLOOKUP($A81,'Data shares'!$C:$FM,110)</f>
        <v>19.43</v>
      </c>
      <c r="D81" s="50">
        <f>VLOOKUP($A81,'Data shares'!$C:$FM,114)</f>
        <v>19.96</v>
      </c>
      <c r="E81" s="50">
        <f>VLOOKUP($A81,'Data shares'!$C:$FM,106)</f>
        <v>19.559999999999999</v>
      </c>
      <c r="F81" s="50">
        <f>VLOOKUP($A81,'Data shares'!$C:$FM,108)</f>
        <v>7.0000000000000007E-2</v>
      </c>
      <c r="G81" s="50">
        <f t="shared" si="2"/>
        <v>1.0035787321063394</v>
      </c>
    </row>
    <row r="82" spans="1:7" x14ac:dyDescent="0.25">
      <c r="A82" s="49" t="str">
        <f>'Data Vlaue (Cr)'!C77</f>
        <v>HDFCLIFE</v>
      </c>
      <c r="B82" s="50">
        <f>VLOOKUP($A82,'Data shares'!$C:$FM,102)</f>
        <v>21.21</v>
      </c>
      <c r="C82" s="50">
        <f>VLOOKUP($A82,'Data shares'!$C:$FM,110)</f>
        <v>20.74</v>
      </c>
      <c r="D82" s="50">
        <f>VLOOKUP($A82,'Data shares'!$C:$FM,114)</f>
        <v>22.74</v>
      </c>
      <c r="E82" s="50">
        <f>VLOOKUP($A82,'Data shares'!$C:$FM,106)</f>
        <v>24.69</v>
      </c>
      <c r="F82" s="50">
        <f>VLOOKUP($A82,'Data shares'!$C:$FM,108)</f>
        <v>-3.48</v>
      </c>
      <c r="G82" s="50">
        <f t="shared" si="2"/>
        <v>0.85905224787363299</v>
      </c>
    </row>
    <row r="83" spans="1:7" x14ac:dyDescent="0.25">
      <c r="A83" s="49" t="str">
        <f>'Data Vlaue (Cr)'!C78</f>
        <v>HEROMOTOCO</v>
      </c>
      <c r="B83" s="50">
        <f>VLOOKUP($A83,'Data shares'!$C:$FM,102)</f>
        <v>30.78</v>
      </c>
      <c r="C83" s="50">
        <f>VLOOKUP($A83,'Data shares'!$C:$FM,110)</f>
        <v>30.38</v>
      </c>
      <c r="D83" s="50">
        <f>VLOOKUP($A83,'Data shares'!$C:$FM,114)</f>
        <v>31.68</v>
      </c>
      <c r="E83" s="50">
        <f>VLOOKUP($A83,'Data shares'!$C:$FM,106)</f>
        <v>30.01</v>
      </c>
      <c r="F83" s="50">
        <f>VLOOKUP($A83,'Data shares'!$C:$FM,108)</f>
        <v>0.77</v>
      </c>
      <c r="G83" s="50">
        <f t="shared" si="2"/>
        <v>1.0256581139620127</v>
      </c>
    </row>
    <row r="84" spans="1:7" x14ac:dyDescent="0.25">
      <c r="A84" s="49" t="str">
        <f>'Data Vlaue (Cr)'!C79</f>
        <v>HINDALCO</v>
      </c>
      <c r="B84" s="50">
        <f>VLOOKUP($A84,'Data shares'!$C:$FM,102)</f>
        <v>33.619999999999997</v>
      </c>
      <c r="C84" s="50">
        <f>VLOOKUP($A84,'Data shares'!$C:$FM,110)</f>
        <v>33.450000000000003</v>
      </c>
      <c r="D84" s="50">
        <f>VLOOKUP($A84,'Data shares'!$C:$FM,114)</f>
        <v>33.99</v>
      </c>
      <c r="E84" s="50">
        <f>VLOOKUP($A84,'Data shares'!$C:$FM,106)</f>
        <v>32.49</v>
      </c>
      <c r="F84" s="50">
        <f>VLOOKUP($A84,'Data shares'!$C:$FM,108)</f>
        <v>1.1299999999999999</v>
      </c>
      <c r="G84" s="50">
        <f t="shared" si="2"/>
        <v>1.0347799322868574</v>
      </c>
    </row>
    <row r="85" spans="1:7" x14ac:dyDescent="0.25">
      <c r="A85" s="49" t="str">
        <f>'Data Vlaue (Cr)'!C80</f>
        <v>HINDPETRO</v>
      </c>
      <c r="B85" s="50">
        <f>VLOOKUP($A85,'Data shares'!$C:$FM,102)</f>
        <v>33.43</v>
      </c>
      <c r="C85" s="50">
        <f>VLOOKUP($A85,'Data shares'!$C:$FM,110)</f>
        <v>33.090000000000003</v>
      </c>
      <c r="D85" s="50">
        <f>VLOOKUP($A85,'Data shares'!$C:$FM,114)</f>
        <v>34.21</v>
      </c>
      <c r="E85" s="50">
        <f>VLOOKUP($A85,'Data shares'!$C:$FM,106)</f>
        <v>38.94</v>
      </c>
      <c r="F85" s="50">
        <f>VLOOKUP($A85,'Data shares'!$C:$FM,108)</f>
        <v>-5.51</v>
      </c>
      <c r="G85" s="50">
        <f t="shared" si="2"/>
        <v>0.85850025680534159</v>
      </c>
    </row>
    <row r="86" spans="1:7" x14ac:dyDescent="0.25">
      <c r="A86" s="49" t="str">
        <f>'Data Vlaue (Cr)'!C81</f>
        <v>HINDUNILVR</v>
      </c>
      <c r="B86" s="50">
        <f>VLOOKUP($A86,'Data shares'!$C:$FM,102)</f>
        <v>26.04</v>
      </c>
      <c r="C86" s="50">
        <f>VLOOKUP($A86,'Data shares'!$C:$FM,110)</f>
        <v>25.59</v>
      </c>
      <c r="D86" s="50">
        <f>VLOOKUP($A86,'Data shares'!$C:$FM,114)</f>
        <v>26.61</v>
      </c>
      <c r="E86" s="50">
        <f>VLOOKUP($A86,'Data shares'!$C:$FM,106)</f>
        <v>21.77</v>
      </c>
      <c r="F86" s="50">
        <f>VLOOKUP($A86,'Data shares'!$C:$FM,108)</f>
        <v>4.2699999999999996</v>
      </c>
      <c r="G86" s="50">
        <f t="shared" si="2"/>
        <v>1.1961414790996785</v>
      </c>
    </row>
    <row r="87" spans="1:7" x14ac:dyDescent="0.25">
      <c r="A87" s="49" t="str">
        <f>'Data Vlaue (Cr)'!C82</f>
        <v>HINDZINC</v>
      </c>
      <c r="B87" s="50">
        <f>VLOOKUP($A87,'Data shares'!$C:$FM,102)</f>
        <v>53.5</v>
      </c>
      <c r="C87" s="50">
        <f>VLOOKUP($A87,'Data shares'!$C:$FM,110)</f>
        <v>53.62</v>
      </c>
      <c r="D87" s="50">
        <f>VLOOKUP($A87,'Data shares'!$C:$FM,114)</f>
        <v>53.19</v>
      </c>
      <c r="E87" s="50">
        <f>VLOOKUP($A87,'Data shares'!$C:$FM,106)</f>
        <v>45.12</v>
      </c>
      <c r="F87" s="50">
        <f>VLOOKUP($A87,'Data shares'!$C:$FM,108)</f>
        <v>8.3800000000000008</v>
      </c>
      <c r="G87" s="50">
        <f t="shared" si="2"/>
        <v>1.18572695035461</v>
      </c>
    </row>
    <row r="88" spans="1:7" x14ac:dyDescent="0.25">
      <c r="A88" s="49" t="str">
        <f>'Data Vlaue (Cr)'!C83</f>
        <v>HUDCO</v>
      </c>
      <c r="B88" s="50">
        <f>VLOOKUP($A88,'Data shares'!$C:$FM,102)</f>
        <v>44.54</v>
      </c>
      <c r="C88" s="50">
        <f>VLOOKUP($A88,'Data shares'!$C:$FM,110)</f>
        <v>44.03</v>
      </c>
      <c r="D88" s="50">
        <f>VLOOKUP($A88,'Data shares'!$C:$FM,114)</f>
        <v>45.53</v>
      </c>
      <c r="E88" s="50">
        <f>VLOOKUP($A88,'Data shares'!$C:$FM,106)</f>
        <v>50.01</v>
      </c>
      <c r="F88" s="50">
        <f>VLOOKUP($A88,'Data shares'!$C:$FM,108)</f>
        <v>-5.47</v>
      </c>
      <c r="G88" s="50">
        <f t="shared" si="2"/>
        <v>0.89062187562487505</v>
      </c>
    </row>
    <row r="89" spans="1:7" x14ac:dyDescent="0.25">
      <c r="A89" s="49" t="str">
        <f>'Data Vlaue (Cr)'!C84</f>
        <v>ICICIBANK</v>
      </c>
      <c r="B89" s="50">
        <f>VLOOKUP($A89,'Data shares'!$C:$FM,102)</f>
        <v>17.77</v>
      </c>
      <c r="C89" s="50">
        <f>VLOOKUP($A89,'Data shares'!$C:$FM,110)</f>
        <v>17.59</v>
      </c>
      <c r="D89" s="50">
        <f>VLOOKUP($A89,'Data shares'!$C:$FM,114)</f>
        <v>18.02</v>
      </c>
      <c r="E89" s="50">
        <f>VLOOKUP($A89,'Data shares'!$C:$FM,106)</f>
        <v>20.71</v>
      </c>
      <c r="F89" s="50">
        <f>VLOOKUP($A89,'Data shares'!$C:$FM,108)</f>
        <v>-2.94</v>
      </c>
      <c r="G89" s="50">
        <f t="shared" si="2"/>
        <v>0.85803959439884103</v>
      </c>
    </row>
    <row r="90" spans="1:7" x14ac:dyDescent="0.25">
      <c r="A90" s="49" t="str">
        <f>'Data Vlaue (Cr)'!C85</f>
        <v>ICICIGI</v>
      </c>
      <c r="B90" s="50">
        <f>VLOOKUP($A90,'Data shares'!$C:$FM,102)</f>
        <v>24.19</v>
      </c>
      <c r="C90" s="50">
        <f>VLOOKUP($A90,'Data shares'!$C:$FM,110)</f>
        <v>23.67</v>
      </c>
      <c r="D90" s="50">
        <f>VLOOKUP($A90,'Data shares'!$C:$FM,114)</f>
        <v>24.69</v>
      </c>
      <c r="E90" s="50">
        <f>VLOOKUP($A90,'Data shares'!$C:$FM,106)</f>
        <v>27.47</v>
      </c>
      <c r="F90" s="50">
        <f>VLOOKUP($A90,'Data shares'!$C:$FM,108)</f>
        <v>-3.28</v>
      </c>
      <c r="G90" s="50">
        <f t="shared" si="2"/>
        <v>0.88059701492537323</v>
      </c>
    </row>
    <row r="91" spans="1:7" x14ac:dyDescent="0.25">
      <c r="A91" s="49" t="str">
        <f>'Data Vlaue (Cr)'!C86</f>
        <v>ICICIPRULI</v>
      </c>
      <c r="B91" s="50">
        <f>VLOOKUP($A91,'Data shares'!$C:$FM,102)</f>
        <v>26.45</v>
      </c>
      <c r="C91" s="50">
        <f>VLOOKUP($A91,'Data shares'!$C:$FM,110)</f>
        <v>25.81</v>
      </c>
      <c r="D91" s="50">
        <f>VLOOKUP($A91,'Data shares'!$C:$FM,114)</f>
        <v>27.19</v>
      </c>
      <c r="E91" s="50">
        <f>VLOOKUP($A91,'Data shares'!$C:$FM,106)</f>
        <v>26.82</v>
      </c>
      <c r="F91" s="50">
        <f>VLOOKUP($A91,'Data shares'!$C:$FM,108)</f>
        <v>-0.37</v>
      </c>
      <c r="G91" s="50">
        <f t="shared" si="2"/>
        <v>0.9862043251304996</v>
      </c>
    </row>
    <row r="92" spans="1:7" x14ac:dyDescent="0.25">
      <c r="A92" s="49" t="str">
        <f>'Data Vlaue (Cr)'!C87</f>
        <v>IDEA</v>
      </c>
      <c r="B92" s="50">
        <f>VLOOKUP($A92,'Data shares'!$C:$FM,102)</f>
        <v>60.16</v>
      </c>
      <c r="C92" s="50">
        <f>VLOOKUP($A92,'Data shares'!$C:$FM,110)</f>
        <v>60.62</v>
      </c>
      <c r="D92" s="50">
        <f>VLOOKUP($A92,'Data shares'!$C:$FM,114)</f>
        <v>58.4</v>
      </c>
      <c r="E92" s="50">
        <f>VLOOKUP($A92,'Data shares'!$C:$FM,106)</f>
        <v>67.13</v>
      </c>
      <c r="F92" s="50">
        <f>VLOOKUP($A92,'Data shares'!$C:$FM,108)</f>
        <v>-6.97</v>
      </c>
      <c r="G92" s="50">
        <f t="shared" si="2"/>
        <v>0.89617160732906298</v>
      </c>
    </row>
    <row r="93" spans="1:7" x14ac:dyDescent="0.25">
      <c r="A93" s="49" t="str">
        <f>'Data Vlaue (Cr)'!C88</f>
        <v>IDFCFIRSTB</v>
      </c>
      <c r="B93" s="50">
        <f>VLOOKUP($A93,'Data shares'!$C:$FM,102)</f>
        <v>36.46</v>
      </c>
      <c r="C93" s="50">
        <f>VLOOKUP($A93,'Data shares'!$C:$FM,110)</f>
        <v>35.72</v>
      </c>
      <c r="D93" s="50">
        <f>VLOOKUP($A93,'Data shares'!$C:$FM,114)</f>
        <v>37.479999999999997</v>
      </c>
      <c r="E93" s="50">
        <f>VLOOKUP($A93,'Data shares'!$C:$FM,106)</f>
        <v>31.94</v>
      </c>
      <c r="F93" s="50">
        <f>VLOOKUP($A93,'Data shares'!$C:$FM,108)</f>
        <v>4.5199999999999996</v>
      </c>
      <c r="G93" s="50">
        <f t="shared" si="2"/>
        <v>1.1415153412648715</v>
      </c>
    </row>
    <row r="94" spans="1:7" x14ac:dyDescent="0.25">
      <c r="A94" s="49" t="str">
        <f>'Data Vlaue (Cr)'!C89</f>
        <v>IEX</v>
      </c>
      <c r="B94" s="50">
        <f>VLOOKUP($A94,'Data shares'!$C:$FM,102)</f>
        <v>44.01</v>
      </c>
      <c r="C94" s="50">
        <f>VLOOKUP($A94,'Data shares'!$C:$FM,110)</f>
        <v>43.9</v>
      </c>
      <c r="D94" s="50">
        <f>VLOOKUP($A94,'Data shares'!$C:$FM,114)</f>
        <v>44.29</v>
      </c>
      <c r="E94" s="50">
        <f>VLOOKUP($A94,'Data shares'!$C:$FM,106)</f>
        <v>54.3</v>
      </c>
      <c r="F94" s="50">
        <f>VLOOKUP($A94,'Data shares'!$C:$FM,108)</f>
        <v>-10.29</v>
      </c>
      <c r="G94" s="50">
        <f t="shared" si="2"/>
        <v>0.81049723756906078</v>
      </c>
    </row>
    <row r="95" spans="1:7" x14ac:dyDescent="0.25">
      <c r="A95" s="49" t="str">
        <f>'Data Vlaue (Cr)'!C90</f>
        <v>INDHOTEL</v>
      </c>
      <c r="B95" s="50">
        <f>VLOOKUP($A95,'Data shares'!$C:$FM,102)</f>
        <v>28.74</v>
      </c>
      <c r="C95" s="50">
        <f>VLOOKUP($A95,'Data shares'!$C:$FM,110)</f>
        <v>28.64</v>
      </c>
      <c r="D95" s="50">
        <f>VLOOKUP($A95,'Data shares'!$C:$FM,114)</f>
        <v>29.03</v>
      </c>
      <c r="E95" s="50">
        <f>VLOOKUP($A95,'Data shares'!$C:$FM,106)</f>
        <v>33.299999999999997</v>
      </c>
      <c r="F95" s="50">
        <f>VLOOKUP($A95,'Data shares'!$C:$FM,108)</f>
        <v>-4.5599999999999996</v>
      </c>
      <c r="G95" s="50">
        <f t="shared" si="2"/>
        <v>0.86306306306306313</v>
      </c>
    </row>
    <row r="96" spans="1:7" x14ac:dyDescent="0.25">
      <c r="A96" s="49" t="str">
        <f>'Data Vlaue (Cr)'!C91</f>
        <v>INDIANB</v>
      </c>
      <c r="B96" s="50">
        <f>VLOOKUP($A96,'Data shares'!$C:$FM,102)</f>
        <v>33.42</v>
      </c>
      <c r="C96" s="50">
        <f>VLOOKUP($A96,'Data shares'!$C:$FM,110)</f>
        <v>33.270000000000003</v>
      </c>
      <c r="D96" s="50">
        <f>VLOOKUP($A96,'Data shares'!$C:$FM,114)</f>
        <v>33.92</v>
      </c>
      <c r="E96" s="50">
        <f>VLOOKUP($A96,'Data shares'!$C:$FM,106)</f>
        <v>37.89</v>
      </c>
      <c r="F96" s="50">
        <f>VLOOKUP($A96,'Data shares'!$C:$FM,108)</f>
        <v>-4.47</v>
      </c>
      <c r="G96" s="50">
        <f t="shared" si="2"/>
        <v>0.8820269200316706</v>
      </c>
    </row>
    <row r="97" spans="1:7" x14ac:dyDescent="0.25">
      <c r="A97" s="49" t="str">
        <f>'Data Vlaue (Cr)'!C92</f>
        <v>INDIAVIX</v>
      </c>
      <c r="B97" s="50">
        <f>VLOOKUP($A97,'Data shares'!$C:$FM,102)</f>
        <v>0</v>
      </c>
      <c r="C97" s="50">
        <f>VLOOKUP($A97,'Data shares'!$C:$FM,110)</f>
        <v>0</v>
      </c>
      <c r="D97" s="50">
        <f>VLOOKUP($A97,'Data shares'!$C:$FM,114)</f>
        <v>0</v>
      </c>
      <c r="E97" s="50">
        <f>VLOOKUP($A97,'Data shares'!$C:$FM,106)</f>
        <v>0</v>
      </c>
      <c r="F97" s="50">
        <f>VLOOKUP($A97,'Data shares'!$C:$FM,108)</f>
        <v>0</v>
      </c>
      <c r="G97" s="50" t="e">
        <f t="shared" si="2"/>
        <v>#DIV/0!</v>
      </c>
    </row>
    <row r="98" spans="1:7" x14ac:dyDescent="0.25">
      <c r="A98" s="49" t="str">
        <f>'Data Vlaue (Cr)'!C93</f>
        <v>INDIGO</v>
      </c>
      <c r="B98" s="50">
        <f>VLOOKUP($A98,'Data shares'!$C:$FM,102)</f>
        <v>27.62</v>
      </c>
      <c r="C98" s="50">
        <f>VLOOKUP($A98,'Data shares'!$C:$FM,110)</f>
        <v>26.79</v>
      </c>
      <c r="D98" s="50">
        <f>VLOOKUP($A98,'Data shares'!$C:$FM,114)</f>
        <v>28.63</v>
      </c>
      <c r="E98" s="50">
        <f>VLOOKUP($A98,'Data shares'!$C:$FM,106)</f>
        <v>33.6</v>
      </c>
      <c r="F98" s="50">
        <f>VLOOKUP($A98,'Data shares'!$C:$FM,108)</f>
        <v>-5.98</v>
      </c>
      <c r="G98" s="50">
        <f t="shared" si="2"/>
        <v>0.82202380952380949</v>
      </c>
    </row>
    <row r="99" spans="1:7" x14ac:dyDescent="0.25">
      <c r="A99" s="49" t="str">
        <f>'Data Vlaue (Cr)'!C94</f>
        <v>INDUSINDBK</v>
      </c>
      <c r="B99" s="50">
        <f>VLOOKUP($A99,'Data shares'!$C:$FM,102)</f>
        <v>32.07</v>
      </c>
      <c r="C99" s="50">
        <f>VLOOKUP($A99,'Data shares'!$C:$FM,110)</f>
        <v>31.42</v>
      </c>
      <c r="D99" s="50">
        <f>VLOOKUP($A99,'Data shares'!$C:$FM,114)</f>
        <v>33</v>
      </c>
      <c r="E99" s="50">
        <f>VLOOKUP($A99,'Data shares'!$C:$FM,106)</f>
        <v>43.03</v>
      </c>
      <c r="F99" s="50">
        <f>VLOOKUP($A99,'Data shares'!$C:$FM,108)</f>
        <v>-10.96</v>
      </c>
      <c r="G99" s="50">
        <f t="shared" si="2"/>
        <v>0.74529398094352772</v>
      </c>
    </row>
    <row r="100" spans="1:7" x14ac:dyDescent="0.25">
      <c r="A100" s="49" t="str">
        <f>'Data Vlaue (Cr)'!C95</f>
        <v>INDUSTOWER</v>
      </c>
      <c r="B100" s="50">
        <f>VLOOKUP($A100,'Data shares'!$C:$FM,102)</f>
        <v>35.07</v>
      </c>
      <c r="C100" s="50">
        <f>VLOOKUP($A100,'Data shares'!$C:$FM,110)</f>
        <v>34.630000000000003</v>
      </c>
      <c r="D100" s="50">
        <f>VLOOKUP($A100,'Data shares'!$C:$FM,114)</f>
        <v>35.909999999999997</v>
      </c>
      <c r="E100" s="50">
        <f>VLOOKUP($A100,'Data shares'!$C:$FM,106)</f>
        <v>37.53</v>
      </c>
      <c r="F100" s="50">
        <f>VLOOKUP($A100,'Data shares'!$C:$FM,108)</f>
        <v>-2.46</v>
      </c>
      <c r="G100" s="50">
        <f t="shared" si="2"/>
        <v>0.93445243804956035</v>
      </c>
    </row>
    <row r="101" spans="1:7" x14ac:dyDescent="0.25">
      <c r="A101" s="49" t="str">
        <f>'Data Vlaue (Cr)'!C96</f>
        <v>INFY</v>
      </c>
      <c r="B101" s="50">
        <f>VLOOKUP($A101,'Data shares'!$C:$FM,102)</f>
        <v>22.1</v>
      </c>
      <c r="C101" s="50">
        <f>VLOOKUP($A101,'Data shares'!$C:$FM,110)</f>
        <v>21.28</v>
      </c>
      <c r="D101" s="50">
        <f>VLOOKUP($A101,'Data shares'!$C:$FM,114)</f>
        <v>23.4</v>
      </c>
      <c r="E101" s="50">
        <f>VLOOKUP($A101,'Data shares'!$C:$FM,106)</f>
        <v>28.51</v>
      </c>
      <c r="F101" s="50">
        <f>VLOOKUP($A101,'Data shares'!$C:$FM,108)</f>
        <v>-6.41</v>
      </c>
      <c r="G101" s="50">
        <f t="shared" si="2"/>
        <v>0.77516660820764649</v>
      </c>
    </row>
    <row r="102" spans="1:7" x14ac:dyDescent="0.25">
      <c r="A102" s="49" t="str">
        <f>'Data Vlaue (Cr)'!C97</f>
        <v>INOXWIND</v>
      </c>
      <c r="B102" s="50">
        <f>VLOOKUP($A102,'Data shares'!$C:$FM,102)</f>
        <v>49.58</v>
      </c>
      <c r="C102" s="50">
        <f>VLOOKUP($A102,'Data shares'!$C:$FM,110)</f>
        <v>47.33</v>
      </c>
      <c r="D102" s="50">
        <f>VLOOKUP($A102,'Data shares'!$C:$FM,114)</f>
        <v>53.98</v>
      </c>
      <c r="E102" s="50">
        <f>VLOOKUP($A102,'Data shares'!$C:$FM,106)</f>
        <v>51.95</v>
      </c>
      <c r="F102" s="50">
        <f>VLOOKUP($A102,'Data shares'!$C:$FM,108)</f>
        <v>-2.37</v>
      </c>
      <c r="G102" s="50">
        <f t="shared" si="2"/>
        <v>0.95437921077959564</v>
      </c>
    </row>
    <row r="103" spans="1:7" x14ac:dyDescent="0.25">
      <c r="A103" s="49" t="str">
        <f>'Data Vlaue (Cr)'!C98</f>
        <v>IOC</v>
      </c>
      <c r="B103" s="50">
        <f>VLOOKUP($A103,'Data shares'!$C:$FM,102)</f>
        <v>29.38</v>
      </c>
      <c r="C103" s="50">
        <f>VLOOKUP($A103,'Data shares'!$C:$FM,110)</f>
        <v>28.94</v>
      </c>
      <c r="D103" s="50">
        <f>VLOOKUP($A103,'Data shares'!$C:$FM,114)</f>
        <v>30.56</v>
      </c>
      <c r="E103" s="50">
        <f>VLOOKUP($A103,'Data shares'!$C:$FM,106)</f>
        <v>30.58</v>
      </c>
      <c r="F103" s="50">
        <f>VLOOKUP($A103,'Data shares'!$C:$FM,108)</f>
        <v>-1.2</v>
      </c>
      <c r="G103" s="50">
        <f t="shared" ref="G103:G134" si="3">B103/E103</f>
        <v>0.96075866579463709</v>
      </c>
    </row>
    <row r="104" spans="1:7" x14ac:dyDescent="0.25">
      <c r="A104" s="49" t="str">
        <f>'Data Vlaue (Cr)'!C99</f>
        <v>IRCTC</v>
      </c>
      <c r="B104" s="50">
        <f>VLOOKUP($A104,'Data shares'!$C:$FM,102)</f>
        <v>33.82</v>
      </c>
      <c r="C104" s="50">
        <f>VLOOKUP($A104,'Data shares'!$C:$FM,110)</f>
        <v>33.71</v>
      </c>
      <c r="D104" s="50">
        <f>VLOOKUP($A104,'Data shares'!$C:$FM,114)</f>
        <v>34.200000000000003</v>
      </c>
      <c r="E104" s="50">
        <f>VLOOKUP($A104,'Data shares'!$C:$FM,106)</f>
        <v>29.74</v>
      </c>
      <c r="F104" s="50">
        <f>VLOOKUP($A104,'Data shares'!$C:$FM,108)</f>
        <v>4.08</v>
      </c>
      <c r="G104" s="50">
        <f t="shared" si="3"/>
        <v>1.137188971082717</v>
      </c>
    </row>
    <row r="105" spans="1:7" x14ac:dyDescent="0.25">
      <c r="A105" s="49" t="str">
        <f>'Data Vlaue (Cr)'!C100</f>
        <v>IREDA</v>
      </c>
      <c r="B105" s="50">
        <f>VLOOKUP($A105,'Data shares'!$C:$FM,102)</f>
        <v>42.87</v>
      </c>
      <c r="C105" s="50">
        <f>VLOOKUP($A105,'Data shares'!$C:$FM,110)</f>
        <v>42.37</v>
      </c>
      <c r="D105" s="50">
        <f>VLOOKUP($A105,'Data shares'!$C:$FM,114)</f>
        <v>44.42</v>
      </c>
      <c r="E105" s="50">
        <f>VLOOKUP($A105,'Data shares'!$C:$FM,106)</f>
        <v>48.47</v>
      </c>
      <c r="F105" s="50">
        <f>VLOOKUP($A105,'Data shares'!$C:$FM,108)</f>
        <v>-5.6</v>
      </c>
      <c r="G105" s="50">
        <f t="shared" si="3"/>
        <v>0.88446461728904469</v>
      </c>
    </row>
    <row r="106" spans="1:7" x14ac:dyDescent="0.25">
      <c r="A106" s="49" t="str">
        <f>'Data Vlaue (Cr)'!C101</f>
        <v>IRFC</v>
      </c>
      <c r="B106" s="50">
        <f>VLOOKUP($A106,'Data shares'!$C:$FM,102)</f>
        <v>43.69</v>
      </c>
      <c r="C106" s="50">
        <f>VLOOKUP($A106,'Data shares'!$C:$FM,110)</f>
        <v>43.73</v>
      </c>
      <c r="D106" s="50">
        <f>VLOOKUP($A106,'Data shares'!$C:$FM,114)</f>
        <v>43.51</v>
      </c>
      <c r="E106" s="50">
        <f>VLOOKUP($A106,'Data shares'!$C:$FM,106)</f>
        <v>45.42</v>
      </c>
      <c r="F106" s="50">
        <f>VLOOKUP($A106,'Data shares'!$C:$FM,108)</f>
        <v>-1.73</v>
      </c>
      <c r="G106" s="50">
        <f t="shared" si="3"/>
        <v>0.96191105239982377</v>
      </c>
    </row>
    <row r="107" spans="1:7" x14ac:dyDescent="0.25">
      <c r="A107" s="49" t="str">
        <f>'Data Vlaue (Cr)'!C102</f>
        <v>ITC</v>
      </c>
      <c r="B107" s="50">
        <f>VLOOKUP($A107,'Data shares'!$C:$FM,102)</f>
        <v>28.09</v>
      </c>
      <c r="C107" s="50">
        <f>VLOOKUP($A107,'Data shares'!$C:$FM,110)</f>
        <v>27.45</v>
      </c>
      <c r="D107" s="50">
        <f>VLOOKUP($A107,'Data shares'!$C:$FM,114)</f>
        <v>29.35</v>
      </c>
      <c r="E107" s="50">
        <f>VLOOKUP($A107,'Data shares'!$C:$FM,106)</f>
        <v>23.15</v>
      </c>
      <c r="F107" s="50">
        <f>VLOOKUP($A107,'Data shares'!$C:$FM,108)</f>
        <v>4.9400000000000004</v>
      </c>
      <c r="G107" s="50">
        <f t="shared" si="3"/>
        <v>1.2133909287257021</v>
      </c>
    </row>
    <row r="108" spans="1:7" x14ac:dyDescent="0.25">
      <c r="A108" s="49" t="str">
        <f>'Data Vlaue (Cr)'!C103</f>
        <v>JINDALSTEL</v>
      </c>
      <c r="B108" s="50">
        <f>VLOOKUP($A108,'Data shares'!$C:$FM,102)</f>
        <v>36.159999999999997</v>
      </c>
      <c r="C108" s="50">
        <f>VLOOKUP($A108,'Data shares'!$C:$FM,110)</f>
        <v>36.03</v>
      </c>
      <c r="D108" s="50">
        <f>VLOOKUP($A108,'Data shares'!$C:$FM,114)</f>
        <v>36.520000000000003</v>
      </c>
      <c r="E108" s="50">
        <f>VLOOKUP($A108,'Data shares'!$C:$FM,106)</f>
        <v>34.93</v>
      </c>
      <c r="F108" s="50">
        <f>VLOOKUP($A108,'Data shares'!$C:$FM,108)</f>
        <v>1.23</v>
      </c>
      <c r="G108" s="50">
        <f t="shared" si="3"/>
        <v>1.0352132837102777</v>
      </c>
    </row>
    <row r="109" spans="1:7" x14ac:dyDescent="0.25">
      <c r="A109" s="49" t="str">
        <f>'Data Vlaue (Cr)'!C104</f>
        <v>JIOFIN</v>
      </c>
      <c r="B109" s="50">
        <f>VLOOKUP($A109,'Data shares'!$C:$FM,102)</f>
        <v>32.15</v>
      </c>
      <c r="C109" s="50">
        <f>VLOOKUP($A109,'Data shares'!$C:$FM,110)</f>
        <v>32.39</v>
      </c>
      <c r="D109" s="50">
        <f>VLOOKUP($A109,'Data shares'!$C:$FM,114)</f>
        <v>31.5</v>
      </c>
      <c r="E109" s="50">
        <f>VLOOKUP($A109,'Data shares'!$C:$FM,106)</f>
        <v>33.97</v>
      </c>
      <c r="F109" s="50">
        <f>VLOOKUP($A109,'Data shares'!$C:$FM,108)</f>
        <v>-1.82</v>
      </c>
      <c r="G109" s="50">
        <f t="shared" si="3"/>
        <v>0.94642331468943186</v>
      </c>
    </row>
    <row r="110" spans="1:7" x14ac:dyDescent="0.25">
      <c r="A110" s="49" t="str">
        <f>'Data Vlaue (Cr)'!C105</f>
        <v>JSWENERGY</v>
      </c>
      <c r="B110" s="50">
        <f>VLOOKUP($A110,'Data shares'!$C:$FM,102)</f>
        <v>34.32</v>
      </c>
      <c r="C110" s="50">
        <f>VLOOKUP($A110,'Data shares'!$C:$FM,110)</f>
        <v>33.82</v>
      </c>
      <c r="D110" s="50">
        <f>VLOOKUP($A110,'Data shares'!$C:$FM,114)</f>
        <v>35.340000000000003</v>
      </c>
      <c r="E110" s="50">
        <f>VLOOKUP($A110,'Data shares'!$C:$FM,106)</f>
        <v>43.19</v>
      </c>
      <c r="F110" s="50">
        <f>VLOOKUP($A110,'Data shares'!$C:$FM,108)</f>
        <v>-8.8699999999999992</v>
      </c>
      <c r="G110" s="50">
        <f t="shared" si="3"/>
        <v>0.79462838620050946</v>
      </c>
    </row>
    <row r="111" spans="1:7" x14ac:dyDescent="0.25">
      <c r="A111" s="49" t="str">
        <f>'Data Vlaue (Cr)'!C106</f>
        <v>JSWSTEEL</v>
      </c>
      <c r="B111" s="50">
        <f>VLOOKUP($A111,'Data shares'!$C:$FM,102)</f>
        <v>26.69</v>
      </c>
      <c r="C111" s="50">
        <f>VLOOKUP($A111,'Data shares'!$C:$FM,110)</f>
        <v>26.21</v>
      </c>
      <c r="D111" s="50">
        <f>VLOOKUP($A111,'Data shares'!$C:$FM,114)</f>
        <v>27.95</v>
      </c>
      <c r="E111" s="50">
        <f>VLOOKUP($A111,'Data shares'!$C:$FM,106)</f>
        <v>29.61</v>
      </c>
      <c r="F111" s="50">
        <f>VLOOKUP($A111,'Data shares'!$C:$FM,108)</f>
        <v>-2.92</v>
      </c>
      <c r="G111" s="50">
        <f t="shared" si="3"/>
        <v>0.9013846673421142</v>
      </c>
    </row>
    <row r="112" spans="1:7" x14ac:dyDescent="0.25">
      <c r="A112" s="49" t="str">
        <f>'Data Vlaue (Cr)'!C107</f>
        <v>JUBLFOOD</v>
      </c>
      <c r="B112" s="50">
        <f>VLOOKUP($A112,'Data shares'!$C:$FM,102)</f>
        <v>36.28</v>
      </c>
      <c r="C112" s="50">
        <f>VLOOKUP($A112,'Data shares'!$C:$FM,110)</f>
        <v>36.25</v>
      </c>
      <c r="D112" s="50">
        <f>VLOOKUP($A112,'Data shares'!$C:$FM,114)</f>
        <v>36.33</v>
      </c>
      <c r="E112" s="50">
        <f>VLOOKUP($A112,'Data shares'!$C:$FM,106)</f>
        <v>32.619999999999997</v>
      </c>
      <c r="F112" s="50">
        <f>VLOOKUP($A112,'Data shares'!$C:$FM,108)</f>
        <v>3.66</v>
      </c>
      <c r="G112" s="50">
        <f t="shared" si="3"/>
        <v>1.1122011036174126</v>
      </c>
    </row>
    <row r="113" spans="1:7" x14ac:dyDescent="0.25">
      <c r="A113" s="49" t="str">
        <f>'Data Vlaue (Cr)'!C108</f>
        <v>KALYANKJIL</v>
      </c>
      <c r="B113" s="50">
        <f>VLOOKUP($A113,'Data shares'!$C:$FM,102)</f>
        <v>56</v>
      </c>
      <c r="C113" s="50">
        <f>VLOOKUP($A113,'Data shares'!$C:$FM,110)</f>
        <v>55.14</v>
      </c>
      <c r="D113" s="50">
        <f>VLOOKUP($A113,'Data shares'!$C:$FM,114)</f>
        <v>57.47</v>
      </c>
      <c r="E113" s="50">
        <f>VLOOKUP($A113,'Data shares'!$C:$FM,106)</f>
        <v>50.1</v>
      </c>
      <c r="F113" s="50">
        <f>VLOOKUP($A113,'Data shares'!$C:$FM,108)</f>
        <v>5.9</v>
      </c>
      <c r="G113" s="50">
        <f t="shared" si="3"/>
        <v>1.1177644710578842</v>
      </c>
    </row>
    <row r="114" spans="1:7" x14ac:dyDescent="0.25">
      <c r="A114" s="49" t="str">
        <f>'Data Vlaue (Cr)'!C109</f>
        <v>KAYNES</v>
      </c>
      <c r="B114" s="50">
        <f>VLOOKUP($A114,'Data shares'!$C:$FM,102)</f>
        <v>52.09</v>
      </c>
      <c r="C114" s="50">
        <f>VLOOKUP($A114,'Data shares'!$C:$FM,110)</f>
        <v>51.77</v>
      </c>
      <c r="D114" s="50">
        <f>VLOOKUP($A114,'Data shares'!$C:$FM,114)</f>
        <v>52.84</v>
      </c>
      <c r="E114" s="50">
        <f>VLOOKUP($A114,'Data shares'!$C:$FM,106)</f>
        <v>60.92</v>
      </c>
      <c r="F114" s="50">
        <f>VLOOKUP($A114,'Data shares'!$C:$FM,108)</f>
        <v>-8.83</v>
      </c>
      <c r="G114" s="50">
        <f t="shared" si="3"/>
        <v>0.85505581089954041</v>
      </c>
    </row>
    <row r="115" spans="1:7" x14ac:dyDescent="0.25">
      <c r="A115" s="49" t="str">
        <f>'Data Vlaue (Cr)'!C110</f>
        <v>KEI</v>
      </c>
      <c r="B115" s="50">
        <f>VLOOKUP($A115,'Data shares'!$C:$FM,102)</f>
        <v>33.130000000000003</v>
      </c>
      <c r="C115" s="50">
        <f>VLOOKUP($A115,'Data shares'!$C:$FM,110)</f>
        <v>32.5</v>
      </c>
      <c r="D115" s="50">
        <f>VLOOKUP($A115,'Data shares'!$C:$FM,114)</f>
        <v>34.880000000000003</v>
      </c>
      <c r="E115" s="50">
        <f>VLOOKUP($A115,'Data shares'!$C:$FM,106)</f>
        <v>45.13</v>
      </c>
      <c r="F115" s="50">
        <f>VLOOKUP($A115,'Data shares'!$C:$FM,108)</f>
        <v>-12</v>
      </c>
      <c r="G115" s="50">
        <f t="shared" si="3"/>
        <v>0.73410148460004432</v>
      </c>
    </row>
    <row r="116" spans="1:7" x14ac:dyDescent="0.25">
      <c r="A116" s="49" t="str">
        <f>'Data Vlaue (Cr)'!C111</f>
        <v>KFINTECH</v>
      </c>
      <c r="B116" s="50">
        <f>VLOOKUP($A116,'Data shares'!$C:$FM,102)</f>
        <v>39.380000000000003</v>
      </c>
      <c r="C116" s="50">
        <f>VLOOKUP($A116,'Data shares'!$C:$FM,110)</f>
        <v>38.1</v>
      </c>
      <c r="D116" s="50">
        <f>VLOOKUP($A116,'Data shares'!$C:$FM,114)</f>
        <v>42.02</v>
      </c>
      <c r="E116" s="50">
        <f>VLOOKUP($A116,'Data shares'!$C:$FM,106)</f>
        <v>50.5</v>
      </c>
      <c r="F116" s="50">
        <f>VLOOKUP($A116,'Data shares'!$C:$FM,108)</f>
        <v>-11.12</v>
      </c>
      <c r="G116" s="50">
        <f t="shared" si="3"/>
        <v>0.77980198019801983</v>
      </c>
    </row>
    <row r="117" spans="1:7" x14ac:dyDescent="0.25">
      <c r="A117" s="49" t="str">
        <f>'Data Vlaue (Cr)'!C112</f>
        <v>KOTAKBANK</v>
      </c>
      <c r="B117" s="50">
        <f>VLOOKUP($A117,'Data shares'!$C:$FM,102)</f>
        <v>22.72</v>
      </c>
      <c r="C117" s="50">
        <f>VLOOKUP($A117,'Data shares'!$C:$FM,110)</f>
        <v>22.38</v>
      </c>
      <c r="D117" s="50">
        <f>VLOOKUP($A117,'Data shares'!$C:$FM,114)</f>
        <v>23.42</v>
      </c>
      <c r="E117" s="50">
        <f>VLOOKUP($A117,'Data shares'!$C:$FM,106)</f>
        <v>25.31</v>
      </c>
      <c r="F117" s="50">
        <f>VLOOKUP($A117,'Data shares'!$C:$FM,108)</f>
        <v>-2.59</v>
      </c>
      <c r="G117" s="50">
        <f t="shared" si="3"/>
        <v>0.89766890557092061</v>
      </c>
    </row>
    <row r="118" spans="1:7" x14ac:dyDescent="0.25">
      <c r="A118" s="49" t="str">
        <f>'Data Vlaue (Cr)'!C113</f>
        <v>KPITTECH</v>
      </c>
      <c r="B118" s="50">
        <f>VLOOKUP($A118,'Data shares'!$C:$FM,102)</f>
        <v>40.79</v>
      </c>
      <c r="C118" s="50">
        <f>VLOOKUP($A118,'Data shares'!$C:$FM,110)</f>
        <v>40.17</v>
      </c>
      <c r="D118" s="50">
        <f>VLOOKUP($A118,'Data shares'!$C:$FM,114)</f>
        <v>41.61</v>
      </c>
      <c r="E118" s="50">
        <f>VLOOKUP($A118,'Data shares'!$C:$FM,106)</f>
        <v>42.06</v>
      </c>
      <c r="F118" s="50">
        <f>VLOOKUP($A118,'Data shares'!$C:$FM,108)</f>
        <v>-1.27</v>
      </c>
      <c r="G118" s="50">
        <f t="shared" si="3"/>
        <v>0.96980504041844973</v>
      </c>
    </row>
    <row r="119" spans="1:7" x14ac:dyDescent="0.25">
      <c r="A119" s="49" t="str">
        <f>'Data Vlaue (Cr)'!C114</f>
        <v>LAURUSLABS</v>
      </c>
      <c r="B119" s="50">
        <f>VLOOKUP($A119,'Data shares'!$C:$FM,102)</f>
        <v>32.07</v>
      </c>
      <c r="C119" s="50">
        <f>VLOOKUP($A119,'Data shares'!$C:$FM,110)</f>
        <v>31.98</v>
      </c>
      <c r="D119" s="50">
        <f>VLOOKUP($A119,'Data shares'!$C:$FM,114)</f>
        <v>32.26</v>
      </c>
      <c r="E119" s="50">
        <f>VLOOKUP($A119,'Data shares'!$C:$FM,106)</f>
        <v>38.020000000000003</v>
      </c>
      <c r="F119" s="50">
        <f>VLOOKUP($A119,'Data shares'!$C:$FM,108)</f>
        <v>-5.95</v>
      </c>
      <c r="G119" s="50">
        <f t="shared" si="3"/>
        <v>0.84350341925302463</v>
      </c>
    </row>
    <row r="120" spans="1:7" x14ac:dyDescent="0.25">
      <c r="A120" s="49" t="str">
        <f>'Data Vlaue (Cr)'!C115</f>
        <v>LICHSGFIN</v>
      </c>
      <c r="B120" s="50">
        <f>VLOOKUP($A120,'Data shares'!$C:$FM,102)</f>
        <v>30.18</v>
      </c>
      <c r="C120" s="50">
        <f>VLOOKUP($A120,'Data shares'!$C:$FM,110)</f>
        <v>29.76</v>
      </c>
      <c r="D120" s="50">
        <f>VLOOKUP($A120,'Data shares'!$C:$FM,114)</f>
        <v>31.14</v>
      </c>
      <c r="E120" s="50">
        <f>VLOOKUP($A120,'Data shares'!$C:$FM,106)</f>
        <v>31.96</v>
      </c>
      <c r="F120" s="50">
        <f>VLOOKUP($A120,'Data shares'!$C:$FM,108)</f>
        <v>-1.78</v>
      </c>
      <c r="G120" s="50">
        <f t="shared" si="3"/>
        <v>0.94430538172715894</v>
      </c>
    </row>
    <row r="121" spans="1:7" x14ac:dyDescent="0.25">
      <c r="A121" s="49" t="str">
        <f>'Data Vlaue (Cr)'!C116</f>
        <v>LICI</v>
      </c>
      <c r="B121" s="50">
        <f>VLOOKUP($A121,'Data shares'!$C:$FM,102)</f>
        <v>27.29</v>
      </c>
      <c r="C121" s="50">
        <f>VLOOKUP($A121,'Data shares'!$C:$FM,110)</f>
        <v>26.88</v>
      </c>
      <c r="D121" s="50">
        <f>VLOOKUP($A121,'Data shares'!$C:$FM,114)</f>
        <v>28.08</v>
      </c>
      <c r="E121" s="50">
        <f>VLOOKUP($A121,'Data shares'!$C:$FM,106)</f>
        <v>29.32</v>
      </c>
      <c r="F121" s="50">
        <f>VLOOKUP($A121,'Data shares'!$C:$FM,108)</f>
        <v>-2.0299999999999998</v>
      </c>
      <c r="G121" s="50">
        <f t="shared" si="3"/>
        <v>0.93076398362892221</v>
      </c>
    </row>
    <row r="122" spans="1:7" x14ac:dyDescent="0.25">
      <c r="A122" s="49" t="str">
        <f>'Data Vlaue (Cr)'!C117</f>
        <v>LODHA</v>
      </c>
      <c r="B122" s="50">
        <f>VLOOKUP($A122,'Data shares'!$C:$FM,102)</f>
        <v>41.76</v>
      </c>
      <c r="C122" s="50">
        <f>VLOOKUP($A122,'Data shares'!$C:$FM,110)</f>
        <v>40.93</v>
      </c>
      <c r="D122" s="50">
        <f>VLOOKUP($A122,'Data shares'!$C:$FM,114)</f>
        <v>43.13</v>
      </c>
      <c r="E122" s="50">
        <f>VLOOKUP($A122,'Data shares'!$C:$FM,106)</f>
        <v>43.78</v>
      </c>
      <c r="F122" s="50">
        <f>VLOOKUP($A122,'Data shares'!$C:$FM,108)</f>
        <v>-2.02</v>
      </c>
      <c r="G122" s="50">
        <f t="shared" si="3"/>
        <v>0.95386021014161715</v>
      </c>
    </row>
    <row r="123" spans="1:7" x14ac:dyDescent="0.25">
      <c r="A123" s="49" t="str">
        <f>'Data Vlaue (Cr)'!C118</f>
        <v>LT</v>
      </c>
      <c r="B123" s="50">
        <f>VLOOKUP($A123,'Data shares'!$C:$FM,102)</f>
        <v>28.78</v>
      </c>
      <c r="C123" s="50">
        <f>VLOOKUP($A123,'Data shares'!$C:$FM,110)</f>
        <v>28.56</v>
      </c>
      <c r="D123" s="50">
        <f>VLOOKUP($A123,'Data shares'!$C:$FM,114)</f>
        <v>29.32</v>
      </c>
      <c r="E123" s="50">
        <f>VLOOKUP($A123,'Data shares'!$C:$FM,106)</f>
        <v>25.56</v>
      </c>
      <c r="F123" s="50">
        <f>VLOOKUP($A123,'Data shares'!$C:$FM,108)</f>
        <v>3.22</v>
      </c>
      <c r="G123" s="50">
        <f t="shared" si="3"/>
        <v>1.1259780907668233</v>
      </c>
    </row>
    <row r="124" spans="1:7" x14ac:dyDescent="0.25">
      <c r="A124" s="49" t="str">
        <f>'Data Vlaue (Cr)'!C119</f>
        <v>LTF</v>
      </c>
      <c r="B124" s="50">
        <f>VLOOKUP($A124,'Data shares'!$C:$FM,102)</f>
        <v>32.85</v>
      </c>
      <c r="C124" s="50">
        <f>VLOOKUP($A124,'Data shares'!$C:$FM,110)</f>
        <v>32.47</v>
      </c>
      <c r="D124" s="50">
        <f>VLOOKUP($A124,'Data shares'!$C:$FM,114)</f>
        <v>33.47</v>
      </c>
      <c r="E124" s="50">
        <f>VLOOKUP($A124,'Data shares'!$C:$FM,106)</f>
        <v>38.22</v>
      </c>
      <c r="F124" s="50">
        <f>VLOOKUP($A124,'Data shares'!$C:$FM,108)</f>
        <v>-5.37</v>
      </c>
      <c r="G124" s="50">
        <f t="shared" si="3"/>
        <v>0.85949764521193095</v>
      </c>
    </row>
    <row r="125" spans="1:7" x14ac:dyDescent="0.25">
      <c r="A125" s="49" t="str">
        <f>'Data Vlaue (Cr)'!C120</f>
        <v>LTIM</v>
      </c>
      <c r="B125" s="50">
        <f>VLOOKUP($A125,'Data shares'!$C:$FM,102)</f>
        <v>26.36</v>
      </c>
      <c r="C125" s="50">
        <f>VLOOKUP($A125,'Data shares'!$C:$FM,110)</f>
        <v>25.96</v>
      </c>
      <c r="D125" s="50">
        <f>VLOOKUP($A125,'Data shares'!$C:$FM,114)</f>
        <v>27.65</v>
      </c>
      <c r="E125" s="50">
        <f>VLOOKUP($A125,'Data shares'!$C:$FM,106)</f>
        <v>32.99</v>
      </c>
      <c r="F125" s="50">
        <f>VLOOKUP($A125,'Data shares'!$C:$FM,108)</f>
        <v>-6.63</v>
      </c>
      <c r="G125" s="50">
        <f t="shared" si="3"/>
        <v>0.79903000909366473</v>
      </c>
    </row>
    <row r="126" spans="1:7" x14ac:dyDescent="0.25">
      <c r="A126" s="49" t="str">
        <f>'Data Vlaue (Cr)'!C121</f>
        <v>LUPIN</v>
      </c>
      <c r="B126" s="50">
        <f>VLOOKUP($A126,'Data shares'!$C:$FM,102)</f>
        <v>29.58</v>
      </c>
      <c r="C126" s="50">
        <f>VLOOKUP($A126,'Data shares'!$C:$FM,110)</f>
        <v>29.11</v>
      </c>
      <c r="D126" s="50">
        <f>VLOOKUP($A126,'Data shares'!$C:$FM,114)</f>
        <v>30.69</v>
      </c>
      <c r="E126" s="50">
        <f>VLOOKUP($A126,'Data shares'!$C:$FM,106)</f>
        <v>29.35</v>
      </c>
      <c r="F126" s="50">
        <f>VLOOKUP($A126,'Data shares'!$C:$FM,108)</f>
        <v>0.23</v>
      </c>
      <c r="G126" s="50">
        <f t="shared" si="3"/>
        <v>1.0078364565587734</v>
      </c>
    </row>
    <row r="127" spans="1:7" x14ac:dyDescent="0.25">
      <c r="A127" s="49" t="str">
        <f>'Data Vlaue (Cr)'!C122</f>
        <v>M&amp;M</v>
      </c>
      <c r="B127" s="50">
        <f>VLOOKUP($A127,'Data shares'!$C:$FM,102)</f>
        <v>31.28</v>
      </c>
      <c r="C127" s="50">
        <f>VLOOKUP($A127,'Data shares'!$C:$FM,110)</f>
        <v>30.03</v>
      </c>
      <c r="D127" s="50">
        <f>VLOOKUP($A127,'Data shares'!$C:$FM,114)</f>
        <v>32.78</v>
      </c>
      <c r="E127" s="50">
        <f>VLOOKUP($A127,'Data shares'!$C:$FM,106)</f>
        <v>31.34</v>
      </c>
      <c r="F127" s="50">
        <f>VLOOKUP($A127,'Data shares'!$C:$FM,108)</f>
        <v>-0.06</v>
      </c>
      <c r="G127" s="50">
        <f t="shared" si="3"/>
        <v>0.99808551372048504</v>
      </c>
    </row>
    <row r="128" spans="1:7" x14ac:dyDescent="0.25">
      <c r="A128" s="49" t="str">
        <f>'Data Vlaue (Cr)'!C123</f>
        <v>MANAPPURAM</v>
      </c>
      <c r="B128" s="50">
        <f>VLOOKUP($A128,'Data shares'!$C:$FM,102)</f>
        <v>44.03</v>
      </c>
      <c r="C128" s="50">
        <f>VLOOKUP($A128,'Data shares'!$C:$FM,110)</f>
        <v>42.66</v>
      </c>
      <c r="D128" s="50">
        <f>VLOOKUP($A128,'Data shares'!$C:$FM,114)</f>
        <v>46.1</v>
      </c>
      <c r="E128" s="50">
        <f>VLOOKUP($A128,'Data shares'!$C:$FM,106)</f>
        <v>42.17</v>
      </c>
      <c r="F128" s="50">
        <f>VLOOKUP($A128,'Data shares'!$C:$FM,108)</f>
        <v>1.86</v>
      </c>
      <c r="G128" s="50">
        <f t="shared" si="3"/>
        <v>1.0441071852027508</v>
      </c>
    </row>
    <row r="129" spans="1:7" x14ac:dyDescent="0.25">
      <c r="A129" s="49" t="str">
        <f>'Data Vlaue (Cr)'!C124</f>
        <v>MANKIND</v>
      </c>
      <c r="B129" s="50">
        <f>VLOOKUP($A129,'Data shares'!$C:$FM,102)</f>
        <v>32.78</v>
      </c>
      <c r="C129" s="50">
        <f>VLOOKUP($A129,'Data shares'!$C:$FM,110)</f>
        <v>32.44</v>
      </c>
      <c r="D129" s="50">
        <f>VLOOKUP($A129,'Data shares'!$C:$FM,114)</f>
        <v>33.31</v>
      </c>
      <c r="E129" s="50">
        <f>VLOOKUP($A129,'Data shares'!$C:$FM,106)</f>
        <v>32.36</v>
      </c>
      <c r="F129" s="50">
        <f>VLOOKUP($A129,'Data shares'!$C:$FM,108)</f>
        <v>0.42</v>
      </c>
      <c r="G129" s="50">
        <f t="shared" si="3"/>
        <v>1.0129789864029666</v>
      </c>
    </row>
    <row r="130" spans="1:7" x14ac:dyDescent="0.25">
      <c r="A130" s="49" t="str">
        <f>'Data Vlaue (Cr)'!C125</f>
        <v>MARICO</v>
      </c>
      <c r="B130" s="50">
        <f>VLOOKUP($A130,'Data shares'!$C:$FM,102)</f>
        <v>24.29</v>
      </c>
      <c r="C130" s="50">
        <f>VLOOKUP($A130,'Data shares'!$C:$FM,110)</f>
        <v>23.98</v>
      </c>
      <c r="D130" s="50">
        <f>VLOOKUP($A130,'Data shares'!$C:$FM,114)</f>
        <v>24.68</v>
      </c>
      <c r="E130" s="50">
        <f>VLOOKUP($A130,'Data shares'!$C:$FM,106)</f>
        <v>24.25</v>
      </c>
      <c r="F130" s="50">
        <f>VLOOKUP($A130,'Data shares'!$C:$FM,108)</f>
        <v>0.04</v>
      </c>
      <c r="G130" s="50">
        <f t="shared" si="3"/>
        <v>1.0016494845360824</v>
      </c>
    </row>
    <row r="131" spans="1:7" x14ac:dyDescent="0.25">
      <c r="A131" s="49" t="str">
        <f>'Data Vlaue (Cr)'!C126</f>
        <v>MARUTI</v>
      </c>
      <c r="B131" s="50">
        <f>VLOOKUP($A131,'Data shares'!$C:$FM,102)</f>
        <v>26.98</v>
      </c>
      <c r="C131" s="50">
        <f>VLOOKUP($A131,'Data shares'!$C:$FM,110)</f>
        <v>26.4</v>
      </c>
      <c r="D131" s="50">
        <f>VLOOKUP($A131,'Data shares'!$C:$FM,114)</f>
        <v>27.92</v>
      </c>
      <c r="E131" s="50">
        <f>VLOOKUP($A131,'Data shares'!$C:$FM,106)</f>
        <v>24.64</v>
      </c>
      <c r="F131" s="50">
        <f>VLOOKUP($A131,'Data shares'!$C:$FM,108)</f>
        <v>2.34</v>
      </c>
      <c r="G131" s="50">
        <f t="shared" si="3"/>
        <v>1.0949675324675325</v>
      </c>
    </row>
    <row r="132" spans="1:7" x14ac:dyDescent="0.25">
      <c r="A132" s="49" t="str">
        <f>'Data Vlaue (Cr)'!C127</f>
        <v>MAXHEALTH</v>
      </c>
      <c r="B132" s="50">
        <f>VLOOKUP($A132,'Data shares'!$C:$FM,102)</f>
        <v>32.44</v>
      </c>
      <c r="C132" s="50">
        <f>VLOOKUP($A132,'Data shares'!$C:$FM,110)</f>
        <v>32.28</v>
      </c>
      <c r="D132" s="50">
        <f>VLOOKUP($A132,'Data shares'!$C:$FM,114)</f>
        <v>32.659999999999997</v>
      </c>
      <c r="E132" s="50">
        <f>VLOOKUP($A132,'Data shares'!$C:$FM,106)</f>
        <v>37.74</v>
      </c>
      <c r="F132" s="50">
        <f>VLOOKUP($A132,'Data shares'!$C:$FM,108)</f>
        <v>-5.3</v>
      </c>
      <c r="G132" s="50">
        <f t="shared" si="3"/>
        <v>0.85956544780074184</v>
      </c>
    </row>
    <row r="133" spans="1:7" x14ac:dyDescent="0.25">
      <c r="A133" s="49" t="str">
        <f>'Data Vlaue (Cr)'!C128</f>
        <v>MAZDOCK</v>
      </c>
      <c r="B133" s="50">
        <f>VLOOKUP($A133,'Data shares'!$C:$FM,102)</f>
        <v>45.41</v>
      </c>
      <c r="C133" s="50">
        <f>VLOOKUP($A133,'Data shares'!$C:$FM,110)</f>
        <v>45.17</v>
      </c>
      <c r="D133" s="50">
        <f>VLOOKUP($A133,'Data shares'!$C:$FM,114)</f>
        <v>46.64</v>
      </c>
      <c r="E133" s="50">
        <f>VLOOKUP($A133,'Data shares'!$C:$FM,106)</f>
        <v>54.06</v>
      </c>
      <c r="F133" s="50">
        <f>VLOOKUP($A133,'Data shares'!$C:$FM,108)</f>
        <v>-8.65</v>
      </c>
      <c r="G133" s="50">
        <f t="shared" si="3"/>
        <v>0.83999260081391036</v>
      </c>
    </row>
    <row r="134" spans="1:7" x14ac:dyDescent="0.25">
      <c r="A134" s="49" t="str">
        <f>'Data Vlaue (Cr)'!C129</f>
        <v>MCX</v>
      </c>
      <c r="B134" s="50">
        <f>VLOOKUP($A134,'Data shares'!$C:$FM,102)</f>
        <v>40.72</v>
      </c>
      <c r="C134" s="50">
        <f>VLOOKUP($A134,'Data shares'!$C:$FM,110)</f>
        <v>39.74</v>
      </c>
      <c r="D134" s="50">
        <f>VLOOKUP($A134,'Data shares'!$C:$FM,114)</f>
        <v>42.61</v>
      </c>
      <c r="E134" s="50">
        <f>VLOOKUP($A134,'Data shares'!$C:$FM,106)</f>
        <v>46.25</v>
      </c>
      <c r="F134" s="50">
        <f>VLOOKUP($A134,'Data shares'!$C:$FM,108)</f>
        <v>-5.53</v>
      </c>
      <c r="G134" s="50">
        <f t="shared" si="3"/>
        <v>0.88043243243243241</v>
      </c>
    </row>
    <row r="135" spans="1:7" x14ac:dyDescent="0.25">
      <c r="A135" s="49" t="str">
        <f>'Data Vlaue (Cr)'!C130</f>
        <v>MFSL</v>
      </c>
      <c r="B135" s="50">
        <f>VLOOKUP($A135,'Data shares'!$C:$FM,102)</f>
        <v>30.81</v>
      </c>
      <c r="C135" s="50">
        <f>VLOOKUP($A135,'Data shares'!$C:$FM,110)</f>
        <v>30.54</v>
      </c>
      <c r="D135" s="50">
        <f>VLOOKUP($A135,'Data shares'!$C:$FM,114)</f>
        <v>31.31</v>
      </c>
      <c r="E135" s="50">
        <f>VLOOKUP($A135,'Data shares'!$C:$FM,106)</f>
        <v>29.18</v>
      </c>
      <c r="F135" s="50">
        <f>VLOOKUP($A135,'Data shares'!$C:$FM,108)</f>
        <v>1.63</v>
      </c>
      <c r="G135" s="50">
        <f t="shared" ref="G135:G166" si="4">B135/E135</f>
        <v>1.0558601782042494</v>
      </c>
    </row>
    <row r="136" spans="1:7" x14ac:dyDescent="0.25">
      <c r="A136" s="49" t="str">
        <f>'Data Vlaue (Cr)'!C131</f>
        <v>MIDCPNIFTY</v>
      </c>
      <c r="B136" s="50">
        <f>VLOOKUP($A136,'Data shares'!$C:$FM,102)</f>
        <v>20.54</v>
      </c>
      <c r="C136" s="50">
        <f>VLOOKUP($A136,'Data shares'!$C:$FM,110)</f>
        <v>19.3</v>
      </c>
      <c r="D136" s="50">
        <f>VLOOKUP($A136,'Data shares'!$C:$FM,114)</f>
        <v>21.98</v>
      </c>
      <c r="E136" s="50">
        <f>VLOOKUP($A136,'Data shares'!$C:$FM,106)</f>
        <v>21.71</v>
      </c>
      <c r="F136" s="50">
        <f>VLOOKUP($A136,'Data shares'!$C:$FM,108)</f>
        <v>-1.17</v>
      </c>
      <c r="G136" s="50">
        <f t="shared" si="4"/>
        <v>0.94610778443113763</v>
      </c>
    </row>
    <row r="137" spans="1:7" x14ac:dyDescent="0.25">
      <c r="A137" s="49" t="str">
        <f>'Data Vlaue (Cr)'!C132</f>
        <v>MOTHERSON</v>
      </c>
      <c r="B137" s="50">
        <f>VLOOKUP($A137,'Data shares'!$C:$FM,102)</f>
        <v>38.369999999999997</v>
      </c>
      <c r="C137" s="50">
        <f>VLOOKUP($A137,'Data shares'!$C:$FM,110)</f>
        <v>37.93</v>
      </c>
      <c r="D137" s="50">
        <f>VLOOKUP($A137,'Data shares'!$C:$FM,114)</f>
        <v>39.67</v>
      </c>
      <c r="E137" s="50">
        <f>VLOOKUP($A137,'Data shares'!$C:$FM,106)</f>
        <v>38.08</v>
      </c>
      <c r="F137" s="50">
        <f>VLOOKUP($A137,'Data shares'!$C:$FM,108)</f>
        <v>0.28999999999999998</v>
      </c>
      <c r="G137" s="50">
        <f t="shared" si="4"/>
        <v>1.0076155462184875</v>
      </c>
    </row>
    <row r="138" spans="1:7" x14ac:dyDescent="0.25">
      <c r="A138" s="49" t="str">
        <f>'Data Vlaue (Cr)'!C133</f>
        <v>MPHASIS</v>
      </c>
      <c r="B138" s="50">
        <f>VLOOKUP($A138,'Data shares'!$C:$FM,102)</f>
        <v>30.12</v>
      </c>
      <c r="C138" s="50">
        <f>VLOOKUP($A138,'Data shares'!$C:$FM,110)</f>
        <v>29.46</v>
      </c>
      <c r="D138" s="50">
        <f>VLOOKUP($A138,'Data shares'!$C:$FM,114)</f>
        <v>31.38</v>
      </c>
      <c r="E138" s="50">
        <f>VLOOKUP($A138,'Data shares'!$C:$FM,106)</f>
        <v>35.17</v>
      </c>
      <c r="F138" s="50">
        <f>VLOOKUP($A138,'Data shares'!$C:$FM,108)</f>
        <v>-5.05</v>
      </c>
      <c r="G138" s="50">
        <f t="shared" si="4"/>
        <v>0.85641171452942844</v>
      </c>
    </row>
    <row r="139" spans="1:7" x14ac:dyDescent="0.25">
      <c r="A139" s="49" t="str">
        <f>'Data Vlaue (Cr)'!C134</f>
        <v>MUTHOOTFIN</v>
      </c>
      <c r="B139" s="50">
        <f>VLOOKUP($A139,'Data shares'!$C:$FM,102)</f>
        <v>39.07</v>
      </c>
      <c r="C139" s="50">
        <f>VLOOKUP($A139,'Data shares'!$C:$FM,110)</f>
        <v>38.520000000000003</v>
      </c>
      <c r="D139" s="50">
        <f>VLOOKUP($A139,'Data shares'!$C:$FM,114)</f>
        <v>40.340000000000003</v>
      </c>
      <c r="E139" s="50">
        <f>VLOOKUP($A139,'Data shares'!$C:$FM,106)</f>
        <v>35</v>
      </c>
      <c r="F139" s="50">
        <f>VLOOKUP($A139,'Data shares'!$C:$FM,108)</f>
        <v>4.07</v>
      </c>
      <c r="G139" s="50">
        <f t="shared" si="4"/>
        <v>1.1162857142857143</v>
      </c>
    </row>
    <row r="140" spans="1:7" x14ac:dyDescent="0.25">
      <c r="A140" s="49" t="str">
        <f>'Data Vlaue (Cr)'!C135</f>
        <v>NATIONALUM</v>
      </c>
      <c r="B140" s="50">
        <f>VLOOKUP($A140,'Data shares'!$C:$FM,102)</f>
        <v>44.18</v>
      </c>
      <c r="C140" s="50">
        <f>VLOOKUP($A140,'Data shares'!$C:$FM,110)</f>
        <v>43.64</v>
      </c>
      <c r="D140" s="50">
        <f>VLOOKUP($A140,'Data shares'!$C:$FM,114)</f>
        <v>45.43</v>
      </c>
      <c r="E140" s="50">
        <f>VLOOKUP($A140,'Data shares'!$C:$FM,106)</f>
        <v>47.99</v>
      </c>
      <c r="F140" s="50">
        <f>VLOOKUP($A140,'Data shares'!$C:$FM,108)</f>
        <v>-3.81</v>
      </c>
      <c r="G140" s="50">
        <f t="shared" si="4"/>
        <v>0.92060846009585329</v>
      </c>
    </row>
    <row r="141" spans="1:7" x14ac:dyDescent="0.25">
      <c r="A141" s="49" t="str">
        <f>'Data Vlaue (Cr)'!C136</f>
        <v>NAUKRI</v>
      </c>
      <c r="B141" s="50">
        <f>VLOOKUP($A141,'Data shares'!$C:$FM,102)</f>
        <v>35.200000000000003</v>
      </c>
      <c r="C141" s="50">
        <f>VLOOKUP($A141,'Data shares'!$C:$FM,110)</f>
        <v>33.74</v>
      </c>
      <c r="D141" s="50">
        <f>VLOOKUP($A141,'Data shares'!$C:$FM,114)</f>
        <v>37.549999999999997</v>
      </c>
      <c r="E141" s="50">
        <f>VLOOKUP($A141,'Data shares'!$C:$FM,106)</f>
        <v>35.21</v>
      </c>
      <c r="F141" s="50">
        <f>VLOOKUP($A141,'Data shares'!$C:$FM,108)</f>
        <v>-0.01</v>
      </c>
      <c r="G141" s="50">
        <f t="shared" si="4"/>
        <v>0.99971598977563203</v>
      </c>
    </row>
    <row r="142" spans="1:7" x14ac:dyDescent="0.25">
      <c r="A142" s="49" t="str">
        <f>'Data Vlaue (Cr)'!C137</f>
        <v>NBCC</v>
      </c>
      <c r="B142" s="50">
        <f>VLOOKUP($A142,'Data shares'!$C:$FM,102)</f>
        <v>44.14</v>
      </c>
      <c r="C142" s="50">
        <f>VLOOKUP($A142,'Data shares'!$C:$FM,110)</f>
        <v>43.99</v>
      </c>
      <c r="D142" s="50">
        <f>VLOOKUP($A142,'Data shares'!$C:$FM,114)</f>
        <v>44.56</v>
      </c>
      <c r="E142" s="50">
        <f>VLOOKUP($A142,'Data shares'!$C:$FM,106)</f>
        <v>50.44</v>
      </c>
      <c r="F142" s="50">
        <f>VLOOKUP($A142,'Data shares'!$C:$FM,108)</f>
        <v>-6.3</v>
      </c>
      <c r="G142" s="50">
        <f t="shared" si="4"/>
        <v>0.87509912767644726</v>
      </c>
    </row>
    <row r="143" spans="1:7" x14ac:dyDescent="0.25">
      <c r="A143" s="49" t="str">
        <f>'Data Vlaue (Cr)'!C138</f>
        <v>NESTLEIND</v>
      </c>
      <c r="B143" s="50">
        <f>VLOOKUP($A143,'Data shares'!$C:$FM,102)</f>
        <v>27.81</v>
      </c>
      <c r="C143" s="50">
        <f>VLOOKUP($A143,'Data shares'!$C:$FM,110)</f>
        <v>27.47</v>
      </c>
      <c r="D143" s="50">
        <f>VLOOKUP($A143,'Data shares'!$C:$FM,114)</f>
        <v>28.4</v>
      </c>
      <c r="E143" s="50">
        <f>VLOOKUP($A143,'Data shares'!$C:$FM,106)</f>
        <v>22.5</v>
      </c>
      <c r="F143" s="50">
        <f>VLOOKUP($A143,'Data shares'!$C:$FM,108)</f>
        <v>5.31</v>
      </c>
      <c r="G143" s="50">
        <f t="shared" si="4"/>
        <v>1.236</v>
      </c>
    </row>
    <row r="144" spans="1:7" x14ac:dyDescent="0.25">
      <c r="A144" s="49" t="str">
        <f>'Data Vlaue (Cr)'!C139</f>
        <v>NHPC</v>
      </c>
      <c r="B144" s="50">
        <f>VLOOKUP($A144,'Data shares'!$C:$FM,102)</f>
        <v>37.119999999999997</v>
      </c>
      <c r="C144" s="50">
        <f>VLOOKUP($A144,'Data shares'!$C:$FM,110)</f>
        <v>37.03</v>
      </c>
      <c r="D144" s="50">
        <f>VLOOKUP($A144,'Data shares'!$C:$FM,114)</f>
        <v>37.270000000000003</v>
      </c>
      <c r="E144" s="50">
        <f>VLOOKUP($A144,'Data shares'!$C:$FM,106)</f>
        <v>36.520000000000003</v>
      </c>
      <c r="F144" s="50">
        <f>VLOOKUP($A144,'Data shares'!$C:$FM,108)</f>
        <v>0.6</v>
      </c>
      <c r="G144" s="50">
        <f t="shared" si="4"/>
        <v>1.0164293537787512</v>
      </c>
    </row>
    <row r="145" spans="1:7" x14ac:dyDescent="0.25">
      <c r="A145" s="49" t="str">
        <f>'Data Vlaue (Cr)'!C140</f>
        <v>NIFTY</v>
      </c>
      <c r="B145" s="50">
        <f>VLOOKUP($A145,'Data shares'!$C:$FM,102)</f>
        <v>16.829999999999998</v>
      </c>
      <c r="C145" s="50">
        <f>VLOOKUP($A145,'Data shares'!$C:$FM,110)</f>
        <v>16.239999999999998</v>
      </c>
      <c r="D145" s="50">
        <f>VLOOKUP($A145,'Data shares'!$C:$FM,114)</f>
        <v>17.46</v>
      </c>
      <c r="E145" s="50">
        <f>VLOOKUP($A145,'Data shares'!$C:$FM,106)</f>
        <v>13.75</v>
      </c>
      <c r="F145" s="50">
        <f>VLOOKUP($A145,'Data shares'!$C:$FM,108)</f>
        <v>3.08</v>
      </c>
      <c r="G145" s="50">
        <f t="shared" si="4"/>
        <v>1.224</v>
      </c>
    </row>
    <row r="146" spans="1:7" x14ac:dyDescent="0.25">
      <c r="A146" s="49" t="str">
        <f>'Data Vlaue (Cr)'!C141</f>
        <v>NIFTYNXT50</v>
      </c>
      <c r="B146" s="50">
        <f>VLOOKUP($A146,'Data shares'!$C:$FM,102)</f>
        <v>16.87</v>
      </c>
      <c r="C146" s="50">
        <f>VLOOKUP($A146,'Data shares'!$C:$FM,110)</f>
        <v>16.13</v>
      </c>
      <c r="D146" s="50">
        <f>VLOOKUP($A146,'Data shares'!$C:$FM,114)</f>
        <v>18</v>
      </c>
      <c r="E146" s="50">
        <f>VLOOKUP($A146,'Data shares'!$C:$FM,106)</f>
        <v>19.829999999999998</v>
      </c>
      <c r="F146" s="50">
        <f>VLOOKUP($A146,'Data shares'!$C:$FM,108)</f>
        <v>-2.96</v>
      </c>
      <c r="G146" s="50">
        <f t="shared" si="4"/>
        <v>0.85073121533030771</v>
      </c>
    </row>
    <row r="147" spans="1:7" x14ac:dyDescent="0.25">
      <c r="A147" s="49" t="str">
        <f>'Data Vlaue (Cr)'!C142</f>
        <v>NMDC</v>
      </c>
      <c r="B147" s="50">
        <f>VLOOKUP($A147,'Data shares'!$C:$FM,102)</f>
        <v>36.36</v>
      </c>
      <c r="C147" s="50">
        <f>VLOOKUP($A147,'Data shares'!$C:$FM,110)</f>
        <v>36.159999999999997</v>
      </c>
      <c r="D147" s="50">
        <f>VLOOKUP($A147,'Data shares'!$C:$FM,114)</f>
        <v>37.090000000000003</v>
      </c>
      <c r="E147" s="50">
        <f>VLOOKUP($A147,'Data shares'!$C:$FM,106)</f>
        <v>37.880000000000003</v>
      </c>
      <c r="F147" s="50">
        <f>VLOOKUP($A147,'Data shares'!$C:$FM,108)</f>
        <v>-1.52</v>
      </c>
      <c r="G147" s="50">
        <f t="shared" si="4"/>
        <v>0.95987328405491013</v>
      </c>
    </row>
    <row r="148" spans="1:7" x14ac:dyDescent="0.25">
      <c r="A148" s="49" t="str">
        <f>'Data Vlaue (Cr)'!C143</f>
        <v>NTPC</v>
      </c>
      <c r="B148" s="50">
        <f>VLOOKUP($A148,'Data shares'!$C:$FM,102)</f>
        <v>26.56</v>
      </c>
      <c r="C148" s="50">
        <f>VLOOKUP($A148,'Data shares'!$C:$FM,110)</f>
        <v>26.33</v>
      </c>
      <c r="D148" s="50">
        <f>VLOOKUP($A148,'Data shares'!$C:$FM,114)</f>
        <v>27.13</v>
      </c>
      <c r="E148" s="50">
        <f>VLOOKUP($A148,'Data shares'!$C:$FM,106)</f>
        <v>27.01</v>
      </c>
      <c r="F148" s="50">
        <f>VLOOKUP($A148,'Data shares'!$C:$FM,108)</f>
        <v>-0.45</v>
      </c>
      <c r="G148" s="50">
        <f t="shared" si="4"/>
        <v>0.98333950388744895</v>
      </c>
    </row>
    <row r="149" spans="1:7" x14ac:dyDescent="0.25">
      <c r="A149" s="49" t="str">
        <f>'Data Vlaue (Cr)'!C144</f>
        <v>NUVAMA</v>
      </c>
      <c r="B149" s="50">
        <f>VLOOKUP($A149,'Data shares'!$C:$FM,102)</f>
        <v>36.72</v>
      </c>
      <c r="C149" s="50">
        <f>VLOOKUP($A149,'Data shares'!$C:$FM,110)</f>
        <v>35.75</v>
      </c>
      <c r="D149" s="50">
        <f>VLOOKUP($A149,'Data shares'!$C:$FM,114)</f>
        <v>38.869999999999997</v>
      </c>
      <c r="E149" s="50">
        <f>VLOOKUP($A149,'Data shares'!$C:$FM,106)</f>
        <v>48.47</v>
      </c>
      <c r="F149" s="50">
        <f>VLOOKUP($A149,'Data shares'!$C:$FM,108)</f>
        <v>-11.75</v>
      </c>
      <c r="G149" s="50">
        <f t="shared" si="4"/>
        <v>0.75758200949040644</v>
      </c>
    </row>
    <row r="150" spans="1:7" x14ac:dyDescent="0.25">
      <c r="A150" s="49" t="str">
        <f>'Data Vlaue (Cr)'!C145</f>
        <v>NYKAA</v>
      </c>
      <c r="B150" s="50">
        <f>VLOOKUP($A150,'Data shares'!$C:$FM,102)</f>
        <v>37.200000000000003</v>
      </c>
      <c r="C150" s="50">
        <f>VLOOKUP($A150,'Data shares'!$C:$FM,110)</f>
        <v>37.28</v>
      </c>
      <c r="D150" s="50">
        <f>VLOOKUP($A150,'Data shares'!$C:$FM,114)</f>
        <v>37.1</v>
      </c>
      <c r="E150" s="50">
        <f>VLOOKUP($A150,'Data shares'!$C:$FM,106)</f>
        <v>35.01</v>
      </c>
      <c r="F150" s="50">
        <f>VLOOKUP($A150,'Data shares'!$C:$FM,108)</f>
        <v>2.19</v>
      </c>
      <c r="G150" s="50">
        <f t="shared" si="4"/>
        <v>1.0625535561268211</v>
      </c>
    </row>
    <row r="151" spans="1:7" x14ac:dyDescent="0.25">
      <c r="A151" s="49" t="str">
        <f>'Data Vlaue (Cr)'!C146</f>
        <v>OBEROIRLTY</v>
      </c>
      <c r="B151" s="50">
        <f>VLOOKUP($A151,'Data shares'!$C:$FM,102)</f>
        <v>34</v>
      </c>
      <c r="C151" s="50">
        <f>VLOOKUP($A151,'Data shares'!$C:$FM,110)</f>
        <v>33.71</v>
      </c>
      <c r="D151" s="50">
        <f>VLOOKUP($A151,'Data shares'!$C:$FM,114)</f>
        <v>34.39</v>
      </c>
      <c r="E151" s="50">
        <f>VLOOKUP($A151,'Data shares'!$C:$FM,106)</f>
        <v>37.159999999999997</v>
      </c>
      <c r="F151" s="50">
        <f>VLOOKUP($A151,'Data shares'!$C:$FM,108)</f>
        <v>-3.16</v>
      </c>
      <c r="G151" s="50">
        <f t="shared" si="4"/>
        <v>0.91496232508073205</v>
      </c>
    </row>
    <row r="152" spans="1:7" x14ac:dyDescent="0.25">
      <c r="A152" s="49" t="str">
        <f>'Data Vlaue (Cr)'!C147</f>
        <v>OFSS</v>
      </c>
      <c r="B152" s="50">
        <f>VLOOKUP($A152,'Data shares'!$C:$FM,102)</f>
        <v>29.21</v>
      </c>
      <c r="C152" s="50">
        <f>VLOOKUP($A152,'Data shares'!$C:$FM,110)</f>
        <v>29.13</v>
      </c>
      <c r="D152" s="50">
        <f>VLOOKUP($A152,'Data shares'!$C:$FM,114)</f>
        <v>29.38</v>
      </c>
      <c r="E152" s="50">
        <f>VLOOKUP($A152,'Data shares'!$C:$FM,106)</f>
        <v>38.44</v>
      </c>
      <c r="F152" s="50">
        <f>VLOOKUP($A152,'Data shares'!$C:$FM,108)</f>
        <v>-9.23</v>
      </c>
      <c r="G152" s="50">
        <f t="shared" si="4"/>
        <v>0.7598855359001041</v>
      </c>
    </row>
    <row r="153" spans="1:7" x14ac:dyDescent="0.25">
      <c r="A153" s="49" t="str">
        <f>'Data Vlaue (Cr)'!C148</f>
        <v>OIL</v>
      </c>
      <c r="B153" s="50">
        <f>VLOOKUP($A153,'Data shares'!$C:$FM,102)</f>
        <v>44.47</v>
      </c>
      <c r="C153" s="50">
        <f>VLOOKUP($A153,'Data shares'!$C:$FM,110)</f>
        <v>44.22</v>
      </c>
      <c r="D153" s="50">
        <f>VLOOKUP($A153,'Data shares'!$C:$FM,114)</f>
        <v>45.32</v>
      </c>
      <c r="E153" s="50">
        <f>VLOOKUP($A153,'Data shares'!$C:$FM,106)</f>
        <v>42.76</v>
      </c>
      <c r="F153" s="50">
        <f>VLOOKUP($A153,'Data shares'!$C:$FM,108)</f>
        <v>1.71</v>
      </c>
      <c r="G153" s="50">
        <f t="shared" si="4"/>
        <v>1.0399906454630496</v>
      </c>
    </row>
    <row r="154" spans="1:7" x14ac:dyDescent="0.25">
      <c r="A154" s="49" t="str">
        <f>'Data Vlaue (Cr)'!C149</f>
        <v>ONGC</v>
      </c>
      <c r="B154" s="50">
        <f>VLOOKUP($A154,'Data shares'!$C:$FM,102)</f>
        <v>29.7</v>
      </c>
      <c r="C154" s="50">
        <f>VLOOKUP($A154,'Data shares'!$C:$FM,110)</f>
        <v>29.12</v>
      </c>
      <c r="D154" s="50">
        <f>VLOOKUP($A154,'Data shares'!$C:$FM,114)</f>
        <v>31.36</v>
      </c>
      <c r="E154" s="50">
        <f>VLOOKUP($A154,'Data shares'!$C:$FM,106)</f>
        <v>31.45</v>
      </c>
      <c r="F154" s="50">
        <f>VLOOKUP($A154,'Data shares'!$C:$FM,108)</f>
        <v>-1.75</v>
      </c>
      <c r="G154" s="50">
        <f t="shared" si="4"/>
        <v>0.94435612082670906</v>
      </c>
    </row>
    <row r="155" spans="1:7" x14ac:dyDescent="0.25">
      <c r="A155" s="49" t="str">
        <f>'Data Vlaue (Cr)'!C150</f>
        <v>PAGEIND</v>
      </c>
      <c r="B155" s="50">
        <f>VLOOKUP($A155,'Data shares'!$C:$FM,102)</f>
        <v>32.18</v>
      </c>
      <c r="C155" s="50">
        <f>VLOOKUP($A155,'Data shares'!$C:$FM,110)</f>
        <v>32.31</v>
      </c>
      <c r="D155" s="50">
        <f>VLOOKUP($A155,'Data shares'!$C:$FM,114)</f>
        <v>31.66</v>
      </c>
      <c r="E155" s="50">
        <f>VLOOKUP($A155,'Data shares'!$C:$FM,106)</f>
        <v>27.34</v>
      </c>
      <c r="F155" s="50">
        <f>VLOOKUP($A155,'Data shares'!$C:$FM,108)</f>
        <v>4.84</v>
      </c>
      <c r="G155" s="50">
        <f t="shared" si="4"/>
        <v>1.177029992684711</v>
      </c>
    </row>
    <row r="156" spans="1:7" x14ac:dyDescent="0.25">
      <c r="A156" s="49" t="str">
        <f>'Data Vlaue (Cr)'!C151</f>
        <v>PATANJALI</v>
      </c>
      <c r="B156" s="50">
        <f>VLOOKUP($A156,'Data shares'!$C:$FM,102)</f>
        <v>34.11</v>
      </c>
      <c r="C156" s="50">
        <f>VLOOKUP($A156,'Data shares'!$C:$FM,110)</f>
        <v>34.04</v>
      </c>
      <c r="D156" s="50">
        <f>VLOOKUP($A156,'Data shares'!$C:$FM,114)</f>
        <v>34.22</v>
      </c>
      <c r="E156" s="50">
        <f>VLOOKUP($A156,'Data shares'!$C:$FM,106)</f>
        <v>33.159999999999997</v>
      </c>
      <c r="F156" s="50">
        <f>VLOOKUP($A156,'Data shares'!$C:$FM,108)</f>
        <v>0.95</v>
      </c>
      <c r="G156" s="50">
        <f t="shared" si="4"/>
        <v>1.0286489746682752</v>
      </c>
    </row>
    <row r="157" spans="1:7" x14ac:dyDescent="0.25">
      <c r="A157" s="49" t="str">
        <f>'Data Vlaue (Cr)'!C152</f>
        <v>PAYTM</v>
      </c>
      <c r="B157" s="50">
        <f>VLOOKUP($A157,'Data shares'!$C:$FM,102)</f>
        <v>43.18</v>
      </c>
      <c r="C157" s="50">
        <f>VLOOKUP($A157,'Data shares'!$C:$FM,110)</f>
        <v>42.73</v>
      </c>
      <c r="D157" s="50">
        <f>VLOOKUP($A157,'Data shares'!$C:$FM,114)</f>
        <v>44.47</v>
      </c>
      <c r="E157" s="50">
        <f>VLOOKUP($A157,'Data shares'!$C:$FM,106)</f>
        <v>52.48</v>
      </c>
      <c r="F157" s="50">
        <f>VLOOKUP($A157,'Data shares'!$C:$FM,108)</f>
        <v>-9.3000000000000007</v>
      </c>
      <c r="G157" s="50">
        <f t="shared" si="4"/>
        <v>0.82278963414634154</v>
      </c>
    </row>
    <row r="158" spans="1:7" x14ac:dyDescent="0.25">
      <c r="A158" s="49" t="str">
        <f>'Data Vlaue (Cr)'!C153</f>
        <v>PERSISTENT</v>
      </c>
      <c r="B158" s="50">
        <f>VLOOKUP($A158,'Data shares'!$C:$FM,102)</f>
        <v>32.4</v>
      </c>
      <c r="C158" s="50">
        <f>VLOOKUP($A158,'Data shares'!$C:$FM,110)</f>
        <v>32.130000000000003</v>
      </c>
      <c r="D158" s="50">
        <f>VLOOKUP($A158,'Data shares'!$C:$FM,114)</f>
        <v>32.979999999999997</v>
      </c>
      <c r="E158" s="50">
        <f>VLOOKUP($A158,'Data shares'!$C:$FM,106)</f>
        <v>39.090000000000003</v>
      </c>
      <c r="F158" s="50">
        <f>VLOOKUP($A158,'Data shares'!$C:$FM,108)</f>
        <v>-6.69</v>
      </c>
      <c r="G158" s="50">
        <f t="shared" si="4"/>
        <v>0.82885648503453557</v>
      </c>
    </row>
    <row r="159" spans="1:7" x14ac:dyDescent="0.25">
      <c r="A159" s="49" t="str">
        <f>'Data Vlaue (Cr)'!C154</f>
        <v>PETRONET</v>
      </c>
      <c r="B159" s="50">
        <f>VLOOKUP($A159,'Data shares'!$C:$FM,102)</f>
        <v>30.71</v>
      </c>
      <c r="C159" s="50">
        <f>VLOOKUP($A159,'Data shares'!$C:$FM,110)</f>
        <v>29.87</v>
      </c>
      <c r="D159" s="50">
        <f>VLOOKUP($A159,'Data shares'!$C:$FM,114)</f>
        <v>34.06</v>
      </c>
      <c r="E159" s="50">
        <f>VLOOKUP($A159,'Data shares'!$C:$FM,106)</f>
        <v>31.12</v>
      </c>
      <c r="F159" s="50">
        <f>VLOOKUP($A159,'Data shares'!$C:$FM,108)</f>
        <v>-0.41</v>
      </c>
      <c r="G159" s="50">
        <f t="shared" si="4"/>
        <v>0.98682519280205661</v>
      </c>
    </row>
    <row r="160" spans="1:7" x14ac:dyDescent="0.25">
      <c r="A160" s="49" t="str">
        <f>'Data Vlaue (Cr)'!C155</f>
        <v>PFC</v>
      </c>
      <c r="B160" s="50">
        <f>VLOOKUP($A160,'Data shares'!$C:$FM,102)</f>
        <v>34.44</v>
      </c>
      <c r="C160" s="50">
        <f>VLOOKUP($A160,'Data shares'!$C:$FM,110)</f>
        <v>33.86</v>
      </c>
      <c r="D160" s="50">
        <f>VLOOKUP($A160,'Data shares'!$C:$FM,114)</f>
        <v>36.119999999999997</v>
      </c>
      <c r="E160" s="50">
        <f>VLOOKUP($A160,'Data shares'!$C:$FM,106)</f>
        <v>41.13</v>
      </c>
      <c r="F160" s="50">
        <f>VLOOKUP($A160,'Data shares'!$C:$FM,108)</f>
        <v>-6.69</v>
      </c>
      <c r="G160" s="50">
        <f t="shared" si="4"/>
        <v>0.83734500364697295</v>
      </c>
    </row>
    <row r="161" spans="1:7" x14ac:dyDescent="0.25">
      <c r="A161" s="49" t="str">
        <f>'Data Vlaue (Cr)'!C156</f>
        <v>PGEL</v>
      </c>
      <c r="B161" s="50">
        <f>VLOOKUP($A161,'Data shares'!$C:$FM,102)</f>
        <v>49.8</v>
      </c>
      <c r="C161" s="50">
        <f>VLOOKUP($A161,'Data shares'!$C:$FM,110)</f>
        <v>49.17</v>
      </c>
      <c r="D161" s="50">
        <f>VLOOKUP($A161,'Data shares'!$C:$FM,114)</f>
        <v>50.84</v>
      </c>
      <c r="E161" s="50">
        <f>VLOOKUP($A161,'Data shares'!$C:$FM,106)</f>
        <v>63.87</v>
      </c>
      <c r="F161" s="50">
        <f>VLOOKUP($A161,'Data shares'!$C:$FM,108)</f>
        <v>-14.07</v>
      </c>
      <c r="G161" s="50">
        <f t="shared" si="4"/>
        <v>0.77970878346641614</v>
      </c>
    </row>
    <row r="162" spans="1:7" x14ac:dyDescent="0.25">
      <c r="A162" s="49" t="str">
        <f>'Data Vlaue (Cr)'!C157</f>
        <v>PHOENIXLTD</v>
      </c>
      <c r="B162" s="50">
        <f>VLOOKUP($A162,'Data shares'!$C:$FM,102)</f>
        <v>36.479999999999997</v>
      </c>
      <c r="C162" s="50">
        <f>VLOOKUP($A162,'Data shares'!$C:$FM,110)</f>
        <v>36.47</v>
      </c>
      <c r="D162" s="50">
        <f>VLOOKUP($A162,'Data shares'!$C:$FM,114)</f>
        <v>36.5</v>
      </c>
      <c r="E162" s="50">
        <f>VLOOKUP($A162,'Data shares'!$C:$FM,106)</f>
        <v>39.479999999999997</v>
      </c>
      <c r="F162" s="50">
        <f>VLOOKUP($A162,'Data shares'!$C:$FM,108)</f>
        <v>-3</v>
      </c>
      <c r="G162" s="50">
        <f t="shared" si="4"/>
        <v>0.92401215805471126</v>
      </c>
    </row>
    <row r="163" spans="1:7" x14ac:dyDescent="0.25">
      <c r="A163" s="49" t="str">
        <f>'Data Vlaue (Cr)'!C158</f>
        <v>PIDILITIND</v>
      </c>
      <c r="B163" s="50">
        <f>VLOOKUP($A163,'Data shares'!$C:$FM,102)</f>
        <v>24.8</v>
      </c>
      <c r="C163" s="50">
        <f>VLOOKUP($A163,'Data shares'!$C:$FM,110)</f>
        <v>24.4</v>
      </c>
      <c r="D163" s="50">
        <f>VLOOKUP($A163,'Data shares'!$C:$FM,114)</f>
        <v>25.53</v>
      </c>
      <c r="E163" s="50">
        <f>VLOOKUP($A163,'Data shares'!$C:$FM,106)</f>
        <v>21.26</v>
      </c>
      <c r="F163" s="50">
        <f>VLOOKUP($A163,'Data shares'!$C:$FM,108)</f>
        <v>3.54</v>
      </c>
      <c r="G163" s="50">
        <f t="shared" si="4"/>
        <v>1.1665098777046095</v>
      </c>
    </row>
    <row r="164" spans="1:7" x14ac:dyDescent="0.25">
      <c r="A164" s="49" t="str">
        <f>'Data Vlaue (Cr)'!C159</f>
        <v>PIIND</v>
      </c>
      <c r="B164" s="50">
        <f>VLOOKUP($A164,'Data shares'!$C:$FM,102)</f>
        <v>32.04</v>
      </c>
      <c r="C164" s="50">
        <f>VLOOKUP($A164,'Data shares'!$C:$FM,110)</f>
        <v>31.92</v>
      </c>
      <c r="D164" s="50">
        <f>VLOOKUP($A164,'Data shares'!$C:$FM,114)</f>
        <v>32.33</v>
      </c>
      <c r="E164" s="50">
        <f>VLOOKUP($A164,'Data shares'!$C:$FM,106)</f>
        <v>28.47</v>
      </c>
      <c r="F164" s="50">
        <f>VLOOKUP($A164,'Data shares'!$C:$FM,108)</f>
        <v>3.57</v>
      </c>
      <c r="G164" s="50">
        <f t="shared" si="4"/>
        <v>1.1253951527924131</v>
      </c>
    </row>
    <row r="165" spans="1:7" x14ac:dyDescent="0.25">
      <c r="A165" s="49" t="str">
        <f>'Data Vlaue (Cr)'!C160</f>
        <v>PNB</v>
      </c>
      <c r="B165" s="50">
        <f>VLOOKUP($A165,'Data shares'!$C:$FM,102)</f>
        <v>32.35</v>
      </c>
      <c r="C165" s="50">
        <f>VLOOKUP($A165,'Data shares'!$C:$FM,110)</f>
        <v>31.76</v>
      </c>
      <c r="D165" s="50">
        <f>VLOOKUP($A165,'Data shares'!$C:$FM,114)</f>
        <v>33.840000000000003</v>
      </c>
      <c r="E165" s="50">
        <f>VLOOKUP($A165,'Data shares'!$C:$FM,106)</f>
        <v>35.57</v>
      </c>
      <c r="F165" s="50">
        <f>VLOOKUP($A165,'Data shares'!$C:$FM,108)</f>
        <v>-3.22</v>
      </c>
      <c r="G165" s="50">
        <f t="shared" si="4"/>
        <v>0.90947427607534448</v>
      </c>
    </row>
    <row r="166" spans="1:7" x14ac:dyDescent="0.25">
      <c r="A166" s="49" t="str">
        <f>'Data Vlaue (Cr)'!C161</f>
        <v>PNBHOUSING</v>
      </c>
      <c r="B166" s="50">
        <f>VLOOKUP($A166,'Data shares'!$C:$FM,102)</f>
        <v>35.5</v>
      </c>
      <c r="C166" s="50">
        <f>VLOOKUP($A166,'Data shares'!$C:$FM,110)</f>
        <v>34.520000000000003</v>
      </c>
      <c r="D166" s="50">
        <f>VLOOKUP($A166,'Data shares'!$C:$FM,114)</f>
        <v>37.25</v>
      </c>
      <c r="E166" s="50">
        <f>VLOOKUP($A166,'Data shares'!$C:$FM,106)</f>
        <v>46.61</v>
      </c>
      <c r="F166" s="50">
        <f>VLOOKUP($A166,'Data shares'!$C:$FM,108)</f>
        <v>-11.11</v>
      </c>
      <c r="G166" s="50">
        <f t="shared" si="4"/>
        <v>0.76163913323321175</v>
      </c>
    </row>
    <row r="167" spans="1:7" x14ac:dyDescent="0.25">
      <c r="A167" s="49" t="str">
        <f>'Data Vlaue (Cr)'!C162</f>
        <v>POLICYBZR</v>
      </c>
      <c r="B167" s="50">
        <f>VLOOKUP($A167,'Data shares'!$C:$FM,102)</f>
        <v>42.47</v>
      </c>
      <c r="C167" s="50">
        <f>VLOOKUP($A167,'Data shares'!$C:$FM,110)</f>
        <v>41.9</v>
      </c>
      <c r="D167" s="50">
        <f>VLOOKUP($A167,'Data shares'!$C:$FM,114)</f>
        <v>43.3</v>
      </c>
      <c r="E167" s="50">
        <f>VLOOKUP($A167,'Data shares'!$C:$FM,106)</f>
        <v>45.64</v>
      </c>
      <c r="F167" s="50">
        <f>VLOOKUP($A167,'Data shares'!$C:$FM,108)</f>
        <v>-3.17</v>
      </c>
      <c r="G167" s="50">
        <f t="shared" ref="G167:G187" si="5">B167/E167</f>
        <v>0.93054338299737072</v>
      </c>
    </row>
    <row r="168" spans="1:7" x14ac:dyDescent="0.25">
      <c r="A168" s="49" t="str">
        <f>'Data Vlaue (Cr)'!C163</f>
        <v>POLYCAB</v>
      </c>
      <c r="B168" s="50">
        <f>VLOOKUP($A168,'Data shares'!$C:$FM,102)</f>
        <v>28.43</v>
      </c>
      <c r="C168" s="50">
        <f>VLOOKUP($A168,'Data shares'!$C:$FM,110)</f>
        <v>27.89</v>
      </c>
      <c r="D168" s="50">
        <f>VLOOKUP($A168,'Data shares'!$C:$FM,114)</f>
        <v>29.7</v>
      </c>
      <c r="E168" s="50">
        <f>VLOOKUP($A168,'Data shares'!$C:$FM,106)</f>
        <v>39.08</v>
      </c>
      <c r="F168" s="50">
        <f>VLOOKUP($A168,'Data shares'!$C:$FM,108)</f>
        <v>-10.65</v>
      </c>
      <c r="G168" s="50">
        <f t="shared" si="5"/>
        <v>0.72748208802456504</v>
      </c>
    </row>
    <row r="169" spans="1:7" x14ac:dyDescent="0.25">
      <c r="A169" s="49" t="str">
        <f>'Data Vlaue (Cr)'!C164</f>
        <v>POWERGRID</v>
      </c>
      <c r="B169" s="50">
        <f>VLOOKUP($A169,'Data shares'!$C:$FM,102)</f>
        <v>29.55</v>
      </c>
      <c r="C169" s="50">
        <f>VLOOKUP($A169,'Data shares'!$C:$FM,110)</f>
        <v>29.1</v>
      </c>
      <c r="D169" s="50">
        <f>VLOOKUP($A169,'Data shares'!$C:$FM,114)</f>
        <v>30.76</v>
      </c>
      <c r="E169" s="50">
        <f>VLOOKUP($A169,'Data shares'!$C:$FM,106)</f>
        <v>27.17</v>
      </c>
      <c r="F169" s="50">
        <f>VLOOKUP($A169,'Data shares'!$C:$FM,108)</f>
        <v>2.38</v>
      </c>
      <c r="G169" s="50">
        <f t="shared" si="5"/>
        <v>1.0875966139124034</v>
      </c>
    </row>
    <row r="170" spans="1:7" x14ac:dyDescent="0.25">
      <c r="A170" s="49" t="str">
        <f>'Data Vlaue (Cr)'!C165</f>
        <v>POWERINDIA</v>
      </c>
      <c r="B170" s="50">
        <f>VLOOKUP($A170,'Data shares'!$C:$FM,102)</f>
        <v>44.33</v>
      </c>
      <c r="C170" s="50">
        <f>VLOOKUP($A170,'Data shares'!$C:$FM,110)</f>
        <v>43.81</v>
      </c>
      <c r="D170" s="50">
        <f>VLOOKUP($A170,'Data shares'!$C:$FM,114)</f>
        <v>46.29</v>
      </c>
      <c r="E170" s="50">
        <f>VLOOKUP($A170,'Data shares'!$C:$FM,106)</f>
        <v>57.47</v>
      </c>
      <c r="F170" s="50">
        <f>VLOOKUP($A170,'Data shares'!$C:$FM,108)</f>
        <v>-13.14</v>
      </c>
      <c r="G170" s="50">
        <f t="shared" si="5"/>
        <v>0.77135896989733777</v>
      </c>
    </row>
    <row r="171" spans="1:7" x14ac:dyDescent="0.25">
      <c r="A171" s="49" t="str">
        <f>'Data Vlaue (Cr)'!C166</f>
        <v>PPLPHARMA</v>
      </c>
      <c r="B171" s="50">
        <f>VLOOKUP($A171,'Data shares'!$C:$FM,102)</f>
        <v>42.59</v>
      </c>
      <c r="C171" s="50">
        <f>VLOOKUP($A171,'Data shares'!$C:$FM,110)</f>
        <v>42.88</v>
      </c>
      <c r="D171" s="50">
        <f>VLOOKUP($A171,'Data shares'!$C:$FM,114)</f>
        <v>42.22</v>
      </c>
      <c r="E171" s="50">
        <f>VLOOKUP($A171,'Data shares'!$C:$FM,106)</f>
        <v>43.26</v>
      </c>
      <c r="F171" s="50">
        <f>VLOOKUP($A171,'Data shares'!$C:$FM,108)</f>
        <v>-0.67</v>
      </c>
      <c r="G171" s="50">
        <f t="shared" si="5"/>
        <v>0.98451225150254285</v>
      </c>
    </row>
    <row r="172" spans="1:7" x14ac:dyDescent="0.25">
      <c r="A172" s="49" t="str">
        <f>'Data Vlaue (Cr)'!C167</f>
        <v>PREMIERENE</v>
      </c>
      <c r="B172" s="50">
        <f>VLOOKUP($A172,'Data shares'!$C:$FM,102)</f>
        <v>45.19</v>
      </c>
      <c r="C172" s="50">
        <f>VLOOKUP($A172,'Data shares'!$C:$FM,110)</f>
        <v>44.43</v>
      </c>
      <c r="D172" s="50">
        <f>VLOOKUP($A172,'Data shares'!$C:$FM,114)</f>
        <v>47.38</v>
      </c>
      <c r="E172" s="50">
        <f>VLOOKUP($A172,'Data shares'!$C:$FM,106)</f>
        <v>47.25</v>
      </c>
      <c r="F172" s="50">
        <f>VLOOKUP($A172,'Data shares'!$C:$FM,108)</f>
        <v>-2.06</v>
      </c>
      <c r="G172" s="50">
        <f t="shared" si="5"/>
        <v>0.95640211640211636</v>
      </c>
    </row>
    <row r="173" spans="1:7" x14ac:dyDescent="0.25">
      <c r="A173" s="49" t="str">
        <f>'Data Vlaue (Cr)'!C168</f>
        <v>PRESTIGE</v>
      </c>
      <c r="B173" s="50">
        <f>VLOOKUP($A173,'Data shares'!$C:$FM,102)</f>
        <v>39.049999999999997</v>
      </c>
      <c r="C173" s="50">
        <f>VLOOKUP($A173,'Data shares'!$C:$FM,110)</f>
        <v>38.35</v>
      </c>
      <c r="D173" s="50">
        <f>VLOOKUP($A173,'Data shares'!$C:$FM,114)</f>
        <v>40.46</v>
      </c>
      <c r="E173" s="50">
        <f>VLOOKUP($A173,'Data shares'!$C:$FM,106)</f>
        <v>43.79</v>
      </c>
      <c r="F173" s="50">
        <f>VLOOKUP($A173,'Data shares'!$C:$FM,108)</f>
        <v>-4.74</v>
      </c>
      <c r="G173" s="50">
        <f t="shared" si="5"/>
        <v>0.8917561087006165</v>
      </c>
    </row>
    <row r="174" spans="1:7" x14ac:dyDescent="0.25">
      <c r="A174" s="49" t="str">
        <f>'Data Vlaue (Cr)'!C169</f>
        <v>RBLBANK</v>
      </c>
      <c r="B174" s="50">
        <f>VLOOKUP($A174,'Data shares'!$C:$FM,102)</f>
        <v>24.11</v>
      </c>
      <c r="C174" s="50">
        <f>VLOOKUP($A174,'Data shares'!$C:$FM,110)</f>
        <v>23.76</v>
      </c>
      <c r="D174" s="50">
        <f>VLOOKUP($A174,'Data shares'!$C:$FM,114)</f>
        <v>24.85</v>
      </c>
      <c r="E174" s="50">
        <f>VLOOKUP($A174,'Data shares'!$C:$FM,106)</f>
        <v>44.24</v>
      </c>
      <c r="F174" s="50">
        <f>VLOOKUP($A174,'Data shares'!$C:$FM,108)</f>
        <v>-20.13</v>
      </c>
      <c r="G174" s="50">
        <f t="shared" si="5"/>
        <v>0.54498191681735986</v>
      </c>
    </row>
    <row r="175" spans="1:7" x14ac:dyDescent="0.25">
      <c r="A175" s="49" t="str">
        <f>'Data Vlaue (Cr)'!C170</f>
        <v>RECLTD</v>
      </c>
      <c r="B175" s="50">
        <f>VLOOKUP($A175,'Data shares'!$C:$FM,102)</f>
        <v>36.99</v>
      </c>
      <c r="C175" s="50">
        <f>VLOOKUP($A175,'Data shares'!$C:$FM,110)</f>
        <v>36.4</v>
      </c>
      <c r="D175" s="50">
        <f>VLOOKUP($A175,'Data shares'!$C:$FM,114)</f>
        <v>38.479999999999997</v>
      </c>
      <c r="E175" s="50">
        <f>VLOOKUP($A175,'Data shares'!$C:$FM,106)</f>
        <v>41.43</v>
      </c>
      <c r="F175" s="50">
        <f>VLOOKUP($A175,'Data shares'!$C:$FM,108)</f>
        <v>-4.4400000000000004</v>
      </c>
      <c r="G175" s="50">
        <f t="shared" si="5"/>
        <v>0.89283128167994208</v>
      </c>
    </row>
    <row r="176" spans="1:7" x14ac:dyDescent="0.25">
      <c r="A176" s="49" t="str">
        <f>'Data Vlaue (Cr)'!C171</f>
        <v>RELIANCE</v>
      </c>
      <c r="B176" s="50">
        <f>VLOOKUP($A176,'Data shares'!$C:$FM,102)</f>
        <v>23.59</v>
      </c>
      <c r="C176" s="50">
        <f>VLOOKUP($A176,'Data shares'!$C:$FM,110)</f>
        <v>23.29</v>
      </c>
      <c r="D176" s="50">
        <f>VLOOKUP($A176,'Data shares'!$C:$FM,114)</f>
        <v>24.22</v>
      </c>
      <c r="E176" s="50">
        <f>VLOOKUP($A176,'Data shares'!$C:$FM,106)</f>
        <v>23.9</v>
      </c>
      <c r="F176" s="50">
        <f>VLOOKUP($A176,'Data shares'!$C:$FM,108)</f>
        <v>-0.31</v>
      </c>
      <c r="G176" s="50">
        <f t="shared" si="5"/>
        <v>0.98702928870292894</v>
      </c>
    </row>
    <row r="177" spans="1:7" x14ac:dyDescent="0.25">
      <c r="A177" s="49" t="str">
        <f>'Data Vlaue (Cr)'!C172</f>
        <v>RVNL</v>
      </c>
      <c r="B177" s="50">
        <f>VLOOKUP($A177,'Data shares'!$C:$FM,102)</f>
        <v>56.44</v>
      </c>
      <c r="C177" s="50">
        <f>VLOOKUP($A177,'Data shares'!$C:$FM,110)</f>
        <v>56.52</v>
      </c>
      <c r="D177" s="50">
        <f>VLOOKUP($A177,'Data shares'!$C:$FM,114)</f>
        <v>56.08</v>
      </c>
      <c r="E177" s="50">
        <f>VLOOKUP($A177,'Data shares'!$C:$FM,106)</f>
        <v>56.01</v>
      </c>
      <c r="F177" s="50">
        <f>VLOOKUP($A177,'Data shares'!$C:$FM,108)</f>
        <v>0.43</v>
      </c>
      <c r="G177" s="50">
        <f t="shared" si="5"/>
        <v>1.0076772004999108</v>
      </c>
    </row>
    <row r="178" spans="1:7" x14ac:dyDescent="0.25">
      <c r="A178" s="49" t="str">
        <f>'Data Vlaue (Cr)'!C173</f>
        <v>SAIL</v>
      </c>
      <c r="B178" s="50">
        <f>VLOOKUP($A178,'Data shares'!$C:$FM,102)</f>
        <v>44.26</v>
      </c>
      <c r="C178" s="50">
        <f>VLOOKUP($A178,'Data shares'!$C:$FM,110)</f>
        <v>44.43</v>
      </c>
      <c r="D178" s="50">
        <f>VLOOKUP($A178,'Data shares'!$C:$FM,114)</f>
        <v>43.67</v>
      </c>
      <c r="E178" s="50">
        <f>VLOOKUP($A178,'Data shares'!$C:$FM,106)</f>
        <v>43.67</v>
      </c>
      <c r="F178" s="50">
        <f>VLOOKUP($A178,'Data shares'!$C:$FM,108)</f>
        <v>0.59</v>
      </c>
      <c r="G178" s="50">
        <f t="shared" si="5"/>
        <v>1.0135104190519806</v>
      </c>
    </row>
    <row r="179" spans="1:7" x14ac:dyDescent="0.25">
      <c r="A179" s="49" t="str">
        <f>'Data Vlaue (Cr)'!C174</f>
        <v>SAMMAANCAP</v>
      </c>
      <c r="B179" s="50">
        <f>VLOOKUP($A179,'Data shares'!$C:$FM,102)</f>
        <v>37.28</v>
      </c>
      <c r="C179" s="50">
        <f>VLOOKUP($A179,'Data shares'!$C:$FM,110)</f>
        <v>38.44</v>
      </c>
      <c r="D179" s="50">
        <f>VLOOKUP($A179,'Data shares'!$C:$FM,114)</f>
        <v>35.6</v>
      </c>
      <c r="E179" s="50">
        <f>VLOOKUP($A179,'Data shares'!$C:$FM,106)</f>
        <v>54.86</v>
      </c>
      <c r="F179" s="50">
        <f>VLOOKUP($A179,'Data shares'!$C:$FM,108)</f>
        <v>-17.579999999999998</v>
      </c>
      <c r="G179" s="50">
        <f t="shared" si="5"/>
        <v>0.67954794021144738</v>
      </c>
    </row>
    <row r="180" spans="1:7" x14ac:dyDescent="0.25">
      <c r="A180" s="49" t="str">
        <f>'Data Vlaue (Cr)'!C175</f>
        <v>SBICARD</v>
      </c>
      <c r="B180" s="50">
        <f>VLOOKUP($A180,'Data shares'!$C:$FM,102)</f>
        <v>34.67</v>
      </c>
      <c r="C180" s="50">
        <f>VLOOKUP($A180,'Data shares'!$C:$FM,110)</f>
        <v>34.590000000000003</v>
      </c>
      <c r="D180" s="50">
        <f>VLOOKUP($A180,'Data shares'!$C:$FM,114)</f>
        <v>34.840000000000003</v>
      </c>
      <c r="E180" s="50">
        <f>VLOOKUP($A180,'Data shares'!$C:$FM,106)</f>
        <v>29.58</v>
      </c>
      <c r="F180" s="50">
        <f>VLOOKUP($A180,'Data shares'!$C:$FM,108)</f>
        <v>5.09</v>
      </c>
      <c r="G180" s="50">
        <f t="shared" si="5"/>
        <v>1.1720757268424613</v>
      </c>
    </row>
    <row r="181" spans="1:7" x14ac:dyDescent="0.25">
      <c r="A181" s="49" t="str">
        <f>'Data Vlaue (Cr)'!C176</f>
        <v>SBILIFE</v>
      </c>
      <c r="B181" s="50">
        <f>VLOOKUP($A181,'Data shares'!$C:$FM,102)</f>
        <v>25.11</v>
      </c>
      <c r="C181" s="50">
        <f>VLOOKUP($A181,'Data shares'!$C:$FM,110)</f>
        <v>24.84</v>
      </c>
      <c r="D181" s="50">
        <f>VLOOKUP($A181,'Data shares'!$C:$FM,114)</f>
        <v>25.64</v>
      </c>
      <c r="E181" s="50">
        <f>VLOOKUP($A181,'Data shares'!$C:$FM,106)</f>
        <v>23.62</v>
      </c>
      <c r="F181" s="50">
        <f>VLOOKUP($A181,'Data shares'!$C:$FM,108)</f>
        <v>1.49</v>
      </c>
      <c r="G181" s="50">
        <f t="shared" si="5"/>
        <v>1.0630821337849279</v>
      </c>
    </row>
    <row r="182" spans="1:7" x14ac:dyDescent="0.25">
      <c r="A182" s="49" t="str">
        <f>'Data Vlaue (Cr)'!C177</f>
        <v>SBIN</v>
      </c>
      <c r="B182" s="50">
        <f>VLOOKUP($A182,'Data shares'!$C:$FM,102)</f>
        <v>26.03</v>
      </c>
      <c r="C182" s="50">
        <f>VLOOKUP($A182,'Data shares'!$C:$FM,110)</f>
        <v>25.56</v>
      </c>
      <c r="D182" s="50">
        <f>VLOOKUP($A182,'Data shares'!$C:$FM,114)</f>
        <v>26.71</v>
      </c>
      <c r="E182" s="50">
        <f>VLOOKUP($A182,'Data shares'!$C:$FM,106)</f>
        <v>24.25</v>
      </c>
      <c r="F182" s="50">
        <f>VLOOKUP($A182,'Data shares'!$C:$FM,108)</f>
        <v>1.78</v>
      </c>
      <c r="G182" s="50">
        <f t="shared" si="5"/>
        <v>1.0734020618556701</v>
      </c>
    </row>
    <row r="183" spans="1:7" x14ac:dyDescent="0.25">
      <c r="A183" s="49" t="str">
        <f>'Data Vlaue (Cr)'!C178</f>
        <v>SHREECEM</v>
      </c>
      <c r="B183" s="50">
        <f>VLOOKUP($A183,'Data shares'!$C:$FM,102)</f>
        <v>26.56</v>
      </c>
      <c r="C183" s="50">
        <f>VLOOKUP($A183,'Data shares'!$C:$FM,110)</f>
        <v>25.94</v>
      </c>
      <c r="D183" s="50">
        <f>VLOOKUP($A183,'Data shares'!$C:$FM,114)</f>
        <v>27.22</v>
      </c>
      <c r="E183" s="50">
        <f>VLOOKUP($A183,'Data shares'!$C:$FM,106)</f>
        <v>24.07</v>
      </c>
      <c r="F183" s="50">
        <f>VLOOKUP($A183,'Data shares'!$C:$FM,108)</f>
        <v>2.4900000000000002</v>
      </c>
      <c r="G183" s="50">
        <f t="shared" si="5"/>
        <v>1.103448275862069</v>
      </c>
    </row>
    <row r="184" spans="1:7" x14ac:dyDescent="0.25">
      <c r="A184" s="49" t="str">
        <f>'Data Vlaue (Cr)'!C179</f>
        <v>SHRIRAMFIN</v>
      </c>
      <c r="B184" s="50">
        <f>VLOOKUP($A184,'Data shares'!$C:$FM,102)</f>
        <v>32.07</v>
      </c>
      <c r="C184" s="50">
        <f>VLOOKUP($A184,'Data shares'!$C:$FM,110)</f>
        <v>31.47</v>
      </c>
      <c r="D184" s="50">
        <f>VLOOKUP($A184,'Data shares'!$C:$FM,114)</f>
        <v>33.020000000000003</v>
      </c>
      <c r="E184" s="50">
        <f>VLOOKUP($A184,'Data shares'!$C:$FM,106)</f>
        <v>38.229999999999997</v>
      </c>
      <c r="F184" s="50">
        <f>VLOOKUP($A184,'Data shares'!$C:$FM,108)</f>
        <v>-6.16</v>
      </c>
      <c r="G184" s="50">
        <f t="shared" si="5"/>
        <v>0.83886999738425327</v>
      </c>
    </row>
    <row r="185" spans="1:7" x14ac:dyDescent="0.25">
      <c r="A185" s="49" t="str">
        <f>'Data Vlaue (Cr)'!C180</f>
        <v>SIEMENS</v>
      </c>
      <c r="B185" s="50">
        <f>VLOOKUP($A185,'Data shares'!$C:$FM,102)</f>
        <v>33.659999999999997</v>
      </c>
      <c r="C185" s="50">
        <f>VLOOKUP($A185,'Data shares'!$C:$FM,110)</f>
        <v>32.96</v>
      </c>
      <c r="D185" s="50">
        <f>VLOOKUP($A185,'Data shares'!$C:$FM,114)</f>
        <v>36.159999999999997</v>
      </c>
      <c r="E185" s="50">
        <f>VLOOKUP($A185,'Data shares'!$C:$FM,106)</f>
        <v>37</v>
      </c>
      <c r="F185" s="50">
        <f>VLOOKUP($A185,'Data shares'!$C:$FM,108)</f>
        <v>-3.34</v>
      </c>
      <c r="G185" s="50">
        <f t="shared" si="5"/>
        <v>0.90972972972972965</v>
      </c>
    </row>
    <row r="186" spans="1:7" x14ac:dyDescent="0.25">
      <c r="A186" s="49" t="str">
        <f>'Data Vlaue (Cr)'!C181</f>
        <v>SOLARINDS</v>
      </c>
      <c r="B186" s="50">
        <f>VLOOKUP($A186,'Data shares'!$C:$FM,102)</f>
        <v>41.85</v>
      </c>
      <c r="C186" s="50">
        <f>VLOOKUP($A186,'Data shares'!$C:$FM,110)</f>
        <v>41.66</v>
      </c>
      <c r="D186" s="50">
        <f>VLOOKUP($A186,'Data shares'!$C:$FM,114)</f>
        <v>42.93</v>
      </c>
      <c r="E186" s="50">
        <f>VLOOKUP($A186,'Data shares'!$C:$FM,106)</f>
        <v>40.86</v>
      </c>
      <c r="F186" s="50">
        <f>VLOOKUP($A186,'Data shares'!$C:$FM,108)</f>
        <v>0.99</v>
      </c>
      <c r="G186" s="50">
        <f t="shared" si="5"/>
        <v>1.0242290748898679</v>
      </c>
    </row>
    <row r="187" spans="1:7" x14ac:dyDescent="0.25">
      <c r="A187" s="49" t="str">
        <f>'Data Vlaue (Cr)'!C182</f>
        <v>SONACOMS</v>
      </c>
      <c r="B187" s="50">
        <f>VLOOKUP($A187,'Data shares'!$C:$FM,102)</f>
        <v>36.72</v>
      </c>
      <c r="C187" s="50">
        <f>VLOOKUP($A187,'Data shares'!$C:$FM,110)</f>
        <v>36.31</v>
      </c>
      <c r="D187" s="50">
        <f>VLOOKUP($A187,'Data shares'!$C:$FM,114)</f>
        <v>37.950000000000003</v>
      </c>
      <c r="E187" s="50">
        <f>VLOOKUP($A187,'Data shares'!$C:$FM,106)</f>
        <v>39.25</v>
      </c>
      <c r="F187" s="50">
        <f>VLOOKUP($A187,'Data shares'!$C:$FM,108)</f>
        <v>-2.5299999999999998</v>
      </c>
      <c r="G187" s="50">
        <f t="shared" si="5"/>
        <v>0.9355414012738853</v>
      </c>
    </row>
    <row r="188" spans="1:7" x14ac:dyDescent="0.25">
      <c r="A188" s="49" t="str">
        <f>'Data Vlaue (Cr)'!C183</f>
        <v>SRF</v>
      </c>
      <c r="B188" s="50">
        <f>VLOOKUP($A188,'Data shares'!$C:$FM,102)</f>
        <v>27.68</v>
      </c>
      <c r="C188" s="50">
        <f>VLOOKUP($A188,'Data shares'!$C:$FM,110)</f>
        <v>27.43</v>
      </c>
      <c r="D188" s="50">
        <f>VLOOKUP($A188,'Data shares'!$C:$FM,114)</f>
        <v>28.38</v>
      </c>
      <c r="E188" s="50">
        <f>VLOOKUP($A188,'Data shares'!$C:$FM,106)</f>
        <v>32.29</v>
      </c>
      <c r="F188" s="50">
        <f>VLOOKUP($A188,'Data shares'!$C:$FM,108)</f>
        <v>-4.6100000000000003</v>
      </c>
      <c r="G188" s="50">
        <f t="shared" ref="G188:G220" si="6">B188/E188</f>
        <v>0.85723134097243725</v>
      </c>
    </row>
    <row r="189" spans="1:7" x14ac:dyDescent="0.25">
      <c r="A189" s="49" t="str">
        <f>'Data Vlaue (Cr)'!C184</f>
        <v>SUNPHARMA</v>
      </c>
      <c r="B189" s="50">
        <f>VLOOKUP($A189,'Data shares'!$C:$FM,102)</f>
        <v>25.58</v>
      </c>
      <c r="C189" s="50">
        <f>VLOOKUP($A189,'Data shares'!$C:$FM,110)</f>
        <v>24.97</v>
      </c>
      <c r="D189" s="50">
        <f>VLOOKUP($A189,'Data shares'!$C:$FM,114)</f>
        <v>26.67</v>
      </c>
      <c r="E189" s="50">
        <f>VLOOKUP($A189,'Data shares'!$C:$FM,106)</f>
        <v>22.91</v>
      </c>
      <c r="F189" s="50">
        <f>VLOOKUP($A189,'Data shares'!$C:$FM,108)</f>
        <v>2.67</v>
      </c>
      <c r="G189" s="50">
        <f t="shared" si="6"/>
        <v>1.116542994325622</v>
      </c>
    </row>
    <row r="190" spans="1:7" x14ac:dyDescent="0.25">
      <c r="A190" s="49" t="str">
        <f>'Data Vlaue (Cr)'!C185</f>
        <v>SUPREMEIND</v>
      </c>
      <c r="B190" s="50">
        <f>VLOOKUP($A190,'Data shares'!$C:$FM,102)</f>
        <v>30.39</v>
      </c>
      <c r="C190" s="50">
        <f>VLOOKUP($A190,'Data shares'!$C:$FM,110)</f>
        <v>30.02</v>
      </c>
      <c r="D190" s="50">
        <f>VLOOKUP($A190,'Data shares'!$C:$FM,114)</f>
        <v>32.15</v>
      </c>
      <c r="E190" s="50">
        <f>VLOOKUP($A190,'Data shares'!$C:$FM,106)</f>
        <v>38.82</v>
      </c>
      <c r="F190" s="50">
        <f>VLOOKUP($A190,'Data shares'!$C:$FM,108)</f>
        <v>-8.43</v>
      </c>
      <c r="G190" s="50">
        <f t="shared" si="6"/>
        <v>0.78284389489953632</v>
      </c>
    </row>
    <row r="191" spans="1:7" x14ac:dyDescent="0.25">
      <c r="A191" s="49" t="str">
        <f>'Data Vlaue (Cr)'!C186</f>
        <v>SUZLON</v>
      </c>
      <c r="B191" s="50">
        <f>VLOOKUP($A191,'Data shares'!$C:$FM,102)</f>
        <v>44.6</v>
      </c>
      <c r="C191" s="50">
        <f>VLOOKUP($A191,'Data shares'!$C:$FM,110)</f>
        <v>44.44</v>
      </c>
      <c r="D191" s="50">
        <f>VLOOKUP($A191,'Data shares'!$C:$FM,114)</f>
        <v>45.09</v>
      </c>
      <c r="E191" s="50">
        <f>VLOOKUP($A191,'Data shares'!$C:$FM,106)</f>
        <v>46.53</v>
      </c>
      <c r="F191" s="50">
        <f>VLOOKUP($A191,'Data shares'!$C:$FM,108)</f>
        <v>-1.93</v>
      </c>
      <c r="G191" s="50">
        <f t="shared" si="6"/>
        <v>0.95852138405329901</v>
      </c>
    </row>
    <row r="192" spans="1:7" x14ac:dyDescent="0.25">
      <c r="A192" s="49" t="str">
        <f>'Data Vlaue (Cr)'!C187</f>
        <v>SWIGGY</v>
      </c>
      <c r="B192" s="50">
        <f>VLOOKUP($A192,'Data shares'!$C:$FM,102)</f>
        <v>52.68</v>
      </c>
      <c r="C192" s="50">
        <f>VLOOKUP($A192,'Data shares'!$C:$FM,110)</f>
        <v>52.06</v>
      </c>
      <c r="D192" s="50">
        <f>VLOOKUP($A192,'Data shares'!$C:$FM,114)</f>
        <v>53.69</v>
      </c>
      <c r="E192" s="50">
        <f>VLOOKUP($A192,'Data shares'!$C:$FM,106)</f>
        <v>44.36</v>
      </c>
      <c r="F192" s="50">
        <f>VLOOKUP($A192,'Data shares'!$C:$FM,108)</f>
        <v>8.32</v>
      </c>
      <c r="G192" s="50">
        <f t="shared" si="6"/>
        <v>1.1875563570784491</v>
      </c>
    </row>
    <row r="193" spans="1:7" x14ac:dyDescent="0.25">
      <c r="A193" s="49" t="str">
        <f>'Data Vlaue (Cr)'!C188</f>
        <v>SYNGENE</v>
      </c>
      <c r="B193" s="50">
        <f>VLOOKUP($A193,'Data shares'!$C:$FM,102)</f>
        <v>37.770000000000003</v>
      </c>
      <c r="C193" s="50">
        <f>VLOOKUP($A193,'Data shares'!$C:$FM,110)</f>
        <v>37.18</v>
      </c>
      <c r="D193" s="50">
        <f>VLOOKUP($A193,'Data shares'!$C:$FM,114)</f>
        <v>38.36</v>
      </c>
      <c r="E193" s="50">
        <f>VLOOKUP($A193,'Data shares'!$C:$FM,106)</f>
        <v>36.57</v>
      </c>
      <c r="F193" s="50">
        <f>VLOOKUP($A193,'Data shares'!$C:$FM,108)</f>
        <v>1.2</v>
      </c>
      <c r="G193" s="50">
        <f t="shared" si="6"/>
        <v>1.0328137817883511</v>
      </c>
    </row>
    <row r="194" spans="1:7" x14ac:dyDescent="0.25">
      <c r="A194" s="49" t="str">
        <f>'Data Vlaue (Cr)'!C189</f>
        <v>TATACONSUM</v>
      </c>
      <c r="B194" s="50">
        <f>VLOOKUP($A194,'Data shares'!$C:$FM,102)</f>
        <v>26.69</v>
      </c>
      <c r="C194" s="50">
        <f>VLOOKUP($A194,'Data shares'!$C:$FM,110)</f>
        <v>26</v>
      </c>
      <c r="D194" s="50">
        <f>VLOOKUP($A194,'Data shares'!$C:$FM,114)</f>
        <v>27.57</v>
      </c>
      <c r="E194" s="50">
        <f>VLOOKUP($A194,'Data shares'!$C:$FM,106)</f>
        <v>26.64</v>
      </c>
      <c r="F194" s="50">
        <f>VLOOKUP($A194,'Data shares'!$C:$FM,108)</f>
        <v>0.05</v>
      </c>
      <c r="G194" s="50">
        <f t="shared" si="6"/>
        <v>1.0018768768768769</v>
      </c>
    </row>
    <row r="195" spans="1:7" x14ac:dyDescent="0.25">
      <c r="A195" s="49" t="str">
        <f>'Data Vlaue (Cr)'!C190</f>
        <v>TATAELXSI</v>
      </c>
      <c r="B195" s="50">
        <f>VLOOKUP($A195,'Data shares'!$C:$FM,102)</f>
        <v>31.92</v>
      </c>
      <c r="C195" s="50">
        <f>VLOOKUP($A195,'Data shares'!$C:$FM,110)</f>
        <v>31.94</v>
      </c>
      <c r="D195" s="50">
        <f>VLOOKUP($A195,'Data shares'!$C:$FM,114)</f>
        <v>31.86</v>
      </c>
      <c r="E195" s="50">
        <f>VLOOKUP($A195,'Data shares'!$C:$FM,106)</f>
        <v>37.76</v>
      </c>
      <c r="F195" s="50">
        <f>VLOOKUP($A195,'Data shares'!$C:$FM,108)</f>
        <v>-5.84</v>
      </c>
      <c r="G195" s="50">
        <f t="shared" si="6"/>
        <v>0.84533898305084754</v>
      </c>
    </row>
    <row r="196" spans="1:7" x14ac:dyDescent="0.25">
      <c r="A196" s="49" t="str">
        <f>'Data Vlaue (Cr)'!C191</f>
        <v>TATAPOWER</v>
      </c>
      <c r="B196" s="50">
        <f>VLOOKUP($A196,'Data shares'!$C:$FM,102)</f>
        <v>30.28</v>
      </c>
      <c r="C196" s="50">
        <f>VLOOKUP($A196,'Data shares'!$C:$FM,110)</f>
        <v>29.91</v>
      </c>
      <c r="D196" s="50">
        <f>VLOOKUP($A196,'Data shares'!$C:$FM,114)</f>
        <v>31.11</v>
      </c>
      <c r="E196" s="50">
        <f>VLOOKUP($A196,'Data shares'!$C:$FM,106)</f>
        <v>30.98</v>
      </c>
      <c r="F196" s="50">
        <f>VLOOKUP($A196,'Data shares'!$C:$FM,108)</f>
        <v>-0.7</v>
      </c>
      <c r="G196" s="50">
        <f t="shared" si="6"/>
        <v>0.97740477727566177</v>
      </c>
    </row>
    <row r="197" spans="1:7" x14ac:dyDescent="0.25">
      <c r="A197" s="49" t="str">
        <f>'Data Vlaue (Cr)'!C192</f>
        <v>TATASTEEL</v>
      </c>
      <c r="B197" s="50">
        <f>VLOOKUP($A197,'Data shares'!$C:$FM,102)</f>
        <v>30.96</v>
      </c>
      <c r="C197" s="50">
        <f>VLOOKUP($A197,'Data shares'!$C:$FM,110)</f>
        <v>30.54</v>
      </c>
      <c r="D197" s="50">
        <f>VLOOKUP($A197,'Data shares'!$C:$FM,114)</f>
        <v>31.76</v>
      </c>
      <c r="E197" s="50">
        <f>VLOOKUP($A197,'Data shares'!$C:$FM,106)</f>
        <v>32.53</v>
      </c>
      <c r="F197" s="50">
        <f>VLOOKUP($A197,'Data shares'!$C:$FM,108)</f>
        <v>-1.57</v>
      </c>
      <c r="G197" s="50">
        <f t="shared" si="6"/>
        <v>0.95173685828466026</v>
      </c>
    </row>
    <row r="198" spans="1:7" x14ac:dyDescent="0.25">
      <c r="A198" s="49" t="str">
        <f>'Data Vlaue (Cr)'!C193</f>
        <v>TATATECH</v>
      </c>
      <c r="B198" s="50">
        <f>VLOOKUP($A198,'Data shares'!$C:$FM,102)</f>
        <v>25.73</v>
      </c>
      <c r="C198" s="50">
        <f>VLOOKUP($A198,'Data shares'!$C:$FM,110)</f>
        <v>25.23</v>
      </c>
      <c r="D198" s="50">
        <f>VLOOKUP($A198,'Data shares'!$C:$FM,114)</f>
        <v>26.83</v>
      </c>
      <c r="E198" s="50">
        <f>VLOOKUP($A198,'Data shares'!$C:$FM,106)</f>
        <v>30.41</v>
      </c>
      <c r="F198" s="50">
        <f>VLOOKUP($A198,'Data shares'!$C:$FM,108)</f>
        <v>-4.68</v>
      </c>
      <c r="G198" s="50">
        <f t="shared" si="6"/>
        <v>0.84610325550805654</v>
      </c>
    </row>
    <row r="199" spans="1:7" x14ac:dyDescent="0.25">
      <c r="A199" s="49" t="str">
        <f>'Data Vlaue (Cr)'!C194</f>
        <v>TCS</v>
      </c>
      <c r="B199" s="50">
        <f>VLOOKUP($A199,'Data shares'!$C:$FM,102)</f>
        <v>19.09</v>
      </c>
      <c r="C199" s="50">
        <f>VLOOKUP($A199,'Data shares'!$C:$FM,110)</f>
        <v>18.25</v>
      </c>
      <c r="D199" s="50">
        <f>VLOOKUP($A199,'Data shares'!$C:$FM,114)</f>
        <v>20.46</v>
      </c>
      <c r="E199" s="50">
        <f>VLOOKUP($A199,'Data shares'!$C:$FM,106)</f>
        <v>23.55</v>
      </c>
      <c r="F199" s="50">
        <f>VLOOKUP($A199,'Data shares'!$C:$FM,108)</f>
        <v>-4.46</v>
      </c>
      <c r="G199" s="50">
        <f t="shared" si="6"/>
        <v>0.81061571125265386</v>
      </c>
    </row>
    <row r="200" spans="1:7" x14ac:dyDescent="0.25">
      <c r="A200" s="49" t="str">
        <f>'Data Vlaue (Cr)'!C195</f>
        <v>TECHM</v>
      </c>
      <c r="B200" s="50">
        <f>VLOOKUP($A200,'Data shares'!$C:$FM,102)</f>
        <v>23.18</v>
      </c>
      <c r="C200" s="50">
        <f>VLOOKUP($A200,'Data shares'!$C:$FM,110)</f>
        <v>22.25</v>
      </c>
      <c r="D200" s="50">
        <f>VLOOKUP($A200,'Data shares'!$C:$FM,114)</f>
        <v>24.87</v>
      </c>
      <c r="E200" s="50">
        <f>VLOOKUP($A200,'Data shares'!$C:$FM,106)</f>
        <v>29.06</v>
      </c>
      <c r="F200" s="50">
        <f>VLOOKUP($A200,'Data shares'!$C:$FM,108)</f>
        <v>-5.88</v>
      </c>
      <c r="G200" s="50">
        <f t="shared" si="6"/>
        <v>0.79766001376462492</v>
      </c>
    </row>
    <row r="201" spans="1:7" x14ac:dyDescent="0.25">
      <c r="A201" s="49" t="str">
        <f>'Data Vlaue (Cr)'!C196</f>
        <v>TIINDIA</v>
      </c>
      <c r="B201" s="50">
        <f>VLOOKUP($A201,'Data shares'!$C:$FM,102)</f>
        <v>38.1</v>
      </c>
      <c r="C201" s="50">
        <f>VLOOKUP($A201,'Data shares'!$C:$FM,110)</f>
        <v>37.869999999999997</v>
      </c>
      <c r="D201" s="50">
        <f>VLOOKUP($A201,'Data shares'!$C:$FM,114)</f>
        <v>38.869999999999997</v>
      </c>
      <c r="E201" s="50">
        <f>VLOOKUP($A201,'Data shares'!$C:$FM,106)</f>
        <v>39.97</v>
      </c>
      <c r="F201" s="50">
        <f>VLOOKUP($A201,'Data shares'!$C:$FM,108)</f>
        <v>-1.87</v>
      </c>
      <c r="G201" s="50">
        <f t="shared" si="6"/>
        <v>0.95321491118338764</v>
      </c>
    </row>
    <row r="202" spans="1:7" x14ac:dyDescent="0.25">
      <c r="A202" s="49" t="str">
        <f>'Data Vlaue (Cr)'!C197</f>
        <v>TITAN</v>
      </c>
      <c r="B202" s="50">
        <f>VLOOKUP($A202,'Data shares'!$C:$FM,102)</f>
        <v>26.99</v>
      </c>
      <c r="C202" s="50">
        <f>VLOOKUP($A202,'Data shares'!$C:$FM,110)</f>
        <v>26.36</v>
      </c>
      <c r="D202" s="50">
        <f>VLOOKUP($A202,'Data shares'!$C:$FM,114)</f>
        <v>27.94</v>
      </c>
      <c r="E202" s="50">
        <f>VLOOKUP($A202,'Data shares'!$C:$FM,106)</f>
        <v>24.43</v>
      </c>
      <c r="F202" s="50">
        <f>VLOOKUP($A202,'Data shares'!$C:$FM,108)</f>
        <v>2.56</v>
      </c>
      <c r="G202" s="50">
        <f t="shared" si="6"/>
        <v>1.1047891936144085</v>
      </c>
    </row>
    <row r="203" spans="1:7" x14ac:dyDescent="0.25">
      <c r="A203" s="49" t="str">
        <f>'Data Vlaue (Cr)'!C198</f>
        <v>TMPV</v>
      </c>
      <c r="B203" s="50">
        <f>VLOOKUP($A203,'Data shares'!$C:$FM,102)</f>
        <v>36.549999999999997</v>
      </c>
      <c r="C203" s="50">
        <f>VLOOKUP($A203,'Data shares'!$C:$FM,110)</f>
        <v>36.450000000000003</v>
      </c>
      <c r="D203" s="50">
        <f>VLOOKUP($A203,'Data shares'!$C:$FM,114)</f>
        <v>36.659999999999997</v>
      </c>
      <c r="E203" s="50">
        <f>VLOOKUP($A203,'Data shares'!$C:$FM,106)</f>
        <v>33.090000000000003</v>
      </c>
      <c r="F203" s="50">
        <f>VLOOKUP($A203,'Data shares'!$C:$FM,108)</f>
        <v>3.46</v>
      </c>
      <c r="G203" s="50">
        <f t="shared" si="6"/>
        <v>1.1045633121789058</v>
      </c>
    </row>
    <row r="204" spans="1:7" x14ac:dyDescent="0.25">
      <c r="A204" s="49" t="str">
        <f>'Data Vlaue (Cr)'!C199</f>
        <v>TORNTPHARM</v>
      </c>
      <c r="B204" s="50">
        <f>VLOOKUP($A204,'Data shares'!$C:$FM,102)</f>
        <v>26.03</v>
      </c>
      <c r="C204" s="50">
        <f>VLOOKUP($A204,'Data shares'!$C:$FM,110)</f>
        <v>25.28</v>
      </c>
      <c r="D204" s="50">
        <f>VLOOKUP($A204,'Data shares'!$C:$FM,114)</f>
        <v>27.77</v>
      </c>
      <c r="E204" s="50">
        <f>VLOOKUP($A204,'Data shares'!$C:$FM,106)</f>
        <v>25.46</v>
      </c>
      <c r="F204" s="50">
        <f>VLOOKUP($A204,'Data shares'!$C:$FM,108)</f>
        <v>0.56999999999999995</v>
      </c>
      <c r="G204" s="50">
        <f t="shared" si="6"/>
        <v>1.0223880597014925</v>
      </c>
    </row>
    <row r="205" spans="1:7" x14ac:dyDescent="0.25">
      <c r="A205" s="49" t="str">
        <f>'Data Vlaue (Cr)'!C200</f>
        <v>TORNTPOWER</v>
      </c>
      <c r="B205" s="50">
        <f>VLOOKUP($A205,'Data shares'!$C:$FM,102)</f>
        <v>35.96</v>
      </c>
      <c r="C205" s="50">
        <f>VLOOKUP($A205,'Data shares'!$C:$FM,110)</f>
        <v>35.47</v>
      </c>
      <c r="D205" s="50">
        <f>VLOOKUP($A205,'Data shares'!$C:$FM,114)</f>
        <v>37.369999999999997</v>
      </c>
      <c r="E205" s="50">
        <f>VLOOKUP($A205,'Data shares'!$C:$FM,106)</f>
        <v>39.68</v>
      </c>
      <c r="F205" s="50">
        <f>VLOOKUP($A205,'Data shares'!$C:$FM,108)</f>
        <v>-3.72</v>
      </c>
      <c r="G205" s="50">
        <f t="shared" si="6"/>
        <v>0.90625</v>
      </c>
    </row>
    <row r="206" spans="1:7" x14ac:dyDescent="0.25">
      <c r="A206" s="49" t="str">
        <f>'Data Vlaue (Cr)'!C201</f>
        <v>TRENT</v>
      </c>
      <c r="B206" s="50">
        <f>VLOOKUP($A206,'Data shares'!$C:$FM,102)</f>
        <v>36.450000000000003</v>
      </c>
      <c r="C206" s="50">
        <f>VLOOKUP($A206,'Data shares'!$C:$FM,110)</f>
        <v>35.85</v>
      </c>
      <c r="D206" s="50">
        <f>VLOOKUP($A206,'Data shares'!$C:$FM,114)</f>
        <v>38.04</v>
      </c>
      <c r="E206" s="50">
        <f>VLOOKUP($A206,'Data shares'!$C:$FM,106)</f>
        <v>42.79</v>
      </c>
      <c r="F206" s="50">
        <f>VLOOKUP($A206,'Data shares'!$C:$FM,108)</f>
        <v>-6.34</v>
      </c>
      <c r="G206" s="50">
        <f t="shared" si="6"/>
        <v>0.85183454078055632</v>
      </c>
    </row>
    <row r="207" spans="1:7" x14ac:dyDescent="0.25">
      <c r="A207" s="49" t="str">
        <f>'Data Vlaue (Cr)'!C202</f>
        <v>TVSMOTOR</v>
      </c>
      <c r="B207" s="50">
        <f>VLOOKUP($A207,'Data shares'!$C:$FM,102)</f>
        <v>27.57</v>
      </c>
      <c r="C207" s="50">
        <f>VLOOKUP($A207,'Data shares'!$C:$FM,110)</f>
        <v>26.73</v>
      </c>
      <c r="D207" s="50">
        <f>VLOOKUP($A207,'Data shares'!$C:$FM,114)</f>
        <v>29.75</v>
      </c>
      <c r="E207" s="50">
        <f>VLOOKUP($A207,'Data shares'!$C:$FM,106)</f>
        <v>29.53</v>
      </c>
      <c r="F207" s="50">
        <f>VLOOKUP($A207,'Data shares'!$C:$FM,108)</f>
        <v>-1.96</v>
      </c>
      <c r="G207" s="50">
        <f t="shared" si="6"/>
        <v>0.9336268201828648</v>
      </c>
    </row>
    <row r="208" spans="1:7" x14ac:dyDescent="0.25">
      <c r="A208" s="49" t="str">
        <f>'Data Vlaue (Cr)'!C203</f>
        <v>ULTRACEMCO</v>
      </c>
      <c r="B208" s="50">
        <f>VLOOKUP($A208,'Data shares'!$C:$FM,102)</f>
        <v>23.51</v>
      </c>
      <c r="C208" s="50">
        <f>VLOOKUP($A208,'Data shares'!$C:$FM,110)</f>
        <v>23.01</v>
      </c>
      <c r="D208" s="50">
        <f>VLOOKUP($A208,'Data shares'!$C:$FM,114)</f>
        <v>24.44</v>
      </c>
      <c r="E208" s="50">
        <f>VLOOKUP($A208,'Data shares'!$C:$FM,106)</f>
        <v>23.58</v>
      </c>
      <c r="F208" s="50">
        <f>VLOOKUP($A208,'Data shares'!$C:$FM,108)</f>
        <v>-7.0000000000000007E-2</v>
      </c>
      <c r="G208" s="50">
        <f t="shared" si="6"/>
        <v>0.99703138252756585</v>
      </c>
    </row>
    <row r="209" spans="1:7" x14ac:dyDescent="0.25">
      <c r="A209" s="49" t="str">
        <f>'Data Vlaue (Cr)'!C204</f>
        <v>UNIONBANK</v>
      </c>
      <c r="B209" s="50">
        <f>VLOOKUP($A209,'Data shares'!$C:$FM,102)</f>
        <v>37.5</v>
      </c>
      <c r="C209" s="50">
        <f>VLOOKUP($A209,'Data shares'!$C:$FM,110)</f>
        <v>37.340000000000003</v>
      </c>
      <c r="D209" s="50">
        <f>VLOOKUP($A209,'Data shares'!$C:$FM,114)</f>
        <v>38</v>
      </c>
      <c r="E209" s="50">
        <f>VLOOKUP($A209,'Data shares'!$C:$FM,106)</f>
        <v>40.880000000000003</v>
      </c>
      <c r="F209" s="50">
        <f>VLOOKUP($A209,'Data shares'!$C:$FM,108)</f>
        <v>-3.38</v>
      </c>
      <c r="G209" s="50">
        <f t="shared" si="6"/>
        <v>0.91731898238747545</v>
      </c>
    </row>
    <row r="210" spans="1:7" x14ac:dyDescent="0.25">
      <c r="A210" s="49" t="str">
        <f>'Data Vlaue (Cr)'!C205</f>
        <v>UNITDSPR</v>
      </c>
      <c r="B210" s="50">
        <f>VLOOKUP($A210,'Data shares'!$C:$FM,102)</f>
        <v>26.06</v>
      </c>
      <c r="C210" s="50">
        <f>VLOOKUP($A210,'Data shares'!$C:$FM,110)</f>
        <v>25.7</v>
      </c>
      <c r="D210" s="50">
        <f>VLOOKUP($A210,'Data shares'!$C:$FM,114)</f>
        <v>26.95</v>
      </c>
      <c r="E210" s="50">
        <f>VLOOKUP($A210,'Data shares'!$C:$FM,106)</f>
        <v>26.65</v>
      </c>
      <c r="F210" s="50">
        <f>VLOOKUP($A210,'Data shares'!$C:$FM,108)</f>
        <v>-0.59</v>
      </c>
      <c r="G210" s="50">
        <f t="shared" si="6"/>
        <v>0.97786116322701688</v>
      </c>
    </row>
    <row r="211" spans="1:7" x14ac:dyDescent="0.25">
      <c r="A211" s="49" t="str">
        <f>'Data Vlaue (Cr)'!C206</f>
        <v>UNOMINDA</v>
      </c>
      <c r="B211" s="50">
        <f>VLOOKUP($A211,'Data shares'!$C:$FM,102)</f>
        <v>36.25</v>
      </c>
      <c r="C211" s="50">
        <f>VLOOKUP($A211,'Data shares'!$C:$FM,110)</f>
        <v>35.630000000000003</v>
      </c>
      <c r="D211" s="50">
        <f>VLOOKUP($A211,'Data shares'!$C:$FM,114)</f>
        <v>37.54</v>
      </c>
      <c r="E211" s="50">
        <f>VLOOKUP($A211,'Data shares'!$C:$FM,106)</f>
        <v>40.090000000000003</v>
      </c>
      <c r="F211" s="50">
        <f>VLOOKUP($A211,'Data shares'!$C:$FM,108)</f>
        <v>-3.84</v>
      </c>
      <c r="G211" s="50">
        <f t="shared" si="6"/>
        <v>0.90421551509104503</v>
      </c>
    </row>
    <row r="212" spans="1:7" x14ac:dyDescent="0.25">
      <c r="A212" s="49" t="str">
        <f>'Data Vlaue (Cr)'!C207</f>
        <v>UPL</v>
      </c>
      <c r="B212" s="50">
        <f>VLOOKUP($A212,'Data shares'!$C:$FM,102)</f>
        <v>34.409999999999997</v>
      </c>
      <c r="C212" s="50">
        <f>VLOOKUP($A212,'Data shares'!$C:$FM,110)</f>
        <v>33.96</v>
      </c>
      <c r="D212" s="50">
        <f>VLOOKUP($A212,'Data shares'!$C:$FM,114)</f>
        <v>35.299999999999997</v>
      </c>
      <c r="E212" s="50">
        <f>VLOOKUP($A212,'Data shares'!$C:$FM,106)</f>
        <v>33.78</v>
      </c>
      <c r="F212" s="50">
        <f>VLOOKUP($A212,'Data shares'!$C:$FM,108)</f>
        <v>0.63</v>
      </c>
      <c r="G212" s="50">
        <f t="shared" si="6"/>
        <v>1.0186500888099466</v>
      </c>
    </row>
    <row r="213" spans="1:7" x14ac:dyDescent="0.25">
      <c r="A213" s="49" t="str">
        <f>'Data Vlaue (Cr)'!C208</f>
        <v>VBL</v>
      </c>
      <c r="B213" s="50">
        <f>VLOOKUP($A213,'Data shares'!$C:$FM,102)</f>
        <v>34.53</v>
      </c>
      <c r="C213" s="50">
        <f>VLOOKUP($A213,'Data shares'!$C:$FM,110)</f>
        <v>33.72</v>
      </c>
      <c r="D213" s="50">
        <f>VLOOKUP($A213,'Data shares'!$C:$FM,114)</f>
        <v>35.49</v>
      </c>
      <c r="E213" s="50">
        <f>VLOOKUP($A213,'Data shares'!$C:$FM,106)</f>
        <v>36.75</v>
      </c>
      <c r="F213" s="50">
        <f>VLOOKUP($A213,'Data shares'!$C:$FM,108)</f>
        <v>-2.2200000000000002</v>
      </c>
      <c r="G213" s="50">
        <f t="shared" si="6"/>
        <v>0.93959183673469393</v>
      </c>
    </row>
    <row r="214" spans="1:7" x14ac:dyDescent="0.25">
      <c r="A214" s="49" t="str">
        <f>'Data Vlaue (Cr)'!C209</f>
        <v>VEDL</v>
      </c>
      <c r="B214" s="50">
        <f>VLOOKUP($A214,'Data shares'!$C:$FM,102)</f>
        <v>38.97</v>
      </c>
      <c r="C214" s="50">
        <f>VLOOKUP($A214,'Data shares'!$C:$FM,110)</f>
        <v>38.89</v>
      </c>
      <c r="D214" s="50">
        <f>VLOOKUP($A214,'Data shares'!$C:$FM,114)</f>
        <v>39.18</v>
      </c>
      <c r="E214" s="50">
        <f>VLOOKUP($A214,'Data shares'!$C:$FM,106)</f>
        <v>37.270000000000003</v>
      </c>
      <c r="F214" s="50">
        <f>VLOOKUP($A214,'Data shares'!$C:$FM,108)</f>
        <v>1.7</v>
      </c>
      <c r="G214" s="50">
        <f t="shared" si="6"/>
        <v>1.045613093640998</v>
      </c>
    </row>
    <row r="215" spans="1:7" x14ac:dyDescent="0.25">
      <c r="A215" s="49" t="str">
        <f>'Data Vlaue (Cr)'!C210</f>
        <v>VOLTAS</v>
      </c>
      <c r="B215" s="50">
        <f>VLOOKUP($A215,'Data shares'!$C:$FM,102)</f>
        <v>41.3</v>
      </c>
      <c r="C215" s="50">
        <f>VLOOKUP($A215,'Data shares'!$C:$FM,110)</f>
        <v>40.64</v>
      </c>
      <c r="D215" s="50">
        <f>VLOOKUP($A215,'Data shares'!$C:$FM,114)</f>
        <v>43.18</v>
      </c>
      <c r="E215" s="50">
        <f>VLOOKUP($A215,'Data shares'!$C:$FM,106)</f>
        <v>36.51</v>
      </c>
      <c r="F215" s="50">
        <f>VLOOKUP($A215,'Data shares'!$C:$FM,108)</f>
        <v>4.79</v>
      </c>
      <c r="G215" s="50">
        <f t="shared" si="6"/>
        <v>1.1311969323473021</v>
      </c>
    </row>
    <row r="216" spans="1:7" x14ac:dyDescent="0.25">
      <c r="A216" s="49" t="str">
        <f>'Data Vlaue (Cr)'!C211</f>
        <v>WAAREEENER</v>
      </c>
      <c r="B216" s="50">
        <f>VLOOKUP($A216,'Data shares'!$C:$FM,102)</f>
        <v>39.340000000000003</v>
      </c>
      <c r="C216" s="50">
        <f>VLOOKUP($A216,'Data shares'!$C:$FM,110)</f>
        <v>38.6</v>
      </c>
      <c r="D216" s="50">
        <f>VLOOKUP($A216,'Data shares'!$C:$FM,114)</f>
        <v>41.42</v>
      </c>
      <c r="E216" s="50">
        <f>VLOOKUP($A216,'Data shares'!$C:$FM,106)</f>
        <v>50.27</v>
      </c>
      <c r="F216" s="50">
        <f>VLOOKUP($A216,'Data shares'!$C:$FM,108)</f>
        <v>-10.93</v>
      </c>
      <c r="G216" s="50">
        <f t="shared" si="6"/>
        <v>0.78257409986075199</v>
      </c>
    </row>
    <row r="217" spans="1:7" x14ac:dyDescent="0.25">
      <c r="A217" s="49" t="str">
        <f>'Data Vlaue (Cr)'!C212</f>
        <v>WIPRO</v>
      </c>
      <c r="B217" s="50">
        <f>VLOOKUP($A217,'Data shares'!$C:$FM,102)</f>
        <v>23.96</v>
      </c>
      <c r="C217" s="50">
        <f>VLOOKUP($A217,'Data shares'!$C:$FM,110)</f>
        <v>23.85</v>
      </c>
      <c r="D217" s="50">
        <f>VLOOKUP($A217,'Data shares'!$C:$FM,114)</f>
        <v>24.2</v>
      </c>
      <c r="E217" s="50">
        <f>VLOOKUP($A217,'Data shares'!$C:$FM,106)</f>
        <v>31.01</v>
      </c>
      <c r="F217" s="50">
        <f>VLOOKUP($A217,'Data shares'!$C:$FM,108)</f>
        <v>-7.05</v>
      </c>
      <c r="G217" s="50">
        <f t="shared" si="6"/>
        <v>0.7726539825862625</v>
      </c>
    </row>
    <row r="218" spans="1:7" x14ac:dyDescent="0.25">
      <c r="A218" s="49" t="str">
        <f>'Data Vlaue (Cr)'!C213</f>
        <v>YESBANK</v>
      </c>
      <c r="B218" s="50">
        <f>VLOOKUP($A218,'Data shares'!$C:$FM,102)</f>
        <v>34.159999999999997</v>
      </c>
      <c r="C218" s="50">
        <f>VLOOKUP($A218,'Data shares'!$C:$FM,110)</f>
        <v>34.99</v>
      </c>
      <c r="D218" s="50">
        <f>VLOOKUP($A218,'Data shares'!$C:$FM,114)</f>
        <v>32.119999999999997</v>
      </c>
      <c r="E218" s="50">
        <f>VLOOKUP($A218,'Data shares'!$C:$FM,106)</f>
        <v>39.32</v>
      </c>
      <c r="F218" s="50">
        <f>VLOOKUP($A218,'Data shares'!$C:$FM,108)</f>
        <v>-5.16</v>
      </c>
      <c r="G218" s="50">
        <f t="shared" si="6"/>
        <v>0.86876907426246175</v>
      </c>
    </row>
    <row r="219" spans="1:7" x14ac:dyDescent="0.25">
      <c r="A219" s="49"/>
      <c r="B219" s="50"/>
      <c r="C219" s="50"/>
      <c r="D219" s="50"/>
      <c r="E219" s="50"/>
      <c r="F219" s="50"/>
      <c r="G219" s="50"/>
    </row>
    <row r="220" spans="1:7" x14ac:dyDescent="0.25">
      <c r="A220" s="49" t="str">
        <f>'Data Vlaue (Cr)'!C214</f>
        <v>ZYDUSLIFE</v>
      </c>
      <c r="B220" s="50">
        <f>VLOOKUP($A220,'Data shares'!$C:$FM,102)</f>
        <v>26.45</v>
      </c>
      <c r="C220" s="50">
        <f>VLOOKUP($A220,'Data shares'!$C:$FM,110)</f>
        <v>26.03</v>
      </c>
      <c r="D220" s="50">
        <f>VLOOKUP($A220,'Data shares'!$C:$FM,114)</f>
        <v>26.95</v>
      </c>
      <c r="E220" s="50">
        <f>VLOOKUP($A220,'Data shares'!$C:$FM,106)</f>
        <v>27.17</v>
      </c>
      <c r="F220" s="50">
        <f>VLOOKUP($A220,'Data shares'!$C:$FM,108)</f>
        <v>-0.72</v>
      </c>
      <c r="G220" s="50">
        <f t="shared" si="6"/>
        <v>0.97350018402649974</v>
      </c>
    </row>
  </sheetData>
  <autoFilter ref="A4:G6">
    <sortState ref="A9:G189">
      <sortCondition ref="A4:A6"/>
    </sortState>
  </autoFilter>
  <mergeCells count="5">
    <mergeCell ref="A3:G3"/>
    <mergeCell ref="B4:G4"/>
    <mergeCell ref="B5:D5"/>
    <mergeCell ref="E5:G5"/>
    <mergeCell ref="A4:A6"/>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1"/>
  <sheetViews>
    <sheetView zoomScaleNormal="100" workbookViewId="0">
      <pane ySplit="4" topLeftCell="A203" activePane="bottomLeft" state="frozen"/>
      <selection pane="bottomLeft" activeCell="F225" sqref="F225"/>
    </sheetView>
  </sheetViews>
  <sheetFormatPr defaultRowHeight="15" x14ac:dyDescent="0.25"/>
  <cols>
    <col min="1" max="1" width="18.42578125" customWidth="1"/>
    <col min="2" max="2" width="20.5703125" customWidth="1"/>
    <col min="3" max="3" width="20" customWidth="1"/>
    <col min="4" max="4" width="15.42578125" customWidth="1"/>
    <col min="5" max="5" width="16.140625" hidden="1" customWidth="1"/>
    <col min="6" max="6" width="12.28515625" style="171" customWidth="1"/>
  </cols>
  <sheetData>
    <row r="1" spans="1:6" ht="28.5" hidden="1" customHeight="1" thickBot="1" x14ac:dyDescent="0.3"/>
    <row r="2" spans="1:6" ht="15.75" thickBot="1" x14ac:dyDescent="0.3">
      <c r="E2" s="163"/>
      <c r="F2" s="172"/>
    </row>
    <row r="3" spans="1:6" ht="21" customHeight="1" x14ac:dyDescent="0.25">
      <c r="A3" s="318" t="s">
        <v>416</v>
      </c>
      <c r="B3" s="319"/>
      <c r="C3" s="319"/>
      <c r="D3" s="319"/>
      <c r="E3" s="319"/>
      <c r="F3" s="319"/>
    </row>
    <row r="4" spans="1:6" s="107" customFormat="1" ht="16.5" customHeight="1" x14ac:dyDescent="0.25">
      <c r="A4" s="174" t="s">
        <v>366</v>
      </c>
      <c r="B4" s="76" t="s">
        <v>417</v>
      </c>
      <c r="C4" s="76" t="s">
        <v>412</v>
      </c>
      <c r="D4" s="162" t="s">
        <v>418</v>
      </c>
      <c r="E4" s="162" t="s">
        <v>419</v>
      </c>
      <c r="F4" s="162" t="s">
        <v>419</v>
      </c>
    </row>
    <row r="5" spans="1:6" x14ac:dyDescent="0.25">
      <c r="A5" s="99" t="s">
        <v>681</v>
      </c>
      <c r="B5" s="49">
        <v>36943219</v>
      </c>
      <c r="C5" s="49">
        <v>3415500</v>
      </c>
      <c r="D5" s="49">
        <v>2477096.0354550001</v>
      </c>
      <c r="E5" s="50">
        <f>VLOOKUP($A5,'Data shares'!$C:$FA,154)*100</f>
        <v>9.27</v>
      </c>
      <c r="F5" s="173">
        <f t="shared" ref="F5:F68" si="0">C5/B5</f>
        <v>9.2452690708949861E-2</v>
      </c>
    </row>
    <row r="6" spans="1:6" x14ac:dyDescent="0.25">
      <c r="A6" s="99" t="s">
        <v>553</v>
      </c>
      <c r="B6" s="49">
        <v>7946564</v>
      </c>
      <c r="C6" s="49">
        <v>3236000</v>
      </c>
      <c r="D6" s="49">
        <v>2085434.4642262501</v>
      </c>
      <c r="E6" s="50">
        <f>VLOOKUP($A6,'Data shares'!$C:$FA,154)*100</f>
        <v>41.33</v>
      </c>
      <c r="F6" s="173">
        <f t="shared" si="0"/>
        <v>0.40722002616476755</v>
      </c>
    </row>
    <row r="7" spans="1:6" x14ac:dyDescent="0.25">
      <c r="A7" s="99" t="s">
        <v>544</v>
      </c>
      <c r="B7" s="49">
        <v>122657000</v>
      </c>
      <c r="C7" s="49">
        <v>89617900</v>
      </c>
      <c r="D7" s="49">
        <v>75426680.145438999</v>
      </c>
      <c r="E7" s="50"/>
      <c r="F7" s="173">
        <f t="shared" si="0"/>
        <v>0.73063828399520614</v>
      </c>
    </row>
    <row r="8" spans="1:6" x14ac:dyDescent="0.25">
      <c r="A8" s="99" t="s">
        <v>579</v>
      </c>
      <c r="B8" s="49">
        <v>43791427</v>
      </c>
      <c r="C8" s="49">
        <v>26054325</v>
      </c>
      <c r="D8" s="49">
        <v>19183139.902741499</v>
      </c>
      <c r="E8" s="50">
        <f>VLOOKUP($A8,'Data shares'!$C:$FA,154)*100</f>
        <v>59.819999999999993</v>
      </c>
      <c r="F8" s="173">
        <f t="shared" si="0"/>
        <v>0.59496405540746589</v>
      </c>
    </row>
    <row r="9" spans="1:6" x14ac:dyDescent="0.25">
      <c r="A9" s="99" t="s">
        <v>159</v>
      </c>
      <c r="B9" s="49">
        <v>49117354</v>
      </c>
      <c r="C9" s="49">
        <v>30138624</v>
      </c>
      <c r="D9" s="49">
        <v>17332152.656273801</v>
      </c>
      <c r="E9" s="50">
        <f>VLOOKUP($A9,'Data shares'!$C:$FA,154)*100</f>
        <v>63.449999999999996</v>
      </c>
      <c r="F9" s="173">
        <f t="shared" si="0"/>
        <v>0.61360438919409221</v>
      </c>
    </row>
    <row r="10" spans="1:6" x14ac:dyDescent="0.25">
      <c r="A10" s="99" t="s">
        <v>606</v>
      </c>
      <c r="B10" s="49">
        <v>92816927</v>
      </c>
      <c r="C10" s="49">
        <v>34528800</v>
      </c>
      <c r="D10" s="49">
        <v>19788755.250138</v>
      </c>
      <c r="E10" s="50">
        <f>VLOOKUP($A10,'Data shares'!$C:$FA,154)*100</f>
        <v>37.72</v>
      </c>
      <c r="F10" s="173">
        <f t="shared" si="0"/>
        <v>0.37200973050960845</v>
      </c>
    </row>
    <row r="11" spans="1:6" x14ac:dyDescent="0.25">
      <c r="A11" s="99" t="s">
        <v>160</v>
      </c>
      <c r="B11" s="49">
        <v>84394936</v>
      </c>
      <c r="C11" s="49">
        <v>33533100</v>
      </c>
      <c r="D11" s="49">
        <v>23300949.664513499</v>
      </c>
      <c r="E11" s="50">
        <f>VLOOKUP($A11,'Data shares'!$C:$FA,154)*100</f>
        <v>40.33</v>
      </c>
      <c r="F11" s="173">
        <f t="shared" si="0"/>
        <v>0.39733545150149768</v>
      </c>
    </row>
    <row r="12" spans="1:6" x14ac:dyDescent="0.25">
      <c r="A12" s="99" t="s">
        <v>497</v>
      </c>
      <c r="B12" s="49">
        <v>7334235</v>
      </c>
      <c r="C12" s="49">
        <v>1350875</v>
      </c>
      <c r="D12" s="49">
        <v>1226216.4022649999</v>
      </c>
      <c r="E12" s="50">
        <f>VLOOKUP($A12,'Data shares'!$C:$FA,154)*100</f>
        <v>18.559999999999999</v>
      </c>
      <c r="F12" s="173">
        <f t="shared" si="0"/>
        <v>0.18418758057247961</v>
      </c>
    </row>
    <row r="13" spans="1:6" x14ac:dyDescent="0.25">
      <c r="A13" s="99" t="s">
        <v>680</v>
      </c>
      <c r="B13" s="49">
        <v>3257355</v>
      </c>
      <c r="C13" s="49">
        <v>1508500</v>
      </c>
      <c r="D13" s="49">
        <v>1177208.3151990001</v>
      </c>
      <c r="E13" s="50"/>
      <c r="F13" s="173">
        <f t="shared" si="0"/>
        <v>0.46310580210017022</v>
      </c>
    </row>
    <row r="14" spans="1:6" x14ac:dyDescent="0.25">
      <c r="A14" s="99" t="s">
        <v>164</v>
      </c>
      <c r="B14" s="49">
        <v>79841849</v>
      </c>
      <c r="C14" s="49">
        <v>61493250</v>
      </c>
      <c r="D14" s="49">
        <v>42130475.496186003</v>
      </c>
      <c r="E14" s="50">
        <f>VLOOKUP($A14,'Data shares'!$C:$FA,154)*100</f>
        <v>78.490000000000009</v>
      </c>
      <c r="F14" s="173">
        <f t="shared" si="0"/>
        <v>0.77018820042606984</v>
      </c>
    </row>
    <row r="15" spans="1:6" x14ac:dyDescent="0.25">
      <c r="A15" s="99" t="s">
        <v>609</v>
      </c>
      <c r="B15" s="49">
        <v>9673308</v>
      </c>
      <c r="C15" s="49">
        <v>4517750</v>
      </c>
      <c r="D15" s="49">
        <v>2981251.27195</v>
      </c>
      <c r="E15" s="50">
        <f>VLOOKUP($A15,'Data shares'!$C:$FA,154)*100</f>
        <v>48.42</v>
      </c>
      <c r="F15" s="173">
        <f t="shared" si="0"/>
        <v>0.46703258078828874</v>
      </c>
    </row>
    <row r="16" spans="1:6" x14ac:dyDescent="0.25">
      <c r="A16" s="99" t="s">
        <v>598</v>
      </c>
      <c r="B16" s="49">
        <v>23068453</v>
      </c>
      <c r="C16" s="49">
        <v>11481750</v>
      </c>
      <c r="D16" s="49">
        <v>9412071.5479910001</v>
      </c>
      <c r="E16" s="50">
        <f>VLOOKUP($A16,'Data shares'!$C:$FA,154)*100</f>
        <v>49.919999999999995</v>
      </c>
      <c r="F16" s="173">
        <f t="shared" si="0"/>
        <v>0.49772518339222832</v>
      </c>
    </row>
    <row r="17" spans="1:6" x14ac:dyDescent="0.25">
      <c r="A17" s="99" t="s">
        <v>165</v>
      </c>
      <c r="B17" s="49">
        <v>15524629</v>
      </c>
      <c r="C17" s="49">
        <v>4846250</v>
      </c>
      <c r="D17" s="49">
        <v>3614948.3840587498</v>
      </c>
      <c r="E17" s="50">
        <f>VLOOKUP($A17,'Data shares'!$C:$FA,154)*100</f>
        <v>31.569999999999997</v>
      </c>
      <c r="F17" s="173">
        <f t="shared" si="0"/>
        <v>0.31216526977874964</v>
      </c>
    </row>
    <row r="18" spans="1:6" x14ac:dyDescent="0.25">
      <c r="A18" s="99" t="s">
        <v>167</v>
      </c>
      <c r="B18" s="49">
        <v>423719104</v>
      </c>
      <c r="C18" s="49">
        <v>218025000</v>
      </c>
      <c r="D18" s="49">
        <v>142312144.41639999</v>
      </c>
      <c r="E18" s="50">
        <f>VLOOKUP($A18,'Data shares'!$C:$FA,154)*100</f>
        <v>52.22</v>
      </c>
      <c r="F18" s="173">
        <f t="shared" si="0"/>
        <v>0.51455079070496668</v>
      </c>
    </row>
    <row r="19" spans="1:6" x14ac:dyDescent="0.25">
      <c r="A19" s="99" t="s">
        <v>169</v>
      </c>
      <c r="B19" s="49">
        <v>49389162</v>
      </c>
      <c r="C19" s="49">
        <v>21743500</v>
      </c>
      <c r="D19" s="49">
        <v>13294892.7622975</v>
      </c>
      <c r="E19" s="50"/>
      <c r="F19" s="173">
        <f t="shared" si="0"/>
        <v>0.44024840915502877</v>
      </c>
    </row>
    <row r="20" spans="1:6" x14ac:dyDescent="0.25">
      <c r="A20" s="99" t="s">
        <v>503</v>
      </c>
      <c r="B20" s="49">
        <v>18450534</v>
      </c>
      <c r="C20" s="49">
        <v>8929675</v>
      </c>
      <c r="D20" s="49">
        <v>6388954.0908580003</v>
      </c>
      <c r="E20" s="50">
        <f>VLOOKUP($A20,'Data shares'!$C:$FA,154)*100</f>
        <v>48.75</v>
      </c>
      <c r="F20" s="173">
        <f t="shared" si="0"/>
        <v>0.48397921707848673</v>
      </c>
    </row>
    <row r="21" spans="1:6" x14ac:dyDescent="0.25">
      <c r="A21" s="99" t="s">
        <v>495</v>
      </c>
      <c r="B21" s="49">
        <v>86371921</v>
      </c>
      <c r="C21" s="49">
        <v>29805000</v>
      </c>
      <c r="D21" s="49">
        <v>22654696.882440001</v>
      </c>
      <c r="E21" s="50">
        <f>VLOOKUP($A21,'Data shares'!$C:$FA,154)*100</f>
        <v>35.22</v>
      </c>
      <c r="F21" s="173">
        <f t="shared" si="0"/>
        <v>0.34507742394660879</v>
      </c>
    </row>
    <row r="22" spans="1:6" x14ac:dyDescent="0.25">
      <c r="A22" s="99" t="s">
        <v>171</v>
      </c>
      <c r="B22" s="49">
        <v>41977935</v>
      </c>
      <c r="C22" s="49">
        <v>23700050</v>
      </c>
      <c r="D22" s="49">
        <v>19492451.225351501</v>
      </c>
      <c r="E22" s="50">
        <f>VLOOKUP($A22,'Data shares'!$C:$FA,154)*100</f>
        <v>56.63</v>
      </c>
      <c r="F22" s="173">
        <f t="shared" si="0"/>
        <v>0.56458351274306373</v>
      </c>
    </row>
    <row r="23" spans="1:6" x14ac:dyDescent="0.25">
      <c r="A23" s="99" t="s">
        <v>173</v>
      </c>
      <c r="B23" s="49">
        <v>296371456</v>
      </c>
      <c r="C23" s="49">
        <v>104109375</v>
      </c>
      <c r="D23" s="49">
        <v>80168670.097562507</v>
      </c>
      <c r="E23" s="50">
        <f>VLOOKUP($A23,'Data shares'!$C:$FA,154)*100</f>
        <v>35.58</v>
      </c>
      <c r="F23" s="173">
        <f t="shared" si="0"/>
        <v>0.3512800335265755</v>
      </c>
    </row>
    <row r="24" spans="1:6" x14ac:dyDescent="0.25">
      <c r="A24" s="99" t="s">
        <v>174</v>
      </c>
      <c r="B24" s="49">
        <v>15906526</v>
      </c>
      <c r="C24" s="49">
        <v>4173600</v>
      </c>
      <c r="D24" s="49">
        <v>2987342.1506940001</v>
      </c>
      <c r="E24" s="50">
        <f>VLOOKUP($A24,'Data shares'!$C:$FA,154)*100</f>
        <v>26.669999999999998</v>
      </c>
      <c r="F24" s="173">
        <f t="shared" si="0"/>
        <v>0.26238287354510975</v>
      </c>
    </row>
    <row r="25" spans="1:6" x14ac:dyDescent="0.25">
      <c r="A25" s="99" t="s">
        <v>176</v>
      </c>
      <c r="B25" s="49">
        <v>65701623</v>
      </c>
      <c r="C25" s="49">
        <v>18529000</v>
      </c>
      <c r="D25" s="49">
        <v>14687228.352375001</v>
      </c>
      <c r="E25" s="50">
        <f>VLOOKUP($A25,'Data shares'!$C:$FA,154)*100</f>
        <v>28.32</v>
      </c>
      <c r="F25" s="173">
        <f t="shared" si="0"/>
        <v>0.28201738638937429</v>
      </c>
    </row>
    <row r="26" spans="1:6" x14ac:dyDescent="0.25">
      <c r="A26" s="99" t="s">
        <v>690</v>
      </c>
      <c r="B26" s="49">
        <v>5401993</v>
      </c>
      <c r="C26" s="49">
        <v>251600</v>
      </c>
      <c r="D26" s="49">
        <v>198642.2314665</v>
      </c>
      <c r="E26" s="50">
        <f>VLOOKUP($A26,'Data shares'!$C:$FA,154)*100</f>
        <v>4.7</v>
      </c>
      <c r="F26" s="173">
        <f t="shared" si="0"/>
        <v>4.6575402818922571E-2</v>
      </c>
    </row>
    <row r="27" spans="1:6" x14ac:dyDescent="0.25">
      <c r="A27" s="99" t="s">
        <v>177</v>
      </c>
      <c r="B27" s="49">
        <v>317526833</v>
      </c>
      <c r="C27" s="49">
        <v>113960250</v>
      </c>
      <c r="D27" s="49">
        <v>90979106.700337499</v>
      </c>
      <c r="E27" s="50">
        <f>VLOOKUP($A27,'Data shares'!$C:$FA,154)*100</f>
        <v>36.230000000000004</v>
      </c>
      <c r="F27" s="173">
        <f t="shared" si="0"/>
        <v>0.35889958944036709</v>
      </c>
    </row>
    <row r="28" spans="1:6" x14ac:dyDescent="0.25">
      <c r="A28" s="99" t="s">
        <v>179</v>
      </c>
      <c r="B28" s="49">
        <v>144289555</v>
      </c>
      <c r="C28" s="49">
        <v>132530400</v>
      </c>
      <c r="D28" s="49">
        <v>98475769.092455998</v>
      </c>
      <c r="E28" s="50"/>
      <c r="F28" s="173">
        <f t="shared" si="0"/>
        <v>0.91850307529190178</v>
      </c>
    </row>
    <row r="29" spans="1:6" x14ac:dyDescent="0.25">
      <c r="A29" s="99" t="s">
        <v>180</v>
      </c>
      <c r="B29" s="49">
        <v>279476623</v>
      </c>
      <c r="C29" s="49">
        <v>123818175</v>
      </c>
      <c r="D29" s="49">
        <v>80125389.621546701</v>
      </c>
      <c r="E29" s="50">
        <f>VLOOKUP($A29,'Data shares'!$C:$FA,154)*100</f>
        <v>45.17</v>
      </c>
      <c r="F29" s="173">
        <f t="shared" si="0"/>
        <v>0.44303589212898137</v>
      </c>
    </row>
    <row r="30" spans="1:6" x14ac:dyDescent="0.25">
      <c r="A30" s="99" t="s">
        <v>602</v>
      </c>
      <c r="B30" s="49">
        <v>181770921</v>
      </c>
      <c r="C30" s="49">
        <v>76902800</v>
      </c>
      <c r="D30" s="49">
        <v>48956922.059292004</v>
      </c>
      <c r="E30" s="50">
        <f>VLOOKUP($A30,'Data shares'!$C:$FA,154)*100</f>
        <v>42.970000000000006</v>
      </c>
      <c r="F30" s="173">
        <f t="shared" si="0"/>
        <v>0.42307537188525329</v>
      </c>
    </row>
    <row r="31" spans="1:6" x14ac:dyDescent="0.25">
      <c r="A31" s="99" t="s">
        <v>670</v>
      </c>
      <c r="B31" s="49">
        <v>13786716</v>
      </c>
      <c r="C31" s="49">
        <v>8560650</v>
      </c>
      <c r="D31" s="49">
        <v>4538088.4476619996</v>
      </c>
      <c r="E31" s="50">
        <f>VLOOKUP($A31,'Data shares'!$C:$FA,154)*100</f>
        <v>62.7</v>
      </c>
      <c r="F31" s="173">
        <f t="shared" si="0"/>
        <v>0.62093467363801502</v>
      </c>
    </row>
    <row r="32" spans="1:6" x14ac:dyDescent="0.25">
      <c r="A32" s="99" t="s">
        <v>185</v>
      </c>
      <c r="B32" s="49">
        <v>535778534</v>
      </c>
      <c r="C32" s="49">
        <v>201903975</v>
      </c>
      <c r="D32" s="49">
        <v>125793220.537397</v>
      </c>
      <c r="E32" s="50"/>
      <c r="F32" s="173">
        <f t="shared" si="0"/>
        <v>0.37684222526167871</v>
      </c>
    </row>
    <row r="33" spans="1:6" x14ac:dyDescent="0.25">
      <c r="A33" s="99" t="s">
        <v>187</v>
      </c>
      <c r="B33" s="49">
        <v>40107751</v>
      </c>
      <c r="C33" s="49">
        <v>9116000</v>
      </c>
      <c r="D33" s="49">
        <v>6649407.2138599996</v>
      </c>
      <c r="E33" s="50">
        <f>VLOOKUP($A33,'Data shares'!$C:$FA,154)*100</f>
        <v>23.04</v>
      </c>
      <c r="F33" s="173">
        <f t="shared" si="0"/>
        <v>0.22728773797364005</v>
      </c>
    </row>
    <row r="34" spans="1:6" x14ac:dyDescent="0.25">
      <c r="A34" s="99" t="s">
        <v>189</v>
      </c>
      <c r="B34" s="49">
        <v>367085962</v>
      </c>
      <c r="C34" s="49">
        <v>64246125</v>
      </c>
      <c r="D34" s="49">
        <v>54673902.783014998</v>
      </c>
      <c r="E34" s="50"/>
      <c r="F34" s="173">
        <f t="shared" si="0"/>
        <v>0.17501656737284876</v>
      </c>
    </row>
    <row r="35" spans="1:6" x14ac:dyDescent="0.25">
      <c r="A35" s="99" t="s">
        <v>190</v>
      </c>
      <c r="B35" s="49">
        <v>192361942</v>
      </c>
      <c r="C35" s="49">
        <v>136206000</v>
      </c>
      <c r="D35" s="49">
        <v>73028145.280518696</v>
      </c>
      <c r="E35" s="50">
        <f>VLOOKUP($A35,'Data shares'!$C:$FA,154)*100</f>
        <v>72.31</v>
      </c>
      <c r="F35" s="173">
        <f t="shared" si="0"/>
        <v>0.70807145417569139</v>
      </c>
    </row>
    <row r="36" spans="1:6" x14ac:dyDescent="0.25">
      <c r="A36" s="99" t="s">
        <v>191</v>
      </c>
      <c r="B36" s="49">
        <v>91057772</v>
      </c>
      <c r="C36" s="49">
        <v>54255000</v>
      </c>
      <c r="D36" s="49">
        <v>34914971.129924998</v>
      </c>
      <c r="E36" s="50">
        <f>VLOOKUP($A36,'Data shares'!$C:$FA,154)*100</f>
        <v>60.589999999999996</v>
      </c>
      <c r="F36" s="173">
        <f t="shared" si="0"/>
        <v>0.59583052394473257</v>
      </c>
    </row>
    <row r="37" spans="1:6" x14ac:dyDescent="0.25">
      <c r="A37" s="99" t="s">
        <v>678</v>
      </c>
      <c r="B37" s="49">
        <v>17213286</v>
      </c>
      <c r="C37" s="49">
        <v>2895750</v>
      </c>
      <c r="D37" s="49">
        <v>2052695.5370674999</v>
      </c>
      <c r="E37" s="50">
        <f>VLOOKUP($A37,'Data shares'!$C:$FA,154)*100</f>
        <v>16.939999999999998</v>
      </c>
      <c r="F37" s="173">
        <f t="shared" si="0"/>
        <v>0.16822761208987058</v>
      </c>
    </row>
    <row r="38" spans="1:6" x14ac:dyDescent="0.25">
      <c r="A38" s="99" t="s">
        <v>192</v>
      </c>
      <c r="B38" s="49">
        <v>882048</v>
      </c>
      <c r="C38" s="49">
        <v>271800</v>
      </c>
      <c r="D38" s="49">
        <v>180384.95860975</v>
      </c>
      <c r="E38" s="50">
        <f>VLOOKUP($A38,'Data shares'!$C:$FA,154)*100</f>
        <v>30.990000000000002</v>
      </c>
      <c r="F38" s="173">
        <f t="shared" si="0"/>
        <v>0.30814649542882022</v>
      </c>
    </row>
    <row r="39" spans="1:6" x14ac:dyDescent="0.25">
      <c r="A39" s="99" t="s">
        <v>194</v>
      </c>
      <c r="B39" s="49">
        <v>306020745</v>
      </c>
      <c r="C39" s="49">
        <v>47804875</v>
      </c>
      <c r="D39" s="49">
        <v>33090117.460840199</v>
      </c>
      <c r="E39" s="50">
        <f>VLOOKUP($A39,'Data shares'!$C:$FA,154)*100</f>
        <v>15.909999999999998</v>
      </c>
      <c r="F39" s="173">
        <f t="shared" si="0"/>
        <v>0.15621449127574669</v>
      </c>
    </row>
    <row r="40" spans="1:6" x14ac:dyDescent="0.25">
      <c r="A40" s="99" t="s">
        <v>195</v>
      </c>
      <c r="B40" s="49">
        <v>16370935</v>
      </c>
      <c r="C40" s="49">
        <v>3879750</v>
      </c>
      <c r="D40" s="49">
        <v>3276151.7265562499</v>
      </c>
      <c r="E40" s="50">
        <f>VLOOKUP($A40,'Data shares'!$C:$FA,154)*100</f>
        <v>24.13</v>
      </c>
      <c r="F40" s="173">
        <f t="shared" si="0"/>
        <v>0.23699012915267209</v>
      </c>
    </row>
    <row r="41" spans="1:6" x14ac:dyDescent="0.25">
      <c r="A41" s="99" t="s">
        <v>584</v>
      </c>
      <c r="B41" s="49">
        <v>61094861</v>
      </c>
      <c r="C41" s="49">
        <v>16308000</v>
      </c>
      <c r="D41" s="49">
        <v>9393927.3498637509</v>
      </c>
      <c r="E41" s="50">
        <f>VLOOKUP($A41,'Data shares'!$C:$FA,154)*100</f>
        <v>27.900000000000002</v>
      </c>
      <c r="F41" s="173">
        <f t="shared" si="0"/>
        <v>0.26692916119409782</v>
      </c>
    </row>
    <row r="42" spans="1:6" x14ac:dyDescent="0.25">
      <c r="A42" s="99" t="s">
        <v>611</v>
      </c>
      <c r="B42" s="49">
        <v>37122288</v>
      </c>
      <c r="C42" s="49">
        <v>10044000</v>
      </c>
      <c r="D42" s="49">
        <v>6320578.8665324999</v>
      </c>
      <c r="E42" s="50">
        <f>VLOOKUP($A42,'Data shares'!$C:$FA,154)*100</f>
        <v>27.889999999999997</v>
      </c>
      <c r="F42" s="173">
        <f t="shared" si="0"/>
        <v>0.27056521947138601</v>
      </c>
    </row>
    <row r="43" spans="1:6" x14ac:dyDescent="0.25">
      <c r="A43" s="99" t="s">
        <v>196</v>
      </c>
      <c r="B43" s="49">
        <v>504315430</v>
      </c>
      <c r="C43" s="49">
        <v>245214000</v>
      </c>
      <c r="D43" s="49">
        <v>138543350.343097</v>
      </c>
      <c r="E43" s="50">
        <f>VLOOKUP($A43,'Data shares'!$C:$FA,154)*100</f>
        <v>49.71</v>
      </c>
      <c r="F43" s="173">
        <f t="shared" si="0"/>
        <v>0.48623140481741756</v>
      </c>
    </row>
    <row r="44" spans="1:6" x14ac:dyDescent="0.25">
      <c r="A44" s="99" t="s">
        <v>597</v>
      </c>
      <c r="B44" s="49">
        <v>26647500</v>
      </c>
      <c r="C44" s="49">
        <v>18882675</v>
      </c>
      <c r="D44" s="49">
        <v>9105251.5030324999</v>
      </c>
      <c r="E44" s="50">
        <f>VLOOKUP($A44,'Data shares'!$C:$FA,154)*100</f>
        <v>71.760000000000005</v>
      </c>
      <c r="F44" s="173">
        <f t="shared" si="0"/>
        <v>0.70860962566844921</v>
      </c>
    </row>
    <row r="45" spans="1:6" x14ac:dyDescent="0.25">
      <c r="A45" s="99" t="s">
        <v>612</v>
      </c>
      <c r="B45" s="49">
        <v>103060454</v>
      </c>
      <c r="C45" s="49">
        <v>29612300</v>
      </c>
      <c r="D45" s="49">
        <v>18164234.013528999</v>
      </c>
      <c r="E45" s="50">
        <f>VLOOKUP($A45,'Data shares'!$C:$FA,154)*100</f>
        <v>29.160000000000004</v>
      </c>
      <c r="F45" s="173">
        <f t="shared" si="0"/>
        <v>0.2873294154128217</v>
      </c>
    </row>
    <row r="46" spans="1:6" x14ac:dyDescent="0.25">
      <c r="A46" s="99" t="s">
        <v>198</v>
      </c>
      <c r="B46" s="49">
        <v>63257923</v>
      </c>
      <c r="C46" s="49">
        <v>17335000</v>
      </c>
      <c r="D46" s="49">
        <v>14773974.135312499</v>
      </c>
      <c r="E46" s="50">
        <f>VLOOKUP($A46,'Data shares'!$C:$FA,154)*100</f>
        <v>28.01</v>
      </c>
      <c r="F46" s="173">
        <f t="shared" si="0"/>
        <v>0.27403681907166</v>
      </c>
    </row>
    <row r="47" spans="1:6" x14ac:dyDescent="0.25">
      <c r="A47" s="99" t="s">
        <v>199</v>
      </c>
      <c r="B47" s="49">
        <v>59297360</v>
      </c>
      <c r="C47" s="49">
        <v>20541000</v>
      </c>
      <c r="D47" s="49">
        <v>14421396.521456201</v>
      </c>
      <c r="E47" s="50">
        <f>VLOOKUP($A47,'Data shares'!$C:$FA,154)*100</f>
        <v>35.44</v>
      </c>
      <c r="F47" s="173">
        <f t="shared" si="0"/>
        <v>0.3464066528425549</v>
      </c>
    </row>
    <row r="48" spans="1:6" x14ac:dyDescent="0.25">
      <c r="A48" s="99" t="s">
        <v>200</v>
      </c>
      <c r="B48" s="49">
        <v>278206904</v>
      </c>
      <c r="C48" s="49">
        <v>70726500</v>
      </c>
      <c r="D48" s="49">
        <v>38123087.148076497</v>
      </c>
      <c r="E48" s="50">
        <f>VLOOKUP($A48,'Data shares'!$C:$FA,154)*100</f>
        <v>25.81</v>
      </c>
      <c r="F48" s="173">
        <f t="shared" si="0"/>
        <v>0.25422266300048396</v>
      </c>
    </row>
    <row r="49" spans="1:6" x14ac:dyDescent="0.25">
      <c r="A49" s="99" t="s">
        <v>470</v>
      </c>
      <c r="B49" s="49">
        <v>50189409</v>
      </c>
      <c r="C49" s="49">
        <v>16644375</v>
      </c>
      <c r="D49" s="49">
        <v>12183520.1655562</v>
      </c>
      <c r="E49" s="50">
        <f>VLOOKUP($A49,'Data shares'!$C:$FA,154)*100</f>
        <v>34.17</v>
      </c>
      <c r="F49" s="173">
        <f t="shared" si="0"/>
        <v>0.33163122124032185</v>
      </c>
    </row>
    <row r="50" spans="1:6" x14ac:dyDescent="0.25">
      <c r="A50" s="99" t="s">
        <v>201</v>
      </c>
      <c r="B50" s="49">
        <v>19546143</v>
      </c>
      <c r="C50" s="49">
        <v>6879600</v>
      </c>
      <c r="D50" s="49">
        <v>4784719.1950507499</v>
      </c>
      <c r="E50" s="50">
        <f>VLOOKUP($A50,'Data shares'!$C:$FA,154)*100</f>
        <v>35.43</v>
      </c>
      <c r="F50" s="173">
        <f t="shared" si="0"/>
        <v>0.35196713745520025</v>
      </c>
    </row>
    <row r="51" spans="1:6" x14ac:dyDescent="0.25">
      <c r="A51" s="99" t="s">
        <v>202</v>
      </c>
      <c r="B51" s="49">
        <v>51639257</v>
      </c>
      <c r="C51" s="49">
        <v>45585000</v>
      </c>
      <c r="D51" s="49">
        <v>28551833.883587498</v>
      </c>
      <c r="E51" s="50">
        <f>VLOOKUP($A51,'Data shares'!$C:$FA,154)*100</f>
        <v>89.72</v>
      </c>
      <c r="F51" s="173">
        <f t="shared" si="0"/>
        <v>0.88275863457911485</v>
      </c>
    </row>
    <row r="52" spans="1:6" x14ac:dyDescent="0.25">
      <c r="A52" s="99" t="s">
        <v>523</v>
      </c>
      <c r="B52" s="49">
        <v>96587231</v>
      </c>
      <c r="C52" s="49">
        <v>66709800</v>
      </c>
      <c r="D52" s="49">
        <v>47008665.138654001</v>
      </c>
      <c r="E52" s="50">
        <f>VLOOKUP($A52,'Data shares'!$C:$FA,154)*100</f>
        <v>69.5</v>
      </c>
      <c r="F52" s="173">
        <f t="shared" si="0"/>
        <v>0.69066893531713314</v>
      </c>
    </row>
    <row r="53" spans="1:6" x14ac:dyDescent="0.25">
      <c r="A53" s="99" t="s">
        <v>203</v>
      </c>
      <c r="B53" s="49">
        <v>19131188</v>
      </c>
      <c r="C53" s="49">
        <v>3990000</v>
      </c>
      <c r="D53" s="49">
        <v>3363785.0667880001</v>
      </c>
      <c r="E53" s="50">
        <f>VLOOKUP($A53,'Data shares'!$C:$FA,154)*100</f>
        <v>21.27</v>
      </c>
      <c r="F53" s="173">
        <f t="shared" si="0"/>
        <v>0.20855997024335343</v>
      </c>
    </row>
    <row r="54" spans="1:6" x14ac:dyDescent="0.25">
      <c r="A54" s="99" t="s">
        <v>204</v>
      </c>
      <c r="B54" s="49">
        <v>89873278</v>
      </c>
      <c r="C54" s="49">
        <v>31777500</v>
      </c>
      <c r="D54" s="49">
        <v>23363513.083025001</v>
      </c>
      <c r="E54" s="50">
        <f>VLOOKUP($A54,'Data shares'!$C:$FA,154)*100</f>
        <v>35.64</v>
      </c>
      <c r="F54" s="173">
        <f t="shared" si="0"/>
        <v>0.35358118349705681</v>
      </c>
    </row>
    <row r="55" spans="1:6" x14ac:dyDescent="0.25">
      <c r="A55" s="99" t="s">
        <v>524</v>
      </c>
      <c r="B55" s="49">
        <v>12425041</v>
      </c>
      <c r="C55" s="49">
        <v>3689400</v>
      </c>
      <c r="D55" s="49">
        <v>2678038.01694</v>
      </c>
      <c r="E55" s="50">
        <f>VLOOKUP($A55,'Data shares'!$C:$FA,154)*100</f>
        <v>29.99</v>
      </c>
      <c r="F55" s="173">
        <f t="shared" si="0"/>
        <v>0.29693262179175101</v>
      </c>
    </row>
    <row r="56" spans="1:6" x14ac:dyDescent="0.25">
      <c r="A56" s="99" t="s">
        <v>600</v>
      </c>
      <c r="B56" s="49">
        <v>112112283</v>
      </c>
      <c r="C56" s="49">
        <v>32224750</v>
      </c>
      <c r="D56" s="49">
        <v>24389637.874589998</v>
      </c>
      <c r="E56" s="50">
        <f>VLOOKUP($A56,'Data shares'!$C:$FA,154)*100</f>
        <v>29.03</v>
      </c>
      <c r="F56" s="173">
        <f t="shared" si="0"/>
        <v>0.28743282303866741</v>
      </c>
    </row>
    <row r="57" spans="1:6" x14ac:dyDescent="0.25">
      <c r="A57" s="99" t="s">
        <v>205</v>
      </c>
      <c r="B57" s="49">
        <v>14898112</v>
      </c>
      <c r="C57" s="49">
        <v>4046400</v>
      </c>
      <c r="D57" s="49">
        <v>3211118.2093110001</v>
      </c>
      <c r="E57" s="50">
        <f>VLOOKUP($A57,'Data shares'!$C:$FA,154)*100</f>
        <v>27.279999999999998</v>
      </c>
      <c r="F57" s="173">
        <f t="shared" si="0"/>
        <v>0.27160488523646487</v>
      </c>
    </row>
    <row r="58" spans="1:6" x14ac:dyDescent="0.25">
      <c r="A58" s="99" t="s">
        <v>512</v>
      </c>
      <c r="B58" s="49">
        <v>6452220</v>
      </c>
      <c r="C58" s="49">
        <v>4723150</v>
      </c>
      <c r="D58" s="49">
        <v>2753255.4234024999</v>
      </c>
      <c r="E58" s="50">
        <f>VLOOKUP($A58,'Data shares'!$C:$FA,154)*100</f>
        <v>74.429999999999993</v>
      </c>
      <c r="F58" s="173">
        <f t="shared" si="0"/>
        <v>0.73201936697756742</v>
      </c>
    </row>
    <row r="59" spans="1:6" x14ac:dyDescent="0.25">
      <c r="A59" s="99" t="s">
        <v>207</v>
      </c>
      <c r="B59" s="49">
        <v>96058266</v>
      </c>
      <c r="C59" s="49">
        <v>76859475</v>
      </c>
      <c r="D59" s="49">
        <v>54375715.814400703</v>
      </c>
      <c r="E59" s="50">
        <f>VLOOKUP($A59,'Data shares'!$C:$FA,154)*100</f>
        <v>80.849999999999994</v>
      </c>
      <c r="F59" s="173">
        <f t="shared" si="0"/>
        <v>0.8001338999810802</v>
      </c>
    </row>
    <row r="60" spans="1:6" x14ac:dyDescent="0.25">
      <c r="A60" s="99" t="s">
        <v>583</v>
      </c>
      <c r="B60" s="49">
        <v>18750186</v>
      </c>
      <c r="C60" s="49">
        <v>6918000</v>
      </c>
      <c r="D60" s="49">
        <v>4198523.008773</v>
      </c>
      <c r="E60" s="50">
        <f>VLOOKUP($A60,'Data shares'!$C:$FA,154)*100</f>
        <v>37.409999999999997</v>
      </c>
      <c r="F60" s="173">
        <f t="shared" si="0"/>
        <v>0.36895633995310767</v>
      </c>
    </row>
    <row r="61" spans="1:6" x14ac:dyDescent="0.25">
      <c r="A61" s="99" t="s">
        <v>208</v>
      </c>
      <c r="B61" s="49">
        <v>91531454</v>
      </c>
      <c r="C61" s="49">
        <v>19185000</v>
      </c>
      <c r="D61" s="49">
        <v>14390071.5833</v>
      </c>
      <c r="E61" s="50"/>
      <c r="F61" s="173">
        <f t="shared" si="0"/>
        <v>0.20960007911597253</v>
      </c>
    </row>
    <row r="62" spans="1:6" x14ac:dyDescent="0.25">
      <c r="A62" s="99" t="s">
        <v>209</v>
      </c>
      <c r="B62" s="49">
        <v>19199175</v>
      </c>
      <c r="C62" s="49">
        <v>4481600</v>
      </c>
      <c r="D62" s="49">
        <v>3040423.7732500001</v>
      </c>
      <c r="E62" s="50"/>
      <c r="F62" s="173">
        <f t="shared" si="0"/>
        <v>0.23342669672004135</v>
      </c>
    </row>
    <row r="63" spans="1:6" x14ac:dyDescent="0.25">
      <c r="A63" s="99" t="s">
        <v>666</v>
      </c>
      <c r="B63" s="49">
        <v>1251309857</v>
      </c>
      <c r="C63" s="49">
        <v>425580225</v>
      </c>
      <c r="D63" s="49">
        <v>320947828.53521103</v>
      </c>
      <c r="E63" s="50">
        <f>VLOOKUP($A63,'Data shares'!$C:$FA,154)*100</f>
        <v>34.4</v>
      </c>
      <c r="F63" s="173">
        <f t="shared" si="0"/>
        <v>0.34010778594865654</v>
      </c>
    </row>
    <row r="64" spans="1:6" x14ac:dyDescent="0.25">
      <c r="A64" s="99" t="s">
        <v>211</v>
      </c>
      <c r="B64" s="49">
        <v>68856800</v>
      </c>
      <c r="C64" s="49">
        <v>46665000</v>
      </c>
      <c r="D64" s="49">
        <v>24626753.713277999</v>
      </c>
      <c r="E64" s="50">
        <f>VLOOKUP($A64,'Data shares'!$C:$FA,154)*100</f>
        <v>68.589999999999989</v>
      </c>
      <c r="F64" s="173">
        <f t="shared" si="0"/>
        <v>0.67771084337349397</v>
      </c>
    </row>
    <row r="65" spans="1:6" x14ac:dyDescent="0.25">
      <c r="A65" s="99" t="s">
        <v>212</v>
      </c>
      <c r="B65" s="49">
        <v>320636733</v>
      </c>
      <c r="C65" s="49">
        <v>96060000</v>
      </c>
      <c r="D65" s="49">
        <v>51102490.689800002</v>
      </c>
      <c r="E65" s="50">
        <f>VLOOKUP($A65,'Data shares'!$C:$FA,154)*100</f>
        <v>31.03</v>
      </c>
      <c r="F65" s="173">
        <f t="shared" si="0"/>
        <v>0.29959137588892537</v>
      </c>
    </row>
    <row r="66" spans="1:6" x14ac:dyDescent="0.25">
      <c r="A66" s="99" t="s">
        <v>676</v>
      </c>
      <c r="B66" s="49">
        <v>77949604</v>
      </c>
      <c r="C66" s="49">
        <v>13810500</v>
      </c>
      <c r="D66" s="49">
        <v>11561411.3525247</v>
      </c>
      <c r="E66" s="50">
        <f>VLOOKUP($A66,'Data shares'!$C:$FA,154)*100</f>
        <v>17.760000000000002</v>
      </c>
      <c r="F66" s="173">
        <f t="shared" si="0"/>
        <v>0.1771721636969445</v>
      </c>
    </row>
    <row r="67" spans="1:6" x14ac:dyDescent="0.25">
      <c r="A67" s="99" t="s">
        <v>213</v>
      </c>
      <c r="B67" s="49">
        <v>435694919</v>
      </c>
      <c r="C67" s="49">
        <v>142720200</v>
      </c>
      <c r="D67" s="49">
        <v>86561243.920462504</v>
      </c>
      <c r="E67" s="50">
        <f>VLOOKUP($A67,'Data shares'!$C:$FA,154)*100</f>
        <v>33.14</v>
      </c>
      <c r="F67" s="173">
        <f t="shared" si="0"/>
        <v>0.32756911723361182</v>
      </c>
    </row>
    <row r="68" spans="1:6" x14ac:dyDescent="0.25">
      <c r="A68" s="99" t="s">
        <v>214</v>
      </c>
      <c r="B68" s="49">
        <v>22585180</v>
      </c>
      <c r="C68" s="49">
        <v>13246875</v>
      </c>
      <c r="D68" s="49">
        <v>10255936.9615725</v>
      </c>
      <c r="E68" s="50">
        <f>VLOOKUP($A68,'Data shares'!$C:$FA,154)*100</f>
        <v>59.11</v>
      </c>
      <c r="F68" s="173">
        <f t="shared" si="0"/>
        <v>0.58652952954105297</v>
      </c>
    </row>
    <row r="69" spans="1:6" x14ac:dyDescent="0.25">
      <c r="A69" s="99" t="s">
        <v>631</v>
      </c>
      <c r="B69" s="49">
        <v>534704421</v>
      </c>
      <c r="C69" s="49">
        <v>250276950</v>
      </c>
      <c r="D69" s="49">
        <v>143788175.03755799</v>
      </c>
      <c r="E69" s="50">
        <f>VLOOKUP($A69,'Data shares'!$C:$FA,154)*100</f>
        <v>47.410000000000004</v>
      </c>
      <c r="F69" s="173">
        <f t="shared" ref="F69:F132" si="1">C69/B69</f>
        <v>0.46806598219617113</v>
      </c>
    </row>
    <row r="70" spans="1:6" x14ac:dyDescent="0.25">
      <c r="A70" s="99" t="s">
        <v>217</v>
      </c>
      <c r="B70" s="49">
        <v>72031016</v>
      </c>
      <c r="C70" s="49">
        <v>10172000</v>
      </c>
      <c r="D70" s="49">
        <v>7847688.6218750002</v>
      </c>
      <c r="E70" s="50">
        <f>VLOOKUP($A70,'Data shares'!$C:$FA,154)*100</f>
        <v>14.31</v>
      </c>
      <c r="F70" s="173">
        <f t="shared" si="1"/>
        <v>0.14121694465617424</v>
      </c>
    </row>
    <row r="71" spans="1:6" x14ac:dyDescent="0.25">
      <c r="A71" s="99" t="s">
        <v>218</v>
      </c>
      <c r="B71" s="49">
        <v>17263909</v>
      </c>
      <c r="C71" s="49">
        <v>19510975</v>
      </c>
      <c r="D71" s="49">
        <v>13221640.064792501</v>
      </c>
      <c r="E71" s="50">
        <f>VLOOKUP($A71,'Data shares'!$C:$FA,154)*100</f>
        <v>113.9</v>
      </c>
      <c r="F71" s="173">
        <f t="shared" si="1"/>
        <v>1.130159745397175</v>
      </c>
    </row>
    <row r="72" spans="1:6" x14ac:dyDescent="0.25">
      <c r="A72" s="99" t="s">
        <v>219</v>
      </c>
      <c r="B72" s="49">
        <v>38505832</v>
      </c>
      <c r="C72" s="49">
        <v>17282750</v>
      </c>
      <c r="D72" s="49">
        <v>13840381.5332275</v>
      </c>
      <c r="E72" s="50">
        <f>VLOOKUP($A72,'Data shares'!$C:$FA,154)*100</f>
        <v>44.97</v>
      </c>
      <c r="F72" s="173">
        <f t="shared" si="1"/>
        <v>0.44883460770306172</v>
      </c>
    </row>
    <row r="73" spans="1:6" x14ac:dyDescent="0.25">
      <c r="A73" s="99" t="s">
        <v>513</v>
      </c>
      <c r="B73" s="49">
        <v>28450886</v>
      </c>
      <c r="C73" s="49">
        <v>14353950</v>
      </c>
      <c r="D73" s="49">
        <v>7901579.2352534998</v>
      </c>
      <c r="E73" s="50">
        <f>VLOOKUP($A73,'Data shares'!$C:$FA,154)*100</f>
        <v>51.129999999999995</v>
      </c>
      <c r="F73" s="173">
        <f t="shared" si="1"/>
        <v>0.50451680133968413</v>
      </c>
    </row>
    <row r="74" spans="1:6" x14ac:dyDescent="0.25">
      <c r="A74" s="99" t="s">
        <v>220</v>
      </c>
      <c r="B74" s="49">
        <v>35667502</v>
      </c>
      <c r="C74" s="49">
        <v>12862000</v>
      </c>
      <c r="D74" s="49">
        <v>8726270.6135450006</v>
      </c>
      <c r="E74" s="50">
        <f>VLOOKUP($A74,'Data shares'!$C:$FA,154)*100</f>
        <v>36.340000000000003</v>
      </c>
      <c r="F74" s="173">
        <f t="shared" si="1"/>
        <v>0.36060837677951207</v>
      </c>
    </row>
    <row r="75" spans="1:6" x14ac:dyDescent="0.25">
      <c r="A75" s="99" t="s">
        <v>222</v>
      </c>
      <c r="B75" s="49">
        <v>106857976</v>
      </c>
      <c r="C75" s="49">
        <v>20934900</v>
      </c>
      <c r="D75" s="49">
        <v>17400648.458987501</v>
      </c>
      <c r="E75" s="50">
        <f>VLOOKUP($A75,'Data shares'!$C:$FA,154)*100</f>
        <v>19.75</v>
      </c>
      <c r="F75" s="173">
        <f t="shared" si="1"/>
        <v>0.19591331207695717</v>
      </c>
    </row>
    <row r="76" spans="1:6" x14ac:dyDescent="0.25">
      <c r="A76" s="99" t="s">
        <v>475</v>
      </c>
      <c r="B76" s="49">
        <v>30592324</v>
      </c>
      <c r="C76" s="49">
        <v>8781900</v>
      </c>
      <c r="D76" s="49">
        <v>7175155.9836539999</v>
      </c>
      <c r="E76" s="50">
        <f>VLOOKUP($A76,'Data shares'!$C:$FA,154)*100</f>
        <v>29.03</v>
      </c>
      <c r="F76" s="173">
        <f t="shared" si="1"/>
        <v>0.28706220553887962</v>
      </c>
    </row>
    <row r="77" spans="1:6" x14ac:dyDescent="0.25">
      <c r="A77" s="99" t="s">
        <v>224</v>
      </c>
      <c r="B77" s="49">
        <v>1330694977</v>
      </c>
      <c r="C77" s="49">
        <v>318322950</v>
      </c>
      <c r="D77" s="49">
        <v>251297763.76966801</v>
      </c>
      <c r="E77" s="50">
        <f>VLOOKUP($A77,'Data shares'!$C:$FA,154)*100</f>
        <v>24.07</v>
      </c>
      <c r="F77" s="173">
        <f t="shared" si="1"/>
        <v>0.23921556442457362</v>
      </c>
    </row>
    <row r="78" spans="1:6" x14ac:dyDescent="0.25">
      <c r="A78" s="99" t="s">
        <v>225</v>
      </c>
      <c r="B78" s="49">
        <v>128849634</v>
      </c>
      <c r="C78" s="49">
        <v>41136700</v>
      </c>
      <c r="D78" s="49">
        <v>32443977.743023001</v>
      </c>
      <c r="E78" s="50">
        <f>VLOOKUP($A78,'Data shares'!$C:$FA,154)*100</f>
        <v>32.43</v>
      </c>
      <c r="F78" s="173">
        <f t="shared" si="1"/>
        <v>0.31926128715274427</v>
      </c>
    </row>
    <row r="79" spans="1:6" x14ac:dyDescent="0.25">
      <c r="A79" s="99" t="s">
        <v>226</v>
      </c>
      <c r="B79" s="49">
        <v>19586951</v>
      </c>
      <c r="C79" s="49">
        <v>5011200</v>
      </c>
      <c r="D79" s="49">
        <v>3365219.2514729998</v>
      </c>
      <c r="E79" s="50">
        <f>VLOOKUP($A79,'Data shares'!$C:$FA,154)*100</f>
        <v>26.169999999999998</v>
      </c>
      <c r="F79" s="173">
        <f t="shared" si="1"/>
        <v>0.25584380131445678</v>
      </c>
    </row>
    <row r="80" spans="1:6" x14ac:dyDescent="0.25">
      <c r="A80" s="99" t="s">
        <v>228</v>
      </c>
      <c r="B80" s="49">
        <v>212176873</v>
      </c>
      <c r="C80" s="49">
        <v>56221200</v>
      </c>
      <c r="D80" s="49">
        <v>45482827.781741001</v>
      </c>
      <c r="E80" s="50">
        <f>VLOOKUP($A80,'Data shares'!$C:$FA,154)*100</f>
        <v>26.889999999999997</v>
      </c>
      <c r="F80" s="173">
        <f t="shared" si="1"/>
        <v>0.26497327067309545</v>
      </c>
    </row>
    <row r="81" spans="1:6" x14ac:dyDescent="0.25">
      <c r="A81" s="99" t="s">
        <v>229</v>
      </c>
      <c r="B81" s="49">
        <v>143933168</v>
      </c>
      <c r="C81" s="49">
        <v>51058350</v>
      </c>
      <c r="D81" s="49">
        <v>34391236.075424999</v>
      </c>
      <c r="E81" s="50">
        <f>VLOOKUP($A81,'Data shares'!$C:$FA,154)*100</f>
        <v>36.159999999999997</v>
      </c>
      <c r="F81" s="173">
        <f t="shared" si="1"/>
        <v>0.35473651215680879</v>
      </c>
    </row>
    <row r="82" spans="1:6" x14ac:dyDescent="0.25">
      <c r="A82" s="99" t="s">
        <v>230</v>
      </c>
      <c r="B82" s="49">
        <v>91001773</v>
      </c>
      <c r="C82" s="49">
        <v>18114300</v>
      </c>
      <c r="D82" s="49">
        <v>13564746.62661</v>
      </c>
      <c r="E82" s="50">
        <f>VLOOKUP($A82,'Data shares'!$C:$FA,154)*100</f>
        <v>20.05</v>
      </c>
      <c r="F82" s="173">
        <f t="shared" si="1"/>
        <v>0.1990543634792698</v>
      </c>
    </row>
    <row r="83" spans="1:6" x14ac:dyDescent="0.25">
      <c r="A83" s="99" t="s">
        <v>667</v>
      </c>
      <c r="B83" s="49">
        <v>161247058</v>
      </c>
      <c r="C83" s="49">
        <v>90237175</v>
      </c>
      <c r="D83" s="49">
        <v>38605390.151639499</v>
      </c>
      <c r="E83" s="50">
        <f>VLOOKUP($A83,'Data shares'!$C:$FA,154)*100</f>
        <v>59.19</v>
      </c>
      <c r="F83" s="173">
        <f t="shared" si="1"/>
        <v>0.55962059785301632</v>
      </c>
    </row>
    <row r="84" spans="1:6" x14ac:dyDescent="0.25">
      <c r="A84" s="99" t="s">
        <v>608</v>
      </c>
      <c r="B84" s="49">
        <v>75071250</v>
      </c>
      <c r="C84" s="49">
        <v>59385000</v>
      </c>
      <c r="D84" s="49">
        <v>32293597.366404701</v>
      </c>
      <c r="E84" s="50">
        <f>VLOOKUP($A84,'Data shares'!$C:$FA,154)*100</f>
        <v>80.83</v>
      </c>
      <c r="F84" s="173">
        <f t="shared" si="1"/>
        <v>0.79104850392127479</v>
      </c>
    </row>
    <row r="85" spans="1:6" x14ac:dyDescent="0.25">
      <c r="A85" s="99" t="s">
        <v>232</v>
      </c>
      <c r="B85" s="49">
        <v>580601807</v>
      </c>
      <c r="C85" s="49">
        <v>158150300</v>
      </c>
      <c r="D85" s="49">
        <v>122244443.223427</v>
      </c>
      <c r="E85" s="50">
        <f>VLOOKUP($A85,'Data shares'!$C:$FA,154)*100</f>
        <v>27.49</v>
      </c>
      <c r="F85" s="173">
        <f t="shared" si="1"/>
        <v>0.2723902993295369</v>
      </c>
    </row>
    <row r="86" spans="1:6" x14ac:dyDescent="0.25">
      <c r="A86" s="99" t="s">
        <v>472</v>
      </c>
      <c r="B86" s="49">
        <v>28747897</v>
      </c>
      <c r="C86" s="49">
        <v>6196775</v>
      </c>
      <c r="D86" s="49">
        <v>5309221.4862277498</v>
      </c>
      <c r="E86" s="50">
        <f>VLOOKUP($A86,'Data shares'!$C:$FA,154)*100</f>
        <v>21.59</v>
      </c>
      <c r="F86" s="173">
        <f t="shared" si="1"/>
        <v>0.21555576743578844</v>
      </c>
    </row>
    <row r="87" spans="1:6" x14ac:dyDescent="0.25">
      <c r="A87" s="99" t="s">
        <v>233</v>
      </c>
      <c r="B87" s="49">
        <v>58746582</v>
      </c>
      <c r="C87" s="49">
        <v>16019150</v>
      </c>
      <c r="D87" s="49">
        <v>13237724.418236</v>
      </c>
      <c r="E87" s="50">
        <f>VLOOKUP($A87,'Data shares'!$C:$FA,154)*100</f>
        <v>27.43</v>
      </c>
      <c r="F87" s="173">
        <f t="shared" si="1"/>
        <v>0.27268224728376539</v>
      </c>
    </row>
    <row r="88" spans="1:6" x14ac:dyDescent="0.25">
      <c r="A88" s="99" t="s">
        <v>234</v>
      </c>
      <c r="B88" s="49">
        <v>12037179660</v>
      </c>
      <c r="C88" s="49">
        <v>9032152800</v>
      </c>
      <c r="D88" s="49">
        <v>6227825329.7709198</v>
      </c>
      <c r="E88" s="50">
        <f>VLOOKUP($A88,'Data shares'!$C:$FA,154)*100</f>
        <v>76.02</v>
      </c>
      <c r="F88" s="173">
        <f t="shared" si="1"/>
        <v>0.75035457267570604</v>
      </c>
    </row>
    <row r="89" spans="1:6" x14ac:dyDescent="0.25">
      <c r="A89" s="99" t="s">
        <v>235</v>
      </c>
      <c r="B89" s="49">
        <v>936861183</v>
      </c>
      <c r="C89" s="49">
        <v>437566675</v>
      </c>
      <c r="D89" s="49">
        <v>274887706.92082</v>
      </c>
      <c r="E89" s="50">
        <f>VLOOKUP($A89,'Data shares'!$C:$FA,154)*100</f>
        <v>47.02</v>
      </c>
      <c r="F89" s="173">
        <f t="shared" si="1"/>
        <v>0.46705604089480141</v>
      </c>
    </row>
    <row r="90" spans="1:6" x14ac:dyDescent="0.25">
      <c r="A90" s="99" t="s">
        <v>514</v>
      </c>
      <c r="B90" s="49">
        <v>133395043</v>
      </c>
      <c r="C90" s="49">
        <v>134681250</v>
      </c>
      <c r="D90" s="49">
        <v>66513696.976837501</v>
      </c>
      <c r="E90" s="50">
        <f>VLOOKUP($A90,'Data shares'!$C:$FA,154)*100</f>
        <v>102.23</v>
      </c>
      <c r="F90" s="173">
        <f t="shared" si="1"/>
        <v>1.0096420899238363</v>
      </c>
    </row>
    <row r="91" spans="1:6" x14ac:dyDescent="0.25">
      <c r="A91" s="99" t="s">
        <v>501</v>
      </c>
      <c r="B91" s="49">
        <v>132129624</v>
      </c>
      <c r="C91" s="49">
        <v>38485000</v>
      </c>
      <c r="D91" s="49">
        <v>26311489.866920002</v>
      </c>
      <c r="E91" s="50">
        <f>VLOOKUP($A91,'Data shares'!$C:$FA,154)*100</f>
        <v>29.439999999999998</v>
      </c>
      <c r="F91" s="173">
        <f t="shared" si="1"/>
        <v>0.29126700610303713</v>
      </c>
    </row>
    <row r="92" spans="1:6" x14ac:dyDescent="0.25">
      <c r="A92" s="99" t="s">
        <v>578</v>
      </c>
      <c r="B92" s="49">
        <v>52862157</v>
      </c>
      <c r="C92" s="49">
        <v>13872000</v>
      </c>
      <c r="D92" s="49">
        <v>9693616.2058199998</v>
      </c>
      <c r="E92" s="50">
        <f>VLOOKUP($A92,'Data shares'!$C:$FA,154)*100</f>
        <v>26.55</v>
      </c>
      <c r="F92" s="173">
        <f t="shared" si="1"/>
        <v>0.26241834967120242</v>
      </c>
    </row>
    <row r="93" spans="1:6" x14ac:dyDescent="0.25">
      <c r="A93" s="99" t="s">
        <v>238</v>
      </c>
      <c r="B93" s="49">
        <v>33874835</v>
      </c>
      <c r="C93" s="49">
        <v>12315000</v>
      </c>
      <c r="D93" s="49">
        <v>8397668.8030245006</v>
      </c>
      <c r="E93" s="50">
        <f>VLOOKUP($A93,'Data shares'!$C:$FA,154)*100</f>
        <v>36.82</v>
      </c>
      <c r="F93" s="173">
        <f t="shared" si="1"/>
        <v>0.36354420619318145</v>
      </c>
    </row>
    <row r="94" spans="1:6" x14ac:dyDescent="0.25">
      <c r="A94" s="99" t="s">
        <v>239</v>
      </c>
      <c r="B94" s="49">
        <v>93808799</v>
      </c>
      <c r="C94" s="49">
        <v>46687900</v>
      </c>
      <c r="D94" s="49">
        <v>33265126.973561</v>
      </c>
      <c r="E94" s="50">
        <f>VLOOKUP($A94,'Data shares'!$C:$FA,154)*100</f>
        <v>50.260000000000005</v>
      </c>
      <c r="F94" s="173">
        <f t="shared" si="1"/>
        <v>0.49769211947804598</v>
      </c>
    </row>
    <row r="95" spans="1:6" x14ac:dyDescent="0.25">
      <c r="A95" s="99" t="s">
        <v>473</v>
      </c>
      <c r="B95" s="49">
        <v>193623116</v>
      </c>
      <c r="C95" s="49">
        <v>109349100</v>
      </c>
      <c r="D95" s="49">
        <v>86131686.231967002</v>
      </c>
      <c r="E95" s="50">
        <f>VLOOKUP($A95,'Data shares'!$C:$FA,154)*100</f>
        <v>56.68</v>
      </c>
      <c r="F95" s="173">
        <f t="shared" si="1"/>
        <v>0.56475229951365935</v>
      </c>
    </row>
    <row r="96" spans="1:6" x14ac:dyDescent="0.25">
      <c r="A96" s="99" t="s">
        <v>240</v>
      </c>
      <c r="B96" s="49">
        <v>368703409</v>
      </c>
      <c r="C96" s="49">
        <v>77413600</v>
      </c>
      <c r="D96" s="49">
        <v>65617609.563568003</v>
      </c>
      <c r="E96" s="50">
        <f>VLOOKUP($A96,'Data shares'!$C:$FA,154)*100</f>
        <v>21.21</v>
      </c>
      <c r="F96" s="173">
        <f t="shared" si="1"/>
        <v>0.20996171478306022</v>
      </c>
    </row>
    <row r="97" spans="1:6" x14ac:dyDescent="0.25">
      <c r="A97" s="99" t="s">
        <v>668</v>
      </c>
      <c r="B97" s="49">
        <v>144708707</v>
      </c>
      <c r="C97" s="49">
        <v>118121575</v>
      </c>
      <c r="D97" s="49">
        <v>77089715.459721193</v>
      </c>
      <c r="E97" s="50">
        <f>VLOOKUP($A97,'Data shares'!$C:$FA,154)*100</f>
        <v>82.509999999999991</v>
      </c>
      <c r="F97" s="173">
        <f t="shared" si="1"/>
        <v>0.81627137335972466</v>
      </c>
    </row>
    <row r="98" spans="1:6" x14ac:dyDescent="0.25">
      <c r="A98" s="99" t="s">
        <v>241</v>
      </c>
      <c r="B98" s="49">
        <v>684903861</v>
      </c>
      <c r="C98" s="49">
        <v>130021125</v>
      </c>
      <c r="D98" s="49">
        <v>83910628.130160004</v>
      </c>
      <c r="E98" s="50">
        <f>VLOOKUP($A98,'Data shares'!$C:$FA,154)*100</f>
        <v>19.220000000000002</v>
      </c>
      <c r="F98" s="173">
        <f t="shared" si="1"/>
        <v>0.18983850494018459</v>
      </c>
    </row>
    <row r="99" spans="1:6" x14ac:dyDescent="0.25">
      <c r="A99" s="99" t="s">
        <v>490</v>
      </c>
      <c r="B99" s="49">
        <v>32504261</v>
      </c>
      <c r="C99" s="49">
        <v>35573125</v>
      </c>
      <c r="D99" s="49">
        <v>18384195.5153412</v>
      </c>
      <c r="E99" s="50">
        <f>VLOOKUP($A99,'Data shares'!$C:$FA,154)*100</f>
        <v>110.63000000000001</v>
      </c>
      <c r="F99" s="173">
        <f t="shared" si="1"/>
        <v>1.0944142061866904</v>
      </c>
    </row>
    <row r="100" spans="1:6" x14ac:dyDescent="0.25">
      <c r="A100" s="99" t="s">
        <v>664</v>
      </c>
      <c r="B100" s="49">
        <v>119011160</v>
      </c>
      <c r="C100" s="49">
        <v>97807500</v>
      </c>
      <c r="D100" s="49">
        <v>47981913.128321998</v>
      </c>
      <c r="E100" s="50">
        <f>VLOOKUP($A100,'Data shares'!$C:$FA,154)*100</f>
        <v>83.23</v>
      </c>
      <c r="F100" s="173">
        <f t="shared" si="1"/>
        <v>0.8218346918053735</v>
      </c>
    </row>
    <row r="101" spans="1:6" x14ac:dyDescent="0.25">
      <c r="A101" s="99" t="s">
        <v>592</v>
      </c>
      <c r="B101" s="49">
        <v>200960551</v>
      </c>
      <c r="C101" s="49">
        <v>132153750</v>
      </c>
      <c r="D101" s="49">
        <v>55808334.478964999</v>
      </c>
      <c r="E101" s="50">
        <f>VLOOKUP($A101,'Data shares'!$C:$FA,154)*100</f>
        <v>66.52</v>
      </c>
      <c r="F101" s="173">
        <f t="shared" si="1"/>
        <v>0.65761040832337292</v>
      </c>
    </row>
    <row r="102" spans="1:6" x14ac:dyDescent="0.25">
      <c r="A102" s="99" t="s">
        <v>242</v>
      </c>
      <c r="B102" s="49">
        <v>1252401670</v>
      </c>
      <c r="C102" s="49">
        <v>332028800</v>
      </c>
      <c r="D102" s="49">
        <v>177895564.245536</v>
      </c>
      <c r="E102" s="50">
        <f>VLOOKUP($A102,'Data shares'!$C:$FA,154)*100</f>
        <v>26.93</v>
      </c>
      <c r="F102" s="173">
        <f t="shared" si="1"/>
        <v>0.26511366756641264</v>
      </c>
    </row>
    <row r="103" spans="1:6" x14ac:dyDescent="0.25">
      <c r="A103" s="99" t="s">
        <v>243</v>
      </c>
      <c r="B103" s="49">
        <v>48257090</v>
      </c>
      <c r="C103" s="49">
        <v>14843125</v>
      </c>
      <c r="D103" s="49">
        <v>9844381.3622500002</v>
      </c>
      <c r="E103" s="50">
        <f>VLOOKUP($A103,'Data shares'!$C:$FA,154)*100</f>
        <v>31.03</v>
      </c>
      <c r="F103" s="173">
        <f t="shared" si="1"/>
        <v>0.30758433631203208</v>
      </c>
    </row>
    <row r="104" spans="1:6" x14ac:dyDescent="0.25">
      <c r="A104" s="99" t="s">
        <v>570</v>
      </c>
      <c r="B104" s="49">
        <v>355358091</v>
      </c>
      <c r="C104" s="49">
        <v>257357900</v>
      </c>
      <c r="D104" s="49">
        <v>155662509.904221</v>
      </c>
      <c r="E104" s="50">
        <f>VLOOKUP($A104,'Data shares'!$C:$FA,154)*100</f>
        <v>73.34</v>
      </c>
      <c r="F104" s="173">
        <f t="shared" si="1"/>
        <v>0.72422130385656536</v>
      </c>
    </row>
    <row r="105" spans="1:6" x14ac:dyDescent="0.25">
      <c r="A105" s="99" t="s">
        <v>580</v>
      </c>
      <c r="B105" s="49">
        <v>80385888</v>
      </c>
      <c r="C105" s="49">
        <v>47370000</v>
      </c>
      <c r="D105" s="49">
        <v>33849177.51506</v>
      </c>
      <c r="E105" s="50">
        <f>VLOOKUP($A105,'Data shares'!$C:$FA,154)*100</f>
        <v>59.34</v>
      </c>
      <c r="F105" s="173">
        <f t="shared" si="1"/>
        <v>0.58928253675570519</v>
      </c>
    </row>
    <row r="106" spans="1:6" x14ac:dyDescent="0.25">
      <c r="A106" s="99" t="s">
        <v>244</v>
      </c>
      <c r="B106" s="49">
        <v>133434355</v>
      </c>
      <c r="C106" s="49">
        <v>57465450</v>
      </c>
      <c r="D106" s="49">
        <v>49230856.895778</v>
      </c>
      <c r="E106" s="50">
        <f>VLOOKUP($A106,'Data shares'!$C:$FA,154)*100</f>
        <v>43.25</v>
      </c>
      <c r="F106" s="173">
        <f t="shared" si="1"/>
        <v>0.43066457660023161</v>
      </c>
    </row>
    <row r="107" spans="1:6" x14ac:dyDescent="0.25">
      <c r="A107" s="99" t="s">
        <v>245</v>
      </c>
      <c r="B107" s="49">
        <v>58761693</v>
      </c>
      <c r="C107" s="49">
        <v>30732500</v>
      </c>
      <c r="D107" s="49">
        <v>20881906.5112</v>
      </c>
      <c r="E107" s="50">
        <f>VLOOKUP($A107,'Data shares'!$C:$FA,154)*100</f>
        <v>53.03</v>
      </c>
      <c r="F107" s="173">
        <f t="shared" si="1"/>
        <v>0.52300228994423292</v>
      </c>
    </row>
    <row r="108" spans="1:6" x14ac:dyDescent="0.25">
      <c r="A108" s="99" t="s">
        <v>582</v>
      </c>
      <c r="B108" s="49">
        <v>57654984</v>
      </c>
      <c r="C108" s="49">
        <v>55146275</v>
      </c>
      <c r="D108" s="49">
        <v>23314524.679389201</v>
      </c>
      <c r="E108" s="50">
        <f>VLOOKUP($A108,'Data shares'!$C:$FA,154)*100</f>
        <v>96.19</v>
      </c>
      <c r="F108" s="173">
        <f t="shared" si="1"/>
        <v>0.95648756055504236</v>
      </c>
    </row>
    <row r="109" spans="1:6" x14ac:dyDescent="0.25">
      <c r="A109" s="99" t="s">
        <v>675</v>
      </c>
      <c r="B109" s="49">
        <v>4679418</v>
      </c>
      <c r="C109" s="49">
        <v>4909500</v>
      </c>
      <c r="D109" s="49">
        <v>2967146.5935960002</v>
      </c>
      <c r="E109" s="50">
        <f>VLOOKUP($A109,'Data shares'!$C:$FA,154)*100</f>
        <v>105.86</v>
      </c>
      <c r="F109" s="173">
        <f t="shared" si="1"/>
        <v>1.0491689351111613</v>
      </c>
    </row>
    <row r="110" spans="1:6" x14ac:dyDescent="0.25">
      <c r="A110" s="99" t="s">
        <v>610</v>
      </c>
      <c r="B110" s="49">
        <v>8553821</v>
      </c>
      <c r="C110" s="49">
        <v>1533175</v>
      </c>
      <c r="D110" s="49">
        <v>1057868.1979670001</v>
      </c>
      <c r="E110" s="50">
        <f>VLOOKUP($A110,'Data shares'!$C:$FA,154)*100</f>
        <v>18.12</v>
      </c>
      <c r="F110" s="173">
        <f t="shared" si="1"/>
        <v>0.179238611609946</v>
      </c>
    </row>
    <row r="111" spans="1:6" x14ac:dyDescent="0.25">
      <c r="A111" s="99" t="s">
        <v>682</v>
      </c>
      <c r="B111" s="49">
        <v>19924232</v>
      </c>
      <c r="C111" s="49">
        <v>6637000</v>
      </c>
      <c r="D111" s="49">
        <v>4057666.0162499999</v>
      </c>
      <c r="E111" s="50">
        <f>VLOOKUP($A111,'Data shares'!$C:$FA,154)*100</f>
        <v>33.550000000000004</v>
      </c>
      <c r="F111" s="173">
        <f t="shared" si="1"/>
        <v>0.33311196135439497</v>
      </c>
    </row>
    <row r="112" spans="1:6" x14ac:dyDescent="0.25">
      <c r="A112" s="99" t="s">
        <v>246</v>
      </c>
      <c r="B112" s="49">
        <v>781025350</v>
      </c>
      <c r="C112" s="49">
        <v>234386000</v>
      </c>
      <c r="D112" s="49">
        <v>187593151.95552</v>
      </c>
      <c r="E112" s="50">
        <f>VLOOKUP($A112,'Data shares'!$C:$FA,154)*100</f>
        <v>30.220000000000002</v>
      </c>
      <c r="F112" s="173">
        <f t="shared" si="1"/>
        <v>0.30010037446287757</v>
      </c>
    </row>
    <row r="113" spans="1:6" x14ac:dyDescent="0.25">
      <c r="A113" s="99" t="s">
        <v>577</v>
      </c>
      <c r="B113" s="49">
        <v>24589408</v>
      </c>
      <c r="C113" s="49">
        <v>5410675</v>
      </c>
      <c r="D113" s="49">
        <v>3691617.2136437502</v>
      </c>
      <c r="E113" s="50">
        <f>VLOOKUP($A113,'Data shares'!$C:$FA,154)*100</f>
        <v>22.33</v>
      </c>
      <c r="F113" s="173">
        <f t="shared" si="1"/>
        <v>0.22004088101673697</v>
      </c>
    </row>
    <row r="114" spans="1:6" x14ac:dyDescent="0.25">
      <c r="A114" s="99" t="s">
        <v>535</v>
      </c>
      <c r="B114" s="49">
        <v>58629477</v>
      </c>
      <c r="C114" s="49">
        <v>29956550</v>
      </c>
      <c r="D114" s="49">
        <v>15528936.8747025</v>
      </c>
      <c r="E114" s="50">
        <f>VLOOKUP($A114,'Data shares'!$C:$FA,154)*100</f>
        <v>52.38</v>
      </c>
      <c r="F114" s="173">
        <f t="shared" si="1"/>
        <v>0.51094690815679633</v>
      </c>
    </row>
    <row r="115" spans="1:6" x14ac:dyDescent="0.25">
      <c r="A115" s="99" t="s">
        <v>248</v>
      </c>
      <c r="B115" s="49">
        <v>45183075</v>
      </c>
      <c r="C115" s="49">
        <v>41823000</v>
      </c>
      <c r="D115" s="49">
        <v>27045998.437660001</v>
      </c>
      <c r="E115" s="50">
        <f>VLOOKUP($A115,'Data shares'!$C:$FA,154)*100</f>
        <v>93.89</v>
      </c>
      <c r="F115" s="173">
        <f t="shared" si="1"/>
        <v>0.92563421148295022</v>
      </c>
    </row>
    <row r="116" spans="1:6" x14ac:dyDescent="0.25">
      <c r="A116" s="99" t="s">
        <v>607</v>
      </c>
      <c r="B116" s="49">
        <v>33206238</v>
      </c>
      <c r="C116" s="49">
        <v>15052100</v>
      </c>
      <c r="D116" s="49">
        <v>8993572.8984990008</v>
      </c>
      <c r="E116" s="50">
        <f>VLOOKUP($A116,'Data shares'!$C:$FA,154)*100</f>
        <v>45.87</v>
      </c>
      <c r="F116" s="173">
        <f t="shared" si="1"/>
        <v>0.45329133640492486</v>
      </c>
    </row>
    <row r="117" spans="1:6" x14ac:dyDescent="0.25">
      <c r="A117" s="99" t="s">
        <v>588</v>
      </c>
      <c r="B117" s="49">
        <v>42126960</v>
      </c>
      <c r="C117" s="49">
        <v>16169850</v>
      </c>
      <c r="D117" s="49">
        <v>11193004.058481</v>
      </c>
      <c r="E117" s="50">
        <f>VLOOKUP($A117,'Data shares'!$C:$FA,154)*100</f>
        <v>38.86</v>
      </c>
      <c r="F117" s="173">
        <f t="shared" si="1"/>
        <v>0.38383614673358818</v>
      </c>
    </row>
    <row r="118" spans="1:6" x14ac:dyDescent="0.25">
      <c r="A118" s="99" t="s">
        <v>249</v>
      </c>
      <c r="B118" s="49">
        <v>136109374</v>
      </c>
      <c r="C118" s="49">
        <v>22440600</v>
      </c>
      <c r="D118" s="49">
        <v>15896165.214891501</v>
      </c>
      <c r="E118" s="50">
        <f>VLOOKUP($A118,'Data shares'!$C:$FA,154)*100</f>
        <v>16.809999999999999</v>
      </c>
      <c r="F118" s="173">
        <f t="shared" si="1"/>
        <v>0.16487181845388549</v>
      </c>
    </row>
    <row r="119" spans="1:6" x14ac:dyDescent="0.25">
      <c r="A119" s="99" t="s">
        <v>565</v>
      </c>
      <c r="B119" s="49">
        <v>127100972</v>
      </c>
      <c r="C119" s="49">
        <v>74450250</v>
      </c>
      <c r="D119" s="49">
        <v>40216526.7984</v>
      </c>
      <c r="E119" s="50">
        <f>VLOOKUP($A119,'Data shares'!$C:$FA,154)*100</f>
        <v>59.830000000000005</v>
      </c>
      <c r="F119" s="173">
        <f t="shared" si="1"/>
        <v>0.58575673205709233</v>
      </c>
    </row>
    <row r="120" spans="1:6" x14ac:dyDescent="0.25">
      <c r="A120" s="99" t="s">
        <v>561</v>
      </c>
      <c r="B120" s="49">
        <v>9672091</v>
      </c>
      <c r="C120" s="49">
        <v>3100350</v>
      </c>
      <c r="D120" s="49">
        <v>2382778.0682835001</v>
      </c>
      <c r="E120" s="50">
        <f>VLOOKUP($A120,'Data shares'!$C:$FA,154)*100</f>
        <v>32.42</v>
      </c>
      <c r="F120" s="173">
        <f t="shared" si="1"/>
        <v>0.32054599155446323</v>
      </c>
    </row>
    <row r="121" spans="1:6" x14ac:dyDescent="0.25">
      <c r="A121" s="99" t="s">
        <v>250</v>
      </c>
      <c r="B121" s="49">
        <v>36381777</v>
      </c>
      <c r="C121" s="49">
        <v>8082225</v>
      </c>
      <c r="D121" s="49">
        <v>6188388.7003845004</v>
      </c>
      <c r="E121" s="50">
        <f>VLOOKUP($A121,'Data shares'!$C:$FA,154)*100</f>
        <v>22.54</v>
      </c>
      <c r="F121" s="173">
        <f t="shared" si="1"/>
        <v>0.22215036390333545</v>
      </c>
    </row>
    <row r="122" spans="1:6" x14ac:dyDescent="0.25">
      <c r="A122" s="99" t="s">
        <v>251</v>
      </c>
      <c r="B122" s="49">
        <v>95452027</v>
      </c>
      <c r="C122" s="49">
        <v>22734800</v>
      </c>
      <c r="D122" s="49">
        <v>18568248.486306001</v>
      </c>
      <c r="E122" s="50">
        <f>VLOOKUP($A122,'Data shares'!$C:$FA,154)*100</f>
        <v>24.08</v>
      </c>
      <c r="F122" s="173">
        <f t="shared" si="1"/>
        <v>0.23818037934385616</v>
      </c>
    </row>
    <row r="123" spans="1:6" x14ac:dyDescent="0.25">
      <c r="A123" s="99" t="s">
        <v>253</v>
      </c>
      <c r="B123" s="49">
        <v>82205057</v>
      </c>
      <c r="C123" s="49">
        <v>62544000</v>
      </c>
      <c r="D123" s="49">
        <v>36907283.179949999</v>
      </c>
      <c r="E123" s="50">
        <f>VLOOKUP($A123,'Data shares'!$C:$FA,154)*100</f>
        <v>76.58</v>
      </c>
      <c r="F123" s="173">
        <f t="shared" si="1"/>
        <v>0.76082910568385109</v>
      </c>
    </row>
    <row r="124" spans="1:6" x14ac:dyDescent="0.25">
      <c r="A124" s="99" t="s">
        <v>671</v>
      </c>
      <c r="B124" s="49">
        <v>16919681</v>
      </c>
      <c r="C124" s="49">
        <v>2497725</v>
      </c>
      <c r="D124" s="49">
        <v>2015925.9706912499</v>
      </c>
      <c r="E124" s="50">
        <f>VLOOKUP($A124,'Data shares'!$C:$FA,154)*100</f>
        <v>14.96</v>
      </c>
      <c r="F124" s="173">
        <f t="shared" si="1"/>
        <v>0.14762246404054544</v>
      </c>
    </row>
    <row r="125" spans="1:6" x14ac:dyDescent="0.25">
      <c r="A125" s="99" t="s">
        <v>254</v>
      </c>
      <c r="B125" s="49">
        <v>79442217</v>
      </c>
      <c r="C125" s="49">
        <v>34944000</v>
      </c>
      <c r="D125" s="49">
        <v>30015455.927136</v>
      </c>
      <c r="E125" s="50">
        <f>VLOOKUP($A125,'Data shares'!$C:$FA,154)*100</f>
        <v>44.59</v>
      </c>
      <c r="F125" s="173">
        <f t="shared" si="1"/>
        <v>0.43986687833749655</v>
      </c>
    </row>
    <row r="126" spans="1:6" x14ac:dyDescent="0.25">
      <c r="A126" s="99" t="s">
        <v>255</v>
      </c>
      <c r="B126" s="49">
        <v>17687048</v>
      </c>
      <c r="C126" s="49">
        <v>5923850</v>
      </c>
      <c r="D126" s="49">
        <v>3234869.949726</v>
      </c>
      <c r="E126" s="50">
        <f>VLOOKUP($A126,'Data shares'!$C:$FA,154)*100</f>
        <v>34.74</v>
      </c>
      <c r="F126" s="173">
        <f t="shared" si="1"/>
        <v>0.33492587344140184</v>
      </c>
    </row>
    <row r="127" spans="1:6" x14ac:dyDescent="0.25">
      <c r="A127" s="99" t="s">
        <v>603</v>
      </c>
      <c r="B127" s="49">
        <v>111218809</v>
      </c>
      <c r="C127" s="49">
        <v>20802600</v>
      </c>
      <c r="D127" s="49">
        <v>18155149.598124001</v>
      </c>
      <c r="E127" s="50">
        <f>VLOOKUP($A127,'Data shares'!$C:$FA,154)*100</f>
        <v>18.899999999999999</v>
      </c>
      <c r="F127" s="173">
        <f t="shared" si="1"/>
        <v>0.18704210364273907</v>
      </c>
    </row>
    <row r="128" spans="1:6" x14ac:dyDescent="0.25">
      <c r="A128" s="99" t="s">
        <v>672</v>
      </c>
      <c r="B128" s="49">
        <v>11364224</v>
      </c>
      <c r="C128" s="49">
        <v>7139800</v>
      </c>
      <c r="D128" s="49">
        <v>4078944.0870520002</v>
      </c>
      <c r="E128" s="50">
        <f>VLOOKUP($A128,'Data shares'!$C:$FA,154)*100</f>
        <v>63.54</v>
      </c>
      <c r="F128" s="173">
        <f t="shared" si="1"/>
        <v>0.62826991090636719</v>
      </c>
    </row>
    <row r="129" spans="1:6" x14ac:dyDescent="0.25">
      <c r="A129" s="99" t="s">
        <v>517</v>
      </c>
      <c r="B129" s="49">
        <v>38177110</v>
      </c>
      <c r="C129" s="49">
        <v>24058750</v>
      </c>
      <c r="D129" s="49">
        <v>14279003.9058562</v>
      </c>
      <c r="E129" s="50">
        <f>VLOOKUP($A129,'Data shares'!$C:$FA,154)*100</f>
        <v>65.2</v>
      </c>
      <c r="F129" s="173">
        <f t="shared" si="1"/>
        <v>0.63018782720850264</v>
      </c>
    </row>
    <row r="130" spans="1:6" x14ac:dyDescent="0.25">
      <c r="A130" s="99" t="s">
        <v>257</v>
      </c>
      <c r="B130" s="49">
        <v>33919851</v>
      </c>
      <c r="C130" s="49">
        <v>9721200</v>
      </c>
      <c r="D130" s="49">
        <v>8596546.6165520009</v>
      </c>
      <c r="E130" s="50">
        <f>VLOOKUP($A130,'Data shares'!$C:$FA,154)*100</f>
        <v>28.799999999999997</v>
      </c>
      <c r="F130" s="173">
        <f t="shared" si="1"/>
        <v>0.28659324004695658</v>
      </c>
    </row>
    <row r="131" spans="1:6" x14ac:dyDescent="0.25">
      <c r="A131" s="99" t="s">
        <v>559</v>
      </c>
      <c r="B131" s="49">
        <v>606151620</v>
      </c>
      <c r="C131" s="49">
        <v>213115950</v>
      </c>
      <c r="D131" s="49">
        <v>159753597.49706501</v>
      </c>
      <c r="E131" s="50">
        <f>VLOOKUP($A131,'Data shares'!$C:$FA,154)*100</f>
        <v>35.36</v>
      </c>
      <c r="F131" s="173">
        <f t="shared" si="1"/>
        <v>0.35158851839742672</v>
      </c>
    </row>
    <row r="132" spans="1:6" x14ac:dyDescent="0.25">
      <c r="A132" s="99" t="s">
        <v>487</v>
      </c>
      <c r="B132" s="49">
        <v>17093933</v>
      </c>
      <c r="C132" s="49">
        <v>5358375</v>
      </c>
      <c r="D132" s="49">
        <v>4483679.4423877504</v>
      </c>
      <c r="E132" s="50">
        <f>VLOOKUP($A132,'Data shares'!$C:$FA,154)*100</f>
        <v>31.45</v>
      </c>
      <c r="F132" s="173">
        <f t="shared" si="1"/>
        <v>0.31346647959834639</v>
      </c>
    </row>
    <row r="133" spans="1:6" x14ac:dyDescent="0.25">
      <c r="A133" s="99" t="s">
        <v>262</v>
      </c>
      <c r="B133" s="49">
        <v>14790848</v>
      </c>
      <c r="C133" s="49">
        <v>5462325</v>
      </c>
      <c r="D133" s="49">
        <v>4053377.032782</v>
      </c>
      <c r="E133" s="50">
        <f>VLOOKUP($A133,'Data shares'!$C:$FA,154)*100</f>
        <v>37.619999999999997</v>
      </c>
      <c r="F133" s="173">
        <f t="shared" ref="F133:F196" si="2">C133/B133</f>
        <v>0.36930438335922322</v>
      </c>
    </row>
    <row r="134" spans="1:6" x14ac:dyDescent="0.25">
      <c r="A134" s="99" t="s">
        <v>263</v>
      </c>
      <c r="B134" s="49">
        <v>134225816</v>
      </c>
      <c r="C134" s="49">
        <v>85927500</v>
      </c>
      <c r="D134" s="49">
        <v>48340718.933624998</v>
      </c>
      <c r="E134" s="50"/>
      <c r="F134" s="173">
        <f t="shared" si="2"/>
        <v>0.64017118733701717</v>
      </c>
    </row>
    <row r="135" spans="1:6" x14ac:dyDescent="0.25">
      <c r="A135" s="99" t="s">
        <v>264</v>
      </c>
      <c r="B135" s="49">
        <v>45110207</v>
      </c>
      <c r="C135" s="49">
        <v>10096125</v>
      </c>
      <c r="D135" s="49">
        <v>8092843.2478387496</v>
      </c>
      <c r="E135" s="50">
        <f>VLOOKUP($A135,'Data shares'!$C:$FA,154)*100</f>
        <v>22.509999999999998</v>
      </c>
      <c r="F135" s="173">
        <f t="shared" si="2"/>
        <v>0.2238102121765923</v>
      </c>
    </row>
    <row r="136" spans="1:6" x14ac:dyDescent="0.25">
      <c r="A136" s="99" t="s">
        <v>550</v>
      </c>
      <c r="B136" s="49">
        <v>154894704</v>
      </c>
      <c r="C136" s="49">
        <v>121257500</v>
      </c>
      <c r="D136" s="49">
        <v>77657818.180085003</v>
      </c>
      <c r="E136" s="50">
        <f>VLOOKUP($A136,'Data shares'!$C:$FA,154)*100</f>
        <v>79.58</v>
      </c>
      <c r="F136" s="173">
        <f t="shared" si="2"/>
        <v>0.78283825636801629</v>
      </c>
    </row>
    <row r="137" spans="1:6" x14ac:dyDescent="0.25">
      <c r="A137" s="99" t="s">
        <v>265</v>
      </c>
      <c r="B137" s="49">
        <v>71801274</v>
      </c>
      <c r="C137" s="49">
        <v>20307500</v>
      </c>
      <c r="D137" s="49">
        <v>17060816.5394</v>
      </c>
      <c r="E137" s="50">
        <f>VLOOKUP($A137,'Data shares'!$C:$FA,154)*100</f>
        <v>28.360000000000003</v>
      </c>
      <c r="F137" s="173">
        <f t="shared" si="2"/>
        <v>0.28282924339197657</v>
      </c>
    </row>
    <row r="138" spans="1:6" x14ac:dyDescent="0.25">
      <c r="A138" s="99" t="s">
        <v>585</v>
      </c>
      <c r="B138" s="49">
        <v>491233252</v>
      </c>
      <c r="C138" s="49">
        <v>96166400</v>
      </c>
      <c r="D138" s="49">
        <v>68522836.663616002</v>
      </c>
      <c r="E138" s="50">
        <f>VLOOKUP($A138,'Data shares'!$C:$FA,154)*100</f>
        <v>19.8</v>
      </c>
      <c r="F138" s="173">
        <f t="shared" si="2"/>
        <v>0.19576524921403327</v>
      </c>
    </row>
    <row r="139" spans="1:6" x14ac:dyDescent="0.25">
      <c r="A139" s="99" t="s">
        <v>267</v>
      </c>
      <c r="B139" s="49">
        <v>517037525</v>
      </c>
      <c r="C139" s="49">
        <v>426424500</v>
      </c>
      <c r="D139" s="49">
        <v>288096293.862607</v>
      </c>
      <c r="E139" s="50">
        <f>VLOOKUP($A139,'Data shares'!$C:$FA,154)*100</f>
        <v>82.94</v>
      </c>
      <c r="F139" s="173">
        <f t="shared" si="2"/>
        <v>0.82474574741939666</v>
      </c>
    </row>
    <row r="140" spans="1:6" x14ac:dyDescent="0.25">
      <c r="A140" s="99" t="s">
        <v>268</v>
      </c>
      <c r="B140" s="49">
        <v>474131988</v>
      </c>
      <c r="C140" s="49">
        <v>113617500</v>
      </c>
      <c r="D140" s="49">
        <v>84638758.335374996</v>
      </c>
      <c r="E140" s="50">
        <f>VLOOKUP($A140,'Data shares'!$C:$FA,154)*100</f>
        <v>24.32</v>
      </c>
      <c r="F140" s="173">
        <f t="shared" si="2"/>
        <v>0.23963264001499937</v>
      </c>
    </row>
    <row r="141" spans="1:6" x14ac:dyDescent="0.25">
      <c r="A141" s="99" t="s">
        <v>684</v>
      </c>
      <c r="B141" s="49">
        <v>12267678</v>
      </c>
      <c r="C141" s="49">
        <v>3742000</v>
      </c>
      <c r="D141" s="49">
        <v>2665408.2632499998</v>
      </c>
      <c r="E141" s="50">
        <f>VLOOKUP($A141,'Data shares'!$C:$FA,154)*100</f>
        <v>31.330000000000002</v>
      </c>
      <c r="F141" s="173">
        <f t="shared" si="2"/>
        <v>0.30502919949480251</v>
      </c>
    </row>
    <row r="142" spans="1:6" x14ac:dyDescent="0.25">
      <c r="A142" s="99" t="s">
        <v>613</v>
      </c>
      <c r="B142" s="49">
        <v>205483040</v>
      </c>
      <c r="C142" s="49">
        <v>49218750</v>
      </c>
      <c r="D142" s="49">
        <v>37259217.375718698</v>
      </c>
      <c r="E142" s="50">
        <f>VLOOKUP($A142,'Data shares'!$C:$FA,154)*100</f>
        <v>24.13</v>
      </c>
      <c r="F142" s="173">
        <f t="shared" si="2"/>
        <v>0.23952706753803135</v>
      </c>
    </row>
    <row r="143" spans="1:6" x14ac:dyDescent="0.25">
      <c r="A143" s="99" t="s">
        <v>528</v>
      </c>
      <c r="B143" s="49">
        <v>17614093</v>
      </c>
      <c r="C143" s="49">
        <v>7072800</v>
      </c>
      <c r="D143" s="49">
        <v>4843086.0637109997</v>
      </c>
      <c r="E143" s="50">
        <f>VLOOKUP($A143,'Data shares'!$C:$FA,154)*100</f>
        <v>40.98</v>
      </c>
      <c r="F143" s="173">
        <f t="shared" si="2"/>
        <v>0.40154210608516716</v>
      </c>
    </row>
    <row r="144" spans="1:6" x14ac:dyDescent="0.25">
      <c r="A144" s="99" t="s">
        <v>518</v>
      </c>
      <c r="B144" s="49">
        <v>3582756</v>
      </c>
      <c r="C144" s="49">
        <v>1513425</v>
      </c>
      <c r="D144" s="49">
        <v>1112886.6489442501</v>
      </c>
      <c r="E144" s="50">
        <f>VLOOKUP($A144,'Data shares'!$C:$FA,154)*100</f>
        <v>42.730000000000004</v>
      </c>
      <c r="F144" s="173">
        <f t="shared" si="2"/>
        <v>0.42241922140385779</v>
      </c>
    </row>
    <row r="145" spans="1:6" x14ac:dyDescent="0.25">
      <c r="A145" s="99" t="s">
        <v>587</v>
      </c>
      <c r="B145" s="49">
        <v>102006452</v>
      </c>
      <c r="C145" s="49">
        <v>22897000</v>
      </c>
      <c r="D145" s="49">
        <v>14888338.881346</v>
      </c>
      <c r="E145" s="50">
        <f>VLOOKUP($A145,'Data shares'!$C:$FA,154)*100</f>
        <v>22.81</v>
      </c>
      <c r="F145" s="173">
        <f t="shared" si="2"/>
        <v>0.22446619356979497</v>
      </c>
    </row>
    <row r="146" spans="1:6" x14ac:dyDescent="0.25">
      <c r="A146" s="99" t="s">
        <v>269</v>
      </c>
      <c r="B146" s="49">
        <v>517141211</v>
      </c>
      <c r="C146" s="49">
        <v>142722000</v>
      </c>
      <c r="D146" s="49">
        <v>89060773.280670002</v>
      </c>
      <c r="E146" s="50">
        <f>VLOOKUP($A146,'Data shares'!$C:$FA,154)*100</f>
        <v>27.860000000000003</v>
      </c>
      <c r="F146" s="173">
        <f t="shared" si="2"/>
        <v>0.27598264644973342</v>
      </c>
    </row>
    <row r="147" spans="1:6" x14ac:dyDescent="0.25">
      <c r="A147" s="99" t="s">
        <v>270</v>
      </c>
      <c r="B147" s="49">
        <v>955549</v>
      </c>
      <c r="C147" s="49">
        <v>349710</v>
      </c>
      <c r="D147" s="49">
        <v>253141.44062730001</v>
      </c>
      <c r="E147" s="50">
        <f>VLOOKUP($A147,'Data shares'!$C:$FA,154)*100</f>
        <v>36.75</v>
      </c>
      <c r="F147" s="173">
        <f t="shared" si="2"/>
        <v>0.36597809217528354</v>
      </c>
    </row>
    <row r="148" spans="1:6" x14ac:dyDescent="0.25">
      <c r="A148" s="99" t="s">
        <v>665</v>
      </c>
      <c r="B148" s="49">
        <v>50886533</v>
      </c>
      <c r="C148" s="49">
        <v>39498300</v>
      </c>
      <c r="D148" s="49">
        <v>21706710.932376001</v>
      </c>
      <c r="E148" s="50">
        <f>VLOOKUP($A148,'Data shares'!$C:$FA,154)*100</f>
        <v>77.69</v>
      </c>
      <c r="F148" s="173">
        <f t="shared" si="2"/>
        <v>0.77620340139895161</v>
      </c>
    </row>
    <row r="149" spans="1:6" x14ac:dyDescent="0.25">
      <c r="A149" s="99" t="s">
        <v>575</v>
      </c>
      <c r="B149" s="49">
        <v>95799519</v>
      </c>
      <c r="C149" s="49">
        <v>26659700</v>
      </c>
      <c r="D149" s="49">
        <v>16762972.0270025</v>
      </c>
      <c r="E149" s="50">
        <f>VLOOKUP($A149,'Data shares'!$C:$FA,154)*100</f>
        <v>28.22</v>
      </c>
      <c r="F149" s="173">
        <f t="shared" si="2"/>
        <v>0.27828636592632577</v>
      </c>
    </row>
    <row r="150" spans="1:6" x14ac:dyDescent="0.25">
      <c r="A150" s="99" t="s">
        <v>529</v>
      </c>
      <c r="B150" s="49">
        <v>15732422</v>
      </c>
      <c r="C150" s="49">
        <v>2808200</v>
      </c>
      <c r="D150" s="49">
        <v>2163720.3269500001</v>
      </c>
      <c r="E150" s="50">
        <f>VLOOKUP($A150,'Data shares'!$C:$FA,154)*100</f>
        <v>18.2</v>
      </c>
      <c r="F150" s="173">
        <f t="shared" si="2"/>
        <v>0.17849762738375566</v>
      </c>
    </row>
    <row r="151" spans="1:6" x14ac:dyDescent="0.25">
      <c r="A151" s="99" t="s">
        <v>272</v>
      </c>
      <c r="B151" s="49">
        <v>108255733</v>
      </c>
      <c r="C151" s="49">
        <v>59259100</v>
      </c>
      <c r="D151" s="49">
        <v>35715793.484094001</v>
      </c>
      <c r="E151" s="50">
        <f>VLOOKUP($A151,'Data shares'!$C:$FA,154)*100</f>
        <v>55.879999999999995</v>
      </c>
      <c r="F151" s="173">
        <f t="shared" si="2"/>
        <v>0.5473991848542562</v>
      </c>
    </row>
    <row r="152" spans="1:6" x14ac:dyDescent="0.25">
      <c r="A152" s="99" t="s">
        <v>273</v>
      </c>
      <c r="B152" s="49">
        <v>217835555</v>
      </c>
      <c r="C152" s="49">
        <v>94088800</v>
      </c>
      <c r="D152" s="49">
        <v>58900882.181492001</v>
      </c>
      <c r="E152" s="50">
        <f>VLOOKUP($A152,'Data shares'!$C:$FA,154)*100</f>
        <v>44.04</v>
      </c>
      <c r="F152" s="173">
        <f t="shared" si="2"/>
        <v>0.43192581670150221</v>
      </c>
    </row>
    <row r="153" spans="1:6" x14ac:dyDescent="0.25">
      <c r="A153" s="99" t="s">
        <v>679</v>
      </c>
      <c r="B153" s="49">
        <v>24030912</v>
      </c>
      <c r="C153" s="49">
        <v>16778900</v>
      </c>
      <c r="D153" s="49">
        <v>11426481.273379499</v>
      </c>
      <c r="E153" s="50">
        <f>VLOOKUP($A153,'Data shares'!$C:$FA,154)*100</f>
        <v>70.459999999999994</v>
      </c>
      <c r="F153" s="173">
        <f t="shared" si="2"/>
        <v>0.69822152401040793</v>
      </c>
    </row>
    <row r="154" spans="1:6" x14ac:dyDescent="0.25">
      <c r="A154" s="99" t="s">
        <v>645</v>
      </c>
      <c r="B154" s="49">
        <v>19533471</v>
      </c>
      <c r="C154" s="49">
        <v>4946900</v>
      </c>
      <c r="D154" s="49">
        <v>3950235.4184090002</v>
      </c>
      <c r="E154" s="50">
        <f>VLOOKUP($A154,'Data shares'!$C:$FA,154)*100</f>
        <v>25.619999999999997</v>
      </c>
      <c r="F154" s="173">
        <f t="shared" si="2"/>
        <v>0.25325248134343353</v>
      </c>
    </row>
    <row r="155" spans="1:6" x14ac:dyDescent="0.25">
      <c r="A155" s="99" t="s">
        <v>274</v>
      </c>
      <c r="B155" s="49">
        <v>31214205</v>
      </c>
      <c r="C155" s="49">
        <v>9963000</v>
      </c>
      <c r="D155" s="49">
        <v>8513990.3659799993</v>
      </c>
      <c r="E155" s="50">
        <f>VLOOKUP($A155,'Data shares'!$C:$FA,154)*100</f>
        <v>32.1</v>
      </c>
      <c r="F155" s="173">
        <f t="shared" si="2"/>
        <v>0.31918160337577073</v>
      </c>
    </row>
    <row r="156" spans="1:6" x14ac:dyDescent="0.25">
      <c r="A156" s="99" t="s">
        <v>483</v>
      </c>
      <c r="B156" s="49">
        <v>10712372</v>
      </c>
      <c r="C156" s="49">
        <v>3226650</v>
      </c>
      <c r="D156" s="49">
        <v>2242603.5127037498</v>
      </c>
      <c r="E156" s="50">
        <f>VLOOKUP($A156,'Data shares'!$C:$FA,154)*100</f>
        <v>30.29</v>
      </c>
      <c r="F156" s="173">
        <f t="shared" si="2"/>
        <v>0.30120779972913564</v>
      </c>
    </row>
    <row r="157" spans="1:6" x14ac:dyDescent="0.25">
      <c r="A157" s="99" t="s">
        <v>275</v>
      </c>
      <c r="B157" s="49">
        <v>515822637</v>
      </c>
      <c r="C157" s="49">
        <v>347472000</v>
      </c>
      <c r="D157" s="49">
        <v>214361481.05688</v>
      </c>
      <c r="E157" s="50">
        <f>VLOOKUP($A157,'Data shares'!$C:$FA,154)*100</f>
        <v>68.52000000000001</v>
      </c>
      <c r="F157" s="173">
        <f t="shared" si="2"/>
        <v>0.67362689241573548</v>
      </c>
    </row>
    <row r="158" spans="1:6" x14ac:dyDescent="0.25">
      <c r="A158" s="99" t="s">
        <v>669</v>
      </c>
      <c r="B158" s="49">
        <v>28118603</v>
      </c>
      <c r="C158" s="49">
        <v>19946550</v>
      </c>
      <c r="D158" s="49">
        <v>14209140.013211001</v>
      </c>
      <c r="E158" s="50">
        <f>VLOOKUP($A158,'Data shares'!$C:$FA,154)*100</f>
        <v>71.240000000000009</v>
      </c>
      <c r="F158" s="173">
        <f t="shared" si="2"/>
        <v>0.70937201254272841</v>
      </c>
    </row>
    <row r="159" spans="1:6" x14ac:dyDescent="0.25">
      <c r="A159" s="99" t="s">
        <v>573</v>
      </c>
      <c r="B159" s="49">
        <v>60642005</v>
      </c>
      <c r="C159" s="49">
        <v>8086400</v>
      </c>
      <c r="D159" s="49">
        <v>6362367.5713534998</v>
      </c>
      <c r="E159" s="50"/>
      <c r="F159" s="173">
        <f t="shared" si="2"/>
        <v>0.13334651451580468</v>
      </c>
    </row>
    <row r="160" spans="1:6" x14ac:dyDescent="0.25">
      <c r="A160" s="99" t="s">
        <v>519</v>
      </c>
      <c r="B160" s="49">
        <v>8688405</v>
      </c>
      <c r="C160" s="49">
        <v>4584250</v>
      </c>
      <c r="D160" s="49">
        <v>3368614.6228224998</v>
      </c>
      <c r="E160" s="50">
        <f>VLOOKUP($A160,'Data shares'!$C:$FA,154)*100</f>
        <v>53.83</v>
      </c>
      <c r="F160" s="173">
        <f t="shared" si="2"/>
        <v>0.52762848877325585</v>
      </c>
    </row>
    <row r="161" spans="1:6" x14ac:dyDescent="0.25">
      <c r="A161" s="99" t="s">
        <v>276</v>
      </c>
      <c r="B161" s="49">
        <v>678857930</v>
      </c>
      <c r="C161" s="49">
        <v>131911300</v>
      </c>
      <c r="D161" s="49">
        <v>97140111.792211995</v>
      </c>
      <c r="E161" s="50">
        <f>VLOOKUP($A161,'Data shares'!$C:$FA,154)*100</f>
        <v>19.650000000000002</v>
      </c>
      <c r="F161" s="173">
        <f t="shared" si="2"/>
        <v>0.19431355836117287</v>
      </c>
    </row>
    <row r="162" spans="1:6" x14ac:dyDescent="0.25">
      <c r="A162" s="99" t="s">
        <v>686</v>
      </c>
      <c r="B162" s="49">
        <v>1917916</v>
      </c>
      <c r="C162" s="49">
        <v>386550</v>
      </c>
      <c r="D162" s="49">
        <v>271307.534163</v>
      </c>
      <c r="E162" s="50">
        <f>VLOOKUP($A162,'Data shares'!$C:$FA,154)*100</f>
        <v>20.369999999999997</v>
      </c>
      <c r="F162" s="173">
        <f t="shared" si="2"/>
        <v>0.20154688735064519</v>
      </c>
    </row>
    <row r="163" spans="1:6" x14ac:dyDescent="0.25">
      <c r="A163" s="99" t="s">
        <v>677</v>
      </c>
      <c r="B163" s="49">
        <v>107697729</v>
      </c>
      <c r="C163" s="49">
        <v>36408750</v>
      </c>
      <c r="D163" s="49">
        <v>19197927.167737499</v>
      </c>
      <c r="E163" s="50">
        <f>VLOOKUP($A163,'Data shares'!$C:$FA,154)*100</f>
        <v>34.22</v>
      </c>
      <c r="F163" s="173">
        <f t="shared" si="2"/>
        <v>0.33806423160510657</v>
      </c>
    </row>
    <row r="164" spans="1:6" x14ac:dyDescent="0.25">
      <c r="A164" s="99" t="s">
        <v>689</v>
      </c>
      <c r="B164" s="49">
        <v>23923093</v>
      </c>
      <c r="C164" s="49">
        <v>7469825</v>
      </c>
      <c r="D164" s="49">
        <v>4496049.0788820004</v>
      </c>
      <c r="E164" s="50">
        <f>VLOOKUP($A164,'Data shares'!$C:$FA,154)*100</f>
        <v>31.41</v>
      </c>
      <c r="F164" s="173">
        <f t="shared" si="2"/>
        <v>0.31224327891046527</v>
      </c>
    </row>
    <row r="165" spans="1:6" x14ac:dyDescent="0.25">
      <c r="A165" s="99" t="s">
        <v>605</v>
      </c>
      <c r="B165" s="49">
        <v>22697169</v>
      </c>
      <c r="C165" s="49">
        <v>4895100</v>
      </c>
      <c r="D165" s="49">
        <v>3917751.9285690002</v>
      </c>
      <c r="E165" s="50">
        <f>VLOOKUP($A165,'Data shares'!$C:$FA,154)*100</f>
        <v>21.95</v>
      </c>
      <c r="F165" s="173">
        <f t="shared" si="2"/>
        <v>0.21567006880902195</v>
      </c>
    </row>
    <row r="166" spans="1:6" x14ac:dyDescent="0.25">
      <c r="A166" s="99" t="s">
        <v>279</v>
      </c>
      <c r="B166" s="49">
        <v>91953095</v>
      </c>
      <c r="C166" s="49">
        <v>108934250</v>
      </c>
      <c r="D166" s="49">
        <v>61474033.669320703</v>
      </c>
      <c r="E166" s="50">
        <f>VLOOKUP($A166,'Data shares'!$C:$FA,154)*100</f>
        <v>121.66999999999999</v>
      </c>
      <c r="F166" s="173">
        <f t="shared" si="2"/>
        <v>1.1846719243109762</v>
      </c>
    </row>
    <row r="167" spans="1:6" x14ac:dyDescent="0.25">
      <c r="A167" s="99" t="s">
        <v>280</v>
      </c>
      <c r="B167" s="49">
        <v>187084550</v>
      </c>
      <c r="C167" s="49">
        <v>115581200</v>
      </c>
      <c r="D167" s="49">
        <v>70904706.971055999</v>
      </c>
      <c r="E167" s="50">
        <f>VLOOKUP($A167,'Data shares'!$C:$FA,154)*100</f>
        <v>63.190000000000005</v>
      </c>
      <c r="F167" s="173">
        <f t="shared" si="2"/>
        <v>0.61780195104299096</v>
      </c>
    </row>
    <row r="168" spans="1:6" x14ac:dyDescent="0.25">
      <c r="A168" s="99" t="s">
        <v>281</v>
      </c>
      <c r="B168" s="49">
        <v>664266681</v>
      </c>
      <c r="C168" s="49">
        <v>182303000</v>
      </c>
      <c r="D168" s="49">
        <v>115199154.93951499</v>
      </c>
      <c r="E168" s="50">
        <f>VLOOKUP($A168,'Data shares'!$C:$FA,154)*100</f>
        <v>27.950000000000003</v>
      </c>
      <c r="F168" s="173">
        <f t="shared" si="2"/>
        <v>0.27444248705287688</v>
      </c>
    </row>
    <row r="169" spans="1:6" x14ac:dyDescent="0.25">
      <c r="A169" s="99" t="s">
        <v>674</v>
      </c>
      <c r="B169" s="49">
        <v>84941460</v>
      </c>
      <c r="C169" s="49">
        <v>78099825</v>
      </c>
      <c r="D169" s="49">
        <v>37069573.840013497</v>
      </c>
      <c r="E169" s="50">
        <f>VLOOKUP($A169,'Data shares'!$C:$FA,154)*100</f>
        <v>92.99</v>
      </c>
      <c r="F169" s="173">
        <f t="shared" si="2"/>
        <v>0.91945470445174826</v>
      </c>
    </row>
    <row r="170" spans="1:6" x14ac:dyDescent="0.25">
      <c r="A170" s="99" t="s">
        <v>282</v>
      </c>
      <c r="B170" s="49">
        <v>216861410</v>
      </c>
      <c r="C170" s="49">
        <v>234891900</v>
      </c>
      <c r="D170" s="49">
        <v>179805128.39834401</v>
      </c>
      <c r="E170" s="50"/>
      <c r="F170" s="173">
        <f t="shared" si="2"/>
        <v>1.083142916021804</v>
      </c>
    </row>
    <row r="171" spans="1:6" x14ac:dyDescent="0.25">
      <c r="A171" s="99" t="s">
        <v>685</v>
      </c>
      <c r="B171" s="49">
        <v>122326971</v>
      </c>
      <c r="C171" s="49">
        <v>126987600</v>
      </c>
      <c r="D171" s="49">
        <v>78293105.557497993</v>
      </c>
      <c r="E171" s="50">
        <f>VLOOKUP($A171,'Data shares'!$C:$FA,154)*100</f>
        <v>106.46</v>
      </c>
      <c r="F171" s="173">
        <f t="shared" si="2"/>
        <v>1.0380997662404312</v>
      </c>
    </row>
    <row r="172" spans="1:6" x14ac:dyDescent="0.25">
      <c r="A172" s="99" t="s">
        <v>536</v>
      </c>
      <c r="B172" s="49">
        <v>44836888</v>
      </c>
      <c r="C172" s="49">
        <v>24043200</v>
      </c>
      <c r="D172" s="49">
        <v>15244703.575832</v>
      </c>
      <c r="E172" s="50">
        <f>VLOOKUP($A172,'Data shares'!$C:$FA,154)*100</f>
        <v>54.410000000000004</v>
      </c>
      <c r="F172" s="173">
        <f t="shared" si="2"/>
        <v>0.53623703768200859</v>
      </c>
    </row>
    <row r="173" spans="1:6" x14ac:dyDescent="0.25">
      <c r="A173" s="99" t="s">
        <v>462</v>
      </c>
      <c r="B173" s="49">
        <v>44756800</v>
      </c>
      <c r="C173" s="49">
        <v>12850500</v>
      </c>
      <c r="D173" s="49">
        <v>9932735.1888225004</v>
      </c>
      <c r="E173" s="50">
        <f>VLOOKUP($A173,'Data shares'!$C:$FA,154)*100</f>
        <v>29.17</v>
      </c>
      <c r="F173" s="173">
        <f t="shared" si="2"/>
        <v>0.28711838201122514</v>
      </c>
    </row>
    <row r="174" spans="1:6" x14ac:dyDescent="0.25">
      <c r="A174" s="99" t="s">
        <v>283</v>
      </c>
      <c r="B174" s="49">
        <v>436949195</v>
      </c>
      <c r="C174" s="49">
        <v>103704000</v>
      </c>
      <c r="D174" s="49">
        <v>68780098.840912506</v>
      </c>
      <c r="E174" s="50"/>
      <c r="F174" s="173">
        <f t="shared" si="2"/>
        <v>0.23733651689185511</v>
      </c>
    </row>
    <row r="175" spans="1:6" x14ac:dyDescent="0.25">
      <c r="A175" s="99" t="s">
        <v>284</v>
      </c>
      <c r="B175" s="49">
        <v>1568093</v>
      </c>
      <c r="C175" s="49">
        <v>291975</v>
      </c>
      <c r="D175" s="49">
        <v>247248.49499800001</v>
      </c>
      <c r="E175" s="50">
        <f>VLOOKUP($A175,'Data shares'!$C:$FA,154)*100</f>
        <v>19.149999999999999</v>
      </c>
      <c r="F175" s="173">
        <f t="shared" si="2"/>
        <v>0.186197502316508</v>
      </c>
    </row>
    <row r="176" spans="1:6" x14ac:dyDescent="0.25">
      <c r="A176" s="99" t="s">
        <v>562</v>
      </c>
      <c r="B176" s="49">
        <v>210513975</v>
      </c>
      <c r="C176" s="49">
        <v>55387200</v>
      </c>
      <c r="D176" s="49">
        <v>42490607.205618002</v>
      </c>
      <c r="E176" s="50">
        <f>VLOOKUP($A176,'Data shares'!$C:$FA,154)*100</f>
        <v>26.700000000000003</v>
      </c>
      <c r="F176" s="173">
        <f t="shared" si="2"/>
        <v>0.26310462286411151</v>
      </c>
    </row>
    <row r="177" spans="1:6" x14ac:dyDescent="0.25">
      <c r="A177" s="99" t="s">
        <v>285</v>
      </c>
      <c r="B177" s="49">
        <v>13354588</v>
      </c>
      <c r="C177" s="49">
        <v>3016650</v>
      </c>
      <c r="D177" s="49">
        <v>2231065.7860504999</v>
      </c>
      <c r="E177" s="50"/>
      <c r="F177" s="173">
        <f t="shared" si="2"/>
        <v>0.22588866088568213</v>
      </c>
    </row>
    <row r="178" spans="1:6" x14ac:dyDescent="0.25">
      <c r="A178" s="99" t="s">
        <v>646</v>
      </c>
      <c r="B178" s="49">
        <v>3644817</v>
      </c>
      <c r="C178" s="49">
        <v>1222450</v>
      </c>
      <c r="D178" s="49">
        <v>875697.25850200001</v>
      </c>
      <c r="E178" s="50">
        <f>VLOOKUP($A178,'Data shares'!$C:$FA,154)*100</f>
        <v>33.950000000000003</v>
      </c>
      <c r="F178" s="173">
        <f t="shared" si="2"/>
        <v>0.33539406779544761</v>
      </c>
    </row>
    <row r="179" spans="1:6" x14ac:dyDescent="0.25">
      <c r="A179" s="99" t="s">
        <v>614</v>
      </c>
      <c r="B179" s="49">
        <v>67126548</v>
      </c>
      <c r="C179" s="49">
        <v>17905825</v>
      </c>
      <c r="D179" s="49">
        <v>14371069.402535999</v>
      </c>
      <c r="E179" s="50">
        <f>VLOOKUP($A179,'Data shares'!$C:$FA,154)*100</f>
        <v>26.889999999999997</v>
      </c>
      <c r="F179" s="173">
        <f t="shared" si="2"/>
        <v>0.26674729348513498</v>
      </c>
    </row>
    <row r="180" spans="1:6" x14ac:dyDescent="0.25">
      <c r="A180" s="99" t="s">
        <v>286</v>
      </c>
      <c r="B180" s="49">
        <v>18529108</v>
      </c>
      <c r="C180" s="49">
        <v>4531200</v>
      </c>
      <c r="D180" s="49">
        <v>3194043.5120700002</v>
      </c>
      <c r="E180" s="50">
        <f>VLOOKUP($A180,'Data shares'!$C:$FA,154)*100</f>
        <v>24.89</v>
      </c>
      <c r="F180" s="173">
        <f t="shared" si="2"/>
        <v>0.24454496136565235</v>
      </c>
    </row>
    <row r="181" spans="1:6" x14ac:dyDescent="0.25">
      <c r="A181" s="99" t="s">
        <v>288</v>
      </c>
      <c r="B181" s="49">
        <v>109220043</v>
      </c>
      <c r="C181" s="49">
        <v>25169900</v>
      </c>
      <c r="D181" s="49">
        <v>20306744.177111</v>
      </c>
      <c r="E181" s="50">
        <f>VLOOKUP($A181,'Data shares'!$C:$FA,154)*100</f>
        <v>23.26</v>
      </c>
      <c r="F181" s="173">
        <f t="shared" si="2"/>
        <v>0.230451291801817</v>
      </c>
    </row>
    <row r="182" spans="1:6" x14ac:dyDescent="0.25">
      <c r="A182" s="99" t="s">
        <v>574</v>
      </c>
      <c r="B182" s="49">
        <v>9736357</v>
      </c>
      <c r="C182" s="49">
        <v>2263275</v>
      </c>
      <c r="D182" s="49">
        <v>1623074.6683024999</v>
      </c>
      <c r="E182" s="50">
        <f>VLOOKUP($A182,'Data shares'!$C:$FA,154)*100</f>
        <v>23.39</v>
      </c>
      <c r="F182" s="173">
        <f t="shared" si="2"/>
        <v>0.23245604079636767</v>
      </c>
    </row>
    <row r="183" spans="1:6" x14ac:dyDescent="0.25">
      <c r="A183" s="99" t="s">
        <v>683</v>
      </c>
      <c r="B183" s="49">
        <v>1814982173</v>
      </c>
      <c r="C183" s="49">
        <v>416124700</v>
      </c>
      <c r="D183" s="49">
        <v>233361882.663452</v>
      </c>
      <c r="E183" s="50">
        <f>VLOOKUP($A183,'Data shares'!$C:$FA,154)*100</f>
        <v>23.41</v>
      </c>
      <c r="F183" s="173">
        <f t="shared" si="2"/>
        <v>0.22927205908154119</v>
      </c>
    </row>
    <row r="184" spans="1:6" x14ac:dyDescent="0.25">
      <c r="A184" s="99" t="s">
        <v>692</v>
      </c>
      <c r="B184" s="49">
        <v>375529891</v>
      </c>
      <c r="C184" s="49">
        <v>31564000</v>
      </c>
      <c r="D184" s="49">
        <v>24946354.554225001</v>
      </c>
      <c r="E184" s="50">
        <f>VLOOKUP($A184,'Data shares'!$C:$FA,154)*100</f>
        <v>8.4500000000000011</v>
      </c>
      <c r="F184" s="173">
        <f t="shared" si="2"/>
        <v>8.4051897748933124E-2</v>
      </c>
    </row>
    <row r="185" spans="1:6" x14ac:dyDescent="0.25">
      <c r="A185" s="99" t="s">
        <v>520</v>
      </c>
      <c r="B185" s="49">
        <v>24733183</v>
      </c>
      <c r="C185" s="49">
        <v>18424000</v>
      </c>
      <c r="D185" s="49">
        <v>7473938.8755799998</v>
      </c>
      <c r="E185" s="50">
        <f>VLOOKUP($A185,'Data shares'!$C:$FA,154)*100</f>
        <v>75.709999999999994</v>
      </c>
      <c r="F185" s="173">
        <f t="shared" si="2"/>
        <v>0.74491018806596787</v>
      </c>
    </row>
    <row r="186" spans="1:6" x14ac:dyDescent="0.25">
      <c r="A186" s="99" t="s">
        <v>291</v>
      </c>
      <c r="B186" s="49">
        <v>65472326</v>
      </c>
      <c r="C186" s="49">
        <v>18716500</v>
      </c>
      <c r="D186" s="49">
        <v>11197435.076971</v>
      </c>
      <c r="E186" s="50"/>
      <c r="F186" s="173">
        <f t="shared" si="2"/>
        <v>0.28586887229269969</v>
      </c>
    </row>
    <row r="187" spans="1:6" x14ac:dyDescent="0.25">
      <c r="A187" s="99" t="s">
        <v>604</v>
      </c>
      <c r="B187" s="49">
        <v>5241546</v>
      </c>
      <c r="C187" s="49">
        <v>2003600</v>
      </c>
      <c r="D187" s="49">
        <v>1197290.4513320001</v>
      </c>
      <c r="E187" s="50">
        <f>VLOOKUP($A187,'Data shares'!$C:$FA,154)*100</f>
        <v>38.57</v>
      </c>
      <c r="F187" s="173">
        <f t="shared" si="2"/>
        <v>0.38225363280223051</v>
      </c>
    </row>
    <row r="188" spans="1:6" x14ac:dyDescent="0.25">
      <c r="A188" s="99" t="s">
        <v>293</v>
      </c>
      <c r="B188" s="49">
        <v>202215001</v>
      </c>
      <c r="C188" s="49">
        <v>91545750</v>
      </c>
      <c r="D188" s="49">
        <v>50443569.603588499</v>
      </c>
      <c r="E188" s="50">
        <f>VLOOKUP($A188,'Data shares'!$C:$FA,154)*100</f>
        <v>46.29</v>
      </c>
      <c r="F188" s="173">
        <f t="shared" si="2"/>
        <v>0.45271492988791667</v>
      </c>
    </row>
    <row r="189" spans="1:6" x14ac:dyDescent="0.25">
      <c r="A189" s="99" t="s">
        <v>294</v>
      </c>
      <c r="B189" s="49">
        <v>872935214</v>
      </c>
      <c r="C189" s="49">
        <v>373873500</v>
      </c>
      <c r="D189" s="49">
        <v>253338555.007065</v>
      </c>
      <c r="E189" s="50">
        <f>VLOOKUP($A189,'Data shares'!$C:$FA,154)*100</f>
        <v>43.49</v>
      </c>
      <c r="F189" s="173">
        <f t="shared" si="2"/>
        <v>0.42829467067415156</v>
      </c>
    </row>
    <row r="190" spans="1:6" x14ac:dyDescent="0.25">
      <c r="A190" s="99" t="s">
        <v>663</v>
      </c>
      <c r="B190" s="49">
        <v>25116370</v>
      </c>
      <c r="C190" s="49">
        <v>13332800</v>
      </c>
      <c r="D190" s="49">
        <v>8159707.6331599997</v>
      </c>
      <c r="E190" s="50">
        <f>VLOOKUP($A190,'Data shares'!$C:$FA,154)*100</f>
        <v>54.04</v>
      </c>
      <c r="F190" s="173">
        <f t="shared" si="2"/>
        <v>0.53084104112178632</v>
      </c>
    </row>
    <row r="191" spans="1:6" x14ac:dyDescent="0.25">
      <c r="A191" s="99" t="s">
        <v>295</v>
      </c>
      <c r="B191" s="49">
        <v>126444612</v>
      </c>
      <c r="C191" s="49">
        <v>27489175</v>
      </c>
      <c r="D191" s="49">
        <v>18919480.513402</v>
      </c>
      <c r="E191" s="50">
        <f>VLOOKUP($A191,'Data shares'!$C:$FA,154)*100</f>
        <v>22.07</v>
      </c>
      <c r="F191" s="173">
        <f t="shared" si="2"/>
        <v>0.21740092017523055</v>
      </c>
    </row>
    <row r="192" spans="1:6" x14ac:dyDescent="0.25">
      <c r="A192" s="99" t="s">
        <v>296</v>
      </c>
      <c r="B192" s="49">
        <v>80031540</v>
      </c>
      <c r="C192" s="49">
        <v>23059200</v>
      </c>
      <c r="D192" s="49">
        <v>18372174.019512001</v>
      </c>
      <c r="E192" s="50">
        <f>VLOOKUP($A192,'Data shares'!$C:$FA,154)*100</f>
        <v>29.49</v>
      </c>
      <c r="F192" s="173">
        <f t="shared" si="2"/>
        <v>0.28812640616436969</v>
      </c>
    </row>
    <row r="193" spans="1:6" x14ac:dyDescent="0.25">
      <c r="A193" s="99" t="s">
        <v>595</v>
      </c>
      <c r="B193" s="49">
        <v>15879795</v>
      </c>
      <c r="C193" s="49">
        <v>4738200</v>
      </c>
      <c r="D193" s="49">
        <v>3744054.1986759999</v>
      </c>
      <c r="E193" s="50">
        <f>VLOOKUP($A193,'Data shares'!$C:$FA,154)*100</f>
        <v>29.94</v>
      </c>
      <c r="F193" s="173">
        <f t="shared" si="2"/>
        <v>0.29837916673357562</v>
      </c>
    </row>
    <row r="194" spans="1:6" x14ac:dyDescent="0.25">
      <c r="A194" s="99" t="s">
        <v>297</v>
      </c>
      <c r="B194" s="49">
        <v>45680146</v>
      </c>
      <c r="C194" s="49">
        <v>11091150</v>
      </c>
      <c r="D194" s="49">
        <v>8204816.0286435001</v>
      </c>
      <c r="E194" s="50">
        <f>VLOOKUP($A194,'Data shares'!$C:$FA,154)*100</f>
        <v>24.610000000000003</v>
      </c>
      <c r="F194" s="173">
        <f t="shared" si="2"/>
        <v>0.24280023097999731</v>
      </c>
    </row>
    <row r="195" spans="1:6" x14ac:dyDescent="0.25">
      <c r="A195" s="99" t="s">
        <v>688</v>
      </c>
      <c r="B195" s="49">
        <v>317235726</v>
      </c>
      <c r="C195" s="49">
        <v>118336000</v>
      </c>
      <c r="D195" s="49">
        <v>76178093.488008007</v>
      </c>
      <c r="E195" s="50">
        <f>VLOOKUP($A195,'Data shares'!$C:$FA,154)*100</f>
        <v>37.830000000000005</v>
      </c>
      <c r="F195" s="173">
        <f t="shared" si="2"/>
        <v>0.37302229951238214</v>
      </c>
    </row>
    <row r="196" spans="1:6" x14ac:dyDescent="0.25">
      <c r="A196" s="99" t="s">
        <v>298</v>
      </c>
      <c r="B196" s="49">
        <v>10726004</v>
      </c>
      <c r="C196" s="49">
        <v>2731250</v>
      </c>
      <c r="D196" s="49">
        <v>2427515.7212100001</v>
      </c>
      <c r="E196" s="50">
        <f>VLOOKUP($A196,'Data shares'!$C:$FA,154)*100</f>
        <v>25.94</v>
      </c>
      <c r="F196" s="173">
        <f t="shared" si="2"/>
        <v>0.25463816720560611</v>
      </c>
    </row>
    <row r="197" spans="1:6" x14ac:dyDescent="0.25">
      <c r="A197" s="99" t="s">
        <v>299</v>
      </c>
      <c r="B197" s="49">
        <v>24646022</v>
      </c>
      <c r="C197" s="49">
        <v>3563625</v>
      </c>
      <c r="D197" s="49">
        <v>2736767.0596079999</v>
      </c>
      <c r="E197" s="50">
        <f>VLOOKUP($A197,'Data shares'!$C:$FA,154)*100</f>
        <v>14.729999999999999</v>
      </c>
      <c r="F197" s="173">
        <f t="shared" ref="F197:F212" si="3">C197/B197</f>
        <v>0.14459229972285181</v>
      </c>
    </row>
    <row r="198" spans="1:6" x14ac:dyDescent="0.25">
      <c r="A198" s="99" t="s">
        <v>482</v>
      </c>
      <c r="B198" s="49">
        <v>33590487</v>
      </c>
      <c r="C198" s="49">
        <v>11020800</v>
      </c>
      <c r="D198" s="49">
        <v>7501670.9387649996</v>
      </c>
      <c r="E198" s="50">
        <f>VLOOKUP($A198,'Data shares'!$C:$FA,154)*100</f>
        <v>33.17</v>
      </c>
      <c r="F198" s="173">
        <f t="shared" si="3"/>
        <v>0.32809289129984925</v>
      </c>
    </row>
    <row r="199" spans="1:6" x14ac:dyDescent="0.25">
      <c r="A199" s="99" t="s">
        <v>300</v>
      </c>
      <c r="B199" s="49">
        <v>31634588</v>
      </c>
      <c r="C199" s="49">
        <v>11248825</v>
      </c>
      <c r="D199" s="49">
        <v>8460000.1762307491</v>
      </c>
      <c r="E199" s="50">
        <f>VLOOKUP($A199,'Data shares'!$C:$FA,154)*100</f>
        <v>36.049999999999997</v>
      </c>
      <c r="F199" s="173">
        <f t="shared" si="3"/>
        <v>0.35558626526130199</v>
      </c>
    </row>
    <row r="200" spans="1:6" x14ac:dyDescent="0.25">
      <c r="A200" s="99" t="s">
        <v>302</v>
      </c>
      <c r="B200" s="49">
        <v>11955674</v>
      </c>
      <c r="C200" s="49">
        <v>3245450</v>
      </c>
      <c r="D200" s="49">
        <v>2652930.4577135001</v>
      </c>
      <c r="E200" s="50">
        <f>VLOOKUP($A200,'Data shares'!$C:$FA,154)*100</f>
        <v>27.55</v>
      </c>
      <c r="F200" s="173">
        <f t="shared" si="3"/>
        <v>0.27145688315020966</v>
      </c>
    </row>
    <row r="201" spans="1:6" x14ac:dyDescent="0.25">
      <c r="A201" s="99" t="s">
        <v>593</v>
      </c>
      <c r="B201" s="49">
        <v>289041713</v>
      </c>
      <c r="C201" s="49">
        <v>117669600</v>
      </c>
      <c r="D201" s="49">
        <v>77606542.331826702</v>
      </c>
      <c r="E201" s="50">
        <f>VLOOKUP($A201,'Data shares'!$C:$FA,154)*100</f>
        <v>41.410000000000004</v>
      </c>
      <c r="F201" s="173">
        <f t="shared" si="3"/>
        <v>0.40710248627678181</v>
      </c>
    </row>
    <row r="202" spans="1:6" x14ac:dyDescent="0.25">
      <c r="A202" s="99" t="s">
        <v>569</v>
      </c>
      <c r="B202" s="49">
        <v>37091426</v>
      </c>
      <c r="C202" s="49">
        <v>15228400</v>
      </c>
      <c r="D202" s="49">
        <v>10013678.482824</v>
      </c>
      <c r="E202" s="50">
        <f>VLOOKUP($A202,'Data shares'!$C:$FA,154)*100</f>
        <v>41.57</v>
      </c>
      <c r="F202" s="173">
        <f t="shared" si="3"/>
        <v>0.41056388611211658</v>
      </c>
    </row>
    <row r="203" spans="1:6" x14ac:dyDescent="0.25">
      <c r="A203" s="99" t="s">
        <v>673</v>
      </c>
      <c r="B203" s="49">
        <v>27292222</v>
      </c>
      <c r="C203" s="49">
        <v>5579750</v>
      </c>
      <c r="D203" s="49">
        <v>4982591.2026880002</v>
      </c>
      <c r="E203" s="50">
        <f>VLOOKUP($A203,'Data shares'!$C:$FA,154)*100</f>
        <v>20.630000000000003</v>
      </c>
      <c r="F203" s="173">
        <f t="shared" si="3"/>
        <v>0.20444469490245243</v>
      </c>
    </row>
    <row r="204" spans="1:6" x14ac:dyDescent="0.25">
      <c r="A204" s="99" t="s">
        <v>303</v>
      </c>
      <c r="B204" s="49">
        <v>84228583</v>
      </c>
      <c r="C204" s="49">
        <v>46399265</v>
      </c>
      <c r="D204" s="49">
        <v>27566059.895844899</v>
      </c>
      <c r="E204" s="50">
        <f>VLOOKUP($A204,'Data shares'!$C:$FA,154)*100</f>
        <v>55.48</v>
      </c>
      <c r="F204" s="173">
        <f t="shared" si="3"/>
        <v>0.55087315193228403</v>
      </c>
    </row>
    <row r="205" spans="1:6" x14ac:dyDescent="0.25">
      <c r="A205" s="99" t="s">
        <v>586</v>
      </c>
      <c r="B205" s="49">
        <v>205761118</v>
      </c>
      <c r="C205" s="49">
        <v>57181500</v>
      </c>
      <c r="D205" s="49">
        <v>44308923.8537587</v>
      </c>
      <c r="E205" s="50">
        <f>VLOOKUP($A205,'Data shares'!$C:$FA,154)*100</f>
        <v>27.88</v>
      </c>
      <c r="F205" s="173">
        <f t="shared" si="3"/>
        <v>0.27790235859818763</v>
      </c>
    </row>
    <row r="206" spans="1:6" x14ac:dyDescent="0.25">
      <c r="A206" s="99" t="s">
        <v>304</v>
      </c>
      <c r="B206" s="49">
        <v>255091106</v>
      </c>
      <c r="C206" s="49">
        <v>124006800</v>
      </c>
      <c r="D206" s="49">
        <v>79451350.0418455</v>
      </c>
      <c r="E206" s="50">
        <f>VLOOKUP($A206,'Data shares'!$C:$FA,154)*100</f>
        <v>49.419999999999995</v>
      </c>
      <c r="F206" s="173">
        <f t="shared" si="3"/>
        <v>0.48612749360222696</v>
      </c>
    </row>
    <row r="207" spans="1:6" x14ac:dyDescent="0.25">
      <c r="A207" s="99" t="s">
        <v>305</v>
      </c>
      <c r="B207" s="49">
        <v>34594689</v>
      </c>
      <c r="C207" s="49">
        <v>15456375</v>
      </c>
      <c r="D207" s="49">
        <v>11251589.6729137</v>
      </c>
      <c r="E207" s="50">
        <f>VLOOKUP($A207,'Data shares'!$C:$FA,154)*100</f>
        <v>44.91</v>
      </c>
      <c r="F207" s="173">
        <f t="shared" si="3"/>
        <v>0.44678462061040641</v>
      </c>
    </row>
    <row r="208" spans="1:6" x14ac:dyDescent="0.25">
      <c r="A208" s="99" t="s">
        <v>691</v>
      </c>
      <c r="B208" s="49">
        <v>15436318</v>
      </c>
      <c r="C208" s="49">
        <v>3219475</v>
      </c>
      <c r="D208" s="49">
        <v>1909492.8619585</v>
      </c>
      <c r="E208" s="50">
        <f>VLOOKUP($A208,'Data shares'!$C:$FA,154)*100</f>
        <v>21.83</v>
      </c>
      <c r="F208" s="173">
        <f t="shared" si="3"/>
        <v>0.20856495700593886</v>
      </c>
    </row>
    <row r="209" spans="1:6" x14ac:dyDescent="0.25">
      <c r="A209" s="99" t="s">
        <v>306</v>
      </c>
      <c r="B209" s="49">
        <v>358423198</v>
      </c>
      <c r="C209" s="49">
        <v>177264000</v>
      </c>
      <c r="D209" s="49">
        <v>93488750.876969993</v>
      </c>
      <c r="E209" s="50">
        <f>VLOOKUP($A209,'Data shares'!$C:$FA,154)*100</f>
        <v>49.94</v>
      </c>
      <c r="F209" s="173">
        <f t="shared" si="3"/>
        <v>0.49456620271548385</v>
      </c>
    </row>
    <row r="210" spans="1:6" x14ac:dyDescent="0.25">
      <c r="A210" s="99" t="s">
        <v>590</v>
      </c>
      <c r="B210" s="49">
        <v>3547322779</v>
      </c>
      <c r="C210" s="49">
        <v>1523464600</v>
      </c>
      <c r="D210" s="49">
        <v>956414813.66294301</v>
      </c>
      <c r="E210" s="50">
        <f>VLOOKUP($A210,'Data shares'!$C:$FA,154)*100</f>
        <v>43.519999999999996</v>
      </c>
      <c r="F210" s="173">
        <f t="shared" si="3"/>
        <v>0.4294688402811398</v>
      </c>
    </row>
    <row r="211" spans="1:6" x14ac:dyDescent="0.25">
      <c r="A211" s="99" t="s">
        <v>557</v>
      </c>
      <c r="B211" s="49">
        <v>37741451</v>
      </c>
      <c r="C211" s="49">
        <v>11399400</v>
      </c>
      <c r="D211" s="49">
        <v>8337671.1262889998</v>
      </c>
      <c r="E211" s="50">
        <f>VLOOKUP($A211,'Data shares'!$C:$FA,154)*100</f>
        <v>30.520000000000003</v>
      </c>
      <c r="F211" s="173">
        <f t="shared" si="3"/>
        <v>0.30203926181852414</v>
      </c>
    </row>
    <row r="212" spans="1:6" x14ac:dyDescent="0.25">
      <c r="A212" s="99"/>
      <c r="B212" s="49"/>
      <c r="C212" s="49"/>
      <c r="D212" s="49"/>
      <c r="E212" s="50"/>
      <c r="F212" s="173"/>
    </row>
    <row r="213" spans="1:6" x14ac:dyDescent="0.25">
      <c r="A213" s="99"/>
      <c r="B213" s="49"/>
      <c r="C213" s="49"/>
      <c r="D213" s="49"/>
      <c r="E213" s="50"/>
      <c r="F213" s="173"/>
    </row>
    <row r="214" spans="1:6" x14ac:dyDescent="0.25">
      <c r="A214" s="99"/>
      <c r="B214" s="49"/>
      <c r="C214" s="49"/>
      <c r="D214" s="49"/>
      <c r="E214" s="50"/>
      <c r="F214" s="173"/>
    </row>
    <row r="215" spans="1:6" x14ac:dyDescent="0.25">
      <c r="A215" s="99"/>
      <c r="B215" s="49"/>
      <c r="C215" s="49"/>
      <c r="D215" s="49"/>
      <c r="E215" s="50"/>
      <c r="F215" s="173"/>
    </row>
    <row r="216" spans="1:6" x14ac:dyDescent="0.25">
      <c r="A216" s="99"/>
      <c r="B216" s="49"/>
      <c r="C216" s="49"/>
      <c r="D216" s="49"/>
      <c r="E216" s="50"/>
      <c r="F216" s="173"/>
    </row>
    <row r="217" spans="1:6" x14ac:dyDescent="0.25">
      <c r="A217" s="99"/>
      <c r="B217" s="49"/>
      <c r="C217" s="49"/>
      <c r="D217" s="49"/>
      <c r="E217" s="50"/>
      <c r="F217" s="173"/>
    </row>
    <row r="218" spans="1:6" x14ac:dyDescent="0.25">
      <c r="A218" s="99"/>
      <c r="B218" s="49"/>
      <c r="C218" s="49"/>
      <c r="D218" s="49"/>
      <c r="E218" s="50"/>
      <c r="F218" s="173"/>
    </row>
    <row r="219" spans="1:6" x14ac:dyDescent="0.25">
      <c r="A219" s="99"/>
      <c r="B219" s="49"/>
      <c r="C219" s="49"/>
      <c r="D219" s="49"/>
      <c r="E219" s="50"/>
      <c r="F219" s="173"/>
    </row>
    <row r="220" spans="1:6" x14ac:dyDescent="0.25">
      <c r="A220" s="99"/>
      <c r="B220" s="49"/>
      <c r="C220" s="49"/>
      <c r="D220" s="49"/>
      <c r="E220" s="50"/>
      <c r="F220" s="173"/>
    </row>
    <row r="221" spans="1:6" x14ac:dyDescent="0.25">
      <c r="A221" s="99"/>
      <c r="B221" s="49"/>
      <c r="C221" s="49"/>
      <c r="D221" s="49"/>
      <c r="E221" s="50"/>
      <c r="F221" s="173"/>
    </row>
    <row r="222" spans="1:6" x14ac:dyDescent="0.25">
      <c r="A222" s="99"/>
      <c r="B222" s="49"/>
      <c r="C222" s="49"/>
      <c r="D222" s="49"/>
      <c r="E222" s="50"/>
      <c r="F222" s="173"/>
    </row>
    <row r="223" spans="1:6" x14ac:dyDescent="0.25">
      <c r="A223" s="99"/>
      <c r="B223" s="49"/>
      <c r="C223" s="49"/>
      <c r="D223" s="49"/>
      <c r="E223" s="50"/>
      <c r="F223" s="173"/>
    </row>
    <row r="224" spans="1:6" x14ac:dyDescent="0.25">
      <c r="A224" s="99"/>
      <c r="B224" s="49"/>
      <c r="C224" s="49"/>
      <c r="D224" s="49"/>
      <c r="E224" s="50"/>
      <c r="F224" s="173"/>
    </row>
    <row r="225" spans="1:6" x14ac:dyDescent="0.25">
      <c r="A225" s="99"/>
      <c r="B225" s="49"/>
      <c r="C225" s="49"/>
      <c r="D225" s="49"/>
      <c r="E225" s="50"/>
      <c r="F225" s="173"/>
    </row>
    <row r="226" spans="1:6" x14ac:dyDescent="0.25">
      <c r="A226" s="99"/>
      <c r="B226" s="49"/>
      <c r="C226" s="49"/>
      <c r="D226" s="49"/>
      <c r="E226" s="50"/>
      <c r="F226" s="173"/>
    </row>
    <row r="227" spans="1:6" x14ac:dyDescent="0.25">
      <c r="A227" s="99"/>
      <c r="B227" s="49"/>
      <c r="C227" s="49"/>
      <c r="D227" s="49"/>
      <c r="E227" s="50"/>
      <c r="F227" s="173"/>
    </row>
    <row r="228" spans="1:6" x14ac:dyDescent="0.25">
      <c r="A228" s="99"/>
      <c r="B228" s="49"/>
      <c r="C228" s="49"/>
      <c r="D228" s="49"/>
      <c r="E228" s="50"/>
      <c r="F228" s="173"/>
    </row>
    <row r="229" spans="1:6" x14ac:dyDescent="0.25">
      <c r="A229" s="99"/>
      <c r="B229" s="49"/>
      <c r="C229" s="49"/>
      <c r="D229" s="49"/>
      <c r="E229" s="50"/>
      <c r="F229" s="173"/>
    </row>
    <row r="230" spans="1:6" x14ac:dyDescent="0.25">
      <c r="A230" s="99"/>
      <c r="B230" s="49"/>
      <c r="C230" s="49"/>
      <c r="D230" s="49"/>
      <c r="E230" s="50"/>
      <c r="F230" s="173"/>
    </row>
    <row r="231" spans="1:6" x14ac:dyDescent="0.25">
      <c r="A231" s="99"/>
      <c r="B231" s="49"/>
      <c r="C231" s="49"/>
      <c r="D231" s="49"/>
      <c r="E231" s="50"/>
      <c r="F231" s="173"/>
    </row>
  </sheetData>
  <autoFilter ref="A4:F4">
    <sortState ref="A5:F212">
      <sortCondition ref="A4"/>
    </sortState>
  </autoFilter>
  <mergeCells count="1">
    <mergeCell ref="A3:F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0"/>
  <sheetViews>
    <sheetView topLeftCell="A229" zoomScaleNormal="100" workbookViewId="0">
      <selection activeCell="J26" sqref="J26"/>
    </sheetView>
  </sheetViews>
  <sheetFormatPr defaultRowHeight="11.25" x14ac:dyDescent="0.2"/>
  <cols>
    <col min="1" max="1" width="12.5703125" style="63" customWidth="1"/>
    <col min="2" max="9" width="9.42578125" style="63" bestFit="1" customWidth="1"/>
    <col min="10" max="10" width="11.28515625" style="48" bestFit="1" customWidth="1"/>
    <col min="11" max="11" width="9.85546875" style="48" bestFit="1" customWidth="1"/>
    <col min="12" max="12" width="10.5703125" style="48" bestFit="1" customWidth="1"/>
    <col min="13" max="13" width="9.85546875" style="48" bestFit="1" customWidth="1"/>
    <col min="14" max="14" width="11" style="48" customWidth="1"/>
    <col min="15" max="16384" width="9.140625" style="48"/>
  </cols>
  <sheetData>
    <row r="1" spans="1:15" s="53" customFormat="1" x14ac:dyDescent="0.2">
      <c r="A1" s="52"/>
      <c r="B1" s="52"/>
      <c r="C1" s="52"/>
      <c r="D1" s="52"/>
      <c r="E1" s="52"/>
      <c r="F1" s="52"/>
      <c r="G1" s="52"/>
      <c r="H1" s="52"/>
      <c r="I1" s="52"/>
    </row>
    <row r="2" spans="1:15" s="53" customFormat="1" x14ac:dyDescent="0.2">
      <c r="A2" s="52"/>
      <c r="B2" s="52"/>
      <c r="C2" s="52"/>
      <c r="D2" s="52"/>
      <c r="E2" s="52"/>
      <c r="F2" s="52"/>
      <c r="G2" s="52"/>
      <c r="H2" s="52"/>
      <c r="I2" s="52"/>
    </row>
    <row r="3" spans="1:15" s="53" customFormat="1" ht="12" thickBot="1" x14ac:dyDescent="0.25">
      <c r="A3" s="52"/>
      <c r="B3" s="52"/>
      <c r="C3" s="52"/>
      <c r="D3" s="52"/>
      <c r="E3" s="52"/>
      <c r="F3" s="52"/>
      <c r="G3" s="52"/>
      <c r="H3" s="52"/>
      <c r="I3" s="52"/>
    </row>
    <row r="4" spans="1:15" s="53" customFormat="1" ht="9.6" customHeight="1" thickBot="1" x14ac:dyDescent="0.25">
      <c r="A4" s="320" t="s">
        <v>420</v>
      </c>
      <c r="B4" s="321"/>
      <c r="C4" s="321"/>
      <c r="D4" s="321"/>
      <c r="E4" s="321"/>
      <c r="F4" s="321"/>
      <c r="G4" s="321"/>
      <c r="H4" s="321"/>
      <c r="I4" s="321"/>
      <c r="J4" s="321"/>
      <c r="K4" s="321"/>
      <c r="L4" s="321"/>
      <c r="M4" s="321"/>
      <c r="N4" s="322"/>
    </row>
    <row r="5" spans="1:15" s="178" customFormat="1" ht="31.9" customHeight="1" x14ac:dyDescent="0.25">
      <c r="A5" s="177" t="s">
        <v>471</v>
      </c>
      <c r="B5" s="177" t="s">
        <v>505</v>
      </c>
      <c r="C5" s="177" t="s">
        <v>426</v>
      </c>
      <c r="D5" s="177" t="s">
        <v>421</v>
      </c>
      <c r="E5" s="177" t="s">
        <v>427</v>
      </c>
      <c r="F5" s="177" t="s">
        <v>423</v>
      </c>
      <c r="G5" s="177" t="s">
        <v>506</v>
      </c>
      <c r="H5" s="177" t="s">
        <v>507</v>
      </c>
      <c r="I5" s="177" t="s">
        <v>508</v>
      </c>
      <c r="J5" s="177" t="s">
        <v>424</v>
      </c>
      <c r="K5" s="177" t="s">
        <v>509</v>
      </c>
      <c r="L5" s="177" t="s">
        <v>510</v>
      </c>
      <c r="M5" s="177" t="s">
        <v>422</v>
      </c>
      <c r="N5" s="177" t="s">
        <v>425</v>
      </c>
    </row>
    <row r="6" spans="1:15" s="53" customFormat="1" x14ac:dyDescent="0.2">
      <c r="A6" s="196" t="s">
        <v>476</v>
      </c>
      <c r="B6" s="197">
        <v>91.22</v>
      </c>
      <c r="C6" s="197">
        <v>31.262</v>
      </c>
      <c r="D6" s="198">
        <v>45652</v>
      </c>
      <c r="E6" s="197">
        <v>1000</v>
      </c>
      <c r="F6" s="197">
        <v>446.6</v>
      </c>
      <c r="G6" s="197">
        <v>20.420000000000002</v>
      </c>
      <c r="H6" s="197">
        <v>7</v>
      </c>
      <c r="I6" s="197">
        <v>27.42</v>
      </c>
      <c r="J6" s="199"/>
      <c r="K6" s="197">
        <v>122.482</v>
      </c>
      <c r="L6" s="197">
        <v>31262</v>
      </c>
      <c r="M6" s="197">
        <v>122482</v>
      </c>
      <c r="N6" s="196"/>
      <c r="O6" s="192"/>
    </row>
    <row r="7" spans="1:15" s="53" customFormat="1" x14ac:dyDescent="0.2">
      <c r="A7" s="196" t="s">
        <v>476</v>
      </c>
      <c r="B7" s="197">
        <v>91.195719999999994</v>
      </c>
      <c r="C7" s="197">
        <v>31.262</v>
      </c>
      <c r="D7" s="198">
        <v>45687</v>
      </c>
      <c r="E7" s="197">
        <v>1000</v>
      </c>
      <c r="F7" s="197">
        <v>446.6</v>
      </c>
      <c r="G7" s="197">
        <v>20.420000000000002</v>
      </c>
      <c r="H7" s="197">
        <v>7</v>
      </c>
      <c r="I7" s="197">
        <v>27.42</v>
      </c>
      <c r="J7" s="199"/>
      <c r="K7" s="197">
        <v>122.482</v>
      </c>
      <c r="L7" s="197">
        <v>31262</v>
      </c>
      <c r="M7" s="197">
        <v>122482</v>
      </c>
      <c r="N7" s="196"/>
      <c r="O7" s="192"/>
    </row>
    <row r="8" spans="1:15" s="53" customFormat="1" x14ac:dyDescent="0.2">
      <c r="A8" s="196" t="s">
        <v>476</v>
      </c>
      <c r="B8" s="197">
        <v>91.195719999999994</v>
      </c>
      <c r="C8" s="197">
        <v>31.262</v>
      </c>
      <c r="D8" s="198">
        <v>45715</v>
      </c>
      <c r="E8" s="197">
        <v>1000</v>
      </c>
      <c r="F8" s="197">
        <v>446.6</v>
      </c>
      <c r="G8" s="197">
        <v>20.420000000000002</v>
      </c>
      <c r="H8" s="197">
        <v>7</v>
      </c>
      <c r="I8" s="197">
        <v>27.42</v>
      </c>
      <c r="J8" s="199"/>
      <c r="K8" s="197">
        <v>122.482</v>
      </c>
      <c r="L8" s="197">
        <v>31262</v>
      </c>
      <c r="M8" s="197">
        <v>122482</v>
      </c>
      <c r="N8" s="196"/>
      <c r="O8" s="192"/>
    </row>
    <row r="9" spans="1:15" s="53" customFormat="1" x14ac:dyDescent="0.2">
      <c r="A9" s="196" t="s">
        <v>553</v>
      </c>
      <c r="B9" s="197">
        <v>1455.17</v>
      </c>
      <c r="C9" s="197">
        <v>270.50450000000001</v>
      </c>
      <c r="D9" s="198">
        <v>45652</v>
      </c>
      <c r="E9" s="197">
        <v>125</v>
      </c>
      <c r="F9" s="197">
        <v>7728.7</v>
      </c>
      <c r="G9" s="197">
        <v>18.82</v>
      </c>
      <c r="H9" s="197">
        <v>3.5</v>
      </c>
      <c r="I9" s="197">
        <v>22.32</v>
      </c>
      <c r="J9" s="199"/>
      <c r="K9" s="197">
        <v>1725.6745000000001</v>
      </c>
      <c r="L9" s="197">
        <v>33813.0625</v>
      </c>
      <c r="M9" s="197">
        <v>215709.0625</v>
      </c>
      <c r="N9" s="196"/>
      <c r="O9" s="192"/>
    </row>
    <row r="10" spans="1:15" s="53" customFormat="1" x14ac:dyDescent="0.2">
      <c r="A10" s="196" t="s">
        <v>553</v>
      </c>
      <c r="B10" s="197">
        <v>1454.54134</v>
      </c>
      <c r="C10" s="197">
        <v>270.50450000000001</v>
      </c>
      <c r="D10" s="198">
        <v>45687</v>
      </c>
      <c r="E10" s="197">
        <v>125</v>
      </c>
      <c r="F10" s="197">
        <v>7728.7</v>
      </c>
      <c r="G10" s="197">
        <v>18.82</v>
      </c>
      <c r="H10" s="197">
        <v>3.5</v>
      </c>
      <c r="I10" s="197">
        <v>22.32</v>
      </c>
      <c r="J10" s="199"/>
      <c r="K10" s="197">
        <v>1725.6745000000001</v>
      </c>
      <c r="L10" s="197">
        <v>33813.0625</v>
      </c>
      <c r="M10" s="197">
        <v>215709.0625</v>
      </c>
      <c r="N10" s="196"/>
      <c r="O10" s="192"/>
    </row>
    <row r="11" spans="1:15" s="53" customFormat="1" x14ac:dyDescent="0.2">
      <c r="A11" s="196" t="s">
        <v>553</v>
      </c>
      <c r="B11" s="197">
        <v>1454.54134</v>
      </c>
      <c r="C11" s="197">
        <v>270.50450000000001</v>
      </c>
      <c r="D11" s="198">
        <v>45715</v>
      </c>
      <c r="E11" s="197">
        <v>125</v>
      </c>
      <c r="F11" s="197">
        <v>7728.7</v>
      </c>
      <c r="G11" s="197">
        <v>18.82</v>
      </c>
      <c r="H11" s="197">
        <v>3.5</v>
      </c>
      <c r="I11" s="197">
        <v>22.32</v>
      </c>
      <c r="J11" s="199"/>
      <c r="K11" s="197">
        <v>1725.6745000000001</v>
      </c>
      <c r="L11" s="197">
        <v>33813.0625</v>
      </c>
      <c r="M11" s="197">
        <v>215709.0625</v>
      </c>
      <c r="N11" s="196"/>
      <c r="O11" s="192"/>
    </row>
    <row r="12" spans="1:15" s="53" customFormat="1" x14ac:dyDescent="0.2">
      <c r="A12" s="196" t="s">
        <v>522</v>
      </c>
      <c r="B12" s="197">
        <v>4122.05</v>
      </c>
      <c r="C12" s="197">
        <v>1010.5095</v>
      </c>
      <c r="D12" s="198">
        <v>45652</v>
      </c>
      <c r="E12" s="197">
        <v>20</v>
      </c>
      <c r="F12" s="197">
        <v>28871.7</v>
      </c>
      <c r="G12" s="197">
        <v>14.27</v>
      </c>
      <c r="H12" s="197">
        <v>3.5</v>
      </c>
      <c r="I12" s="197">
        <v>17.77</v>
      </c>
      <c r="J12" s="199"/>
      <c r="K12" s="197">
        <v>5132.5595000000003</v>
      </c>
      <c r="L12" s="197">
        <v>20210.189999999999</v>
      </c>
      <c r="M12" s="197">
        <v>102651.19</v>
      </c>
      <c r="N12" s="196"/>
      <c r="O12" s="192"/>
    </row>
    <row r="13" spans="1:15" s="53" customFormat="1" x14ac:dyDescent="0.2">
      <c r="A13" s="196" t="s">
        <v>522</v>
      </c>
      <c r="B13" s="197">
        <v>4119.9915899999996</v>
      </c>
      <c r="C13" s="197">
        <v>1010.5095</v>
      </c>
      <c r="D13" s="198">
        <v>45687</v>
      </c>
      <c r="E13" s="197">
        <v>20</v>
      </c>
      <c r="F13" s="197">
        <v>28871.7</v>
      </c>
      <c r="G13" s="197">
        <v>14.27</v>
      </c>
      <c r="H13" s="197">
        <v>3.5</v>
      </c>
      <c r="I13" s="197">
        <v>17.77</v>
      </c>
      <c r="J13" s="199"/>
      <c r="K13" s="197">
        <v>5132.5595000000003</v>
      </c>
      <c r="L13" s="197">
        <v>20210.189999999999</v>
      </c>
      <c r="M13" s="197">
        <v>102651.19</v>
      </c>
      <c r="N13" s="196"/>
      <c r="O13" s="192"/>
    </row>
    <row r="14" spans="1:15" s="53" customFormat="1" x14ac:dyDescent="0.2">
      <c r="A14" s="196" t="s">
        <v>522</v>
      </c>
      <c r="B14" s="197">
        <v>4119.9915899999996</v>
      </c>
      <c r="C14" s="197">
        <v>1010.5095</v>
      </c>
      <c r="D14" s="198">
        <v>45715</v>
      </c>
      <c r="E14" s="197">
        <v>20</v>
      </c>
      <c r="F14" s="197">
        <v>28871.7</v>
      </c>
      <c r="G14" s="197">
        <v>14.27</v>
      </c>
      <c r="H14" s="197">
        <v>3.5</v>
      </c>
      <c r="I14" s="197">
        <v>17.77</v>
      </c>
      <c r="J14" s="199"/>
      <c r="K14" s="197">
        <v>5132.5595000000003</v>
      </c>
      <c r="L14" s="197">
        <v>20210.189999999999</v>
      </c>
      <c r="M14" s="197">
        <v>102651.19</v>
      </c>
      <c r="N14" s="196"/>
      <c r="O14" s="192"/>
    </row>
    <row r="15" spans="1:15" s="53" customFormat="1" x14ac:dyDescent="0.2">
      <c r="A15" s="196" t="s">
        <v>544</v>
      </c>
      <c r="B15" s="197">
        <v>37.18</v>
      </c>
      <c r="C15" s="197">
        <v>7.056</v>
      </c>
      <c r="D15" s="198">
        <v>45652</v>
      </c>
      <c r="E15" s="197">
        <v>2700</v>
      </c>
      <c r="F15" s="197">
        <v>201.6</v>
      </c>
      <c r="G15" s="197">
        <v>18.440000000000001</v>
      </c>
      <c r="H15" s="197">
        <v>3.5</v>
      </c>
      <c r="I15" s="197">
        <v>21.94</v>
      </c>
      <c r="J15" s="199"/>
      <c r="K15" s="197">
        <v>44.235999999999997</v>
      </c>
      <c r="L15" s="197">
        <v>19051.2</v>
      </c>
      <c r="M15" s="197">
        <v>119437.2</v>
      </c>
      <c r="N15" s="196"/>
      <c r="O15" s="192"/>
    </row>
    <row r="16" spans="1:15" s="53" customFormat="1" x14ac:dyDescent="0.2">
      <c r="A16" s="196" t="s">
        <v>544</v>
      </c>
      <c r="B16" s="197">
        <v>37.175040000000003</v>
      </c>
      <c r="C16" s="197">
        <v>7.056</v>
      </c>
      <c r="D16" s="198">
        <v>45687</v>
      </c>
      <c r="E16" s="197">
        <v>2700</v>
      </c>
      <c r="F16" s="197">
        <v>201.6</v>
      </c>
      <c r="G16" s="197">
        <v>18.440000000000001</v>
      </c>
      <c r="H16" s="197">
        <v>3.5</v>
      </c>
      <c r="I16" s="197">
        <v>21.94</v>
      </c>
      <c r="J16" s="199"/>
      <c r="K16" s="197">
        <v>44.235999999999997</v>
      </c>
      <c r="L16" s="197">
        <v>19051.2</v>
      </c>
      <c r="M16" s="197">
        <v>119437.2</v>
      </c>
      <c r="N16" s="196"/>
      <c r="O16" s="192"/>
    </row>
    <row r="17" spans="1:15" s="53" customFormat="1" x14ac:dyDescent="0.2">
      <c r="A17" s="196" t="s">
        <v>544</v>
      </c>
      <c r="B17" s="197">
        <v>37.175040000000003</v>
      </c>
      <c r="C17" s="197">
        <v>7.056</v>
      </c>
      <c r="D17" s="198">
        <v>45715</v>
      </c>
      <c r="E17" s="197">
        <v>2700</v>
      </c>
      <c r="F17" s="197">
        <v>201.6</v>
      </c>
      <c r="G17" s="197">
        <v>18.440000000000001</v>
      </c>
      <c r="H17" s="197">
        <v>3.5</v>
      </c>
      <c r="I17" s="197">
        <v>21.94</v>
      </c>
      <c r="J17" s="199"/>
      <c r="K17" s="197">
        <v>44.235999999999997</v>
      </c>
      <c r="L17" s="197">
        <v>19051.2</v>
      </c>
      <c r="M17" s="197">
        <v>119437.2</v>
      </c>
      <c r="N17" s="196"/>
      <c r="O17" s="192"/>
    </row>
    <row r="18" spans="1:15" s="53" customFormat="1" x14ac:dyDescent="0.2">
      <c r="A18" s="196" t="s">
        <v>499</v>
      </c>
      <c r="B18" s="197">
        <v>59.88</v>
      </c>
      <c r="C18" s="197">
        <v>27.085599999999999</v>
      </c>
      <c r="D18" s="198">
        <v>45652</v>
      </c>
      <c r="E18" s="197">
        <v>2600</v>
      </c>
      <c r="F18" s="197">
        <v>309.55</v>
      </c>
      <c r="G18" s="197">
        <v>19.34</v>
      </c>
      <c r="H18" s="197">
        <v>8.75</v>
      </c>
      <c r="I18" s="197">
        <v>28.09</v>
      </c>
      <c r="J18" s="199"/>
      <c r="K18" s="197">
        <v>86.965599999999995</v>
      </c>
      <c r="L18" s="197">
        <v>70422.625</v>
      </c>
      <c r="M18" s="197">
        <v>226110.625</v>
      </c>
      <c r="N18" s="196"/>
      <c r="O18" s="192"/>
    </row>
    <row r="19" spans="1:15" s="53" customFormat="1" x14ac:dyDescent="0.2">
      <c r="A19" s="196" t="s">
        <v>499</v>
      </c>
      <c r="B19" s="197">
        <v>59.866970000000002</v>
      </c>
      <c r="C19" s="197">
        <v>27.085599999999999</v>
      </c>
      <c r="D19" s="198">
        <v>45687</v>
      </c>
      <c r="E19" s="197">
        <v>2600</v>
      </c>
      <c r="F19" s="197">
        <v>309.55</v>
      </c>
      <c r="G19" s="197">
        <v>19.34</v>
      </c>
      <c r="H19" s="197">
        <v>8.75</v>
      </c>
      <c r="I19" s="197">
        <v>28.09</v>
      </c>
      <c r="J19" s="199"/>
      <c r="K19" s="197">
        <v>86.965599999999995</v>
      </c>
      <c r="L19" s="197">
        <v>70422.625</v>
      </c>
      <c r="M19" s="197">
        <v>226110.625</v>
      </c>
      <c r="N19" s="196"/>
      <c r="O19" s="192"/>
    </row>
    <row r="20" spans="1:15" s="53" customFormat="1" x14ac:dyDescent="0.2">
      <c r="A20" s="196" t="s">
        <v>499</v>
      </c>
      <c r="B20" s="197">
        <v>59.866970000000002</v>
      </c>
      <c r="C20" s="197">
        <v>27.085599999999999</v>
      </c>
      <c r="D20" s="198">
        <v>45715</v>
      </c>
      <c r="E20" s="197">
        <v>2600</v>
      </c>
      <c r="F20" s="197">
        <v>309.55</v>
      </c>
      <c r="G20" s="197">
        <v>19.34</v>
      </c>
      <c r="H20" s="197">
        <v>8.75</v>
      </c>
      <c r="I20" s="197">
        <v>28.09</v>
      </c>
      <c r="J20" s="199"/>
      <c r="K20" s="197">
        <v>86.965599999999995</v>
      </c>
      <c r="L20" s="197">
        <v>70422.625</v>
      </c>
      <c r="M20" s="197">
        <v>226110.625</v>
      </c>
      <c r="N20" s="196"/>
      <c r="O20" s="192"/>
    </row>
    <row r="21" spans="1:15" s="53" customFormat="1" x14ac:dyDescent="0.2">
      <c r="A21" s="196" t="s">
        <v>158</v>
      </c>
      <c r="B21" s="197">
        <v>388.91</v>
      </c>
      <c r="C21" s="197">
        <v>78.769300000000001</v>
      </c>
      <c r="D21" s="198">
        <v>45652</v>
      </c>
      <c r="E21" s="197">
        <v>300</v>
      </c>
      <c r="F21" s="197">
        <v>2250.5500000000002</v>
      </c>
      <c r="G21" s="197">
        <v>17.28</v>
      </c>
      <c r="H21" s="197">
        <v>3.5</v>
      </c>
      <c r="I21" s="197">
        <v>20.78</v>
      </c>
      <c r="J21" s="199"/>
      <c r="K21" s="197">
        <v>467.67930000000001</v>
      </c>
      <c r="L21" s="197">
        <v>23630.775000000001</v>
      </c>
      <c r="M21" s="197">
        <v>140303.77499999999</v>
      </c>
      <c r="N21" s="196"/>
      <c r="O21" s="192"/>
    </row>
    <row r="22" spans="1:15" s="53" customFormat="1" x14ac:dyDescent="0.2">
      <c r="A22" s="196" t="s">
        <v>158</v>
      </c>
      <c r="B22" s="197">
        <v>388.89503999999999</v>
      </c>
      <c r="C22" s="197">
        <v>78.769300000000001</v>
      </c>
      <c r="D22" s="198">
        <v>45687</v>
      </c>
      <c r="E22" s="197">
        <v>300</v>
      </c>
      <c r="F22" s="197">
        <v>2250.5500000000002</v>
      </c>
      <c r="G22" s="197">
        <v>17.28</v>
      </c>
      <c r="H22" s="197">
        <v>3.5</v>
      </c>
      <c r="I22" s="197">
        <v>20.78</v>
      </c>
      <c r="J22" s="199"/>
      <c r="K22" s="197">
        <v>467.67930000000001</v>
      </c>
      <c r="L22" s="197">
        <v>23630.775000000001</v>
      </c>
      <c r="M22" s="197">
        <v>140303.77499999999</v>
      </c>
      <c r="N22" s="196"/>
      <c r="O22" s="192"/>
    </row>
    <row r="23" spans="1:15" s="53" customFormat="1" x14ac:dyDescent="0.2">
      <c r="A23" s="196" t="s">
        <v>158</v>
      </c>
      <c r="B23" s="197">
        <v>388.89503999999999</v>
      </c>
      <c r="C23" s="197">
        <v>78.769300000000001</v>
      </c>
      <c r="D23" s="198">
        <v>45715</v>
      </c>
      <c r="E23" s="197">
        <v>300</v>
      </c>
      <c r="F23" s="197">
        <v>2250.5500000000002</v>
      </c>
      <c r="G23" s="197">
        <v>17.28</v>
      </c>
      <c r="H23" s="197">
        <v>3.5</v>
      </c>
      <c r="I23" s="197">
        <v>20.78</v>
      </c>
      <c r="J23" s="199"/>
      <c r="K23" s="197">
        <v>467.67930000000001</v>
      </c>
      <c r="L23" s="197">
        <v>23630.775000000001</v>
      </c>
      <c r="M23" s="197">
        <v>140303.77499999999</v>
      </c>
      <c r="N23" s="196"/>
      <c r="O23" s="192"/>
    </row>
    <row r="24" spans="1:15" s="53" customFormat="1" x14ac:dyDescent="0.2">
      <c r="A24" s="196" t="s">
        <v>579</v>
      </c>
      <c r="B24" s="197">
        <v>766.1</v>
      </c>
      <c r="C24" s="197">
        <v>27.702500000000001</v>
      </c>
      <c r="D24" s="198">
        <v>45652</v>
      </c>
      <c r="E24" s="197">
        <v>625</v>
      </c>
      <c r="F24" s="197">
        <v>791.5</v>
      </c>
      <c r="G24" s="197">
        <v>96.79</v>
      </c>
      <c r="H24" s="197">
        <v>3.5</v>
      </c>
      <c r="I24" s="197">
        <v>100.29</v>
      </c>
      <c r="J24" s="199"/>
      <c r="K24" s="197">
        <v>793.80250000000001</v>
      </c>
      <c r="L24" s="197">
        <v>17314.0625</v>
      </c>
      <c r="M24" s="197">
        <v>496127.0625</v>
      </c>
      <c r="N24" s="196"/>
      <c r="O24" s="192"/>
    </row>
    <row r="25" spans="1:15" s="53" customFormat="1" x14ac:dyDescent="0.2">
      <c r="A25" s="196" t="s">
        <v>579</v>
      </c>
      <c r="B25" s="197">
        <v>766.09285</v>
      </c>
      <c r="C25" s="197">
        <v>27.702500000000001</v>
      </c>
      <c r="D25" s="198">
        <v>45687</v>
      </c>
      <c r="E25" s="197">
        <v>625</v>
      </c>
      <c r="F25" s="197">
        <v>791.5</v>
      </c>
      <c r="G25" s="197">
        <v>96.79</v>
      </c>
      <c r="H25" s="197">
        <v>3.5</v>
      </c>
      <c r="I25" s="197">
        <v>100.29</v>
      </c>
      <c r="J25" s="199"/>
      <c r="K25" s="197">
        <v>793.80250000000001</v>
      </c>
      <c r="L25" s="197">
        <v>17314.0625</v>
      </c>
      <c r="M25" s="197">
        <v>496127.0625</v>
      </c>
      <c r="N25" s="196"/>
      <c r="O25" s="192"/>
    </row>
    <row r="26" spans="1:15" s="53" customFormat="1" x14ac:dyDescent="0.2">
      <c r="A26" s="196" t="s">
        <v>579</v>
      </c>
      <c r="B26" s="197">
        <v>766.09285</v>
      </c>
      <c r="C26" s="197">
        <v>27.702500000000001</v>
      </c>
      <c r="D26" s="198">
        <v>45715</v>
      </c>
      <c r="E26" s="197">
        <v>625</v>
      </c>
      <c r="F26" s="197">
        <v>791.5</v>
      </c>
      <c r="G26" s="197">
        <v>96.79</v>
      </c>
      <c r="H26" s="197">
        <v>3.5</v>
      </c>
      <c r="I26" s="197">
        <v>100.29</v>
      </c>
      <c r="J26" s="199"/>
      <c r="K26" s="197">
        <v>793.80250000000001</v>
      </c>
      <c r="L26" s="197">
        <v>17314.0625</v>
      </c>
      <c r="M26" s="197">
        <v>496127.0625</v>
      </c>
      <c r="N26" s="196"/>
      <c r="O26" s="192"/>
    </row>
    <row r="27" spans="1:15" s="53" customFormat="1" x14ac:dyDescent="0.2">
      <c r="A27" s="196" t="s">
        <v>159</v>
      </c>
      <c r="B27" s="197">
        <v>723.66</v>
      </c>
      <c r="C27" s="197">
        <v>172.00049999999999</v>
      </c>
      <c r="D27" s="198">
        <v>45652</v>
      </c>
      <c r="E27" s="197">
        <v>300</v>
      </c>
      <c r="F27" s="197">
        <v>2457.15</v>
      </c>
      <c r="G27" s="197">
        <v>29.45</v>
      </c>
      <c r="H27" s="197">
        <v>7</v>
      </c>
      <c r="I27" s="197">
        <v>36.450000000000003</v>
      </c>
      <c r="J27" s="199"/>
      <c r="K27" s="197">
        <v>895.66049999999996</v>
      </c>
      <c r="L27" s="197">
        <v>51600.15</v>
      </c>
      <c r="M27" s="197">
        <v>268698.15000000002</v>
      </c>
      <c r="N27" s="196"/>
      <c r="O27" s="192"/>
    </row>
    <row r="28" spans="1:15" s="53" customFormat="1" x14ac:dyDescent="0.2">
      <c r="A28" s="196" t="s">
        <v>159</v>
      </c>
      <c r="B28" s="197">
        <v>723.630675</v>
      </c>
      <c r="C28" s="197">
        <v>172.00049999999999</v>
      </c>
      <c r="D28" s="198">
        <v>45687</v>
      </c>
      <c r="E28" s="197">
        <v>300</v>
      </c>
      <c r="F28" s="197">
        <v>2457.15</v>
      </c>
      <c r="G28" s="197">
        <v>29.45</v>
      </c>
      <c r="H28" s="197">
        <v>7</v>
      </c>
      <c r="I28" s="197">
        <v>36.450000000000003</v>
      </c>
      <c r="J28" s="199"/>
      <c r="K28" s="197">
        <v>895.66049999999996</v>
      </c>
      <c r="L28" s="197">
        <v>51600.15</v>
      </c>
      <c r="M28" s="197">
        <v>268698.15000000002</v>
      </c>
      <c r="N28" s="196"/>
      <c r="O28" s="192"/>
    </row>
    <row r="29" spans="1:15" s="53" customFormat="1" x14ac:dyDescent="0.2">
      <c r="A29" s="196" t="s">
        <v>159</v>
      </c>
      <c r="B29" s="197">
        <v>723.630675</v>
      </c>
      <c r="C29" s="197">
        <v>172.00049999999999</v>
      </c>
      <c r="D29" s="198">
        <v>45715</v>
      </c>
      <c r="E29" s="197">
        <v>300</v>
      </c>
      <c r="F29" s="197">
        <v>2457.15</v>
      </c>
      <c r="G29" s="197">
        <v>29.45</v>
      </c>
      <c r="H29" s="197">
        <v>7</v>
      </c>
      <c r="I29" s="197">
        <v>36.450000000000003</v>
      </c>
      <c r="J29" s="199"/>
      <c r="K29" s="197">
        <v>895.66049999999996</v>
      </c>
      <c r="L29" s="197">
        <v>51600.15</v>
      </c>
      <c r="M29" s="197">
        <v>268698.15000000002</v>
      </c>
      <c r="N29" s="196"/>
      <c r="O29" s="192"/>
    </row>
    <row r="30" spans="1:15" s="53" customFormat="1" x14ac:dyDescent="0.2">
      <c r="A30" s="196" t="s">
        <v>606</v>
      </c>
      <c r="B30" s="197">
        <v>1111.21</v>
      </c>
      <c r="C30" s="197">
        <v>40.181800000000003</v>
      </c>
      <c r="D30" s="198">
        <v>45652</v>
      </c>
      <c r="E30" s="197">
        <v>375</v>
      </c>
      <c r="F30" s="197">
        <v>1148.05</v>
      </c>
      <c r="G30" s="197">
        <v>96.79</v>
      </c>
      <c r="H30" s="197">
        <v>3.5</v>
      </c>
      <c r="I30" s="197">
        <v>100.29</v>
      </c>
      <c r="J30" s="199"/>
      <c r="K30" s="197">
        <v>1151.3918000000001</v>
      </c>
      <c r="L30" s="197">
        <v>15068.156300000001</v>
      </c>
      <c r="M30" s="197">
        <v>431772.15629999997</v>
      </c>
      <c r="N30" s="196"/>
      <c r="O30" s="192"/>
    </row>
    <row r="31" spans="1:15" s="53" customFormat="1" x14ac:dyDescent="0.2">
      <c r="A31" s="196" t="s">
        <v>606</v>
      </c>
      <c r="B31" s="197">
        <v>1111.1975950000001</v>
      </c>
      <c r="C31" s="197">
        <v>40.181800000000003</v>
      </c>
      <c r="D31" s="198">
        <v>45687</v>
      </c>
      <c r="E31" s="197">
        <v>375</v>
      </c>
      <c r="F31" s="197">
        <v>1148.05</v>
      </c>
      <c r="G31" s="197">
        <v>96.79</v>
      </c>
      <c r="H31" s="197">
        <v>3.5</v>
      </c>
      <c r="I31" s="197">
        <v>100.29</v>
      </c>
      <c r="J31" s="199"/>
      <c r="K31" s="197">
        <v>1151.3918000000001</v>
      </c>
      <c r="L31" s="197">
        <v>15068.156300000001</v>
      </c>
      <c r="M31" s="197">
        <v>431772.15629999997</v>
      </c>
      <c r="N31" s="196"/>
      <c r="O31" s="192"/>
    </row>
    <row r="32" spans="1:15" s="53" customFormat="1" x14ac:dyDescent="0.2">
      <c r="A32" s="196" t="s">
        <v>606</v>
      </c>
      <c r="B32" s="197">
        <v>1111.1975950000001</v>
      </c>
      <c r="C32" s="197">
        <v>40.181800000000003</v>
      </c>
      <c r="D32" s="198">
        <v>45715</v>
      </c>
      <c r="E32" s="197">
        <v>375</v>
      </c>
      <c r="F32" s="197">
        <v>1148.05</v>
      </c>
      <c r="G32" s="197">
        <v>96.79</v>
      </c>
      <c r="H32" s="197">
        <v>3.5</v>
      </c>
      <c r="I32" s="197">
        <v>100.29</v>
      </c>
      <c r="J32" s="199"/>
      <c r="K32" s="197">
        <v>1151.3918000000001</v>
      </c>
      <c r="L32" s="197">
        <v>15068.156300000001</v>
      </c>
      <c r="M32" s="197">
        <v>431772.15629999997</v>
      </c>
      <c r="N32" s="196"/>
      <c r="O32" s="192"/>
    </row>
    <row r="33" spans="1:15" s="53" customFormat="1" x14ac:dyDescent="0.2">
      <c r="A33" s="196" t="s">
        <v>160</v>
      </c>
      <c r="B33" s="197">
        <v>284.52999999999997</v>
      </c>
      <c r="C33" s="197">
        <v>43.183</v>
      </c>
      <c r="D33" s="198">
        <v>45652</v>
      </c>
      <c r="E33" s="197">
        <v>400</v>
      </c>
      <c r="F33" s="197">
        <v>1233.8</v>
      </c>
      <c r="G33" s="197">
        <v>23.06</v>
      </c>
      <c r="H33" s="197">
        <v>3.5</v>
      </c>
      <c r="I33" s="197">
        <v>26.56</v>
      </c>
      <c r="J33" s="199"/>
      <c r="K33" s="197">
        <v>327.71300000000002</v>
      </c>
      <c r="L33" s="197">
        <v>17273.2</v>
      </c>
      <c r="M33" s="197">
        <v>131085.20000000001</v>
      </c>
      <c r="N33" s="196"/>
      <c r="O33" s="192"/>
    </row>
    <row r="34" spans="1:15" s="53" customFormat="1" x14ac:dyDescent="0.2">
      <c r="A34" s="196" t="s">
        <v>160</v>
      </c>
      <c r="B34" s="197">
        <v>284.51427999999999</v>
      </c>
      <c r="C34" s="197">
        <v>43.183</v>
      </c>
      <c r="D34" s="198">
        <v>45687</v>
      </c>
      <c r="E34" s="197">
        <v>400</v>
      </c>
      <c r="F34" s="197">
        <v>1233.8</v>
      </c>
      <c r="G34" s="197">
        <v>23.06</v>
      </c>
      <c r="H34" s="197">
        <v>3.5</v>
      </c>
      <c r="I34" s="197">
        <v>26.56</v>
      </c>
      <c r="J34" s="199"/>
      <c r="K34" s="197">
        <v>327.71300000000002</v>
      </c>
      <c r="L34" s="197">
        <v>17273.2</v>
      </c>
      <c r="M34" s="197">
        <v>131085.20000000001</v>
      </c>
      <c r="N34" s="196"/>
      <c r="O34" s="192"/>
    </row>
    <row r="35" spans="1:15" s="53" customFormat="1" x14ac:dyDescent="0.2">
      <c r="A35" s="196" t="s">
        <v>160</v>
      </c>
      <c r="B35" s="197">
        <v>284.51427999999999</v>
      </c>
      <c r="C35" s="197">
        <v>43.183</v>
      </c>
      <c r="D35" s="198">
        <v>45715</v>
      </c>
      <c r="E35" s="197">
        <v>400</v>
      </c>
      <c r="F35" s="197">
        <v>1233.8</v>
      </c>
      <c r="G35" s="197">
        <v>23.06</v>
      </c>
      <c r="H35" s="197">
        <v>3.5</v>
      </c>
      <c r="I35" s="197">
        <v>26.56</v>
      </c>
      <c r="J35" s="199"/>
      <c r="K35" s="197">
        <v>327.71300000000002</v>
      </c>
      <c r="L35" s="197">
        <v>17273.2</v>
      </c>
      <c r="M35" s="197">
        <v>131085.20000000001</v>
      </c>
      <c r="N35" s="196"/>
      <c r="O35" s="192"/>
    </row>
    <row r="36" spans="1:15" s="53" customFormat="1" x14ac:dyDescent="0.2">
      <c r="A36" s="196" t="s">
        <v>497</v>
      </c>
      <c r="B36" s="197">
        <v>783.8</v>
      </c>
      <c r="C36" s="197">
        <v>192.14830000000001</v>
      </c>
      <c r="D36" s="198">
        <v>45652</v>
      </c>
      <c r="E36" s="197">
        <v>100</v>
      </c>
      <c r="F36" s="197">
        <v>5489.95</v>
      </c>
      <c r="G36" s="197">
        <v>14.27</v>
      </c>
      <c r="H36" s="197">
        <v>3.5</v>
      </c>
      <c r="I36" s="197">
        <v>17.77</v>
      </c>
      <c r="J36" s="199"/>
      <c r="K36" s="197">
        <v>975.94830000000002</v>
      </c>
      <c r="L36" s="197">
        <v>19214.825000000001</v>
      </c>
      <c r="M36" s="197">
        <v>97594.824999999997</v>
      </c>
      <c r="N36" s="196"/>
      <c r="O36" s="192"/>
    </row>
    <row r="37" spans="1:15" s="53" customFormat="1" x14ac:dyDescent="0.2">
      <c r="A37" s="196" t="s">
        <v>497</v>
      </c>
      <c r="B37" s="197">
        <v>783.41586500000005</v>
      </c>
      <c r="C37" s="197">
        <v>192.14830000000001</v>
      </c>
      <c r="D37" s="198">
        <v>45687</v>
      </c>
      <c r="E37" s="197">
        <v>100</v>
      </c>
      <c r="F37" s="197">
        <v>5489.95</v>
      </c>
      <c r="G37" s="197">
        <v>14.27</v>
      </c>
      <c r="H37" s="197">
        <v>3.5</v>
      </c>
      <c r="I37" s="197">
        <v>17.77</v>
      </c>
      <c r="J37" s="199"/>
      <c r="K37" s="197">
        <v>975.94830000000002</v>
      </c>
      <c r="L37" s="197">
        <v>19214.825000000001</v>
      </c>
      <c r="M37" s="197">
        <v>97594.824999999997</v>
      </c>
      <c r="N37" s="196"/>
      <c r="O37" s="192"/>
    </row>
    <row r="38" spans="1:15" s="53" customFormat="1" x14ac:dyDescent="0.2">
      <c r="A38" s="196" t="s">
        <v>497</v>
      </c>
      <c r="B38" s="197">
        <v>783.41586500000005</v>
      </c>
      <c r="C38" s="197">
        <v>192.14830000000001</v>
      </c>
      <c r="D38" s="198">
        <v>45715</v>
      </c>
      <c r="E38" s="197">
        <v>100</v>
      </c>
      <c r="F38" s="197">
        <v>5489.95</v>
      </c>
      <c r="G38" s="197">
        <v>14.27</v>
      </c>
      <c r="H38" s="197">
        <v>3.5</v>
      </c>
      <c r="I38" s="197">
        <v>17.77</v>
      </c>
      <c r="J38" s="199"/>
      <c r="K38" s="197">
        <v>975.94830000000002</v>
      </c>
      <c r="L38" s="197">
        <v>19214.825000000001</v>
      </c>
      <c r="M38" s="197">
        <v>97594.824999999997</v>
      </c>
      <c r="N38" s="196"/>
      <c r="O38" s="192"/>
    </row>
    <row r="39" spans="1:15" s="53" customFormat="1" x14ac:dyDescent="0.2">
      <c r="A39" s="196" t="s">
        <v>164</v>
      </c>
      <c r="B39" s="197">
        <v>114.83</v>
      </c>
      <c r="C39" s="197">
        <v>20.245799999999999</v>
      </c>
      <c r="D39" s="198">
        <v>45652</v>
      </c>
      <c r="E39" s="197">
        <v>900</v>
      </c>
      <c r="F39" s="197">
        <v>578.45000000000005</v>
      </c>
      <c r="G39" s="197">
        <v>19.850000000000001</v>
      </c>
      <c r="H39" s="197">
        <v>3.5</v>
      </c>
      <c r="I39" s="197">
        <v>23.35</v>
      </c>
      <c r="J39" s="199"/>
      <c r="K39" s="197">
        <v>135.07579999999999</v>
      </c>
      <c r="L39" s="197">
        <v>18221.174999999999</v>
      </c>
      <c r="M39" s="197">
        <v>121568.175</v>
      </c>
      <c r="N39" s="196"/>
      <c r="O39" s="192"/>
    </row>
    <row r="40" spans="1:15" s="53" customFormat="1" x14ac:dyDescent="0.2">
      <c r="A40" s="196" t="s">
        <v>164</v>
      </c>
      <c r="B40" s="197">
        <v>114.82232500000001</v>
      </c>
      <c r="C40" s="197">
        <v>20.245799999999999</v>
      </c>
      <c r="D40" s="198">
        <v>45687</v>
      </c>
      <c r="E40" s="197">
        <v>900</v>
      </c>
      <c r="F40" s="197">
        <v>578.45000000000005</v>
      </c>
      <c r="G40" s="197">
        <v>19.850000000000001</v>
      </c>
      <c r="H40" s="197">
        <v>3.5</v>
      </c>
      <c r="I40" s="197">
        <v>23.35</v>
      </c>
      <c r="J40" s="199"/>
      <c r="K40" s="197">
        <v>135.07579999999999</v>
      </c>
      <c r="L40" s="197">
        <v>18221.174999999999</v>
      </c>
      <c r="M40" s="197">
        <v>121568.175</v>
      </c>
      <c r="N40" s="196"/>
      <c r="O40" s="192"/>
    </row>
    <row r="41" spans="1:15" s="53" customFormat="1" x14ac:dyDescent="0.2">
      <c r="A41" s="196" t="s">
        <v>164</v>
      </c>
      <c r="B41" s="197">
        <v>114.82232500000001</v>
      </c>
      <c r="C41" s="197">
        <v>20.245799999999999</v>
      </c>
      <c r="D41" s="198">
        <v>45715</v>
      </c>
      <c r="E41" s="197">
        <v>900</v>
      </c>
      <c r="F41" s="197">
        <v>578.45000000000005</v>
      </c>
      <c r="G41" s="197">
        <v>19.850000000000001</v>
      </c>
      <c r="H41" s="197">
        <v>3.5</v>
      </c>
      <c r="I41" s="197">
        <v>23.35</v>
      </c>
      <c r="J41" s="199"/>
      <c r="K41" s="197">
        <v>135.07579999999999</v>
      </c>
      <c r="L41" s="197">
        <v>18221.174999999999</v>
      </c>
      <c r="M41" s="197">
        <v>121568.175</v>
      </c>
      <c r="N41" s="196"/>
      <c r="O41" s="192"/>
    </row>
    <row r="42" spans="1:15" s="53" customFormat="1" x14ac:dyDescent="0.2">
      <c r="A42" s="196" t="s">
        <v>609</v>
      </c>
      <c r="B42" s="197">
        <v>932.38</v>
      </c>
      <c r="C42" s="197">
        <v>118.9825</v>
      </c>
      <c r="D42" s="198">
        <v>45652</v>
      </c>
      <c r="E42" s="197">
        <v>200</v>
      </c>
      <c r="F42" s="197">
        <v>3399.5</v>
      </c>
      <c r="G42" s="197">
        <v>27.42</v>
      </c>
      <c r="H42" s="197">
        <v>3.5</v>
      </c>
      <c r="I42" s="197">
        <v>30.92</v>
      </c>
      <c r="J42" s="199"/>
      <c r="K42" s="197">
        <v>1051.3625</v>
      </c>
      <c r="L42" s="197">
        <v>23796.5</v>
      </c>
      <c r="M42" s="197">
        <v>210272.5</v>
      </c>
      <c r="N42" s="196"/>
      <c r="O42" s="192"/>
    </row>
    <row r="43" spans="1:15" s="53" customFormat="1" x14ac:dyDescent="0.2">
      <c r="A43" s="196" t="s">
        <v>609</v>
      </c>
      <c r="B43" s="197">
        <v>932.14290000000005</v>
      </c>
      <c r="C43" s="197">
        <v>118.9825</v>
      </c>
      <c r="D43" s="198">
        <v>45687</v>
      </c>
      <c r="E43" s="197">
        <v>200</v>
      </c>
      <c r="F43" s="197">
        <v>3399.5</v>
      </c>
      <c r="G43" s="197">
        <v>27.42</v>
      </c>
      <c r="H43" s="197">
        <v>3.5</v>
      </c>
      <c r="I43" s="197">
        <v>30.92</v>
      </c>
      <c r="J43" s="199"/>
      <c r="K43" s="197">
        <v>1051.3625</v>
      </c>
      <c r="L43" s="197">
        <v>23796.5</v>
      </c>
      <c r="M43" s="197">
        <v>210272.5</v>
      </c>
      <c r="N43" s="196"/>
      <c r="O43" s="192"/>
    </row>
    <row r="44" spans="1:15" s="53" customFormat="1" x14ac:dyDescent="0.2">
      <c r="A44" s="196" t="s">
        <v>609</v>
      </c>
      <c r="B44" s="197">
        <v>932.14290000000005</v>
      </c>
      <c r="C44" s="197">
        <v>118.9825</v>
      </c>
      <c r="D44" s="198">
        <v>45715</v>
      </c>
      <c r="E44" s="197">
        <v>200</v>
      </c>
      <c r="F44" s="197">
        <v>3399.5</v>
      </c>
      <c r="G44" s="197">
        <v>27.42</v>
      </c>
      <c r="H44" s="197">
        <v>3.5</v>
      </c>
      <c r="I44" s="197">
        <v>30.92</v>
      </c>
      <c r="J44" s="199"/>
      <c r="K44" s="197">
        <v>1051.3625</v>
      </c>
      <c r="L44" s="197">
        <v>23796.5</v>
      </c>
      <c r="M44" s="197">
        <v>210272.5</v>
      </c>
      <c r="N44" s="196"/>
      <c r="O44" s="192"/>
    </row>
    <row r="45" spans="1:15" s="53" customFormat="1" x14ac:dyDescent="0.2">
      <c r="A45" s="196" t="s">
        <v>598</v>
      </c>
      <c r="B45" s="197">
        <v>272.05</v>
      </c>
      <c r="C45" s="197">
        <v>55.9405</v>
      </c>
      <c r="D45" s="198">
        <v>45652</v>
      </c>
      <c r="E45" s="197">
        <v>350</v>
      </c>
      <c r="F45" s="197">
        <v>1598.3</v>
      </c>
      <c r="G45" s="197">
        <v>17.02</v>
      </c>
      <c r="H45" s="197">
        <v>3.5</v>
      </c>
      <c r="I45" s="197">
        <v>20.52</v>
      </c>
      <c r="J45" s="199"/>
      <c r="K45" s="197">
        <v>327.9905</v>
      </c>
      <c r="L45" s="197">
        <v>19579.174999999999</v>
      </c>
      <c r="M45" s="197">
        <v>114797.175</v>
      </c>
      <c r="N45" s="196"/>
      <c r="O45" s="192"/>
    </row>
    <row r="46" spans="1:15" s="53" customFormat="1" x14ac:dyDescent="0.2">
      <c r="A46" s="196" t="s">
        <v>598</v>
      </c>
      <c r="B46" s="197">
        <v>272.03066000000001</v>
      </c>
      <c r="C46" s="197">
        <v>55.9405</v>
      </c>
      <c r="D46" s="198">
        <v>45687</v>
      </c>
      <c r="E46" s="197">
        <v>350</v>
      </c>
      <c r="F46" s="197">
        <v>1598.3</v>
      </c>
      <c r="G46" s="197">
        <v>17.02</v>
      </c>
      <c r="H46" s="197">
        <v>3.5</v>
      </c>
      <c r="I46" s="197">
        <v>20.52</v>
      </c>
      <c r="J46" s="199"/>
      <c r="K46" s="197">
        <v>327.9905</v>
      </c>
      <c r="L46" s="197">
        <v>19579.174999999999</v>
      </c>
      <c r="M46" s="197">
        <v>114797.175</v>
      </c>
      <c r="N46" s="196"/>
      <c r="O46" s="192"/>
    </row>
    <row r="47" spans="1:15" s="53" customFormat="1" x14ac:dyDescent="0.2">
      <c r="A47" s="196" t="s">
        <v>598</v>
      </c>
      <c r="B47" s="197">
        <v>272.03066000000001</v>
      </c>
      <c r="C47" s="197">
        <v>55.9405</v>
      </c>
      <c r="D47" s="198">
        <v>45715</v>
      </c>
      <c r="E47" s="197">
        <v>350</v>
      </c>
      <c r="F47" s="197">
        <v>1598.3</v>
      </c>
      <c r="G47" s="197">
        <v>17.02</v>
      </c>
      <c r="H47" s="197">
        <v>3.5</v>
      </c>
      <c r="I47" s="197">
        <v>20.52</v>
      </c>
      <c r="J47" s="199"/>
      <c r="K47" s="197">
        <v>327.9905</v>
      </c>
      <c r="L47" s="197">
        <v>19579.174999999999</v>
      </c>
      <c r="M47" s="197">
        <v>114797.175</v>
      </c>
      <c r="N47" s="196"/>
      <c r="O47" s="192"/>
    </row>
    <row r="48" spans="1:15" s="53" customFormat="1" x14ac:dyDescent="0.2">
      <c r="A48" s="196" t="s">
        <v>165</v>
      </c>
      <c r="B48" s="197">
        <v>1048.05</v>
      </c>
      <c r="C48" s="197">
        <v>256.928</v>
      </c>
      <c r="D48" s="198">
        <v>45652</v>
      </c>
      <c r="E48" s="197">
        <v>125</v>
      </c>
      <c r="F48" s="197">
        <v>7340.8</v>
      </c>
      <c r="G48" s="197">
        <v>14.27</v>
      </c>
      <c r="H48" s="197">
        <v>3.5</v>
      </c>
      <c r="I48" s="197">
        <v>17.77</v>
      </c>
      <c r="J48" s="199"/>
      <c r="K48" s="197">
        <v>1304.9780000000001</v>
      </c>
      <c r="L48" s="197">
        <v>32116</v>
      </c>
      <c r="M48" s="197">
        <v>163122</v>
      </c>
      <c r="N48" s="196"/>
      <c r="O48" s="192"/>
    </row>
    <row r="49" spans="1:15" s="53" customFormat="1" x14ac:dyDescent="0.2">
      <c r="A49" s="196" t="s">
        <v>165</v>
      </c>
      <c r="B49" s="197">
        <v>1047.53216</v>
      </c>
      <c r="C49" s="197">
        <v>256.928</v>
      </c>
      <c r="D49" s="198">
        <v>45687</v>
      </c>
      <c r="E49" s="197">
        <v>125</v>
      </c>
      <c r="F49" s="197">
        <v>7340.8</v>
      </c>
      <c r="G49" s="197">
        <v>14.27</v>
      </c>
      <c r="H49" s="197">
        <v>3.5</v>
      </c>
      <c r="I49" s="197">
        <v>17.77</v>
      </c>
      <c r="J49" s="199"/>
      <c r="K49" s="197">
        <v>1304.9780000000001</v>
      </c>
      <c r="L49" s="197">
        <v>32116</v>
      </c>
      <c r="M49" s="197">
        <v>163122</v>
      </c>
      <c r="N49" s="196"/>
      <c r="O49" s="192"/>
    </row>
    <row r="50" spans="1:15" s="53" customFormat="1" x14ac:dyDescent="0.2">
      <c r="A50" s="196" t="s">
        <v>165</v>
      </c>
      <c r="B50" s="197">
        <v>1047.53216</v>
      </c>
      <c r="C50" s="197">
        <v>256.928</v>
      </c>
      <c r="D50" s="198">
        <v>45715</v>
      </c>
      <c r="E50" s="197">
        <v>125</v>
      </c>
      <c r="F50" s="197">
        <v>7340.8</v>
      </c>
      <c r="G50" s="197">
        <v>14.27</v>
      </c>
      <c r="H50" s="197">
        <v>3.5</v>
      </c>
      <c r="I50" s="197">
        <v>17.77</v>
      </c>
      <c r="J50" s="199"/>
      <c r="K50" s="197">
        <v>1304.9780000000001</v>
      </c>
      <c r="L50" s="197">
        <v>32116</v>
      </c>
      <c r="M50" s="197">
        <v>163122</v>
      </c>
      <c r="N50" s="196"/>
      <c r="O50" s="192"/>
    </row>
    <row r="51" spans="1:15" s="53" customFormat="1" x14ac:dyDescent="0.2">
      <c r="A51" s="196" t="s">
        <v>166</v>
      </c>
      <c r="B51" s="197">
        <v>85.94</v>
      </c>
      <c r="C51" s="197">
        <v>18.947299999999998</v>
      </c>
      <c r="D51" s="198">
        <v>45652</v>
      </c>
      <c r="E51" s="197">
        <v>1700</v>
      </c>
      <c r="F51" s="197">
        <v>541.35</v>
      </c>
      <c r="G51" s="197">
        <v>15.87</v>
      </c>
      <c r="H51" s="197">
        <v>3.5</v>
      </c>
      <c r="I51" s="197">
        <v>19.37</v>
      </c>
      <c r="J51" s="199"/>
      <c r="K51" s="197">
        <v>104.8873</v>
      </c>
      <c r="L51" s="197">
        <v>32210.325000000001</v>
      </c>
      <c r="M51" s="197">
        <v>178308.32500000001</v>
      </c>
      <c r="N51" s="196"/>
      <c r="O51" s="192"/>
    </row>
    <row r="52" spans="1:15" s="53" customFormat="1" x14ac:dyDescent="0.2">
      <c r="A52" s="196" t="s">
        <v>166</v>
      </c>
      <c r="B52" s="197">
        <v>85.912244999999999</v>
      </c>
      <c r="C52" s="197">
        <v>18.947299999999998</v>
      </c>
      <c r="D52" s="198">
        <v>45687</v>
      </c>
      <c r="E52" s="197">
        <v>1700</v>
      </c>
      <c r="F52" s="197">
        <v>541.35</v>
      </c>
      <c r="G52" s="197">
        <v>15.87</v>
      </c>
      <c r="H52" s="197">
        <v>3.5</v>
      </c>
      <c r="I52" s="197">
        <v>19.369999999999997</v>
      </c>
      <c r="J52" s="199"/>
      <c r="K52" s="197">
        <v>104.8873</v>
      </c>
      <c r="L52" s="197">
        <v>32210.325000000001</v>
      </c>
      <c r="M52" s="197">
        <v>178308.32500000001</v>
      </c>
      <c r="N52" s="196"/>
      <c r="O52" s="192"/>
    </row>
    <row r="53" spans="1:15" s="53" customFormat="1" x14ac:dyDescent="0.2">
      <c r="A53" s="196" t="s">
        <v>166</v>
      </c>
      <c r="B53" s="197">
        <v>85.912244999999999</v>
      </c>
      <c r="C53" s="197">
        <v>18.947299999999998</v>
      </c>
      <c r="D53" s="198">
        <v>45715</v>
      </c>
      <c r="E53" s="197">
        <v>1700</v>
      </c>
      <c r="F53" s="197">
        <v>541.35</v>
      </c>
      <c r="G53" s="197">
        <v>15.87</v>
      </c>
      <c r="H53" s="197">
        <v>3.5</v>
      </c>
      <c r="I53" s="197">
        <v>19.369999999999997</v>
      </c>
      <c r="J53" s="199"/>
      <c r="K53" s="197">
        <v>104.8873</v>
      </c>
      <c r="L53" s="197">
        <v>32210.325000000001</v>
      </c>
      <c r="M53" s="197">
        <v>178308.32500000001</v>
      </c>
      <c r="N53" s="196"/>
      <c r="O53" s="192"/>
    </row>
    <row r="54" spans="1:15" s="53" customFormat="1" x14ac:dyDescent="0.2">
      <c r="A54" s="196" t="s">
        <v>167</v>
      </c>
      <c r="B54" s="197">
        <v>36.69</v>
      </c>
      <c r="C54" s="197">
        <v>8.0920000000000005</v>
      </c>
      <c r="D54" s="198">
        <v>45652</v>
      </c>
      <c r="E54" s="197">
        <v>2500</v>
      </c>
      <c r="F54" s="197">
        <v>231.2</v>
      </c>
      <c r="G54" s="197">
        <v>15.86</v>
      </c>
      <c r="H54" s="197">
        <v>3.5</v>
      </c>
      <c r="I54" s="197">
        <v>19.36</v>
      </c>
      <c r="J54" s="199"/>
      <c r="K54" s="197">
        <v>44.781999999999996</v>
      </c>
      <c r="L54" s="197">
        <v>20230</v>
      </c>
      <c r="M54" s="197">
        <v>111955</v>
      </c>
      <c r="N54" s="196"/>
      <c r="O54" s="192"/>
    </row>
    <row r="55" spans="1:15" s="53" customFormat="1" x14ac:dyDescent="0.2">
      <c r="A55" s="196" t="s">
        <v>167</v>
      </c>
      <c r="B55" s="197">
        <v>36.668320000000001</v>
      </c>
      <c r="C55" s="197">
        <v>8.0920000000000005</v>
      </c>
      <c r="D55" s="198">
        <v>45687</v>
      </c>
      <c r="E55" s="197">
        <v>2500</v>
      </c>
      <c r="F55" s="197">
        <v>231.2</v>
      </c>
      <c r="G55" s="197">
        <v>15.86</v>
      </c>
      <c r="H55" s="197">
        <v>3.5</v>
      </c>
      <c r="I55" s="197">
        <v>19.36</v>
      </c>
      <c r="J55" s="199"/>
      <c r="K55" s="197">
        <v>44.781999999999996</v>
      </c>
      <c r="L55" s="197">
        <v>20230</v>
      </c>
      <c r="M55" s="197">
        <v>111955</v>
      </c>
      <c r="N55" s="196"/>
      <c r="O55" s="192"/>
    </row>
    <row r="56" spans="1:15" s="53" customFormat="1" x14ac:dyDescent="0.2">
      <c r="A56" s="196" t="s">
        <v>167</v>
      </c>
      <c r="B56" s="197">
        <v>36.668320000000001</v>
      </c>
      <c r="C56" s="197">
        <v>8.0920000000000005</v>
      </c>
      <c r="D56" s="198">
        <v>45715</v>
      </c>
      <c r="E56" s="197">
        <v>2500</v>
      </c>
      <c r="F56" s="197">
        <v>231.2</v>
      </c>
      <c r="G56" s="197">
        <v>15.86</v>
      </c>
      <c r="H56" s="197">
        <v>3.5</v>
      </c>
      <c r="I56" s="197">
        <v>19.36</v>
      </c>
      <c r="J56" s="199"/>
      <c r="K56" s="197">
        <v>44.781999999999996</v>
      </c>
      <c r="L56" s="197">
        <v>20230</v>
      </c>
      <c r="M56" s="197">
        <v>111955</v>
      </c>
      <c r="N56" s="196"/>
      <c r="O56" s="192"/>
    </row>
    <row r="57" spans="1:15" s="53" customFormat="1" x14ac:dyDescent="0.2">
      <c r="A57" s="196" t="s">
        <v>169</v>
      </c>
      <c r="B57" s="197">
        <v>345.12</v>
      </c>
      <c r="C57" s="197">
        <v>84.605500000000006</v>
      </c>
      <c r="D57" s="198">
        <v>45652</v>
      </c>
      <c r="E57" s="197">
        <v>200</v>
      </c>
      <c r="F57" s="197">
        <v>2417.3000000000002</v>
      </c>
      <c r="G57" s="197">
        <v>14.27</v>
      </c>
      <c r="H57" s="197">
        <v>3.5</v>
      </c>
      <c r="I57" s="197">
        <v>17.77</v>
      </c>
      <c r="J57" s="199"/>
      <c r="K57" s="197">
        <v>429.72550000000001</v>
      </c>
      <c r="L57" s="197">
        <v>16921.099999999999</v>
      </c>
      <c r="M57" s="197">
        <v>85945.1</v>
      </c>
      <c r="N57" s="196"/>
      <c r="O57" s="192"/>
    </row>
    <row r="58" spans="1:15" s="53" customFormat="1" x14ac:dyDescent="0.2">
      <c r="A58" s="196" t="s">
        <v>169</v>
      </c>
      <c r="B58" s="197">
        <v>344.94871000000001</v>
      </c>
      <c r="C58" s="197">
        <v>84.605500000000006</v>
      </c>
      <c r="D58" s="198">
        <v>45687</v>
      </c>
      <c r="E58" s="197">
        <v>200</v>
      </c>
      <c r="F58" s="197">
        <v>2417.3000000000002</v>
      </c>
      <c r="G58" s="197">
        <v>14.27</v>
      </c>
      <c r="H58" s="197">
        <v>3.5</v>
      </c>
      <c r="I58" s="197">
        <v>17.77</v>
      </c>
      <c r="J58" s="199"/>
      <c r="K58" s="197">
        <v>429.72550000000001</v>
      </c>
      <c r="L58" s="197">
        <v>16921.099999999999</v>
      </c>
      <c r="M58" s="197">
        <v>85945.1</v>
      </c>
      <c r="N58" s="196"/>
      <c r="O58" s="192"/>
    </row>
    <row r="59" spans="1:15" s="53" customFormat="1" x14ac:dyDescent="0.2">
      <c r="A59" s="196" t="s">
        <v>169</v>
      </c>
      <c r="B59" s="197">
        <v>344.94871000000001</v>
      </c>
      <c r="C59" s="197">
        <v>84.605500000000006</v>
      </c>
      <c r="D59" s="198">
        <v>45715</v>
      </c>
      <c r="E59" s="197">
        <v>200</v>
      </c>
      <c r="F59" s="197">
        <v>2417.3000000000002</v>
      </c>
      <c r="G59" s="197">
        <v>14.27</v>
      </c>
      <c r="H59" s="197">
        <v>3.5</v>
      </c>
      <c r="I59" s="197">
        <v>17.77</v>
      </c>
      <c r="J59" s="199"/>
      <c r="K59" s="197">
        <v>429.72550000000001</v>
      </c>
      <c r="L59" s="197">
        <v>16921.099999999999</v>
      </c>
      <c r="M59" s="197">
        <v>85945.1</v>
      </c>
      <c r="N59" s="196"/>
      <c r="O59" s="192"/>
    </row>
    <row r="60" spans="1:15" s="53" customFormat="1" x14ac:dyDescent="0.2">
      <c r="A60" s="196" t="s">
        <v>503</v>
      </c>
      <c r="B60" s="197">
        <v>264.83</v>
      </c>
      <c r="C60" s="197">
        <v>64.842799999999997</v>
      </c>
      <c r="D60" s="198">
        <v>45652</v>
      </c>
      <c r="E60" s="197">
        <v>367</v>
      </c>
      <c r="F60" s="197">
        <v>1852.65</v>
      </c>
      <c r="G60" s="197">
        <v>14.29</v>
      </c>
      <c r="H60" s="197">
        <v>3.5</v>
      </c>
      <c r="I60" s="197">
        <v>17.79</v>
      </c>
      <c r="J60" s="199"/>
      <c r="K60" s="197">
        <v>329.6728</v>
      </c>
      <c r="L60" s="197">
        <v>23797.2893</v>
      </c>
      <c r="M60" s="197">
        <v>120990.2893</v>
      </c>
      <c r="N60" s="196"/>
      <c r="O60" s="192"/>
    </row>
    <row r="61" spans="1:15" s="53" customFormat="1" x14ac:dyDescent="0.2">
      <c r="A61" s="196" t="s">
        <v>503</v>
      </c>
      <c r="B61" s="197">
        <v>264.74368500000003</v>
      </c>
      <c r="C61" s="197">
        <v>64.842799999999997</v>
      </c>
      <c r="D61" s="198">
        <v>45687</v>
      </c>
      <c r="E61" s="197">
        <v>367</v>
      </c>
      <c r="F61" s="197">
        <v>1852.65</v>
      </c>
      <c r="G61" s="197">
        <v>14.29</v>
      </c>
      <c r="H61" s="197">
        <v>3.5</v>
      </c>
      <c r="I61" s="197">
        <v>17.79</v>
      </c>
      <c r="J61" s="199"/>
      <c r="K61" s="197">
        <v>329.6728</v>
      </c>
      <c r="L61" s="197">
        <v>23797.2893</v>
      </c>
      <c r="M61" s="197">
        <v>120990.2893</v>
      </c>
      <c r="N61" s="196"/>
      <c r="O61" s="192"/>
    </row>
    <row r="62" spans="1:15" s="53" customFormat="1" x14ac:dyDescent="0.2">
      <c r="A62" s="196" t="s">
        <v>503</v>
      </c>
      <c r="B62" s="197">
        <v>264.74368500000003</v>
      </c>
      <c r="C62" s="197">
        <v>64.842799999999997</v>
      </c>
      <c r="D62" s="198">
        <v>45715</v>
      </c>
      <c r="E62" s="197">
        <v>367</v>
      </c>
      <c r="F62" s="197">
        <v>1852.65</v>
      </c>
      <c r="G62" s="197">
        <v>14.29</v>
      </c>
      <c r="H62" s="197">
        <v>3.5</v>
      </c>
      <c r="I62" s="197">
        <v>17.79</v>
      </c>
      <c r="J62" s="199"/>
      <c r="K62" s="197">
        <v>329.6728</v>
      </c>
      <c r="L62" s="197">
        <v>23797.2893</v>
      </c>
      <c r="M62" s="197">
        <v>120990.2893</v>
      </c>
      <c r="N62" s="196"/>
      <c r="O62" s="192"/>
    </row>
    <row r="63" spans="1:15" s="53" customFormat="1" x14ac:dyDescent="0.2">
      <c r="A63" s="196" t="s">
        <v>589</v>
      </c>
      <c r="B63" s="197">
        <v>213.94</v>
      </c>
      <c r="C63" s="197">
        <v>25.112500000000001</v>
      </c>
      <c r="D63" s="198">
        <v>45652</v>
      </c>
      <c r="E63" s="197">
        <v>775</v>
      </c>
      <c r="F63" s="197">
        <v>717.5</v>
      </c>
      <c r="G63" s="197">
        <v>29.81</v>
      </c>
      <c r="H63" s="197">
        <v>3.5</v>
      </c>
      <c r="I63" s="197">
        <v>33.31</v>
      </c>
      <c r="J63" s="199"/>
      <c r="K63" s="197">
        <v>239.05250000000001</v>
      </c>
      <c r="L63" s="197">
        <v>19462.1875</v>
      </c>
      <c r="M63" s="197">
        <v>185266.1875</v>
      </c>
      <c r="N63" s="196"/>
      <c r="O63" s="192"/>
    </row>
    <row r="64" spans="1:15" s="53" customFormat="1" x14ac:dyDescent="0.2">
      <c r="A64" s="196" t="s">
        <v>589</v>
      </c>
      <c r="B64" s="197">
        <v>213.88675000000001</v>
      </c>
      <c r="C64" s="197">
        <v>25.112500000000001</v>
      </c>
      <c r="D64" s="198">
        <v>45687</v>
      </c>
      <c r="E64" s="197">
        <v>775</v>
      </c>
      <c r="F64" s="197">
        <v>717.5</v>
      </c>
      <c r="G64" s="197">
        <v>29.81</v>
      </c>
      <c r="H64" s="197">
        <v>3.5</v>
      </c>
      <c r="I64" s="197">
        <v>33.31</v>
      </c>
      <c r="J64" s="199"/>
      <c r="K64" s="197">
        <v>239.05250000000001</v>
      </c>
      <c r="L64" s="197">
        <v>19462.1875</v>
      </c>
      <c r="M64" s="197">
        <v>185266.1875</v>
      </c>
      <c r="N64" s="196"/>
      <c r="O64" s="192"/>
    </row>
    <row r="65" spans="1:15" s="53" customFormat="1" x14ac:dyDescent="0.2">
      <c r="A65" s="196" t="s">
        <v>589</v>
      </c>
      <c r="B65" s="197">
        <v>213.88675000000001</v>
      </c>
      <c r="C65" s="197">
        <v>25.112500000000001</v>
      </c>
      <c r="D65" s="198">
        <v>45715</v>
      </c>
      <c r="E65" s="197">
        <v>775</v>
      </c>
      <c r="F65" s="197">
        <v>717.5</v>
      </c>
      <c r="G65" s="197">
        <v>29.81</v>
      </c>
      <c r="H65" s="197">
        <v>3.5</v>
      </c>
      <c r="I65" s="197">
        <v>33.31</v>
      </c>
      <c r="J65" s="199"/>
      <c r="K65" s="197">
        <v>239.05250000000001</v>
      </c>
      <c r="L65" s="197">
        <v>19462.1875</v>
      </c>
      <c r="M65" s="197">
        <v>185266.1875</v>
      </c>
      <c r="N65" s="196"/>
      <c r="O65" s="192"/>
    </row>
    <row r="66" spans="1:15" s="53" customFormat="1" x14ac:dyDescent="0.2">
      <c r="A66" s="196" t="s">
        <v>530</v>
      </c>
      <c r="B66" s="197">
        <v>1068.83</v>
      </c>
      <c r="C66" s="197">
        <v>262.02229999999997</v>
      </c>
      <c r="D66" s="198">
        <v>45652</v>
      </c>
      <c r="E66" s="197">
        <v>100</v>
      </c>
      <c r="F66" s="197">
        <v>7486.35</v>
      </c>
      <c r="G66" s="197">
        <v>14.27</v>
      </c>
      <c r="H66" s="197">
        <v>3.5</v>
      </c>
      <c r="I66" s="197">
        <v>17.77</v>
      </c>
      <c r="J66" s="199"/>
      <c r="K66" s="197">
        <v>1330.8523</v>
      </c>
      <c r="L66" s="197">
        <v>26202.224999999999</v>
      </c>
      <c r="M66" s="197">
        <v>133085.22500000001</v>
      </c>
      <c r="N66" s="196"/>
      <c r="O66" s="192"/>
    </row>
    <row r="67" spans="1:15" s="53" customFormat="1" x14ac:dyDescent="0.2">
      <c r="A67" s="196" t="s">
        <v>530</v>
      </c>
      <c r="B67" s="197">
        <v>1068.3021450000001</v>
      </c>
      <c r="C67" s="197">
        <v>262.02229999999997</v>
      </c>
      <c r="D67" s="198">
        <v>45687</v>
      </c>
      <c r="E67" s="197">
        <v>100</v>
      </c>
      <c r="F67" s="197">
        <v>7486.35</v>
      </c>
      <c r="G67" s="197">
        <v>14.27</v>
      </c>
      <c r="H67" s="197">
        <v>3.5</v>
      </c>
      <c r="I67" s="197">
        <v>17.77</v>
      </c>
      <c r="J67" s="199"/>
      <c r="K67" s="197">
        <v>1330.8523</v>
      </c>
      <c r="L67" s="197">
        <v>26202.224999999999</v>
      </c>
      <c r="M67" s="197">
        <v>133085.22500000001</v>
      </c>
      <c r="N67" s="196"/>
      <c r="O67" s="192"/>
    </row>
    <row r="68" spans="1:15" s="53" customFormat="1" x14ac:dyDescent="0.2">
      <c r="A68" s="196" t="s">
        <v>530</v>
      </c>
      <c r="B68" s="197">
        <v>1068.3021450000001</v>
      </c>
      <c r="C68" s="197">
        <v>262.02229999999997</v>
      </c>
      <c r="D68" s="198">
        <v>45715</v>
      </c>
      <c r="E68" s="197">
        <v>100</v>
      </c>
      <c r="F68" s="197">
        <v>7486.35</v>
      </c>
      <c r="G68" s="197">
        <v>14.27</v>
      </c>
      <c r="H68" s="197">
        <v>3.5</v>
      </c>
      <c r="I68" s="197">
        <v>17.77</v>
      </c>
      <c r="J68" s="199"/>
      <c r="K68" s="197">
        <v>1330.8523</v>
      </c>
      <c r="L68" s="197">
        <v>26202.224999999999</v>
      </c>
      <c r="M68" s="197">
        <v>133085.22500000001</v>
      </c>
      <c r="N68" s="196"/>
      <c r="O68" s="192"/>
    </row>
    <row r="69" spans="1:15" s="53" customFormat="1" x14ac:dyDescent="0.2">
      <c r="A69" s="196" t="s">
        <v>495</v>
      </c>
      <c r="B69" s="197">
        <v>94.78</v>
      </c>
      <c r="C69" s="197">
        <v>20.653500000000001</v>
      </c>
      <c r="D69" s="198">
        <v>45652</v>
      </c>
      <c r="E69" s="197">
        <v>1000</v>
      </c>
      <c r="F69" s="197">
        <v>590.1</v>
      </c>
      <c r="G69" s="197">
        <v>16.059999999999999</v>
      </c>
      <c r="H69" s="197">
        <v>3.5</v>
      </c>
      <c r="I69" s="197">
        <v>19.559999999999999</v>
      </c>
      <c r="J69" s="199"/>
      <c r="K69" s="197">
        <v>115.4335</v>
      </c>
      <c r="L69" s="197">
        <v>20653.5</v>
      </c>
      <c r="M69" s="197">
        <v>115433.5</v>
      </c>
      <c r="N69" s="196"/>
      <c r="O69" s="192"/>
    </row>
    <row r="70" spans="1:15" s="53" customFormat="1" x14ac:dyDescent="0.2">
      <c r="A70" s="196" t="s">
        <v>495</v>
      </c>
      <c r="B70" s="197">
        <v>94.770060000000001</v>
      </c>
      <c r="C70" s="197">
        <v>20.653500000000001</v>
      </c>
      <c r="D70" s="198">
        <v>45687</v>
      </c>
      <c r="E70" s="197">
        <v>1000</v>
      </c>
      <c r="F70" s="197">
        <v>590.1</v>
      </c>
      <c r="G70" s="197">
        <v>16.059999999999999</v>
      </c>
      <c r="H70" s="197">
        <v>3.5</v>
      </c>
      <c r="I70" s="197">
        <v>19.559999999999999</v>
      </c>
      <c r="J70" s="199"/>
      <c r="K70" s="197">
        <v>115.4335</v>
      </c>
      <c r="L70" s="197">
        <v>20653.5</v>
      </c>
      <c r="M70" s="197">
        <v>115433.5</v>
      </c>
      <c r="N70" s="196"/>
      <c r="O70" s="192"/>
    </row>
    <row r="71" spans="1:15" s="53" customFormat="1" x14ac:dyDescent="0.2">
      <c r="A71" s="196" t="s">
        <v>495</v>
      </c>
      <c r="B71" s="197">
        <v>94.770060000000001</v>
      </c>
      <c r="C71" s="197">
        <v>20.653500000000001</v>
      </c>
      <c r="D71" s="198">
        <v>45715</v>
      </c>
      <c r="E71" s="197">
        <v>1000</v>
      </c>
      <c r="F71" s="197">
        <v>590.1</v>
      </c>
      <c r="G71" s="197">
        <v>16.059999999999999</v>
      </c>
      <c r="H71" s="197">
        <v>3.5</v>
      </c>
      <c r="I71" s="197">
        <v>19.559999999999999</v>
      </c>
      <c r="J71" s="199"/>
      <c r="K71" s="197">
        <v>115.4335</v>
      </c>
      <c r="L71" s="197">
        <v>20653.5</v>
      </c>
      <c r="M71" s="197">
        <v>115433.5</v>
      </c>
      <c r="N71" s="196"/>
      <c r="O71" s="192"/>
    </row>
    <row r="72" spans="1:15" s="53" customFormat="1" x14ac:dyDescent="0.2">
      <c r="A72" s="196" t="s">
        <v>171</v>
      </c>
      <c r="B72" s="197">
        <v>178.15</v>
      </c>
      <c r="C72" s="197">
        <v>42.904800000000002</v>
      </c>
      <c r="D72" s="198">
        <v>45652</v>
      </c>
      <c r="E72" s="197">
        <v>550</v>
      </c>
      <c r="F72" s="197">
        <v>1225.8499999999999</v>
      </c>
      <c r="G72" s="197">
        <v>14.53</v>
      </c>
      <c r="H72" s="197">
        <v>3.5</v>
      </c>
      <c r="I72" s="197">
        <v>18.03</v>
      </c>
      <c r="J72" s="199"/>
      <c r="K72" s="197">
        <v>221.0548</v>
      </c>
      <c r="L72" s="197">
        <v>23597.612499999999</v>
      </c>
      <c r="M72" s="197">
        <v>121580.6125</v>
      </c>
      <c r="N72" s="196"/>
      <c r="O72" s="192"/>
    </row>
    <row r="73" spans="1:15" s="53" customFormat="1" x14ac:dyDescent="0.2">
      <c r="A73" s="196" t="s">
        <v>171</v>
      </c>
      <c r="B73" s="197">
        <v>178.116005</v>
      </c>
      <c r="C73" s="197">
        <v>42.904800000000002</v>
      </c>
      <c r="D73" s="198">
        <v>45687</v>
      </c>
      <c r="E73" s="197">
        <v>550</v>
      </c>
      <c r="F73" s="197">
        <v>1225.8499999999999</v>
      </c>
      <c r="G73" s="197">
        <v>14.53</v>
      </c>
      <c r="H73" s="197">
        <v>3.5</v>
      </c>
      <c r="I73" s="197">
        <v>18.03</v>
      </c>
      <c r="J73" s="199"/>
      <c r="K73" s="197">
        <v>221.0548</v>
      </c>
      <c r="L73" s="197">
        <v>23597.612499999999</v>
      </c>
      <c r="M73" s="197">
        <v>121580.6125</v>
      </c>
      <c r="N73" s="196"/>
      <c r="O73" s="192"/>
    </row>
    <row r="74" spans="1:15" s="53" customFormat="1" x14ac:dyDescent="0.2">
      <c r="A74" s="196" t="s">
        <v>171</v>
      </c>
      <c r="B74" s="197">
        <v>178.116005</v>
      </c>
      <c r="C74" s="197">
        <v>42.904800000000002</v>
      </c>
      <c r="D74" s="198">
        <v>45715</v>
      </c>
      <c r="E74" s="197">
        <v>550</v>
      </c>
      <c r="F74" s="197">
        <v>1225.8499999999999</v>
      </c>
      <c r="G74" s="197">
        <v>14.53</v>
      </c>
      <c r="H74" s="197">
        <v>3.5</v>
      </c>
      <c r="I74" s="197">
        <v>18.03</v>
      </c>
      <c r="J74" s="199"/>
      <c r="K74" s="197">
        <v>221.0548</v>
      </c>
      <c r="L74" s="197">
        <v>23597.612499999999</v>
      </c>
      <c r="M74" s="197">
        <v>121580.6125</v>
      </c>
      <c r="N74" s="196"/>
      <c r="O74" s="192"/>
    </row>
    <row r="75" spans="1:15" s="53" customFormat="1" x14ac:dyDescent="0.2">
      <c r="A75" s="196" t="s">
        <v>173</v>
      </c>
      <c r="B75" s="197">
        <v>163.79</v>
      </c>
      <c r="C75" s="197">
        <v>40.153799999999997</v>
      </c>
      <c r="D75" s="198">
        <v>45652</v>
      </c>
      <c r="E75" s="197">
        <v>625</v>
      </c>
      <c r="F75" s="197">
        <v>1147.25</v>
      </c>
      <c r="G75" s="197">
        <v>14.27</v>
      </c>
      <c r="H75" s="197">
        <v>3.5</v>
      </c>
      <c r="I75" s="197">
        <v>17.77</v>
      </c>
      <c r="J75" s="199"/>
      <c r="K75" s="197">
        <v>203.94380000000001</v>
      </c>
      <c r="L75" s="197">
        <v>25096.093799999999</v>
      </c>
      <c r="M75" s="197">
        <v>127465.0938</v>
      </c>
      <c r="N75" s="196"/>
      <c r="O75" s="192"/>
    </row>
    <row r="76" spans="1:15" s="53" customFormat="1" x14ac:dyDescent="0.2">
      <c r="A76" s="196" t="s">
        <v>173</v>
      </c>
      <c r="B76" s="197">
        <v>163.71257499999999</v>
      </c>
      <c r="C76" s="197">
        <v>40.153799999999997</v>
      </c>
      <c r="D76" s="198">
        <v>45687</v>
      </c>
      <c r="E76" s="197">
        <v>625</v>
      </c>
      <c r="F76" s="197">
        <v>1147.25</v>
      </c>
      <c r="G76" s="197">
        <v>14.27</v>
      </c>
      <c r="H76" s="197">
        <v>3.5</v>
      </c>
      <c r="I76" s="197">
        <v>17.77</v>
      </c>
      <c r="J76" s="199"/>
      <c r="K76" s="197">
        <v>203.94380000000001</v>
      </c>
      <c r="L76" s="197">
        <v>25096.093799999999</v>
      </c>
      <c r="M76" s="197">
        <v>127465.0938</v>
      </c>
      <c r="N76" s="196"/>
      <c r="O76" s="192"/>
    </row>
    <row r="77" spans="1:15" s="53" customFormat="1" x14ac:dyDescent="0.2">
      <c r="A77" s="196" t="s">
        <v>173</v>
      </c>
      <c r="B77" s="197">
        <v>163.71257499999999</v>
      </c>
      <c r="C77" s="197">
        <v>40.153799999999997</v>
      </c>
      <c r="D77" s="198">
        <v>45715</v>
      </c>
      <c r="E77" s="197">
        <v>625</v>
      </c>
      <c r="F77" s="197">
        <v>1147.25</v>
      </c>
      <c r="G77" s="197">
        <v>14.27</v>
      </c>
      <c r="H77" s="197">
        <v>3.5</v>
      </c>
      <c r="I77" s="197">
        <v>17.77</v>
      </c>
      <c r="J77" s="199"/>
      <c r="K77" s="197">
        <v>203.94380000000001</v>
      </c>
      <c r="L77" s="197">
        <v>25096.093799999999</v>
      </c>
      <c r="M77" s="197">
        <v>127465.0938</v>
      </c>
      <c r="N77" s="196"/>
      <c r="O77" s="192"/>
    </row>
    <row r="78" spans="1:15" s="53" customFormat="1" x14ac:dyDescent="0.2">
      <c r="A78" s="196" t="s">
        <v>174</v>
      </c>
      <c r="B78" s="197">
        <v>1374</v>
      </c>
      <c r="C78" s="197">
        <v>317.44299999999998</v>
      </c>
      <c r="D78" s="198">
        <v>45652</v>
      </c>
      <c r="E78" s="197">
        <v>75</v>
      </c>
      <c r="F78" s="197">
        <v>9069.7999999999993</v>
      </c>
      <c r="G78" s="197">
        <v>15.14</v>
      </c>
      <c r="H78" s="197">
        <v>3.5</v>
      </c>
      <c r="I78" s="197">
        <v>18.64</v>
      </c>
      <c r="J78" s="199"/>
      <c r="K78" s="197">
        <v>1691.443</v>
      </c>
      <c r="L78" s="197">
        <v>23808.224999999999</v>
      </c>
      <c r="M78" s="197">
        <v>126858.22500000001</v>
      </c>
      <c r="N78" s="196"/>
      <c r="O78" s="192"/>
    </row>
    <row r="79" spans="1:15" s="53" customFormat="1" x14ac:dyDescent="0.2">
      <c r="A79" s="196" t="s">
        <v>174</v>
      </c>
      <c r="B79" s="197">
        <v>1373.1677199999999</v>
      </c>
      <c r="C79" s="197">
        <v>317.44299999999998</v>
      </c>
      <c r="D79" s="198">
        <v>45687</v>
      </c>
      <c r="E79" s="197">
        <v>75</v>
      </c>
      <c r="F79" s="197">
        <v>9069.7999999999993</v>
      </c>
      <c r="G79" s="197">
        <v>15.14</v>
      </c>
      <c r="H79" s="197">
        <v>3.5</v>
      </c>
      <c r="I79" s="197">
        <v>18.64</v>
      </c>
      <c r="J79" s="199"/>
      <c r="K79" s="197">
        <v>1691.443</v>
      </c>
      <c r="L79" s="197">
        <v>23808.224999999999</v>
      </c>
      <c r="M79" s="197">
        <v>126858.22500000001</v>
      </c>
      <c r="N79" s="196"/>
      <c r="O79" s="192"/>
    </row>
    <row r="80" spans="1:15" s="53" customFormat="1" x14ac:dyDescent="0.2">
      <c r="A80" s="196" t="s">
        <v>174</v>
      </c>
      <c r="B80" s="197">
        <v>1373.1677199999999</v>
      </c>
      <c r="C80" s="197">
        <v>317.44299999999998</v>
      </c>
      <c r="D80" s="198">
        <v>45715</v>
      </c>
      <c r="E80" s="197">
        <v>75</v>
      </c>
      <c r="F80" s="197">
        <v>9069.7999999999993</v>
      </c>
      <c r="G80" s="197">
        <v>15.14</v>
      </c>
      <c r="H80" s="197">
        <v>3.5</v>
      </c>
      <c r="I80" s="197">
        <v>18.64</v>
      </c>
      <c r="J80" s="199"/>
      <c r="K80" s="197">
        <v>1691.443</v>
      </c>
      <c r="L80" s="197">
        <v>23808.224999999999</v>
      </c>
      <c r="M80" s="197">
        <v>126858.22500000001</v>
      </c>
      <c r="N80" s="196"/>
      <c r="O80" s="192"/>
    </row>
    <row r="81" spans="1:15" s="53" customFormat="1" x14ac:dyDescent="0.2">
      <c r="A81" s="196" t="s">
        <v>176</v>
      </c>
      <c r="B81" s="197">
        <v>240.78</v>
      </c>
      <c r="C81" s="197">
        <v>59.025799999999997</v>
      </c>
      <c r="D81" s="198">
        <v>45652</v>
      </c>
      <c r="E81" s="197">
        <v>500</v>
      </c>
      <c r="F81" s="197">
        <v>1686.45</v>
      </c>
      <c r="G81" s="197">
        <v>14.27</v>
      </c>
      <c r="H81" s="197">
        <v>3.5</v>
      </c>
      <c r="I81" s="197">
        <v>17.77</v>
      </c>
      <c r="J81" s="199"/>
      <c r="K81" s="197">
        <v>299.80579999999998</v>
      </c>
      <c r="L81" s="197">
        <v>29512.875</v>
      </c>
      <c r="M81" s="197">
        <v>149902.875</v>
      </c>
      <c r="N81" s="196"/>
      <c r="O81" s="192"/>
    </row>
    <row r="82" spans="1:15" s="53" customFormat="1" x14ac:dyDescent="0.2">
      <c r="A82" s="196" t="s">
        <v>176</v>
      </c>
      <c r="B82" s="197">
        <v>240.65641500000001</v>
      </c>
      <c r="C82" s="197">
        <v>59.025799999999997</v>
      </c>
      <c r="D82" s="198">
        <v>45687</v>
      </c>
      <c r="E82" s="197">
        <v>500</v>
      </c>
      <c r="F82" s="197">
        <v>1686.45</v>
      </c>
      <c r="G82" s="197">
        <v>14.27</v>
      </c>
      <c r="H82" s="197">
        <v>3.5</v>
      </c>
      <c r="I82" s="197">
        <v>17.77</v>
      </c>
      <c r="J82" s="199"/>
      <c r="K82" s="197">
        <v>299.80579999999998</v>
      </c>
      <c r="L82" s="197">
        <v>29512.875</v>
      </c>
      <c r="M82" s="197">
        <v>149902.875</v>
      </c>
      <c r="N82" s="196"/>
      <c r="O82" s="192"/>
    </row>
    <row r="83" spans="1:15" s="53" customFormat="1" x14ac:dyDescent="0.2">
      <c r="A83" s="196" t="s">
        <v>176</v>
      </c>
      <c r="B83" s="197">
        <v>240.65641500000001</v>
      </c>
      <c r="C83" s="197">
        <v>59.025799999999997</v>
      </c>
      <c r="D83" s="198">
        <v>45715</v>
      </c>
      <c r="E83" s="197">
        <v>500</v>
      </c>
      <c r="F83" s="197">
        <v>1686.45</v>
      </c>
      <c r="G83" s="197">
        <v>14.27</v>
      </c>
      <c r="H83" s="197">
        <v>3.5</v>
      </c>
      <c r="I83" s="197">
        <v>17.77</v>
      </c>
      <c r="J83" s="199"/>
      <c r="K83" s="197">
        <v>299.80579999999998</v>
      </c>
      <c r="L83" s="197">
        <v>29512.875</v>
      </c>
      <c r="M83" s="197">
        <v>149902.875</v>
      </c>
      <c r="N83" s="196"/>
      <c r="O83" s="192"/>
    </row>
    <row r="84" spans="1:15" s="53" customFormat="1" x14ac:dyDescent="0.2">
      <c r="A84" s="196" t="s">
        <v>177</v>
      </c>
      <c r="B84" s="197">
        <v>1015.83</v>
      </c>
      <c r="C84" s="197">
        <v>249.02850000000001</v>
      </c>
      <c r="D84" s="198">
        <v>45652</v>
      </c>
      <c r="E84" s="197">
        <v>125</v>
      </c>
      <c r="F84" s="197">
        <v>7115.1</v>
      </c>
      <c r="G84" s="197">
        <v>14.27</v>
      </c>
      <c r="H84" s="197">
        <v>3.5</v>
      </c>
      <c r="I84" s="197">
        <v>17.77</v>
      </c>
      <c r="J84" s="199"/>
      <c r="K84" s="197">
        <v>1264.8585</v>
      </c>
      <c r="L84" s="197">
        <v>31128.5625</v>
      </c>
      <c r="M84" s="197">
        <v>158107.5625</v>
      </c>
      <c r="N84" s="196"/>
      <c r="O84" s="192"/>
    </row>
    <row r="85" spans="1:15" s="53" customFormat="1" x14ac:dyDescent="0.2">
      <c r="A85" s="196" t="s">
        <v>177</v>
      </c>
      <c r="B85" s="197">
        <v>1015.3247699999999</v>
      </c>
      <c r="C85" s="197">
        <v>249.02850000000001</v>
      </c>
      <c r="D85" s="198">
        <v>45687</v>
      </c>
      <c r="E85" s="197">
        <v>125</v>
      </c>
      <c r="F85" s="197">
        <v>7115.1</v>
      </c>
      <c r="G85" s="197">
        <v>14.27</v>
      </c>
      <c r="H85" s="197">
        <v>3.5</v>
      </c>
      <c r="I85" s="197">
        <v>17.77</v>
      </c>
      <c r="J85" s="199"/>
      <c r="K85" s="197">
        <v>1264.8585</v>
      </c>
      <c r="L85" s="197">
        <v>31128.5625</v>
      </c>
      <c r="M85" s="197">
        <v>158107.5625</v>
      </c>
      <c r="N85" s="196"/>
      <c r="O85" s="192"/>
    </row>
    <row r="86" spans="1:15" s="53" customFormat="1" x14ac:dyDescent="0.2">
      <c r="A86" s="196" t="s">
        <v>177</v>
      </c>
      <c r="B86" s="197">
        <v>1015.3247699999999</v>
      </c>
      <c r="C86" s="197">
        <v>249.02850000000001</v>
      </c>
      <c r="D86" s="198">
        <v>45715</v>
      </c>
      <c r="E86" s="197">
        <v>125</v>
      </c>
      <c r="F86" s="197">
        <v>7115.1</v>
      </c>
      <c r="G86" s="197">
        <v>14.27</v>
      </c>
      <c r="H86" s="197">
        <v>3.5</v>
      </c>
      <c r="I86" s="197">
        <v>17.77</v>
      </c>
      <c r="J86" s="199"/>
      <c r="K86" s="197">
        <v>1264.8585</v>
      </c>
      <c r="L86" s="197">
        <v>31128.5625</v>
      </c>
      <c r="M86" s="197">
        <v>158107.5625</v>
      </c>
      <c r="N86" s="196"/>
      <c r="O86" s="192"/>
    </row>
    <row r="87" spans="1:15" s="53" customFormat="1" x14ac:dyDescent="0.2">
      <c r="A87" s="196" t="s">
        <v>178</v>
      </c>
      <c r="B87" s="197">
        <v>444.18</v>
      </c>
      <c r="C87" s="197">
        <v>98.715800000000002</v>
      </c>
      <c r="D87" s="198">
        <v>45652</v>
      </c>
      <c r="E87" s="197">
        <v>300</v>
      </c>
      <c r="F87" s="197">
        <v>2820.45</v>
      </c>
      <c r="G87" s="197">
        <v>15.74</v>
      </c>
      <c r="H87" s="197">
        <v>3.5</v>
      </c>
      <c r="I87" s="197">
        <v>19.239999999999998</v>
      </c>
      <c r="J87" s="199"/>
      <c r="K87" s="197">
        <v>542.89580000000001</v>
      </c>
      <c r="L87" s="197">
        <v>29614.724999999999</v>
      </c>
      <c r="M87" s="197">
        <v>162868.72500000001</v>
      </c>
      <c r="N87" s="196"/>
      <c r="O87" s="192"/>
    </row>
    <row r="88" spans="1:15" s="53" customFormat="1" x14ac:dyDescent="0.2">
      <c r="A88" s="196" t="s">
        <v>178</v>
      </c>
      <c r="B88" s="197">
        <v>443.93883</v>
      </c>
      <c r="C88" s="197">
        <v>98.715800000000002</v>
      </c>
      <c r="D88" s="198">
        <v>45687</v>
      </c>
      <c r="E88" s="197">
        <v>300</v>
      </c>
      <c r="F88" s="197">
        <v>2820.45</v>
      </c>
      <c r="G88" s="197">
        <v>15.74</v>
      </c>
      <c r="H88" s="197">
        <v>3.5</v>
      </c>
      <c r="I88" s="197">
        <v>19.240000000000002</v>
      </c>
      <c r="J88" s="199"/>
      <c r="K88" s="197">
        <v>542.89580000000001</v>
      </c>
      <c r="L88" s="197">
        <v>29614.724999999999</v>
      </c>
      <c r="M88" s="197">
        <v>162868.72500000001</v>
      </c>
      <c r="N88" s="196"/>
      <c r="O88" s="192"/>
    </row>
    <row r="89" spans="1:15" s="53" customFormat="1" x14ac:dyDescent="0.2">
      <c r="A89" s="196" t="s">
        <v>178</v>
      </c>
      <c r="B89" s="197">
        <v>443.93883</v>
      </c>
      <c r="C89" s="197">
        <v>98.715800000000002</v>
      </c>
      <c r="D89" s="198">
        <v>45715</v>
      </c>
      <c r="E89" s="197">
        <v>300</v>
      </c>
      <c r="F89" s="197">
        <v>2820.45</v>
      </c>
      <c r="G89" s="197">
        <v>15.74</v>
      </c>
      <c r="H89" s="197">
        <v>3.5</v>
      </c>
      <c r="I89" s="197">
        <v>19.240000000000002</v>
      </c>
      <c r="J89" s="199"/>
      <c r="K89" s="197">
        <v>542.89580000000001</v>
      </c>
      <c r="L89" s="197">
        <v>29614.724999999999</v>
      </c>
      <c r="M89" s="197">
        <v>162868.72500000001</v>
      </c>
      <c r="N89" s="196"/>
      <c r="O89" s="192"/>
    </row>
    <row r="90" spans="1:15" s="53" customFormat="1" x14ac:dyDescent="0.2">
      <c r="A90" s="196" t="s">
        <v>179</v>
      </c>
      <c r="B90" s="197">
        <v>37.17</v>
      </c>
      <c r="C90" s="197">
        <v>15.26</v>
      </c>
      <c r="D90" s="198">
        <v>45652</v>
      </c>
      <c r="E90" s="197">
        <v>2800</v>
      </c>
      <c r="F90" s="197">
        <v>174.4</v>
      </c>
      <c r="G90" s="197">
        <v>21.31</v>
      </c>
      <c r="H90" s="197">
        <v>8.75</v>
      </c>
      <c r="I90" s="197">
        <v>30.06</v>
      </c>
      <c r="J90" s="199"/>
      <c r="K90" s="197">
        <v>52.43</v>
      </c>
      <c r="L90" s="197">
        <v>42728</v>
      </c>
      <c r="M90" s="197">
        <v>146804</v>
      </c>
      <c r="N90" s="196"/>
      <c r="O90" s="192"/>
    </row>
    <row r="91" spans="1:15" s="53" customFormat="1" x14ac:dyDescent="0.2">
      <c r="A91" s="196" t="s">
        <v>179</v>
      </c>
      <c r="B91" s="197">
        <v>37.164639999999999</v>
      </c>
      <c r="C91" s="197">
        <v>15.26</v>
      </c>
      <c r="D91" s="198">
        <v>45687</v>
      </c>
      <c r="E91" s="197">
        <v>2800</v>
      </c>
      <c r="F91" s="197">
        <v>174.4</v>
      </c>
      <c r="G91" s="197">
        <v>21.31</v>
      </c>
      <c r="H91" s="197">
        <v>8.75</v>
      </c>
      <c r="I91" s="197">
        <v>30.06</v>
      </c>
      <c r="J91" s="199"/>
      <c r="K91" s="197">
        <v>52.43</v>
      </c>
      <c r="L91" s="197">
        <v>42728</v>
      </c>
      <c r="M91" s="197">
        <v>146804</v>
      </c>
      <c r="N91" s="196"/>
      <c r="O91" s="192"/>
    </row>
    <row r="92" spans="1:15" s="53" customFormat="1" x14ac:dyDescent="0.2">
      <c r="A92" s="196" t="s">
        <v>179</v>
      </c>
      <c r="B92" s="197">
        <v>37.164639999999999</v>
      </c>
      <c r="C92" s="197">
        <v>15.26</v>
      </c>
      <c r="D92" s="198">
        <v>45715</v>
      </c>
      <c r="E92" s="197">
        <v>2800</v>
      </c>
      <c r="F92" s="197">
        <v>174.4</v>
      </c>
      <c r="G92" s="197">
        <v>21.31</v>
      </c>
      <c r="H92" s="197">
        <v>8.75</v>
      </c>
      <c r="I92" s="197">
        <v>30.06</v>
      </c>
      <c r="J92" s="199"/>
      <c r="K92" s="197">
        <v>52.43</v>
      </c>
      <c r="L92" s="197">
        <v>42728</v>
      </c>
      <c r="M92" s="197">
        <v>146804</v>
      </c>
      <c r="N92" s="196"/>
      <c r="O92" s="192"/>
    </row>
    <row r="93" spans="1:15" s="53" customFormat="1" x14ac:dyDescent="0.2">
      <c r="A93" s="196" t="s">
        <v>180</v>
      </c>
      <c r="B93" s="197">
        <v>48.73</v>
      </c>
      <c r="C93" s="197">
        <v>13.689399999999999</v>
      </c>
      <c r="D93" s="198">
        <v>45652</v>
      </c>
      <c r="E93" s="197">
        <v>2925</v>
      </c>
      <c r="F93" s="197">
        <v>260.75</v>
      </c>
      <c r="G93" s="197">
        <v>18.68</v>
      </c>
      <c r="H93" s="197">
        <v>5.25</v>
      </c>
      <c r="I93" s="197">
        <v>23.93</v>
      </c>
      <c r="J93" s="199"/>
      <c r="K93" s="197">
        <v>62.419400000000003</v>
      </c>
      <c r="L93" s="197">
        <v>40041.421900000001</v>
      </c>
      <c r="M93" s="197">
        <v>182576.42189999999</v>
      </c>
      <c r="N93" s="196"/>
      <c r="O93" s="192"/>
    </row>
    <row r="94" spans="1:15" s="53" customFormat="1" x14ac:dyDescent="0.2">
      <c r="A94" s="196" t="s">
        <v>180</v>
      </c>
      <c r="B94" s="197">
        <v>48.708100000000002</v>
      </c>
      <c r="C94" s="197">
        <v>13.689399999999999</v>
      </c>
      <c r="D94" s="198">
        <v>45687</v>
      </c>
      <c r="E94" s="197">
        <v>2925</v>
      </c>
      <c r="F94" s="197">
        <v>260.75</v>
      </c>
      <c r="G94" s="197">
        <v>18.68</v>
      </c>
      <c r="H94" s="197">
        <v>5.25</v>
      </c>
      <c r="I94" s="197">
        <v>23.93</v>
      </c>
      <c r="J94" s="199"/>
      <c r="K94" s="197">
        <v>62.419400000000003</v>
      </c>
      <c r="L94" s="197">
        <v>40041.421900000001</v>
      </c>
      <c r="M94" s="197">
        <v>182576.42189999999</v>
      </c>
      <c r="N94" s="196"/>
      <c r="O94" s="192"/>
    </row>
    <row r="95" spans="1:15" s="53" customFormat="1" x14ac:dyDescent="0.2">
      <c r="A95" s="196" t="s">
        <v>180</v>
      </c>
      <c r="B95" s="197">
        <v>48.708100000000002</v>
      </c>
      <c r="C95" s="197">
        <v>13.689399999999999</v>
      </c>
      <c r="D95" s="198">
        <v>45715</v>
      </c>
      <c r="E95" s="197">
        <v>2925</v>
      </c>
      <c r="F95" s="197">
        <v>260.75</v>
      </c>
      <c r="G95" s="197">
        <v>18.68</v>
      </c>
      <c r="H95" s="197">
        <v>5.25</v>
      </c>
      <c r="I95" s="197">
        <v>23.93</v>
      </c>
      <c r="J95" s="199"/>
      <c r="K95" s="197">
        <v>62.419400000000003</v>
      </c>
      <c r="L95" s="197">
        <v>40041.421900000001</v>
      </c>
      <c r="M95" s="197">
        <v>182576.42189999999</v>
      </c>
      <c r="N95" s="196"/>
      <c r="O95" s="192"/>
    </row>
    <row r="96" spans="1:15" s="53" customFormat="1" x14ac:dyDescent="0.2">
      <c r="A96" s="196" t="s">
        <v>602</v>
      </c>
      <c r="B96" s="197">
        <v>23.21</v>
      </c>
      <c r="C96" s="197">
        <v>4.0004999999999997</v>
      </c>
      <c r="D96" s="198">
        <v>45652</v>
      </c>
      <c r="E96" s="197">
        <v>4825</v>
      </c>
      <c r="F96" s="197">
        <v>114.3</v>
      </c>
      <c r="G96" s="197">
        <v>20.3</v>
      </c>
      <c r="H96" s="197">
        <v>3.5</v>
      </c>
      <c r="I96" s="197">
        <v>23.8</v>
      </c>
      <c r="J96" s="199"/>
      <c r="K96" s="197">
        <v>27.2105</v>
      </c>
      <c r="L96" s="197">
        <v>19302.412499999999</v>
      </c>
      <c r="M96" s="197">
        <v>131290.41250000001</v>
      </c>
      <c r="N96" s="196"/>
      <c r="O96" s="192"/>
    </row>
    <row r="97" spans="1:15" s="53" customFormat="1" x14ac:dyDescent="0.2">
      <c r="A97" s="196" t="s">
        <v>602</v>
      </c>
      <c r="B97" s="197">
        <v>23.2029</v>
      </c>
      <c r="C97" s="197">
        <v>4.0004999999999997</v>
      </c>
      <c r="D97" s="198">
        <v>45687</v>
      </c>
      <c r="E97" s="197">
        <v>4825</v>
      </c>
      <c r="F97" s="197">
        <v>114.3</v>
      </c>
      <c r="G97" s="197">
        <v>20.3</v>
      </c>
      <c r="H97" s="197">
        <v>3.5</v>
      </c>
      <c r="I97" s="197">
        <v>23.8</v>
      </c>
      <c r="J97" s="199"/>
      <c r="K97" s="197">
        <v>27.2105</v>
      </c>
      <c r="L97" s="197">
        <v>19302.412499999999</v>
      </c>
      <c r="M97" s="197">
        <v>131290.41250000001</v>
      </c>
      <c r="N97" s="196"/>
      <c r="O97" s="192"/>
    </row>
    <row r="98" spans="1:15" s="53" customFormat="1" x14ac:dyDescent="0.2">
      <c r="A98" s="196" t="s">
        <v>602</v>
      </c>
      <c r="B98" s="197">
        <v>23.2029</v>
      </c>
      <c r="C98" s="197">
        <v>4.0004999999999997</v>
      </c>
      <c r="D98" s="198">
        <v>45715</v>
      </c>
      <c r="E98" s="197">
        <v>4825</v>
      </c>
      <c r="F98" s="197">
        <v>114.3</v>
      </c>
      <c r="G98" s="197">
        <v>20.3</v>
      </c>
      <c r="H98" s="197">
        <v>3.5</v>
      </c>
      <c r="I98" s="197">
        <v>23.8</v>
      </c>
      <c r="J98" s="199"/>
      <c r="K98" s="197">
        <v>27.2105</v>
      </c>
      <c r="L98" s="197">
        <v>19302.412499999999</v>
      </c>
      <c r="M98" s="197">
        <v>131290.41250000001</v>
      </c>
      <c r="N98" s="196"/>
      <c r="O98" s="192"/>
    </row>
    <row r="99" spans="1:15" s="53" customFormat="1" x14ac:dyDescent="0.2">
      <c r="A99" s="196" t="s">
        <v>182</v>
      </c>
      <c r="B99" s="197">
        <v>6067.93</v>
      </c>
      <c r="C99" s="197">
        <v>1067.827</v>
      </c>
      <c r="D99" s="198">
        <v>45650</v>
      </c>
      <c r="E99" s="197">
        <v>15</v>
      </c>
      <c r="F99" s="197">
        <v>53391.35</v>
      </c>
      <c r="G99" s="197">
        <v>11.36</v>
      </c>
      <c r="H99" s="197">
        <v>2</v>
      </c>
      <c r="I99" s="197">
        <v>13.36</v>
      </c>
      <c r="J99" s="199"/>
      <c r="K99" s="197">
        <v>7135.7569999999996</v>
      </c>
      <c r="L99" s="197">
        <v>16017.405000000001</v>
      </c>
      <c r="M99" s="197">
        <v>107036.405</v>
      </c>
      <c r="N99" s="196"/>
      <c r="O99" s="192"/>
    </row>
    <row r="100" spans="1:15" s="53" customFormat="1" x14ac:dyDescent="0.2">
      <c r="A100" s="196" t="s">
        <v>182</v>
      </c>
      <c r="B100" s="197">
        <v>6065.2573599999996</v>
      </c>
      <c r="C100" s="197">
        <v>1067.827</v>
      </c>
      <c r="D100" s="198">
        <v>45686</v>
      </c>
      <c r="E100" s="197">
        <v>15</v>
      </c>
      <c r="F100" s="197">
        <v>53391.35</v>
      </c>
      <c r="G100" s="197">
        <v>11.36</v>
      </c>
      <c r="H100" s="197">
        <v>2</v>
      </c>
      <c r="I100" s="197">
        <v>13.36</v>
      </c>
      <c r="J100" s="199"/>
      <c r="K100" s="197">
        <v>7135.7569999999996</v>
      </c>
      <c r="L100" s="197">
        <v>16017.405000000001</v>
      </c>
      <c r="M100" s="197">
        <v>107036.405</v>
      </c>
      <c r="N100" s="196"/>
      <c r="O100" s="192"/>
    </row>
    <row r="101" spans="1:15" s="53" customFormat="1" x14ac:dyDescent="0.2">
      <c r="A101" s="196" t="s">
        <v>182</v>
      </c>
      <c r="B101" s="197">
        <v>6065.2573599999996</v>
      </c>
      <c r="C101" s="197">
        <v>1067.827</v>
      </c>
      <c r="D101" s="198">
        <v>45714</v>
      </c>
      <c r="E101" s="197">
        <v>15</v>
      </c>
      <c r="F101" s="197">
        <v>53391.35</v>
      </c>
      <c r="G101" s="197">
        <v>11.36</v>
      </c>
      <c r="H101" s="197">
        <v>2</v>
      </c>
      <c r="I101" s="197">
        <v>13.36</v>
      </c>
      <c r="J101" s="199"/>
      <c r="K101" s="197">
        <v>7135.7569999999996</v>
      </c>
      <c r="L101" s="197">
        <v>16017.405000000001</v>
      </c>
      <c r="M101" s="197">
        <v>107036.405</v>
      </c>
      <c r="N101" s="196"/>
      <c r="O101" s="192"/>
    </row>
    <row r="102" spans="1:15" s="53" customFormat="1" x14ac:dyDescent="0.2">
      <c r="A102" s="196" t="s">
        <v>183</v>
      </c>
      <c r="B102" s="197">
        <v>206.65</v>
      </c>
      <c r="C102" s="197">
        <v>50.660800000000002</v>
      </c>
      <c r="D102" s="198">
        <v>45652</v>
      </c>
      <c r="E102" s="197">
        <v>375</v>
      </c>
      <c r="F102" s="197">
        <v>1447.45</v>
      </c>
      <c r="G102" s="197">
        <v>14.27</v>
      </c>
      <c r="H102" s="197">
        <v>3.5</v>
      </c>
      <c r="I102" s="197">
        <v>17.77</v>
      </c>
      <c r="J102" s="199"/>
      <c r="K102" s="197">
        <v>257.31079999999997</v>
      </c>
      <c r="L102" s="197">
        <v>18997.781299999999</v>
      </c>
      <c r="M102" s="197">
        <v>96491.781300000002</v>
      </c>
      <c r="N102" s="196"/>
      <c r="O102" s="192"/>
    </row>
    <row r="103" spans="1:15" s="53" customFormat="1" x14ac:dyDescent="0.2">
      <c r="A103" s="196" t="s">
        <v>183</v>
      </c>
      <c r="B103" s="197">
        <v>206.55111500000001</v>
      </c>
      <c r="C103" s="197">
        <v>50.660800000000002</v>
      </c>
      <c r="D103" s="198">
        <v>45687</v>
      </c>
      <c r="E103" s="197">
        <v>375</v>
      </c>
      <c r="F103" s="197">
        <v>1447.45</v>
      </c>
      <c r="G103" s="197">
        <v>14.27</v>
      </c>
      <c r="H103" s="197">
        <v>3.5</v>
      </c>
      <c r="I103" s="197">
        <v>17.77</v>
      </c>
      <c r="J103" s="199"/>
      <c r="K103" s="197">
        <v>257.31079999999997</v>
      </c>
      <c r="L103" s="197">
        <v>18997.781299999999</v>
      </c>
      <c r="M103" s="197">
        <v>96491.781300000002</v>
      </c>
      <c r="N103" s="196"/>
      <c r="O103" s="192"/>
    </row>
    <row r="104" spans="1:15" s="53" customFormat="1" x14ac:dyDescent="0.2">
      <c r="A104" s="196" t="s">
        <v>183</v>
      </c>
      <c r="B104" s="197">
        <v>206.55111500000001</v>
      </c>
      <c r="C104" s="197">
        <v>50.660800000000002</v>
      </c>
      <c r="D104" s="198">
        <v>45715</v>
      </c>
      <c r="E104" s="197">
        <v>375</v>
      </c>
      <c r="F104" s="197">
        <v>1447.45</v>
      </c>
      <c r="G104" s="197">
        <v>14.27</v>
      </c>
      <c r="H104" s="197">
        <v>3.5</v>
      </c>
      <c r="I104" s="197">
        <v>17.77</v>
      </c>
      <c r="J104" s="199"/>
      <c r="K104" s="197">
        <v>257.31079999999997</v>
      </c>
      <c r="L104" s="197">
        <v>18997.781299999999</v>
      </c>
      <c r="M104" s="197">
        <v>96491.781300000002</v>
      </c>
      <c r="N104" s="196"/>
      <c r="O104" s="192"/>
    </row>
    <row r="105" spans="1:15" s="53" customFormat="1" x14ac:dyDescent="0.2">
      <c r="A105" s="196" t="s">
        <v>185</v>
      </c>
      <c r="B105" s="197">
        <v>60.98</v>
      </c>
      <c r="C105" s="197">
        <v>10.993499999999999</v>
      </c>
      <c r="D105" s="198">
        <v>45652</v>
      </c>
      <c r="E105" s="197">
        <v>2850</v>
      </c>
      <c r="F105" s="197">
        <v>314.10000000000002</v>
      </c>
      <c r="G105" s="197">
        <v>19.41</v>
      </c>
      <c r="H105" s="197">
        <v>3.5</v>
      </c>
      <c r="I105" s="197">
        <v>22.91</v>
      </c>
      <c r="J105" s="199"/>
      <c r="K105" s="197">
        <v>71.973500000000001</v>
      </c>
      <c r="L105" s="197">
        <v>31331.474999999999</v>
      </c>
      <c r="M105" s="197">
        <v>205124.47500000001</v>
      </c>
      <c r="N105" s="196"/>
      <c r="O105" s="192"/>
    </row>
    <row r="106" spans="1:15" s="53" customFormat="1" x14ac:dyDescent="0.2">
      <c r="A106" s="196" t="s">
        <v>185</v>
      </c>
      <c r="B106" s="197">
        <v>60.966810000000002</v>
      </c>
      <c r="C106" s="197">
        <v>10.993499999999999</v>
      </c>
      <c r="D106" s="198">
        <v>45687</v>
      </c>
      <c r="E106" s="197">
        <v>2850</v>
      </c>
      <c r="F106" s="197">
        <v>314.10000000000002</v>
      </c>
      <c r="G106" s="197">
        <v>19.41</v>
      </c>
      <c r="H106" s="197">
        <v>3.5</v>
      </c>
      <c r="I106" s="197">
        <v>22.91</v>
      </c>
      <c r="J106" s="199"/>
      <c r="K106" s="197">
        <v>71.973500000000001</v>
      </c>
      <c r="L106" s="197">
        <v>31331.474999999999</v>
      </c>
      <c r="M106" s="197">
        <v>205124.47500000001</v>
      </c>
      <c r="N106" s="196"/>
      <c r="O106" s="192"/>
    </row>
    <row r="107" spans="1:15" s="53" customFormat="1" x14ac:dyDescent="0.2">
      <c r="A107" s="196" t="s">
        <v>185</v>
      </c>
      <c r="B107" s="197">
        <v>60.966810000000002</v>
      </c>
      <c r="C107" s="197">
        <v>10.993499999999999</v>
      </c>
      <c r="D107" s="198">
        <v>45715</v>
      </c>
      <c r="E107" s="197">
        <v>2850</v>
      </c>
      <c r="F107" s="197">
        <v>314.10000000000002</v>
      </c>
      <c r="G107" s="197">
        <v>19.41</v>
      </c>
      <c r="H107" s="197">
        <v>3.5</v>
      </c>
      <c r="I107" s="197">
        <v>22.91</v>
      </c>
      <c r="J107" s="199"/>
      <c r="K107" s="197">
        <v>71.973500000000001</v>
      </c>
      <c r="L107" s="197">
        <v>31331.474999999999</v>
      </c>
      <c r="M107" s="197">
        <v>205124.47500000001</v>
      </c>
      <c r="N107" s="196"/>
      <c r="O107" s="192"/>
    </row>
    <row r="108" spans="1:15" s="53" customFormat="1" x14ac:dyDescent="0.2">
      <c r="A108" s="196" t="s">
        <v>186</v>
      </c>
      <c r="B108" s="197">
        <v>67.98</v>
      </c>
      <c r="C108" s="197">
        <v>16.665299999999998</v>
      </c>
      <c r="D108" s="198">
        <v>45652</v>
      </c>
      <c r="E108" s="197">
        <v>1320</v>
      </c>
      <c r="F108" s="197">
        <v>476.15</v>
      </c>
      <c r="G108" s="197">
        <v>14.27</v>
      </c>
      <c r="H108" s="197">
        <v>3.5</v>
      </c>
      <c r="I108" s="197">
        <v>17.77</v>
      </c>
      <c r="J108" s="199"/>
      <c r="K108" s="197">
        <v>84.645300000000006</v>
      </c>
      <c r="L108" s="197">
        <v>21998.13</v>
      </c>
      <c r="M108" s="197">
        <v>111732.13</v>
      </c>
      <c r="N108" s="196"/>
      <c r="O108" s="192"/>
    </row>
    <row r="109" spans="1:15" s="53" customFormat="1" x14ac:dyDescent="0.2">
      <c r="A109" s="196" t="s">
        <v>186</v>
      </c>
      <c r="B109" s="197">
        <v>67.946605000000005</v>
      </c>
      <c r="C109" s="197">
        <v>16.665299999999998</v>
      </c>
      <c r="D109" s="198">
        <v>45687</v>
      </c>
      <c r="E109" s="197">
        <v>1320</v>
      </c>
      <c r="F109" s="197">
        <v>476.15</v>
      </c>
      <c r="G109" s="197">
        <v>14.27</v>
      </c>
      <c r="H109" s="197">
        <v>3.5</v>
      </c>
      <c r="I109" s="197">
        <v>17.77</v>
      </c>
      <c r="J109" s="199"/>
      <c r="K109" s="197">
        <v>84.645300000000006</v>
      </c>
      <c r="L109" s="197">
        <v>21998.13</v>
      </c>
      <c r="M109" s="197">
        <v>111732.13</v>
      </c>
      <c r="N109" s="196"/>
      <c r="O109" s="192"/>
    </row>
    <row r="110" spans="1:15" s="53" customFormat="1" x14ac:dyDescent="0.2">
      <c r="A110" s="196" t="s">
        <v>186</v>
      </c>
      <c r="B110" s="197">
        <v>67.946605000000005</v>
      </c>
      <c r="C110" s="197">
        <v>16.665299999999998</v>
      </c>
      <c r="D110" s="198">
        <v>45715</v>
      </c>
      <c r="E110" s="197">
        <v>1320</v>
      </c>
      <c r="F110" s="197">
        <v>476.15</v>
      </c>
      <c r="G110" s="197">
        <v>14.27</v>
      </c>
      <c r="H110" s="197">
        <v>3.5</v>
      </c>
      <c r="I110" s="197">
        <v>17.77</v>
      </c>
      <c r="J110" s="199"/>
      <c r="K110" s="197">
        <v>84.645300000000006</v>
      </c>
      <c r="L110" s="197">
        <v>21998.13</v>
      </c>
      <c r="M110" s="197">
        <v>111732.13</v>
      </c>
      <c r="N110" s="196"/>
      <c r="O110" s="192"/>
    </row>
    <row r="111" spans="1:15" s="53" customFormat="1" x14ac:dyDescent="0.2">
      <c r="A111" s="196" t="s">
        <v>187</v>
      </c>
      <c r="B111" s="197">
        <v>237.17</v>
      </c>
      <c r="C111" s="197">
        <v>48.279000000000003</v>
      </c>
      <c r="D111" s="198">
        <v>45652</v>
      </c>
      <c r="E111" s="197">
        <v>500</v>
      </c>
      <c r="F111" s="197">
        <v>1379.4</v>
      </c>
      <c r="G111" s="197">
        <v>17.190000000000001</v>
      </c>
      <c r="H111" s="197">
        <v>3.5</v>
      </c>
      <c r="I111" s="197">
        <v>20.69</v>
      </c>
      <c r="J111" s="199"/>
      <c r="K111" s="197">
        <v>285.44900000000001</v>
      </c>
      <c r="L111" s="197">
        <v>24139.5</v>
      </c>
      <c r="M111" s="197">
        <v>142724.5</v>
      </c>
      <c r="N111" s="196"/>
      <c r="O111" s="192"/>
    </row>
    <row r="112" spans="1:15" s="53" customFormat="1" x14ac:dyDescent="0.2">
      <c r="A112" s="196" t="s">
        <v>187</v>
      </c>
      <c r="B112" s="197">
        <v>237.11886000000001</v>
      </c>
      <c r="C112" s="197">
        <v>48.279000000000003</v>
      </c>
      <c r="D112" s="198">
        <v>45687</v>
      </c>
      <c r="E112" s="197">
        <v>500</v>
      </c>
      <c r="F112" s="197">
        <v>1379.4</v>
      </c>
      <c r="G112" s="197">
        <v>17.190000000000001</v>
      </c>
      <c r="H112" s="197">
        <v>3.5</v>
      </c>
      <c r="I112" s="197">
        <v>20.69</v>
      </c>
      <c r="J112" s="199"/>
      <c r="K112" s="197">
        <v>285.44900000000001</v>
      </c>
      <c r="L112" s="197">
        <v>24139.5</v>
      </c>
      <c r="M112" s="197">
        <v>142724.5</v>
      </c>
      <c r="N112" s="196"/>
      <c r="O112" s="192"/>
    </row>
    <row r="113" spans="1:15" s="53" customFormat="1" x14ac:dyDescent="0.2">
      <c r="A113" s="196" t="s">
        <v>187</v>
      </c>
      <c r="B113" s="197">
        <v>237.11886000000001</v>
      </c>
      <c r="C113" s="197">
        <v>48.279000000000003</v>
      </c>
      <c r="D113" s="198">
        <v>45715</v>
      </c>
      <c r="E113" s="197">
        <v>500</v>
      </c>
      <c r="F113" s="197">
        <v>1379.4</v>
      </c>
      <c r="G113" s="197">
        <v>17.190000000000001</v>
      </c>
      <c r="H113" s="197">
        <v>3.5</v>
      </c>
      <c r="I113" s="197">
        <v>20.69</v>
      </c>
      <c r="J113" s="199"/>
      <c r="K113" s="197">
        <v>285.44900000000001</v>
      </c>
      <c r="L113" s="197">
        <v>24139.5</v>
      </c>
      <c r="M113" s="197">
        <v>142724.5</v>
      </c>
      <c r="N113" s="196"/>
      <c r="O113" s="192"/>
    </row>
    <row r="114" spans="1:15" s="53" customFormat="1" x14ac:dyDescent="0.2">
      <c r="A114" s="196" t="s">
        <v>189</v>
      </c>
      <c r="B114" s="197">
        <v>226.43</v>
      </c>
      <c r="C114" s="197">
        <v>55.51</v>
      </c>
      <c r="D114" s="198">
        <v>45652</v>
      </c>
      <c r="E114" s="197">
        <v>475</v>
      </c>
      <c r="F114" s="197">
        <v>1586</v>
      </c>
      <c r="G114" s="197">
        <v>14.27</v>
      </c>
      <c r="H114" s="197">
        <v>3.5</v>
      </c>
      <c r="I114" s="197">
        <v>17.77</v>
      </c>
      <c r="J114" s="199"/>
      <c r="K114" s="197">
        <v>281.94</v>
      </c>
      <c r="L114" s="197">
        <v>26367.25</v>
      </c>
      <c r="M114" s="197">
        <v>133921.25</v>
      </c>
      <c r="N114" s="196"/>
      <c r="O114" s="192"/>
    </row>
    <row r="115" spans="1:15" s="53" customFormat="1" x14ac:dyDescent="0.2">
      <c r="A115" s="196" t="s">
        <v>189</v>
      </c>
      <c r="B115" s="197">
        <v>226.32220000000001</v>
      </c>
      <c r="C115" s="197">
        <v>55.51</v>
      </c>
      <c r="D115" s="198">
        <v>45687</v>
      </c>
      <c r="E115" s="197">
        <v>475</v>
      </c>
      <c r="F115" s="197">
        <v>1586</v>
      </c>
      <c r="G115" s="197">
        <v>14.27</v>
      </c>
      <c r="H115" s="197">
        <v>3.5</v>
      </c>
      <c r="I115" s="197">
        <v>17.77</v>
      </c>
      <c r="J115" s="199"/>
      <c r="K115" s="197">
        <v>281.94</v>
      </c>
      <c r="L115" s="197">
        <v>26367.25</v>
      </c>
      <c r="M115" s="197">
        <v>133921.25</v>
      </c>
      <c r="N115" s="196"/>
      <c r="O115" s="192"/>
    </row>
    <row r="116" spans="1:15" s="53" customFormat="1" x14ac:dyDescent="0.2">
      <c r="A116" s="196" t="s">
        <v>189</v>
      </c>
      <c r="B116" s="197">
        <v>226.32220000000001</v>
      </c>
      <c r="C116" s="197">
        <v>55.51</v>
      </c>
      <c r="D116" s="198">
        <v>45715</v>
      </c>
      <c r="E116" s="197">
        <v>475</v>
      </c>
      <c r="F116" s="197">
        <v>1586</v>
      </c>
      <c r="G116" s="197">
        <v>14.27</v>
      </c>
      <c r="H116" s="197">
        <v>3.5</v>
      </c>
      <c r="I116" s="197">
        <v>17.77</v>
      </c>
      <c r="J116" s="199"/>
      <c r="K116" s="197">
        <v>281.94</v>
      </c>
      <c r="L116" s="197">
        <v>26367.25</v>
      </c>
      <c r="M116" s="197">
        <v>133921.25</v>
      </c>
      <c r="N116" s="196"/>
      <c r="O116" s="192"/>
    </row>
    <row r="117" spans="1:15" s="53" customFormat="1" x14ac:dyDescent="0.2">
      <c r="A117" s="196" t="s">
        <v>190</v>
      </c>
      <c r="B117" s="197">
        <v>62.46</v>
      </c>
      <c r="C117" s="197">
        <v>8.8795000000000002</v>
      </c>
      <c r="D117" s="198">
        <v>45652</v>
      </c>
      <c r="E117" s="197">
        <v>2625</v>
      </c>
      <c r="F117" s="197">
        <v>253.7</v>
      </c>
      <c r="G117" s="197">
        <v>24.61</v>
      </c>
      <c r="H117" s="197">
        <v>3.5</v>
      </c>
      <c r="I117" s="197">
        <v>28.11</v>
      </c>
      <c r="J117" s="199"/>
      <c r="K117" s="197">
        <v>71.339500000000001</v>
      </c>
      <c r="L117" s="197">
        <v>23308.6875</v>
      </c>
      <c r="M117" s="197">
        <v>187266.6875</v>
      </c>
      <c r="N117" s="196"/>
      <c r="O117" s="192"/>
    </row>
    <row r="118" spans="1:15" s="53" customFormat="1" x14ac:dyDescent="0.2">
      <c r="A118" s="196" t="s">
        <v>190</v>
      </c>
      <c r="B118" s="197">
        <v>62.435569999999998</v>
      </c>
      <c r="C118" s="197">
        <v>8.8795000000000002</v>
      </c>
      <c r="D118" s="198">
        <v>45687</v>
      </c>
      <c r="E118" s="197">
        <v>2625</v>
      </c>
      <c r="F118" s="197">
        <v>253.7</v>
      </c>
      <c r="G118" s="197">
        <v>24.61</v>
      </c>
      <c r="H118" s="197">
        <v>3.5</v>
      </c>
      <c r="I118" s="197">
        <v>28.11</v>
      </c>
      <c r="J118" s="199"/>
      <c r="K118" s="197">
        <v>71.339500000000001</v>
      </c>
      <c r="L118" s="197">
        <v>23308.6875</v>
      </c>
      <c r="M118" s="197">
        <v>187266.6875</v>
      </c>
      <c r="N118" s="196"/>
      <c r="O118" s="192"/>
    </row>
    <row r="119" spans="1:15" s="53" customFormat="1" x14ac:dyDescent="0.2">
      <c r="A119" s="196" t="s">
        <v>190</v>
      </c>
      <c r="B119" s="197">
        <v>62.435569999999998</v>
      </c>
      <c r="C119" s="197">
        <v>8.8795000000000002</v>
      </c>
      <c r="D119" s="198">
        <v>45715</v>
      </c>
      <c r="E119" s="197">
        <v>2625</v>
      </c>
      <c r="F119" s="197">
        <v>253.7</v>
      </c>
      <c r="G119" s="197">
        <v>24.61</v>
      </c>
      <c r="H119" s="197">
        <v>3.5</v>
      </c>
      <c r="I119" s="197">
        <v>28.11</v>
      </c>
      <c r="J119" s="199"/>
      <c r="K119" s="197">
        <v>71.339500000000001</v>
      </c>
      <c r="L119" s="197">
        <v>23308.6875</v>
      </c>
      <c r="M119" s="197">
        <v>187266.6875</v>
      </c>
      <c r="N119" s="196"/>
      <c r="O119" s="192"/>
    </row>
    <row r="120" spans="1:15" s="53" customFormat="1" x14ac:dyDescent="0.2">
      <c r="A120" s="196" t="s">
        <v>191</v>
      </c>
      <c r="B120" s="197">
        <v>68.22</v>
      </c>
      <c r="C120" s="197">
        <v>19.312100000000001</v>
      </c>
      <c r="D120" s="198">
        <v>45652</v>
      </c>
      <c r="E120" s="197">
        <v>2500</v>
      </c>
      <c r="F120" s="197">
        <v>367.85</v>
      </c>
      <c r="G120" s="197">
        <v>18.54</v>
      </c>
      <c r="H120" s="197">
        <v>5.25</v>
      </c>
      <c r="I120" s="197">
        <v>23.79</v>
      </c>
      <c r="J120" s="199"/>
      <c r="K120" s="197">
        <v>87.5321</v>
      </c>
      <c r="L120" s="197">
        <v>48280.3125</v>
      </c>
      <c r="M120" s="197">
        <v>218830.3125</v>
      </c>
      <c r="N120" s="196"/>
      <c r="O120" s="192"/>
    </row>
    <row r="121" spans="1:15" s="53" customFormat="1" x14ac:dyDescent="0.2">
      <c r="A121" s="196" t="s">
        <v>191</v>
      </c>
      <c r="B121" s="197">
        <v>68.199389999999994</v>
      </c>
      <c r="C121" s="197">
        <v>19.312100000000001</v>
      </c>
      <c r="D121" s="198">
        <v>45687</v>
      </c>
      <c r="E121" s="197">
        <v>2500</v>
      </c>
      <c r="F121" s="197">
        <v>367.85</v>
      </c>
      <c r="G121" s="197">
        <v>18.54</v>
      </c>
      <c r="H121" s="197">
        <v>5.25</v>
      </c>
      <c r="I121" s="197">
        <v>23.79</v>
      </c>
      <c r="J121" s="199"/>
      <c r="K121" s="197">
        <v>87.5321</v>
      </c>
      <c r="L121" s="197">
        <v>48280.3125</v>
      </c>
      <c r="M121" s="197">
        <v>218830.3125</v>
      </c>
      <c r="N121" s="196"/>
      <c r="O121" s="192"/>
    </row>
    <row r="122" spans="1:15" s="53" customFormat="1" x14ac:dyDescent="0.2">
      <c r="A122" s="196" t="s">
        <v>191</v>
      </c>
      <c r="B122" s="197">
        <v>68.199389999999994</v>
      </c>
      <c r="C122" s="197">
        <v>19.312100000000001</v>
      </c>
      <c r="D122" s="198">
        <v>45715</v>
      </c>
      <c r="E122" s="197">
        <v>2500</v>
      </c>
      <c r="F122" s="197">
        <v>367.85</v>
      </c>
      <c r="G122" s="197">
        <v>18.54</v>
      </c>
      <c r="H122" s="197">
        <v>5.25</v>
      </c>
      <c r="I122" s="197">
        <v>23.79</v>
      </c>
      <c r="J122" s="199"/>
      <c r="K122" s="197">
        <v>87.5321</v>
      </c>
      <c r="L122" s="197">
        <v>48280.3125</v>
      </c>
      <c r="M122" s="197">
        <v>218830.3125</v>
      </c>
      <c r="N122" s="196"/>
      <c r="O122" s="192"/>
    </row>
    <row r="123" spans="1:15" s="53" customFormat="1" x14ac:dyDescent="0.2">
      <c r="A123" s="196" t="s">
        <v>192</v>
      </c>
      <c r="B123" s="197">
        <v>5170.8</v>
      </c>
      <c r="C123" s="197">
        <v>1267.6125</v>
      </c>
      <c r="D123" s="198">
        <v>45652</v>
      </c>
      <c r="E123" s="197">
        <v>25</v>
      </c>
      <c r="F123" s="197">
        <v>36217.5</v>
      </c>
      <c r="G123" s="197">
        <v>14.27</v>
      </c>
      <c r="H123" s="197">
        <v>3.5</v>
      </c>
      <c r="I123" s="197">
        <v>17.77</v>
      </c>
      <c r="J123" s="199"/>
      <c r="K123" s="197">
        <v>6438.4125000000004</v>
      </c>
      <c r="L123" s="197">
        <v>31690.3125</v>
      </c>
      <c r="M123" s="197">
        <v>160960.3125</v>
      </c>
      <c r="N123" s="196"/>
      <c r="O123" s="192"/>
    </row>
    <row r="124" spans="1:15" s="53" customFormat="1" x14ac:dyDescent="0.2">
      <c r="A124" s="196" t="s">
        <v>192</v>
      </c>
      <c r="B124" s="197">
        <v>5168.2372500000001</v>
      </c>
      <c r="C124" s="197">
        <v>1267.6125</v>
      </c>
      <c r="D124" s="198">
        <v>45687</v>
      </c>
      <c r="E124" s="197">
        <v>25</v>
      </c>
      <c r="F124" s="197">
        <v>36217.5</v>
      </c>
      <c r="G124" s="197">
        <v>14.27</v>
      </c>
      <c r="H124" s="197">
        <v>3.5</v>
      </c>
      <c r="I124" s="197">
        <v>17.77</v>
      </c>
      <c r="J124" s="199"/>
      <c r="K124" s="197">
        <v>6438.4125000000004</v>
      </c>
      <c r="L124" s="197">
        <v>31690.3125</v>
      </c>
      <c r="M124" s="197">
        <v>160960.3125</v>
      </c>
      <c r="N124" s="196"/>
      <c r="O124" s="192"/>
    </row>
    <row r="125" spans="1:15" s="53" customFormat="1" x14ac:dyDescent="0.2">
      <c r="A125" s="196" t="s">
        <v>192</v>
      </c>
      <c r="B125" s="197">
        <v>5168.2372500000001</v>
      </c>
      <c r="C125" s="197">
        <v>1267.6125</v>
      </c>
      <c r="D125" s="198">
        <v>45715</v>
      </c>
      <c r="E125" s="197">
        <v>25</v>
      </c>
      <c r="F125" s="197">
        <v>36217.5</v>
      </c>
      <c r="G125" s="197">
        <v>14.27</v>
      </c>
      <c r="H125" s="197">
        <v>3.5</v>
      </c>
      <c r="I125" s="197">
        <v>17.77</v>
      </c>
      <c r="J125" s="199"/>
      <c r="K125" s="197">
        <v>6438.4125000000004</v>
      </c>
      <c r="L125" s="197">
        <v>31690.3125</v>
      </c>
      <c r="M125" s="197">
        <v>160960.3125</v>
      </c>
      <c r="N125" s="196"/>
      <c r="O125" s="192"/>
    </row>
    <row r="126" spans="1:15" s="53" customFormat="1" x14ac:dyDescent="0.2">
      <c r="A126" s="196" t="s">
        <v>194</v>
      </c>
      <c r="B126" s="197">
        <v>53.16</v>
      </c>
      <c r="C126" s="197">
        <v>10.7608</v>
      </c>
      <c r="D126" s="198">
        <v>45652</v>
      </c>
      <c r="E126" s="197">
        <v>1800</v>
      </c>
      <c r="F126" s="197">
        <v>307.45</v>
      </c>
      <c r="G126" s="197">
        <v>17.29</v>
      </c>
      <c r="H126" s="197">
        <v>3.5</v>
      </c>
      <c r="I126" s="197">
        <v>20.79</v>
      </c>
      <c r="J126" s="199"/>
      <c r="K126" s="197">
        <v>63.9208</v>
      </c>
      <c r="L126" s="197">
        <v>19369.349999999999</v>
      </c>
      <c r="M126" s="197">
        <v>115057.35</v>
      </c>
      <c r="N126" s="196"/>
      <c r="O126" s="192"/>
    </row>
    <row r="127" spans="1:15" s="53" customFormat="1" x14ac:dyDescent="0.2">
      <c r="A127" s="196" t="s">
        <v>194</v>
      </c>
      <c r="B127" s="197">
        <v>53.158104999999999</v>
      </c>
      <c r="C127" s="197">
        <v>10.7608</v>
      </c>
      <c r="D127" s="198">
        <v>45687</v>
      </c>
      <c r="E127" s="197">
        <v>1800</v>
      </c>
      <c r="F127" s="197">
        <v>307.45</v>
      </c>
      <c r="G127" s="197">
        <v>17.29</v>
      </c>
      <c r="H127" s="197">
        <v>3.5</v>
      </c>
      <c r="I127" s="197">
        <v>20.79</v>
      </c>
      <c r="J127" s="199"/>
      <c r="K127" s="197">
        <v>63.9208</v>
      </c>
      <c r="L127" s="197">
        <v>19369.349999999999</v>
      </c>
      <c r="M127" s="197">
        <v>115057.35</v>
      </c>
      <c r="N127" s="196"/>
      <c r="O127" s="192"/>
    </row>
    <row r="128" spans="1:15" s="53" customFormat="1" x14ac:dyDescent="0.2">
      <c r="A128" s="196" t="s">
        <v>194</v>
      </c>
      <c r="B128" s="197">
        <v>53.158104999999999</v>
      </c>
      <c r="C128" s="197">
        <v>10.7608</v>
      </c>
      <c r="D128" s="198">
        <v>45715</v>
      </c>
      <c r="E128" s="197">
        <v>1800</v>
      </c>
      <c r="F128" s="197">
        <v>307.45</v>
      </c>
      <c r="G128" s="197">
        <v>17.29</v>
      </c>
      <c r="H128" s="197">
        <v>3.5</v>
      </c>
      <c r="I128" s="197">
        <v>20.79</v>
      </c>
      <c r="J128" s="199"/>
      <c r="K128" s="197">
        <v>63.9208</v>
      </c>
      <c r="L128" s="197">
        <v>19369.349999999999</v>
      </c>
      <c r="M128" s="197">
        <v>115057.35</v>
      </c>
      <c r="N128" s="196"/>
      <c r="O128" s="192"/>
    </row>
    <row r="129" spans="1:15" s="54" customFormat="1" x14ac:dyDescent="0.2">
      <c r="A129" s="196" t="s">
        <v>195</v>
      </c>
      <c r="B129" s="197">
        <v>698.08</v>
      </c>
      <c r="C129" s="197">
        <v>171.1343</v>
      </c>
      <c r="D129" s="198">
        <v>45652</v>
      </c>
      <c r="E129" s="197">
        <v>100</v>
      </c>
      <c r="F129" s="197">
        <v>4889.55</v>
      </c>
      <c r="G129" s="197">
        <v>14.27</v>
      </c>
      <c r="H129" s="197">
        <v>3.5</v>
      </c>
      <c r="I129" s="197">
        <v>17.77</v>
      </c>
      <c r="J129" s="199"/>
      <c r="K129" s="197">
        <v>869.21429999999998</v>
      </c>
      <c r="L129" s="197">
        <v>17113.424999999999</v>
      </c>
      <c r="M129" s="197">
        <v>86921.425000000003</v>
      </c>
      <c r="N129" s="196"/>
      <c r="O129" s="193"/>
    </row>
    <row r="130" spans="1:15" s="53" customFormat="1" x14ac:dyDescent="0.2">
      <c r="A130" s="196" t="s">
        <v>195</v>
      </c>
      <c r="B130" s="197">
        <v>697.73878500000001</v>
      </c>
      <c r="C130" s="197">
        <v>171.1343</v>
      </c>
      <c r="D130" s="198">
        <v>45687</v>
      </c>
      <c r="E130" s="197">
        <v>100</v>
      </c>
      <c r="F130" s="197">
        <v>4889.55</v>
      </c>
      <c r="G130" s="197">
        <v>14.27</v>
      </c>
      <c r="H130" s="197">
        <v>3.5</v>
      </c>
      <c r="I130" s="197">
        <v>17.77</v>
      </c>
      <c r="J130" s="199"/>
      <c r="K130" s="197">
        <v>869.21429999999998</v>
      </c>
      <c r="L130" s="197">
        <v>17113.424999999999</v>
      </c>
      <c r="M130" s="197">
        <v>86921.425000000003</v>
      </c>
      <c r="N130" s="196"/>
      <c r="O130" s="192"/>
    </row>
    <row r="131" spans="1:15" s="53" customFormat="1" x14ac:dyDescent="0.2">
      <c r="A131" s="196" t="s">
        <v>195</v>
      </c>
      <c r="B131" s="197">
        <v>697.73878500000001</v>
      </c>
      <c r="C131" s="197">
        <v>171.1343</v>
      </c>
      <c r="D131" s="198">
        <v>45715</v>
      </c>
      <c r="E131" s="197">
        <v>100</v>
      </c>
      <c r="F131" s="197">
        <v>4889.55</v>
      </c>
      <c r="G131" s="197">
        <v>14.27</v>
      </c>
      <c r="H131" s="197">
        <v>3.5</v>
      </c>
      <c r="I131" s="197">
        <v>17.77</v>
      </c>
      <c r="J131" s="199"/>
      <c r="K131" s="197">
        <v>869.21429999999998</v>
      </c>
      <c r="L131" s="197">
        <v>17113.424999999999</v>
      </c>
      <c r="M131" s="197">
        <v>86921.425000000003</v>
      </c>
      <c r="N131" s="196"/>
      <c r="O131" s="192"/>
    </row>
    <row r="132" spans="1:15" s="53" customFormat="1" x14ac:dyDescent="0.2">
      <c r="A132" s="196" t="s">
        <v>584</v>
      </c>
      <c r="B132" s="197">
        <v>2590.7199999999998</v>
      </c>
      <c r="C132" s="197">
        <v>194.327</v>
      </c>
      <c r="D132" s="198">
        <v>45652</v>
      </c>
      <c r="E132" s="197">
        <v>125</v>
      </c>
      <c r="F132" s="197">
        <v>5552.2</v>
      </c>
      <c r="G132" s="197">
        <v>46.66</v>
      </c>
      <c r="H132" s="197">
        <v>3.5</v>
      </c>
      <c r="I132" s="197">
        <v>50.16</v>
      </c>
      <c r="J132" s="199"/>
      <c r="K132" s="197">
        <v>2785.047</v>
      </c>
      <c r="L132" s="197">
        <v>24290.875</v>
      </c>
      <c r="M132" s="197">
        <v>348130.875</v>
      </c>
      <c r="N132" s="196"/>
      <c r="O132" s="192"/>
    </row>
    <row r="133" spans="1:15" s="53" customFormat="1" x14ac:dyDescent="0.2">
      <c r="A133" s="196" t="s">
        <v>584</v>
      </c>
      <c r="B133" s="197">
        <v>2590.65652</v>
      </c>
      <c r="C133" s="197">
        <v>194.327</v>
      </c>
      <c r="D133" s="198">
        <v>45687</v>
      </c>
      <c r="E133" s="197">
        <v>125</v>
      </c>
      <c r="F133" s="197">
        <v>5552.2</v>
      </c>
      <c r="G133" s="197">
        <v>46.66</v>
      </c>
      <c r="H133" s="197">
        <v>3.5</v>
      </c>
      <c r="I133" s="197">
        <v>50.16</v>
      </c>
      <c r="J133" s="199"/>
      <c r="K133" s="197">
        <v>2785.047</v>
      </c>
      <c r="L133" s="197">
        <v>24290.875</v>
      </c>
      <c r="M133" s="197">
        <v>348130.875</v>
      </c>
      <c r="N133" s="196"/>
      <c r="O133" s="192"/>
    </row>
    <row r="134" spans="1:15" s="53" customFormat="1" x14ac:dyDescent="0.2">
      <c r="A134" s="196" t="s">
        <v>584</v>
      </c>
      <c r="B134" s="197">
        <v>2590.65652</v>
      </c>
      <c r="C134" s="197">
        <v>194.327</v>
      </c>
      <c r="D134" s="198">
        <v>45715</v>
      </c>
      <c r="E134" s="197">
        <v>125</v>
      </c>
      <c r="F134" s="197">
        <v>5552.2</v>
      </c>
      <c r="G134" s="197">
        <v>46.66</v>
      </c>
      <c r="H134" s="197">
        <v>3.5</v>
      </c>
      <c r="I134" s="197">
        <v>50.16</v>
      </c>
      <c r="J134" s="199"/>
      <c r="K134" s="197">
        <v>2785.047</v>
      </c>
      <c r="L134" s="197">
        <v>24290.875</v>
      </c>
      <c r="M134" s="197">
        <v>348130.875</v>
      </c>
      <c r="N134" s="196"/>
      <c r="O134" s="192"/>
    </row>
    <row r="135" spans="1:15" s="53" customFormat="1" x14ac:dyDescent="0.2">
      <c r="A135" s="196" t="s">
        <v>531</v>
      </c>
      <c r="B135" s="197">
        <v>114.64</v>
      </c>
      <c r="C135" s="197">
        <v>32.200899999999997</v>
      </c>
      <c r="D135" s="198">
        <v>45652</v>
      </c>
      <c r="E135" s="197">
        <v>1000</v>
      </c>
      <c r="F135" s="197">
        <v>613.35</v>
      </c>
      <c r="G135" s="197">
        <v>18.690000000000001</v>
      </c>
      <c r="H135" s="197">
        <v>5.25</v>
      </c>
      <c r="I135" s="197">
        <v>23.94</v>
      </c>
      <c r="J135" s="199"/>
      <c r="K135" s="197">
        <v>146.8409</v>
      </c>
      <c r="L135" s="197">
        <v>32200.875</v>
      </c>
      <c r="M135" s="197">
        <v>146840.875</v>
      </c>
      <c r="N135" s="196"/>
      <c r="O135" s="192"/>
    </row>
    <row r="136" spans="1:15" s="53" customFormat="1" x14ac:dyDescent="0.2">
      <c r="A136" s="196" t="s">
        <v>531</v>
      </c>
      <c r="B136" s="197">
        <v>114.635115</v>
      </c>
      <c r="C136" s="197">
        <v>32.200899999999997</v>
      </c>
      <c r="D136" s="198">
        <v>45687</v>
      </c>
      <c r="E136" s="197">
        <v>1000</v>
      </c>
      <c r="F136" s="197">
        <v>613.35</v>
      </c>
      <c r="G136" s="197">
        <v>18.690000000000001</v>
      </c>
      <c r="H136" s="197">
        <v>5.25</v>
      </c>
      <c r="I136" s="197">
        <v>23.94</v>
      </c>
      <c r="J136" s="199"/>
      <c r="K136" s="197">
        <v>146.8409</v>
      </c>
      <c r="L136" s="197">
        <v>32200.875</v>
      </c>
      <c r="M136" s="197">
        <v>146840.875</v>
      </c>
      <c r="N136" s="196"/>
      <c r="O136" s="192"/>
    </row>
    <row r="137" spans="1:15" s="53" customFormat="1" x14ac:dyDescent="0.2">
      <c r="A137" s="196" t="s">
        <v>531</v>
      </c>
      <c r="B137" s="197">
        <v>114.635115</v>
      </c>
      <c r="C137" s="197">
        <v>32.200899999999997</v>
      </c>
      <c r="D137" s="198">
        <v>45715</v>
      </c>
      <c r="E137" s="197">
        <v>1000</v>
      </c>
      <c r="F137" s="197">
        <v>613.35</v>
      </c>
      <c r="G137" s="197">
        <v>18.690000000000001</v>
      </c>
      <c r="H137" s="197">
        <v>5.25</v>
      </c>
      <c r="I137" s="197">
        <v>23.94</v>
      </c>
      <c r="J137" s="199"/>
      <c r="K137" s="197">
        <v>146.8409</v>
      </c>
      <c r="L137" s="197">
        <v>32200.875</v>
      </c>
      <c r="M137" s="197">
        <v>146840.875</v>
      </c>
      <c r="N137" s="196"/>
      <c r="O137" s="192"/>
    </row>
    <row r="138" spans="1:15" s="53" customFormat="1" x14ac:dyDescent="0.2">
      <c r="A138" s="196" t="s">
        <v>611</v>
      </c>
      <c r="B138" s="197">
        <v>1048.31</v>
      </c>
      <c r="C138" s="197">
        <v>182.77</v>
      </c>
      <c r="D138" s="198">
        <v>45652</v>
      </c>
      <c r="E138" s="197">
        <v>125</v>
      </c>
      <c r="F138" s="197">
        <v>5222</v>
      </c>
      <c r="G138" s="197">
        <v>20.07</v>
      </c>
      <c r="H138" s="197">
        <v>3.5</v>
      </c>
      <c r="I138" s="197">
        <v>23.57</v>
      </c>
      <c r="J138" s="199"/>
      <c r="K138" s="197">
        <v>1231.08</v>
      </c>
      <c r="L138" s="197">
        <v>22846.25</v>
      </c>
      <c r="M138" s="197">
        <v>153885.25</v>
      </c>
      <c r="N138" s="196"/>
      <c r="O138" s="192"/>
    </row>
    <row r="139" spans="1:15" s="53" customFormat="1" x14ac:dyDescent="0.2">
      <c r="A139" s="196" t="s">
        <v>611</v>
      </c>
      <c r="B139" s="197">
        <v>1048.0554</v>
      </c>
      <c r="C139" s="197">
        <v>182.77</v>
      </c>
      <c r="D139" s="198">
        <v>45687</v>
      </c>
      <c r="E139" s="197">
        <v>125</v>
      </c>
      <c r="F139" s="197">
        <v>5222</v>
      </c>
      <c r="G139" s="197">
        <v>20.07</v>
      </c>
      <c r="H139" s="197">
        <v>3.5</v>
      </c>
      <c r="I139" s="197">
        <v>23.57</v>
      </c>
      <c r="J139" s="199"/>
      <c r="K139" s="197">
        <v>1231.08</v>
      </c>
      <c r="L139" s="197">
        <v>22846.25</v>
      </c>
      <c r="M139" s="197">
        <v>153885.25</v>
      </c>
      <c r="N139" s="196"/>
      <c r="O139" s="192"/>
    </row>
    <row r="140" spans="1:15" s="53" customFormat="1" x14ac:dyDescent="0.2">
      <c r="A140" s="196" t="s">
        <v>611</v>
      </c>
      <c r="B140" s="197">
        <v>1048.0554</v>
      </c>
      <c r="C140" s="197">
        <v>182.77</v>
      </c>
      <c r="D140" s="198">
        <v>45715</v>
      </c>
      <c r="E140" s="197">
        <v>125</v>
      </c>
      <c r="F140" s="197">
        <v>5222</v>
      </c>
      <c r="G140" s="197">
        <v>20.07</v>
      </c>
      <c r="H140" s="197">
        <v>3.5</v>
      </c>
      <c r="I140" s="197">
        <v>23.57</v>
      </c>
      <c r="J140" s="199"/>
      <c r="K140" s="197">
        <v>1231.08</v>
      </c>
      <c r="L140" s="197">
        <v>22846.25</v>
      </c>
      <c r="M140" s="197">
        <v>153885.25</v>
      </c>
      <c r="N140" s="196"/>
      <c r="O140" s="192"/>
    </row>
    <row r="141" spans="1:15" s="53" customFormat="1" x14ac:dyDescent="0.2">
      <c r="A141" s="196" t="s">
        <v>196</v>
      </c>
      <c r="B141" s="197">
        <v>20.7</v>
      </c>
      <c r="C141" s="197">
        <v>5.7093999999999996</v>
      </c>
      <c r="D141" s="198">
        <v>45652</v>
      </c>
      <c r="E141" s="197">
        <v>6750</v>
      </c>
      <c r="F141" s="197">
        <v>108.75</v>
      </c>
      <c r="G141" s="197">
        <v>19.03</v>
      </c>
      <c r="H141" s="197">
        <v>5.25</v>
      </c>
      <c r="I141" s="197">
        <v>24.28</v>
      </c>
      <c r="J141" s="199"/>
      <c r="K141" s="197">
        <v>26.409400000000002</v>
      </c>
      <c r="L141" s="197">
        <v>38538.281300000002</v>
      </c>
      <c r="M141" s="197">
        <v>178263.2813</v>
      </c>
      <c r="N141" s="196"/>
      <c r="O141" s="192"/>
    </row>
    <row r="142" spans="1:15" s="53" customFormat="1" x14ac:dyDescent="0.2">
      <c r="A142" s="196" t="s">
        <v>196</v>
      </c>
      <c r="B142" s="197">
        <v>20.695125000000001</v>
      </c>
      <c r="C142" s="197">
        <v>5.7093999999999996</v>
      </c>
      <c r="D142" s="198">
        <v>45687</v>
      </c>
      <c r="E142" s="197">
        <v>6750</v>
      </c>
      <c r="F142" s="197">
        <v>108.75</v>
      </c>
      <c r="G142" s="197">
        <v>19.03</v>
      </c>
      <c r="H142" s="197">
        <v>5.25</v>
      </c>
      <c r="I142" s="197">
        <v>24.28</v>
      </c>
      <c r="J142" s="199"/>
      <c r="K142" s="197">
        <v>26.409400000000002</v>
      </c>
      <c r="L142" s="197">
        <v>38538.281300000002</v>
      </c>
      <c r="M142" s="197">
        <v>178263.2813</v>
      </c>
      <c r="N142" s="196"/>
      <c r="O142" s="192"/>
    </row>
    <row r="143" spans="1:15" s="53" customFormat="1" x14ac:dyDescent="0.2">
      <c r="A143" s="196" t="s">
        <v>196</v>
      </c>
      <c r="B143" s="197">
        <v>20.695125000000001</v>
      </c>
      <c r="C143" s="197">
        <v>5.7093999999999996</v>
      </c>
      <c r="D143" s="198">
        <v>45715</v>
      </c>
      <c r="E143" s="197">
        <v>6750</v>
      </c>
      <c r="F143" s="197">
        <v>108.75</v>
      </c>
      <c r="G143" s="197">
        <v>19.03</v>
      </c>
      <c r="H143" s="197">
        <v>5.25</v>
      </c>
      <c r="I143" s="197">
        <v>24.28</v>
      </c>
      <c r="J143" s="199"/>
      <c r="K143" s="197">
        <v>26.409400000000002</v>
      </c>
      <c r="L143" s="197">
        <v>38538.281300000002</v>
      </c>
      <c r="M143" s="197">
        <v>178263.2813</v>
      </c>
      <c r="N143" s="196"/>
      <c r="O143" s="192"/>
    </row>
    <row r="144" spans="1:15" s="53" customFormat="1" x14ac:dyDescent="0.2">
      <c r="A144" s="196" t="s">
        <v>511</v>
      </c>
      <c r="B144" s="197">
        <v>145</v>
      </c>
      <c r="C144" s="197">
        <v>43.047400000000003</v>
      </c>
      <c r="D144" s="198">
        <v>45652</v>
      </c>
      <c r="E144" s="197">
        <v>975</v>
      </c>
      <c r="F144" s="197">
        <v>819.95</v>
      </c>
      <c r="G144" s="197">
        <v>17.68</v>
      </c>
      <c r="H144" s="197">
        <v>5.25</v>
      </c>
      <c r="I144" s="197">
        <v>22.93</v>
      </c>
      <c r="J144" s="199"/>
      <c r="K144" s="197">
        <v>188.04740000000001</v>
      </c>
      <c r="L144" s="197">
        <v>41971.190600000002</v>
      </c>
      <c r="M144" s="197">
        <v>183346.1906</v>
      </c>
      <c r="N144" s="196"/>
      <c r="O144" s="192"/>
    </row>
    <row r="145" spans="1:15" s="54" customFormat="1" x14ac:dyDescent="0.2">
      <c r="A145" s="196" t="s">
        <v>511</v>
      </c>
      <c r="B145" s="197">
        <v>144.96716000000001</v>
      </c>
      <c r="C145" s="197">
        <v>43.047400000000003</v>
      </c>
      <c r="D145" s="198">
        <v>45687</v>
      </c>
      <c r="E145" s="197">
        <v>975</v>
      </c>
      <c r="F145" s="197">
        <v>819.95</v>
      </c>
      <c r="G145" s="197">
        <v>17.68</v>
      </c>
      <c r="H145" s="197">
        <v>5.25</v>
      </c>
      <c r="I145" s="197">
        <v>22.93</v>
      </c>
      <c r="J145" s="199"/>
      <c r="K145" s="197">
        <v>188.04740000000001</v>
      </c>
      <c r="L145" s="197">
        <v>41971.190600000002</v>
      </c>
      <c r="M145" s="197">
        <v>183346.1906</v>
      </c>
      <c r="N145" s="196"/>
      <c r="O145" s="193"/>
    </row>
    <row r="146" spans="1:15" s="53" customFormat="1" x14ac:dyDescent="0.2">
      <c r="A146" s="196" t="s">
        <v>511</v>
      </c>
      <c r="B146" s="197">
        <v>144.96716000000001</v>
      </c>
      <c r="C146" s="197">
        <v>43.047400000000003</v>
      </c>
      <c r="D146" s="198">
        <v>45715</v>
      </c>
      <c r="E146" s="197">
        <v>975</v>
      </c>
      <c r="F146" s="197">
        <v>819.95</v>
      </c>
      <c r="G146" s="197">
        <v>17.68</v>
      </c>
      <c r="H146" s="197">
        <v>5.25</v>
      </c>
      <c r="I146" s="197">
        <v>22.93</v>
      </c>
      <c r="J146" s="199"/>
      <c r="K146" s="197">
        <v>188.04740000000001</v>
      </c>
      <c r="L146" s="197">
        <v>41971.190600000002</v>
      </c>
      <c r="M146" s="197">
        <v>183346.1906</v>
      </c>
      <c r="N146" s="196"/>
      <c r="O146" s="192"/>
    </row>
    <row r="147" spans="1:15" s="53" customFormat="1" x14ac:dyDescent="0.2">
      <c r="A147" s="196" t="s">
        <v>597</v>
      </c>
      <c r="B147" s="197">
        <v>424.37</v>
      </c>
      <c r="C147" s="197">
        <v>67.562299999999993</v>
      </c>
      <c r="D147" s="198">
        <v>45652</v>
      </c>
      <c r="E147" s="197">
        <v>350</v>
      </c>
      <c r="F147" s="197">
        <v>1930.35</v>
      </c>
      <c r="G147" s="197">
        <v>21.98</v>
      </c>
      <c r="H147" s="197">
        <v>3.5</v>
      </c>
      <c r="I147" s="197">
        <v>25.48</v>
      </c>
      <c r="J147" s="199"/>
      <c r="K147" s="197">
        <v>491.9323</v>
      </c>
      <c r="L147" s="197">
        <v>23646.787499999999</v>
      </c>
      <c r="M147" s="197">
        <v>172176.78750000001</v>
      </c>
      <c r="N147" s="196"/>
      <c r="O147" s="192"/>
    </row>
    <row r="148" spans="1:15" s="53" customFormat="1" x14ac:dyDescent="0.2">
      <c r="A148" s="196" t="s">
        <v>597</v>
      </c>
      <c r="B148" s="197">
        <v>424.29093</v>
      </c>
      <c r="C148" s="197">
        <v>67.562299999999993</v>
      </c>
      <c r="D148" s="198">
        <v>45687</v>
      </c>
      <c r="E148" s="197">
        <v>350</v>
      </c>
      <c r="F148" s="197">
        <v>1930.35</v>
      </c>
      <c r="G148" s="197">
        <v>21.98</v>
      </c>
      <c r="H148" s="197">
        <v>3.5</v>
      </c>
      <c r="I148" s="197">
        <v>25.48</v>
      </c>
      <c r="J148" s="199"/>
      <c r="K148" s="197">
        <v>491.9323</v>
      </c>
      <c r="L148" s="197">
        <v>23646.787499999999</v>
      </c>
      <c r="M148" s="197">
        <v>172176.78750000001</v>
      </c>
      <c r="N148" s="196"/>
      <c r="O148" s="192"/>
    </row>
    <row r="149" spans="1:15" s="53" customFormat="1" x14ac:dyDescent="0.2">
      <c r="A149" s="196" t="s">
        <v>597</v>
      </c>
      <c r="B149" s="197">
        <v>424.29093</v>
      </c>
      <c r="C149" s="197">
        <v>67.562299999999993</v>
      </c>
      <c r="D149" s="198">
        <v>45715</v>
      </c>
      <c r="E149" s="197">
        <v>350</v>
      </c>
      <c r="F149" s="197">
        <v>1930.35</v>
      </c>
      <c r="G149" s="197">
        <v>21.98</v>
      </c>
      <c r="H149" s="197">
        <v>3.5</v>
      </c>
      <c r="I149" s="197">
        <v>25.48</v>
      </c>
      <c r="J149" s="199"/>
      <c r="K149" s="197">
        <v>491.9323</v>
      </c>
      <c r="L149" s="197">
        <v>23646.787499999999</v>
      </c>
      <c r="M149" s="197">
        <v>172176.78750000001</v>
      </c>
      <c r="N149" s="196"/>
      <c r="O149" s="192"/>
    </row>
    <row r="150" spans="1:15" s="53" customFormat="1" x14ac:dyDescent="0.2">
      <c r="A150" s="196" t="s">
        <v>601</v>
      </c>
      <c r="B150" s="197">
        <v>40.78</v>
      </c>
      <c r="C150" s="197">
        <v>6.7619999999999996</v>
      </c>
      <c r="D150" s="198">
        <v>45652</v>
      </c>
      <c r="E150" s="197">
        <v>2925</v>
      </c>
      <c r="F150" s="197">
        <v>193.2</v>
      </c>
      <c r="G150" s="197">
        <v>21.1</v>
      </c>
      <c r="H150" s="197">
        <v>3.5</v>
      </c>
      <c r="I150" s="197">
        <v>24.6</v>
      </c>
      <c r="J150" s="199"/>
      <c r="K150" s="197">
        <v>47.542000000000002</v>
      </c>
      <c r="L150" s="197">
        <v>19778.849999999999</v>
      </c>
      <c r="M150" s="197">
        <v>139060.85</v>
      </c>
      <c r="N150" s="196"/>
      <c r="O150" s="192"/>
    </row>
    <row r="151" spans="1:15" s="53" customFormat="1" x14ac:dyDescent="0.2">
      <c r="A151" s="196" t="s">
        <v>601</v>
      </c>
      <c r="B151" s="197">
        <v>40.7652</v>
      </c>
      <c r="C151" s="197">
        <v>6.7619999999999996</v>
      </c>
      <c r="D151" s="198">
        <v>45687</v>
      </c>
      <c r="E151" s="197">
        <v>2925</v>
      </c>
      <c r="F151" s="197">
        <v>193.2</v>
      </c>
      <c r="G151" s="197">
        <v>21.1</v>
      </c>
      <c r="H151" s="197">
        <v>3.5</v>
      </c>
      <c r="I151" s="197">
        <v>24.6</v>
      </c>
      <c r="J151" s="199"/>
      <c r="K151" s="197">
        <v>47.542000000000002</v>
      </c>
      <c r="L151" s="197">
        <v>19778.849999999999</v>
      </c>
      <c r="M151" s="197">
        <v>139060.85</v>
      </c>
      <c r="N151" s="196"/>
      <c r="O151" s="192"/>
    </row>
    <row r="152" spans="1:15" s="53" customFormat="1" x14ac:dyDescent="0.2">
      <c r="A152" s="196" t="s">
        <v>601</v>
      </c>
      <c r="B152" s="197">
        <v>40.7652</v>
      </c>
      <c r="C152" s="197">
        <v>6.7619999999999996</v>
      </c>
      <c r="D152" s="198">
        <v>45715</v>
      </c>
      <c r="E152" s="197">
        <v>2925</v>
      </c>
      <c r="F152" s="197">
        <v>193.2</v>
      </c>
      <c r="G152" s="197">
        <v>21.1</v>
      </c>
      <c r="H152" s="197">
        <v>3.5</v>
      </c>
      <c r="I152" s="197">
        <v>24.6</v>
      </c>
      <c r="J152" s="199"/>
      <c r="K152" s="197">
        <v>47.542000000000002</v>
      </c>
      <c r="L152" s="197">
        <v>19778.849999999999</v>
      </c>
      <c r="M152" s="197">
        <v>139060.85</v>
      </c>
      <c r="N152" s="196"/>
      <c r="O152" s="192"/>
    </row>
    <row r="153" spans="1:15" s="53" customFormat="1" x14ac:dyDescent="0.2">
      <c r="A153" s="196" t="s">
        <v>612</v>
      </c>
      <c r="B153" s="197">
        <v>154.41</v>
      </c>
      <c r="C153" s="197">
        <v>27.4085</v>
      </c>
      <c r="D153" s="198">
        <v>45652</v>
      </c>
      <c r="E153" s="197">
        <v>725</v>
      </c>
      <c r="F153" s="197">
        <v>783.1</v>
      </c>
      <c r="G153" s="197">
        <v>19.71</v>
      </c>
      <c r="H153" s="197">
        <v>3.5</v>
      </c>
      <c r="I153" s="197">
        <v>23.21</v>
      </c>
      <c r="J153" s="199"/>
      <c r="K153" s="197">
        <v>181.8185</v>
      </c>
      <c r="L153" s="197">
        <v>19871.162499999999</v>
      </c>
      <c r="M153" s="197">
        <v>131818.16250000001</v>
      </c>
      <c r="N153" s="196"/>
      <c r="O153" s="192"/>
    </row>
    <row r="154" spans="1:15" s="53" customFormat="1" x14ac:dyDescent="0.2">
      <c r="A154" s="196" t="s">
        <v>612</v>
      </c>
      <c r="B154" s="197">
        <v>154.34900999999999</v>
      </c>
      <c r="C154" s="197">
        <v>27.4085</v>
      </c>
      <c r="D154" s="198">
        <v>45687</v>
      </c>
      <c r="E154" s="197">
        <v>725</v>
      </c>
      <c r="F154" s="197">
        <v>783.1</v>
      </c>
      <c r="G154" s="197">
        <v>19.71</v>
      </c>
      <c r="H154" s="197">
        <v>3.5</v>
      </c>
      <c r="I154" s="197">
        <v>23.21</v>
      </c>
      <c r="J154" s="199"/>
      <c r="K154" s="197">
        <v>181.8185</v>
      </c>
      <c r="L154" s="197">
        <v>19871.162499999999</v>
      </c>
      <c r="M154" s="197">
        <v>131818.16250000001</v>
      </c>
      <c r="N154" s="196"/>
      <c r="O154" s="192"/>
    </row>
    <row r="155" spans="1:15" s="53" customFormat="1" x14ac:dyDescent="0.2">
      <c r="A155" s="196" t="s">
        <v>612</v>
      </c>
      <c r="B155" s="197">
        <v>154.34900999999999</v>
      </c>
      <c r="C155" s="197">
        <v>27.4085</v>
      </c>
      <c r="D155" s="198">
        <v>45715</v>
      </c>
      <c r="E155" s="197">
        <v>725</v>
      </c>
      <c r="F155" s="197">
        <v>783.1</v>
      </c>
      <c r="G155" s="197">
        <v>19.71</v>
      </c>
      <c r="H155" s="197">
        <v>3.5</v>
      </c>
      <c r="I155" s="197">
        <v>23.21</v>
      </c>
      <c r="J155" s="199"/>
      <c r="K155" s="197">
        <v>181.8185</v>
      </c>
      <c r="L155" s="197">
        <v>19871.162499999999</v>
      </c>
      <c r="M155" s="197">
        <v>131818.16250000001</v>
      </c>
      <c r="N155" s="196"/>
      <c r="O155" s="192"/>
    </row>
    <row r="156" spans="1:15" s="53" customFormat="1" x14ac:dyDescent="0.2">
      <c r="A156" s="196" t="s">
        <v>532</v>
      </c>
      <c r="B156" s="197">
        <v>123.33</v>
      </c>
      <c r="C156" s="197">
        <v>28.035</v>
      </c>
      <c r="D156" s="198">
        <v>45652</v>
      </c>
      <c r="E156" s="197">
        <v>1900</v>
      </c>
      <c r="F156" s="197">
        <v>534</v>
      </c>
      <c r="G156" s="197">
        <v>23.09</v>
      </c>
      <c r="H156" s="197">
        <v>5.25</v>
      </c>
      <c r="I156" s="197">
        <v>28.34</v>
      </c>
      <c r="J156" s="199"/>
      <c r="K156" s="197">
        <v>151.36500000000001</v>
      </c>
      <c r="L156" s="197">
        <v>53266.5</v>
      </c>
      <c r="M156" s="197">
        <v>287593.5</v>
      </c>
      <c r="N156" s="196"/>
      <c r="O156" s="192"/>
    </row>
    <row r="157" spans="1:15" s="53" customFormat="1" x14ac:dyDescent="0.2">
      <c r="A157" s="196" t="s">
        <v>532</v>
      </c>
      <c r="B157" s="197">
        <v>123.3006</v>
      </c>
      <c r="C157" s="197">
        <v>28.035</v>
      </c>
      <c r="D157" s="198">
        <v>45687</v>
      </c>
      <c r="E157" s="197">
        <v>1900</v>
      </c>
      <c r="F157" s="197">
        <v>534</v>
      </c>
      <c r="G157" s="197">
        <v>23.09</v>
      </c>
      <c r="H157" s="197">
        <v>5.25</v>
      </c>
      <c r="I157" s="197">
        <v>28.34</v>
      </c>
      <c r="J157" s="199"/>
      <c r="K157" s="197">
        <v>151.36500000000001</v>
      </c>
      <c r="L157" s="197">
        <v>53266.5</v>
      </c>
      <c r="M157" s="197">
        <v>287593.5</v>
      </c>
      <c r="N157" s="196"/>
      <c r="O157" s="192"/>
    </row>
    <row r="158" spans="1:15" s="53" customFormat="1" x14ac:dyDescent="0.2">
      <c r="A158" s="196" t="s">
        <v>532</v>
      </c>
      <c r="B158" s="197">
        <v>123.3006</v>
      </c>
      <c r="C158" s="197">
        <v>28.035</v>
      </c>
      <c r="D158" s="198">
        <v>45715</v>
      </c>
      <c r="E158" s="197">
        <v>1900</v>
      </c>
      <c r="F158" s="197">
        <v>534</v>
      </c>
      <c r="G158" s="197">
        <v>23.09</v>
      </c>
      <c r="H158" s="197">
        <v>5.25</v>
      </c>
      <c r="I158" s="197">
        <v>28.34</v>
      </c>
      <c r="J158" s="199"/>
      <c r="K158" s="197">
        <v>151.36500000000001</v>
      </c>
      <c r="L158" s="197">
        <v>53266.5</v>
      </c>
      <c r="M158" s="197">
        <v>287593.5</v>
      </c>
      <c r="N158" s="196"/>
      <c r="O158" s="192"/>
    </row>
    <row r="159" spans="1:15" s="53" customFormat="1" x14ac:dyDescent="0.2">
      <c r="A159" s="196" t="s">
        <v>198</v>
      </c>
      <c r="B159" s="197">
        <v>230.44</v>
      </c>
      <c r="C159" s="197">
        <v>47.213299999999997</v>
      </c>
      <c r="D159" s="198">
        <v>45652</v>
      </c>
      <c r="E159" s="197">
        <v>625</v>
      </c>
      <c r="F159" s="197">
        <v>1348.95</v>
      </c>
      <c r="G159" s="197">
        <v>17.079999999999998</v>
      </c>
      <c r="H159" s="197">
        <v>3.5</v>
      </c>
      <c r="I159" s="197">
        <v>20.58</v>
      </c>
      <c r="J159" s="199"/>
      <c r="K159" s="197">
        <v>277.6533</v>
      </c>
      <c r="L159" s="197">
        <v>29508.281299999999</v>
      </c>
      <c r="M159" s="197">
        <v>173533.2813</v>
      </c>
      <c r="N159" s="196"/>
      <c r="O159" s="192"/>
    </row>
    <row r="160" spans="1:15" s="53" customFormat="1" x14ac:dyDescent="0.2">
      <c r="A160" s="196" t="s">
        <v>198</v>
      </c>
      <c r="B160" s="197">
        <v>230.40065999999999</v>
      </c>
      <c r="C160" s="197">
        <v>47.213299999999997</v>
      </c>
      <c r="D160" s="198">
        <v>45687</v>
      </c>
      <c r="E160" s="197">
        <v>625</v>
      </c>
      <c r="F160" s="197">
        <v>1348.95</v>
      </c>
      <c r="G160" s="197">
        <v>17.079999999999998</v>
      </c>
      <c r="H160" s="197">
        <v>3.5</v>
      </c>
      <c r="I160" s="197">
        <v>20.58</v>
      </c>
      <c r="J160" s="199"/>
      <c r="K160" s="197">
        <v>277.6533</v>
      </c>
      <c r="L160" s="197">
        <v>29508.281299999999</v>
      </c>
      <c r="M160" s="197">
        <v>173533.2813</v>
      </c>
      <c r="N160" s="196"/>
      <c r="O160" s="192"/>
    </row>
    <row r="161" spans="1:15" s="53" customFormat="1" x14ac:dyDescent="0.2">
      <c r="A161" s="196" t="s">
        <v>198</v>
      </c>
      <c r="B161" s="197">
        <v>230.40065999999999</v>
      </c>
      <c r="C161" s="197">
        <v>47.213299999999997</v>
      </c>
      <c r="D161" s="198">
        <v>45715</v>
      </c>
      <c r="E161" s="197">
        <v>625</v>
      </c>
      <c r="F161" s="197">
        <v>1348.95</v>
      </c>
      <c r="G161" s="197">
        <v>17.079999999999998</v>
      </c>
      <c r="H161" s="197">
        <v>3.5</v>
      </c>
      <c r="I161" s="197">
        <v>20.58</v>
      </c>
      <c r="J161" s="199"/>
      <c r="K161" s="197">
        <v>277.6533</v>
      </c>
      <c r="L161" s="197">
        <v>29508.281299999999</v>
      </c>
      <c r="M161" s="197">
        <v>173533.2813</v>
      </c>
      <c r="N161" s="196"/>
      <c r="O161" s="192"/>
    </row>
    <row r="162" spans="1:15" s="53" customFormat="1" x14ac:dyDescent="0.2">
      <c r="A162" s="196" t="s">
        <v>199</v>
      </c>
      <c r="B162" s="197">
        <v>207.6</v>
      </c>
      <c r="C162" s="197">
        <v>50.893500000000003</v>
      </c>
      <c r="D162" s="198">
        <v>45652</v>
      </c>
      <c r="E162" s="197">
        <v>325</v>
      </c>
      <c r="F162" s="197">
        <v>1454.1</v>
      </c>
      <c r="G162" s="197">
        <v>14.27</v>
      </c>
      <c r="H162" s="197">
        <v>3.5</v>
      </c>
      <c r="I162" s="197">
        <v>17.77</v>
      </c>
      <c r="J162" s="199"/>
      <c r="K162" s="197">
        <v>258.49349999999998</v>
      </c>
      <c r="L162" s="197">
        <v>16540.387500000001</v>
      </c>
      <c r="M162" s="197">
        <v>84010.387499999997</v>
      </c>
      <c r="N162" s="196"/>
      <c r="O162" s="192"/>
    </row>
    <row r="163" spans="1:15" s="53" customFormat="1" x14ac:dyDescent="0.2">
      <c r="A163" s="196" t="s">
        <v>199</v>
      </c>
      <c r="B163" s="197">
        <v>207.50006999999999</v>
      </c>
      <c r="C163" s="197">
        <v>50.893500000000003</v>
      </c>
      <c r="D163" s="198">
        <v>45687</v>
      </c>
      <c r="E163" s="197">
        <v>325</v>
      </c>
      <c r="F163" s="197">
        <v>1454.1</v>
      </c>
      <c r="G163" s="197">
        <v>14.27</v>
      </c>
      <c r="H163" s="197">
        <v>3.5</v>
      </c>
      <c r="I163" s="197">
        <v>17.77</v>
      </c>
      <c r="J163" s="199"/>
      <c r="K163" s="197">
        <v>258.49349999999998</v>
      </c>
      <c r="L163" s="197">
        <v>16540.387500000001</v>
      </c>
      <c r="M163" s="197">
        <v>84010.387499999997</v>
      </c>
      <c r="N163" s="196"/>
      <c r="O163" s="192"/>
    </row>
    <row r="164" spans="1:15" s="53" customFormat="1" x14ac:dyDescent="0.2">
      <c r="A164" s="196" t="s">
        <v>199</v>
      </c>
      <c r="B164" s="197">
        <v>207.50006999999999</v>
      </c>
      <c r="C164" s="197">
        <v>50.893500000000003</v>
      </c>
      <c r="D164" s="198">
        <v>45715</v>
      </c>
      <c r="E164" s="197">
        <v>325</v>
      </c>
      <c r="F164" s="197">
        <v>1454.1</v>
      </c>
      <c r="G164" s="197">
        <v>14.27</v>
      </c>
      <c r="H164" s="197">
        <v>3.5</v>
      </c>
      <c r="I164" s="197">
        <v>17.77</v>
      </c>
      <c r="J164" s="199"/>
      <c r="K164" s="197">
        <v>258.49349999999998</v>
      </c>
      <c r="L164" s="197">
        <v>16540.387500000001</v>
      </c>
      <c r="M164" s="197">
        <v>84010.387499999997</v>
      </c>
      <c r="N164" s="196"/>
      <c r="O164" s="192"/>
    </row>
    <row r="165" spans="1:15" s="53" customFormat="1" x14ac:dyDescent="0.2">
      <c r="A165" s="196" t="s">
        <v>200</v>
      </c>
      <c r="B165" s="197">
        <v>70.05</v>
      </c>
      <c r="C165" s="197">
        <v>14.593299999999999</v>
      </c>
      <c r="D165" s="198">
        <v>45652</v>
      </c>
      <c r="E165" s="197">
        <v>1050</v>
      </c>
      <c r="F165" s="197">
        <v>416.95</v>
      </c>
      <c r="G165" s="197">
        <v>16.8</v>
      </c>
      <c r="H165" s="197">
        <v>3.5</v>
      </c>
      <c r="I165" s="197">
        <v>20.3</v>
      </c>
      <c r="J165" s="199"/>
      <c r="K165" s="197">
        <v>84.643299999999996</v>
      </c>
      <c r="L165" s="197">
        <v>15322.9125</v>
      </c>
      <c r="M165" s="197">
        <v>88875.912500000006</v>
      </c>
      <c r="N165" s="196"/>
      <c r="O165" s="192"/>
    </row>
    <row r="166" spans="1:15" s="53" customFormat="1" x14ac:dyDescent="0.2">
      <c r="A166" s="196" t="s">
        <v>200</v>
      </c>
      <c r="B166" s="197">
        <v>70.047600000000003</v>
      </c>
      <c r="C166" s="197">
        <v>14.593299999999999</v>
      </c>
      <c r="D166" s="198">
        <v>45687</v>
      </c>
      <c r="E166" s="197">
        <v>1050</v>
      </c>
      <c r="F166" s="197">
        <v>416.95</v>
      </c>
      <c r="G166" s="197">
        <v>16.8</v>
      </c>
      <c r="H166" s="197">
        <v>3.5</v>
      </c>
      <c r="I166" s="197">
        <v>20.3</v>
      </c>
      <c r="J166" s="199"/>
      <c r="K166" s="197">
        <v>84.643299999999996</v>
      </c>
      <c r="L166" s="197">
        <v>15322.9125</v>
      </c>
      <c r="M166" s="197">
        <v>88875.912500000006</v>
      </c>
      <c r="N166" s="196"/>
      <c r="O166" s="192"/>
    </row>
    <row r="167" spans="1:15" s="53" customFormat="1" x14ac:dyDescent="0.2">
      <c r="A167" s="196" t="s">
        <v>200</v>
      </c>
      <c r="B167" s="197">
        <v>70.047600000000003</v>
      </c>
      <c r="C167" s="197">
        <v>14.593299999999999</v>
      </c>
      <c r="D167" s="198">
        <v>45715</v>
      </c>
      <c r="E167" s="197">
        <v>1050</v>
      </c>
      <c r="F167" s="197">
        <v>416.95</v>
      </c>
      <c r="G167" s="197">
        <v>16.8</v>
      </c>
      <c r="H167" s="197">
        <v>3.5</v>
      </c>
      <c r="I167" s="197">
        <v>20.3</v>
      </c>
      <c r="J167" s="199"/>
      <c r="K167" s="197">
        <v>84.643299999999996</v>
      </c>
      <c r="L167" s="197">
        <v>15322.9125</v>
      </c>
      <c r="M167" s="197">
        <v>88875.912500000006</v>
      </c>
      <c r="N167" s="196"/>
      <c r="O167" s="192"/>
    </row>
    <row r="168" spans="1:15" s="53" customFormat="1" x14ac:dyDescent="0.2">
      <c r="A168" s="196" t="s">
        <v>470</v>
      </c>
      <c r="B168" s="197">
        <v>1560.35</v>
      </c>
      <c r="C168" s="197">
        <v>314.87049999999999</v>
      </c>
      <c r="D168" s="198">
        <v>45652</v>
      </c>
      <c r="E168" s="197">
        <v>75</v>
      </c>
      <c r="F168" s="197">
        <v>8996.2999999999993</v>
      </c>
      <c r="G168" s="197">
        <v>17.34</v>
      </c>
      <c r="H168" s="197">
        <v>3.5</v>
      </c>
      <c r="I168" s="197">
        <v>20.84</v>
      </c>
      <c r="J168" s="199"/>
      <c r="K168" s="197">
        <v>1875.2204999999999</v>
      </c>
      <c r="L168" s="197">
        <v>23615.287499999999</v>
      </c>
      <c r="M168" s="197">
        <v>140641.28750000001</v>
      </c>
      <c r="N168" s="196"/>
      <c r="O168" s="192"/>
    </row>
    <row r="169" spans="1:15" s="53" customFormat="1" x14ac:dyDescent="0.2">
      <c r="A169" s="196" t="s">
        <v>470</v>
      </c>
      <c r="B169" s="197">
        <v>1559.9584199999999</v>
      </c>
      <c r="C169" s="197">
        <v>314.87049999999999</v>
      </c>
      <c r="D169" s="198">
        <v>45687</v>
      </c>
      <c r="E169" s="197">
        <v>75</v>
      </c>
      <c r="F169" s="197">
        <v>8996.2999999999993</v>
      </c>
      <c r="G169" s="197">
        <v>17.34</v>
      </c>
      <c r="H169" s="197">
        <v>3.5</v>
      </c>
      <c r="I169" s="197">
        <v>20.84</v>
      </c>
      <c r="J169" s="199"/>
      <c r="K169" s="197">
        <v>1875.2204999999999</v>
      </c>
      <c r="L169" s="197">
        <v>23615.287499999999</v>
      </c>
      <c r="M169" s="197">
        <v>140641.28750000001</v>
      </c>
      <c r="N169" s="196"/>
      <c r="O169" s="192"/>
    </row>
    <row r="170" spans="1:15" s="53" customFormat="1" x14ac:dyDescent="0.2">
      <c r="A170" s="196" t="s">
        <v>470</v>
      </c>
      <c r="B170" s="197">
        <v>1559.9584199999999</v>
      </c>
      <c r="C170" s="197">
        <v>314.87049999999999</v>
      </c>
      <c r="D170" s="198">
        <v>45715</v>
      </c>
      <c r="E170" s="197">
        <v>75</v>
      </c>
      <c r="F170" s="197">
        <v>8996.2999999999993</v>
      </c>
      <c r="G170" s="197">
        <v>17.34</v>
      </c>
      <c r="H170" s="197">
        <v>3.5</v>
      </c>
      <c r="I170" s="197">
        <v>20.84</v>
      </c>
      <c r="J170" s="199"/>
      <c r="K170" s="197">
        <v>1875.2204999999999</v>
      </c>
      <c r="L170" s="197">
        <v>23615.287499999999</v>
      </c>
      <c r="M170" s="197">
        <v>140641.28750000001</v>
      </c>
      <c r="N170" s="196"/>
      <c r="O170" s="192"/>
    </row>
    <row r="171" spans="1:15" s="53" customFormat="1" x14ac:dyDescent="0.2">
      <c r="A171" s="196" t="s">
        <v>201</v>
      </c>
      <c r="B171" s="197">
        <v>413.11</v>
      </c>
      <c r="C171" s="197">
        <v>101.27249999999999</v>
      </c>
      <c r="D171" s="198">
        <v>45652</v>
      </c>
      <c r="E171" s="197">
        <v>175</v>
      </c>
      <c r="F171" s="197">
        <v>2893.5</v>
      </c>
      <c r="G171" s="197">
        <v>14.27</v>
      </c>
      <c r="H171" s="197">
        <v>3.5</v>
      </c>
      <c r="I171" s="197">
        <v>17.77</v>
      </c>
      <c r="J171" s="199"/>
      <c r="K171" s="197">
        <v>514.38250000000005</v>
      </c>
      <c r="L171" s="197">
        <v>17722.6875</v>
      </c>
      <c r="M171" s="197">
        <v>90016.6875</v>
      </c>
      <c r="N171" s="196"/>
      <c r="O171" s="192"/>
    </row>
    <row r="172" spans="1:15" s="53" customFormat="1" x14ac:dyDescent="0.2">
      <c r="A172" s="196" t="s">
        <v>201</v>
      </c>
      <c r="B172" s="197">
        <v>412.90244999999999</v>
      </c>
      <c r="C172" s="197">
        <v>101.27249999999999</v>
      </c>
      <c r="D172" s="198">
        <v>45687</v>
      </c>
      <c r="E172" s="197">
        <v>175</v>
      </c>
      <c r="F172" s="197">
        <v>2893.5</v>
      </c>
      <c r="G172" s="197">
        <v>14.27</v>
      </c>
      <c r="H172" s="197">
        <v>3.5</v>
      </c>
      <c r="I172" s="197">
        <v>17.77</v>
      </c>
      <c r="J172" s="199"/>
      <c r="K172" s="197">
        <v>514.38250000000005</v>
      </c>
      <c r="L172" s="197">
        <v>17722.6875</v>
      </c>
      <c r="M172" s="197">
        <v>90016.6875</v>
      </c>
      <c r="N172" s="196"/>
      <c r="O172" s="192"/>
    </row>
    <row r="173" spans="1:15" s="53" customFormat="1" x14ac:dyDescent="0.2">
      <c r="A173" s="196" t="s">
        <v>201</v>
      </c>
      <c r="B173" s="197">
        <v>412.90244999999999</v>
      </c>
      <c r="C173" s="197">
        <v>101.27249999999999</v>
      </c>
      <c r="D173" s="198">
        <v>45715</v>
      </c>
      <c r="E173" s="197">
        <v>175</v>
      </c>
      <c r="F173" s="197">
        <v>2893.5</v>
      </c>
      <c r="G173" s="197">
        <v>14.27</v>
      </c>
      <c r="H173" s="197">
        <v>3.5</v>
      </c>
      <c r="I173" s="197">
        <v>17.77</v>
      </c>
      <c r="J173" s="199"/>
      <c r="K173" s="197">
        <v>514.38250000000005</v>
      </c>
      <c r="L173" s="197">
        <v>17722.6875</v>
      </c>
      <c r="M173" s="197">
        <v>90016.6875</v>
      </c>
      <c r="N173" s="196"/>
      <c r="O173" s="192"/>
    </row>
    <row r="174" spans="1:15" s="53" customFormat="1" x14ac:dyDescent="0.2">
      <c r="A174" s="196" t="s">
        <v>202</v>
      </c>
      <c r="B174" s="197">
        <v>157.35</v>
      </c>
      <c r="C174" s="197">
        <v>29.972300000000001</v>
      </c>
      <c r="D174" s="198">
        <v>45652</v>
      </c>
      <c r="E174" s="197">
        <v>1000</v>
      </c>
      <c r="F174" s="197">
        <v>856.35</v>
      </c>
      <c r="G174" s="197">
        <v>18.37</v>
      </c>
      <c r="H174" s="197">
        <v>3.5</v>
      </c>
      <c r="I174" s="197">
        <v>21.87</v>
      </c>
      <c r="J174" s="199"/>
      <c r="K174" s="197">
        <v>187.32230000000001</v>
      </c>
      <c r="L174" s="197">
        <v>29972.25</v>
      </c>
      <c r="M174" s="197">
        <v>187322.25</v>
      </c>
      <c r="N174" s="196"/>
      <c r="O174" s="192"/>
    </row>
    <row r="175" spans="1:15" s="53" customFormat="1" x14ac:dyDescent="0.2">
      <c r="A175" s="196" t="s">
        <v>202</v>
      </c>
      <c r="B175" s="197">
        <v>157.31149500000001</v>
      </c>
      <c r="C175" s="197">
        <v>29.972300000000001</v>
      </c>
      <c r="D175" s="198">
        <v>45687</v>
      </c>
      <c r="E175" s="197">
        <v>1000</v>
      </c>
      <c r="F175" s="197">
        <v>856.35</v>
      </c>
      <c r="G175" s="197">
        <v>18.37</v>
      </c>
      <c r="H175" s="197">
        <v>3.5</v>
      </c>
      <c r="I175" s="197">
        <v>21.87</v>
      </c>
      <c r="J175" s="199"/>
      <c r="K175" s="197">
        <v>187.32230000000001</v>
      </c>
      <c r="L175" s="197">
        <v>29972.25</v>
      </c>
      <c r="M175" s="197">
        <v>187322.25</v>
      </c>
      <c r="N175" s="196"/>
      <c r="O175" s="192"/>
    </row>
    <row r="176" spans="1:15" s="53" customFormat="1" x14ac:dyDescent="0.2">
      <c r="A176" s="196" t="s">
        <v>202</v>
      </c>
      <c r="B176" s="197">
        <v>157.31149500000001</v>
      </c>
      <c r="C176" s="197">
        <v>29.972300000000001</v>
      </c>
      <c r="D176" s="198">
        <v>45715</v>
      </c>
      <c r="E176" s="197">
        <v>1000</v>
      </c>
      <c r="F176" s="197">
        <v>856.35</v>
      </c>
      <c r="G176" s="197">
        <v>18.37</v>
      </c>
      <c r="H176" s="197">
        <v>3.5</v>
      </c>
      <c r="I176" s="197">
        <v>21.87</v>
      </c>
      <c r="J176" s="199"/>
      <c r="K176" s="197">
        <v>187.32230000000001</v>
      </c>
      <c r="L176" s="197">
        <v>29972.25</v>
      </c>
      <c r="M176" s="197">
        <v>187322.25</v>
      </c>
      <c r="N176" s="196"/>
      <c r="O176" s="192"/>
    </row>
    <row r="177" spans="1:15" s="53" customFormat="1" x14ac:dyDescent="0.2">
      <c r="A177" s="196" t="s">
        <v>500</v>
      </c>
      <c r="B177" s="197">
        <v>255.97</v>
      </c>
      <c r="C177" s="197">
        <v>61.909799999999997</v>
      </c>
      <c r="D177" s="198">
        <v>45652</v>
      </c>
      <c r="E177" s="197">
        <v>350</v>
      </c>
      <c r="F177" s="197">
        <v>1768.85</v>
      </c>
      <c r="G177" s="197">
        <v>14.47</v>
      </c>
      <c r="H177" s="197">
        <v>3.5</v>
      </c>
      <c r="I177" s="197">
        <v>17.97</v>
      </c>
      <c r="J177" s="199"/>
      <c r="K177" s="197">
        <v>317.87979999999999</v>
      </c>
      <c r="L177" s="197">
        <v>21668.412499999999</v>
      </c>
      <c r="M177" s="197">
        <v>111258.41250000001</v>
      </c>
      <c r="N177" s="196"/>
      <c r="O177" s="192"/>
    </row>
    <row r="178" spans="1:15" s="53" customFormat="1" x14ac:dyDescent="0.2">
      <c r="A178" s="196" t="s">
        <v>500</v>
      </c>
      <c r="B178" s="197">
        <v>255.952595</v>
      </c>
      <c r="C178" s="197">
        <v>61.909799999999997</v>
      </c>
      <c r="D178" s="198">
        <v>45687</v>
      </c>
      <c r="E178" s="197">
        <v>350</v>
      </c>
      <c r="F178" s="197">
        <v>1768.85</v>
      </c>
      <c r="G178" s="197">
        <v>14.47</v>
      </c>
      <c r="H178" s="197">
        <v>3.5</v>
      </c>
      <c r="I178" s="197">
        <v>17.97</v>
      </c>
      <c r="J178" s="199"/>
      <c r="K178" s="197">
        <v>317.87979999999999</v>
      </c>
      <c r="L178" s="197">
        <v>21668.412499999999</v>
      </c>
      <c r="M178" s="197">
        <v>111258.41250000001</v>
      </c>
      <c r="N178" s="196"/>
      <c r="O178" s="192"/>
    </row>
    <row r="179" spans="1:15" s="53" customFormat="1" x14ac:dyDescent="0.2">
      <c r="A179" s="196" t="s">
        <v>500</v>
      </c>
      <c r="B179" s="197">
        <v>255.952595</v>
      </c>
      <c r="C179" s="197">
        <v>61.909799999999997</v>
      </c>
      <c r="D179" s="198">
        <v>45715</v>
      </c>
      <c r="E179" s="197">
        <v>350</v>
      </c>
      <c r="F179" s="197">
        <v>1768.85</v>
      </c>
      <c r="G179" s="197">
        <v>14.47</v>
      </c>
      <c r="H179" s="197">
        <v>3.5</v>
      </c>
      <c r="I179" s="197">
        <v>17.97</v>
      </c>
      <c r="J179" s="199"/>
      <c r="K179" s="197">
        <v>317.87979999999999</v>
      </c>
      <c r="L179" s="197">
        <v>21668.412499999999</v>
      </c>
      <c r="M179" s="197">
        <v>111258.41250000001</v>
      </c>
      <c r="N179" s="196"/>
      <c r="O179" s="192"/>
    </row>
    <row r="180" spans="1:15" s="53" customFormat="1" x14ac:dyDescent="0.2">
      <c r="A180" s="196" t="s">
        <v>523</v>
      </c>
      <c r="B180" s="197">
        <v>66.34</v>
      </c>
      <c r="C180" s="197">
        <v>14.476000000000001</v>
      </c>
      <c r="D180" s="198">
        <v>45652</v>
      </c>
      <c r="E180" s="197">
        <v>1800</v>
      </c>
      <c r="F180" s="197">
        <v>413.6</v>
      </c>
      <c r="G180" s="197">
        <v>16.03</v>
      </c>
      <c r="H180" s="197">
        <v>3.5</v>
      </c>
      <c r="I180" s="197">
        <v>19.53</v>
      </c>
      <c r="J180" s="199"/>
      <c r="K180" s="197">
        <v>80.816000000000003</v>
      </c>
      <c r="L180" s="197">
        <v>26056.799999999999</v>
      </c>
      <c r="M180" s="197">
        <v>145468.79999999999</v>
      </c>
      <c r="N180" s="196"/>
      <c r="O180" s="192"/>
    </row>
    <row r="181" spans="1:15" s="53" customFormat="1" x14ac:dyDescent="0.2">
      <c r="A181" s="196" t="s">
        <v>523</v>
      </c>
      <c r="B181" s="197">
        <v>66.300079999999994</v>
      </c>
      <c r="C181" s="197">
        <v>14.476000000000001</v>
      </c>
      <c r="D181" s="198">
        <v>45687</v>
      </c>
      <c r="E181" s="197">
        <v>1800</v>
      </c>
      <c r="F181" s="197">
        <v>413.6</v>
      </c>
      <c r="G181" s="197">
        <v>16.03</v>
      </c>
      <c r="H181" s="197">
        <v>3.5</v>
      </c>
      <c r="I181" s="197">
        <v>19.53</v>
      </c>
      <c r="J181" s="199"/>
      <c r="K181" s="197">
        <v>80.816000000000003</v>
      </c>
      <c r="L181" s="197">
        <v>26056.799999999999</v>
      </c>
      <c r="M181" s="197">
        <v>145468.79999999999</v>
      </c>
      <c r="N181" s="196"/>
      <c r="O181" s="192"/>
    </row>
    <row r="182" spans="1:15" s="53" customFormat="1" x14ac:dyDescent="0.2">
      <c r="A182" s="196" t="s">
        <v>523</v>
      </c>
      <c r="B182" s="197">
        <v>66.300079999999994</v>
      </c>
      <c r="C182" s="197">
        <v>14.476000000000001</v>
      </c>
      <c r="D182" s="198">
        <v>45715</v>
      </c>
      <c r="E182" s="197">
        <v>1800</v>
      </c>
      <c r="F182" s="197">
        <v>413.6</v>
      </c>
      <c r="G182" s="197">
        <v>16.03</v>
      </c>
      <c r="H182" s="197">
        <v>3.5</v>
      </c>
      <c r="I182" s="197">
        <v>19.53</v>
      </c>
      <c r="J182" s="199"/>
      <c r="K182" s="197">
        <v>80.816000000000003</v>
      </c>
      <c r="L182" s="197">
        <v>26056.799999999999</v>
      </c>
      <c r="M182" s="197">
        <v>145468.79999999999</v>
      </c>
      <c r="N182" s="196"/>
      <c r="O182" s="192"/>
    </row>
    <row r="183" spans="1:15" s="53" customFormat="1" x14ac:dyDescent="0.2">
      <c r="A183" s="196" t="s">
        <v>494</v>
      </c>
      <c r="B183" s="197">
        <v>31.96</v>
      </c>
      <c r="C183" s="197">
        <v>6.5048000000000004</v>
      </c>
      <c r="D183" s="198">
        <v>45652</v>
      </c>
      <c r="E183" s="197">
        <v>5000</v>
      </c>
      <c r="F183" s="197">
        <v>185.85</v>
      </c>
      <c r="G183" s="197">
        <v>17.190000000000001</v>
      </c>
      <c r="H183" s="197">
        <v>3.5</v>
      </c>
      <c r="I183" s="197">
        <v>20.69</v>
      </c>
      <c r="J183" s="199"/>
      <c r="K183" s="197">
        <v>38.464799999999997</v>
      </c>
      <c r="L183" s="197">
        <v>32523.75</v>
      </c>
      <c r="M183" s="197">
        <v>192323.75</v>
      </c>
      <c r="N183" s="196"/>
      <c r="O183" s="192"/>
    </row>
    <row r="184" spans="1:15" s="53" customFormat="1" x14ac:dyDescent="0.2">
      <c r="A184" s="196" t="s">
        <v>494</v>
      </c>
      <c r="B184" s="197">
        <v>31.947614999999999</v>
      </c>
      <c r="C184" s="197">
        <v>6.5048000000000004</v>
      </c>
      <c r="D184" s="198">
        <v>45687</v>
      </c>
      <c r="E184" s="197">
        <v>5000</v>
      </c>
      <c r="F184" s="197">
        <v>185.85</v>
      </c>
      <c r="G184" s="197">
        <v>17.190000000000001</v>
      </c>
      <c r="H184" s="197">
        <v>3.5</v>
      </c>
      <c r="I184" s="197">
        <v>20.69</v>
      </c>
      <c r="J184" s="199"/>
      <c r="K184" s="197">
        <v>38.464799999999997</v>
      </c>
      <c r="L184" s="197">
        <v>32523.75</v>
      </c>
      <c r="M184" s="197">
        <v>192323.75</v>
      </c>
      <c r="N184" s="196"/>
      <c r="O184" s="192"/>
    </row>
    <row r="185" spans="1:15" s="53" customFormat="1" x14ac:dyDescent="0.2">
      <c r="A185" s="196" t="s">
        <v>494</v>
      </c>
      <c r="B185" s="197">
        <v>31.947614999999999</v>
      </c>
      <c r="C185" s="197">
        <v>6.5048000000000004</v>
      </c>
      <c r="D185" s="198">
        <v>45715</v>
      </c>
      <c r="E185" s="197">
        <v>5000</v>
      </c>
      <c r="F185" s="197">
        <v>185.85</v>
      </c>
      <c r="G185" s="197">
        <v>17.190000000000001</v>
      </c>
      <c r="H185" s="197">
        <v>3.5</v>
      </c>
      <c r="I185" s="197">
        <v>20.69</v>
      </c>
      <c r="J185" s="199"/>
      <c r="K185" s="197">
        <v>38.464799999999997</v>
      </c>
      <c r="L185" s="197">
        <v>32523.75</v>
      </c>
      <c r="M185" s="197">
        <v>192323.75</v>
      </c>
      <c r="N185" s="196"/>
      <c r="O185" s="192"/>
    </row>
    <row r="186" spans="1:15" s="53" customFormat="1" x14ac:dyDescent="0.2">
      <c r="A186" s="196" t="s">
        <v>203</v>
      </c>
      <c r="B186" s="197">
        <v>640.91</v>
      </c>
      <c r="C186" s="197">
        <v>126.1575</v>
      </c>
      <c r="D186" s="198">
        <v>45652</v>
      </c>
      <c r="E186" s="197">
        <v>150</v>
      </c>
      <c r="F186" s="197">
        <v>3604.5</v>
      </c>
      <c r="G186" s="197">
        <v>17.78</v>
      </c>
      <c r="H186" s="197">
        <v>3.5</v>
      </c>
      <c r="I186" s="197">
        <v>21.28</v>
      </c>
      <c r="J186" s="199"/>
      <c r="K186" s="197">
        <v>767.0675</v>
      </c>
      <c r="L186" s="197">
        <v>18923.625</v>
      </c>
      <c r="M186" s="197">
        <v>115060.625</v>
      </c>
      <c r="N186" s="196"/>
      <c r="O186" s="192"/>
    </row>
    <row r="187" spans="1:15" s="53" customFormat="1" x14ac:dyDescent="0.2">
      <c r="A187" s="196" t="s">
        <v>203</v>
      </c>
      <c r="B187" s="197">
        <v>640.88009999999997</v>
      </c>
      <c r="C187" s="197">
        <v>126.1575</v>
      </c>
      <c r="D187" s="198">
        <v>45687</v>
      </c>
      <c r="E187" s="197">
        <v>150</v>
      </c>
      <c r="F187" s="197">
        <v>3604.5</v>
      </c>
      <c r="G187" s="197">
        <v>17.78</v>
      </c>
      <c r="H187" s="197">
        <v>3.5</v>
      </c>
      <c r="I187" s="197">
        <v>21.28</v>
      </c>
      <c r="J187" s="199"/>
      <c r="K187" s="197">
        <v>767.0675</v>
      </c>
      <c r="L187" s="197">
        <v>18923.625</v>
      </c>
      <c r="M187" s="197">
        <v>115060.625</v>
      </c>
      <c r="N187" s="196"/>
      <c r="O187" s="192"/>
    </row>
    <row r="188" spans="1:15" s="53" customFormat="1" x14ac:dyDescent="0.2">
      <c r="A188" s="196" t="s">
        <v>203</v>
      </c>
      <c r="B188" s="197">
        <v>640.88009999999997</v>
      </c>
      <c r="C188" s="197">
        <v>126.1575</v>
      </c>
      <c r="D188" s="198">
        <v>45715</v>
      </c>
      <c r="E188" s="197">
        <v>150</v>
      </c>
      <c r="F188" s="197">
        <v>3604.5</v>
      </c>
      <c r="G188" s="197">
        <v>17.78</v>
      </c>
      <c r="H188" s="197">
        <v>3.5</v>
      </c>
      <c r="I188" s="197">
        <v>21.28</v>
      </c>
      <c r="J188" s="199"/>
      <c r="K188" s="197">
        <v>767.0675</v>
      </c>
      <c r="L188" s="197">
        <v>18923.625</v>
      </c>
      <c r="M188" s="197">
        <v>115060.625</v>
      </c>
      <c r="N188" s="196"/>
      <c r="O188" s="192"/>
    </row>
    <row r="189" spans="1:15" s="53" customFormat="1" x14ac:dyDescent="0.2">
      <c r="A189" s="196" t="s">
        <v>572</v>
      </c>
      <c r="B189" s="197">
        <v>376.01</v>
      </c>
      <c r="C189" s="197">
        <v>73.036299999999997</v>
      </c>
      <c r="D189" s="198">
        <v>45652</v>
      </c>
      <c r="E189" s="197">
        <v>300</v>
      </c>
      <c r="F189" s="197">
        <v>2086.75</v>
      </c>
      <c r="G189" s="197">
        <v>18.010000000000002</v>
      </c>
      <c r="H189" s="197">
        <v>3.5</v>
      </c>
      <c r="I189" s="197">
        <v>21.51</v>
      </c>
      <c r="J189" s="199"/>
      <c r="K189" s="197">
        <v>449.04629999999997</v>
      </c>
      <c r="L189" s="197">
        <v>21910.875</v>
      </c>
      <c r="M189" s="197">
        <v>134713.875</v>
      </c>
      <c r="N189" s="196"/>
      <c r="O189" s="192"/>
    </row>
    <row r="190" spans="1:15" s="53" customFormat="1" x14ac:dyDescent="0.2">
      <c r="A190" s="196" t="s">
        <v>572</v>
      </c>
      <c r="B190" s="197">
        <v>375.82367499999998</v>
      </c>
      <c r="C190" s="197">
        <v>73.036299999999997</v>
      </c>
      <c r="D190" s="198">
        <v>45687</v>
      </c>
      <c r="E190" s="197">
        <v>300</v>
      </c>
      <c r="F190" s="197">
        <v>2086.75</v>
      </c>
      <c r="G190" s="197">
        <v>18.010000000000002</v>
      </c>
      <c r="H190" s="197">
        <v>3.5</v>
      </c>
      <c r="I190" s="197">
        <v>21.51</v>
      </c>
      <c r="J190" s="199"/>
      <c r="K190" s="197">
        <v>449.04629999999997</v>
      </c>
      <c r="L190" s="197">
        <v>21910.875</v>
      </c>
      <c r="M190" s="197">
        <v>134713.875</v>
      </c>
      <c r="N190" s="196"/>
      <c r="O190" s="192"/>
    </row>
    <row r="191" spans="1:15" s="53" customFormat="1" x14ac:dyDescent="0.2">
      <c r="A191" s="196" t="s">
        <v>572</v>
      </c>
      <c r="B191" s="197">
        <v>375.82367499999998</v>
      </c>
      <c r="C191" s="197">
        <v>73.036299999999997</v>
      </c>
      <c r="D191" s="198">
        <v>45715</v>
      </c>
      <c r="E191" s="197">
        <v>300</v>
      </c>
      <c r="F191" s="197">
        <v>2086.75</v>
      </c>
      <c r="G191" s="197">
        <v>18.010000000000002</v>
      </c>
      <c r="H191" s="197">
        <v>3.5</v>
      </c>
      <c r="I191" s="197">
        <v>21.51</v>
      </c>
      <c r="J191" s="199"/>
      <c r="K191" s="197">
        <v>449.04629999999997</v>
      </c>
      <c r="L191" s="197">
        <v>21910.875</v>
      </c>
      <c r="M191" s="197">
        <v>134713.875</v>
      </c>
      <c r="N191" s="196"/>
      <c r="O191" s="192"/>
    </row>
    <row r="192" spans="1:15" s="53" customFormat="1" x14ac:dyDescent="0.2">
      <c r="A192" s="196" t="s">
        <v>204</v>
      </c>
      <c r="B192" s="197">
        <v>72.58</v>
      </c>
      <c r="C192" s="197">
        <v>17.792300000000001</v>
      </c>
      <c r="D192" s="198">
        <v>45652</v>
      </c>
      <c r="E192" s="197">
        <v>1250</v>
      </c>
      <c r="F192" s="197">
        <v>508.35</v>
      </c>
      <c r="G192" s="197">
        <v>14.27</v>
      </c>
      <c r="H192" s="197">
        <v>3.5</v>
      </c>
      <c r="I192" s="197">
        <v>17.77</v>
      </c>
      <c r="J192" s="199"/>
      <c r="K192" s="197">
        <v>90.372299999999996</v>
      </c>
      <c r="L192" s="197">
        <v>22240.3125</v>
      </c>
      <c r="M192" s="197">
        <v>112965.3125</v>
      </c>
      <c r="N192" s="196"/>
      <c r="O192" s="192"/>
    </row>
    <row r="193" spans="1:15" s="53" customFormat="1" x14ac:dyDescent="0.2">
      <c r="A193" s="196" t="s">
        <v>204</v>
      </c>
      <c r="B193" s="197">
        <v>72.541544999999999</v>
      </c>
      <c r="C193" s="197">
        <v>17.792300000000001</v>
      </c>
      <c r="D193" s="198">
        <v>45687</v>
      </c>
      <c r="E193" s="197">
        <v>1250</v>
      </c>
      <c r="F193" s="197">
        <v>508.35</v>
      </c>
      <c r="G193" s="197">
        <v>14.27</v>
      </c>
      <c r="H193" s="197">
        <v>3.5</v>
      </c>
      <c r="I193" s="197">
        <v>17.77</v>
      </c>
      <c r="J193" s="199"/>
      <c r="K193" s="197">
        <v>90.372299999999996</v>
      </c>
      <c r="L193" s="197">
        <v>22240.3125</v>
      </c>
      <c r="M193" s="197">
        <v>112965.3125</v>
      </c>
      <c r="N193" s="196"/>
      <c r="O193" s="192"/>
    </row>
    <row r="194" spans="1:15" s="53" customFormat="1" x14ac:dyDescent="0.2">
      <c r="A194" s="196" t="s">
        <v>204</v>
      </c>
      <c r="B194" s="197">
        <v>72.541544999999999</v>
      </c>
      <c r="C194" s="197">
        <v>17.792300000000001</v>
      </c>
      <c r="D194" s="198">
        <v>45715</v>
      </c>
      <c r="E194" s="197">
        <v>1250</v>
      </c>
      <c r="F194" s="197">
        <v>508.35</v>
      </c>
      <c r="G194" s="197">
        <v>14.27</v>
      </c>
      <c r="H194" s="197">
        <v>3.5</v>
      </c>
      <c r="I194" s="197">
        <v>17.77</v>
      </c>
      <c r="J194" s="199"/>
      <c r="K194" s="197">
        <v>90.372299999999996</v>
      </c>
      <c r="L194" s="197">
        <v>22240.3125</v>
      </c>
      <c r="M194" s="197">
        <v>112965.3125</v>
      </c>
      <c r="N194" s="196"/>
      <c r="O194" s="192"/>
    </row>
    <row r="195" spans="1:15" s="53" customFormat="1" x14ac:dyDescent="0.2">
      <c r="A195" s="196" t="s">
        <v>524</v>
      </c>
      <c r="B195" s="197">
        <v>305.58</v>
      </c>
      <c r="C195" s="197">
        <v>68.831000000000003</v>
      </c>
      <c r="D195" s="198">
        <v>45652</v>
      </c>
      <c r="E195" s="197">
        <v>275</v>
      </c>
      <c r="F195" s="197">
        <v>1966.6</v>
      </c>
      <c r="G195" s="197">
        <v>15.53</v>
      </c>
      <c r="H195" s="197">
        <v>3.5</v>
      </c>
      <c r="I195" s="197">
        <v>19.03</v>
      </c>
      <c r="J195" s="199"/>
      <c r="K195" s="197">
        <v>374.411</v>
      </c>
      <c r="L195" s="197">
        <v>18928.525000000001</v>
      </c>
      <c r="M195" s="197">
        <v>102963.52499999999</v>
      </c>
      <c r="N195" s="196"/>
      <c r="O195" s="192"/>
    </row>
    <row r="196" spans="1:15" s="53" customFormat="1" x14ac:dyDescent="0.2">
      <c r="A196" s="196" t="s">
        <v>524</v>
      </c>
      <c r="B196" s="197">
        <v>305.41298</v>
      </c>
      <c r="C196" s="197">
        <v>68.831000000000003</v>
      </c>
      <c r="D196" s="198">
        <v>45687</v>
      </c>
      <c r="E196" s="197">
        <v>275</v>
      </c>
      <c r="F196" s="197">
        <v>1966.6</v>
      </c>
      <c r="G196" s="197">
        <v>15.53</v>
      </c>
      <c r="H196" s="197">
        <v>3.5</v>
      </c>
      <c r="I196" s="197">
        <v>19.03</v>
      </c>
      <c r="J196" s="199"/>
      <c r="K196" s="197">
        <v>374.411</v>
      </c>
      <c r="L196" s="197">
        <v>18928.525000000001</v>
      </c>
      <c r="M196" s="197">
        <v>102963.52499999999</v>
      </c>
      <c r="N196" s="196"/>
      <c r="O196" s="192"/>
    </row>
    <row r="197" spans="1:15" s="53" customFormat="1" x14ac:dyDescent="0.2">
      <c r="A197" s="196" t="s">
        <v>524</v>
      </c>
      <c r="B197" s="197">
        <v>305.41298</v>
      </c>
      <c r="C197" s="197">
        <v>68.831000000000003</v>
      </c>
      <c r="D197" s="198">
        <v>45715</v>
      </c>
      <c r="E197" s="197">
        <v>275</v>
      </c>
      <c r="F197" s="197">
        <v>1966.6</v>
      </c>
      <c r="G197" s="197">
        <v>15.53</v>
      </c>
      <c r="H197" s="197">
        <v>3.5</v>
      </c>
      <c r="I197" s="197">
        <v>19.03</v>
      </c>
      <c r="J197" s="199"/>
      <c r="K197" s="197">
        <v>374.411</v>
      </c>
      <c r="L197" s="197">
        <v>18928.525000000001</v>
      </c>
      <c r="M197" s="197">
        <v>102963.52499999999</v>
      </c>
      <c r="N197" s="196"/>
      <c r="O197" s="192"/>
    </row>
    <row r="198" spans="1:15" s="53" customFormat="1" x14ac:dyDescent="0.2">
      <c r="A198" s="196" t="s">
        <v>493</v>
      </c>
      <c r="B198" s="197">
        <v>477.23</v>
      </c>
      <c r="C198" s="197">
        <v>95.784499999999994</v>
      </c>
      <c r="D198" s="198">
        <v>45652</v>
      </c>
      <c r="E198" s="197">
        <v>300</v>
      </c>
      <c r="F198" s="197">
        <v>2736.7</v>
      </c>
      <c r="G198" s="197">
        <v>17.43</v>
      </c>
      <c r="H198" s="197">
        <v>3.5</v>
      </c>
      <c r="I198" s="197">
        <v>20.93</v>
      </c>
      <c r="J198" s="199"/>
      <c r="K198" s="197">
        <v>573.0145</v>
      </c>
      <c r="L198" s="197">
        <v>28735.35</v>
      </c>
      <c r="M198" s="197">
        <v>171904.35</v>
      </c>
      <c r="N198" s="196"/>
      <c r="O198" s="192"/>
    </row>
    <row r="199" spans="1:15" s="53" customFormat="1" x14ac:dyDescent="0.2">
      <c r="A199" s="196" t="s">
        <v>493</v>
      </c>
      <c r="B199" s="197">
        <v>477.00680999999997</v>
      </c>
      <c r="C199" s="197">
        <v>95.784499999999994</v>
      </c>
      <c r="D199" s="198">
        <v>45687</v>
      </c>
      <c r="E199" s="197">
        <v>300</v>
      </c>
      <c r="F199" s="197">
        <v>2736.7</v>
      </c>
      <c r="G199" s="197">
        <v>17.43</v>
      </c>
      <c r="H199" s="197">
        <v>3.5</v>
      </c>
      <c r="I199" s="197">
        <v>20.93</v>
      </c>
      <c r="J199" s="199"/>
      <c r="K199" s="197">
        <v>573.0145</v>
      </c>
      <c r="L199" s="197">
        <v>28735.35</v>
      </c>
      <c r="M199" s="197">
        <v>171904.35</v>
      </c>
      <c r="N199" s="196"/>
      <c r="O199" s="192"/>
    </row>
    <row r="200" spans="1:15" s="53" customFormat="1" x14ac:dyDescent="0.2">
      <c r="A200" s="196" t="s">
        <v>493</v>
      </c>
      <c r="B200" s="197">
        <v>477.00680999999997</v>
      </c>
      <c r="C200" s="197">
        <v>95.784499999999994</v>
      </c>
      <c r="D200" s="198">
        <v>45715</v>
      </c>
      <c r="E200" s="197">
        <v>300</v>
      </c>
      <c r="F200" s="197">
        <v>2736.7</v>
      </c>
      <c r="G200" s="197">
        <v>17.43</v>
      </c>
      <c r="H200" s="197">
        <v>3.5</v>
      </c>
      <c r="I200" s="197">
        <v>20.93</v>
      </c>
      <c r="J200" s="199"/>
      <c r="K200" s="197">
        <v>573.0145</v>
      </c>
      <c r="L200" s="197">
        <v>28735.35</v>
      </c>
      <c r="M200" s="197">
        <v>171904.35</v>
      </c>
      <c r="N200" s="196"/>
      <c r="O200" s="192"/>
    </row>
    <row r="201" spans="1:15" s="53" customFormat="1" x14ac:dyDescent="0.2">
      <c r="A201" s="196" t="s">
        <v>600</v>
      </c>
      <c r="B201" s="197">
        <v>68.33</v>
      </c>
      <c r="C201" s="197">
        <v>13.280799999999999</v>
      </c>
      <c r="D201" s="198">
        <v>45652</v>
      </c>
      <c r="E201" s="197">
        <v>1525</v>
      </c>
      <c r="F201" s="197">
        <v>379.45</v>
      </c>
      <c r="G201" s="197">
        <v>18</v>
      </c>
      <c r="H201" s="197">
        <v>3.5</v>
      </c>
      <c r="I201" s="197">
        <v>21.5</v>
      </c>
      <c r="J201" s="199"/>
      <c r="K201" s="197">
        <v>81.610799999999998</v>
      </c>
      <c r="L201" s="197">
        <v>20253.143800000002</v>
      </c>
      <c r="M201" s="197">
        <v>124456.14380000001</v>
      </c>
      <c r="N201" s="196"/>
      <c r="O201" s="192"/>
    </row>
    <row r="202" spans="1:15" s="53" customFormat="1" x14ac:dyDescent="0.2">
      <c r="A202" s="196" t="s">
        <v>600</v>
      </c>
      <c r="B202" s="197">
        <v>68.301000000000002</v>
      </c>
      <c r="C202" s="197">
        <v>13.280799999999999</v>
      </c>
      <c r="D202" s="198">
        <v>45687</v>
      </c>
      <c r="E202" s="197">
        <v>1525</v>
      </c>
      <c r="F202" s="197">
        <v>379.45</v>
      </c>
      <c r="G202" s="197">
        <v>18</v>
      </c>
      <c r="H202" s="197">
        <v>3.5</v>
      </c>
      <c r="I202" s="197">
        <v>21.5</v>
      </c>
      <c r="J202" s="199"/>
      <c r="K202" s="197">
        <v>81.610799999999998</v>
      </c>
      <c r="L202" s="197">
        <v>20253.143800000002</v>
      </c>
      <c r="M202" s="197">
        <v>124456.14380000001</v>
      </c>
      <c r="N202" s="196"/>
      <c r="O202" s="192"/>
    </row>
    <row r="203" spans="1:15" s="53" customFormat="1" x14ac:dyDescent="0.2">
      <c r="A203" s="196" t="s">
        <v>600</v>
      </c>
      <c r="B203" s="197">
        <v>68.301000000000002</v>
      </c>
      <c r="C203" s="197">
        <v>13.280799999999999</v>
      </c>
      <c r="D203" s="198">
        <v>45715</v>
      </c>
      <c r="E203" s="197">
        <v>1525</v>
      </c>
      <c r="F203" s="197">
        <v>379.45</v>
      </c>
      <c r="G203" s="197">
        <v>18</v>
      </c>
      <c r="H203" s="197">
        <v>3.5</v>
      </c>
      <c r="I203" s="197">
        <v>21.5</v>
      </c>
      <c r="J203" s="199"/>
      <c r="K203" s="197">
        <v>81.610799999999998</v>
      </c>
      <c r="L203" s="197">
        <v>20253.143800000002</v>
      </c>
      <c r="M203" s="197">
        <v>124456.14380000001</v>
      </c>
      <c r="N203" s="196"/>
      <c r="O203" s="192"/>
    </row>
    <row r="204" spans="1:15" s="53" customFormat="1" x14ac:dyDescent="0.2">
      <c r="A204" s="196" t="s">
        <v>205</v>
      </c>
      <c r="B204" s="197">
        <v>846.35</v>
      </c>
      <c r="C204" s="197">
        <v>207.48</v>
      </c>
      <c r="D204" s="198">
        <v>45652</v>
      </c>
      <c r="E204" s="197">
        <v>100</v>
      </c>
      <c r="F204" s="197">
        <v>5928</v>
      </c>
      <c r="G204" s="197">
        <v>14.27</v>
      </c>
      <c r="H204" s="197">
        <v>3.5</v>
      </c>
      <c r="I204" s="197">
        <v>17.77</v>
      </c>
      <c r="J204" s="199"/>
      <c r="K204" s="197">
        <v>1053.83</v>
      </c>
      <c r="L204" s="197">
        <v>20748</v>
      </c>
      <c r="M204" s="197">
        <v>105383</v>
      </c>
      <c r="N204" s="196"/>
      <c r="O204" s="192"/>
    </row>
    <row r="205" spans="1:15" s="53" customFormat="1" x14ac:dyDescent="0.2">
      <c r="A205" s="196" t="s">
        <v>205</v>
      </c>
      <c r="B205" s="197">
        <v>845.92560000000003</v>
      </c>
      <c r="C205" s="197">
        <v>207.48</v>
      </c>
      <c r="D205" s="198">
        <v>45687</v>
      </c>
      <c r="E205" s="197">
        <v>100</v>
      </c>
      <c r="F205" s="197">
        <v>5928</v>
      </c>
      <c r="G205" s="197">
        <v>14.27</v>
      </c>
      <c r="H205" s="197">
        <v>3.5</v>
      </c>
      <c r="I205" s="197">
        <v>17.77</v>
      </c>
      <c r="J205" s="199"/>
      <c r="K205" s="197">
        <v>1053.83</v>
      </c>
      <c r="L205" s="197">
        <v>20748</v>
      </c>
      <c r="M205" s="197">
        <v>105383</v>
      </c>
      <c r="N205" s="196"/>
      <c r="O205" s="192"/>
    </row>
    <row r="206" spans="1:15" s="53" customFormat="1" x14ac:dyDescent="0.2">
      <c r="A206" s="196" t="s">
        <v>205</v>
      </c>
      <c r="B206" s="197">
        <v>845.92560000000003</v>
      </c>
      <c r="C206" s="197">
        <v>207.48</v>
      </c>
      <c r="D206" s="198">
        <v>45715</v>
      </c>
      <c r="E206" s="197">
        <v>100</v>
      </c>
      <c r="F206" s="197">
        <v>5928</v>
      </c>
      <c r="G206" s="197">
        <v>14.27</v>
      </c>
      <c r="H206" s="197">
        <v>3.5</v>
      </c>
      <c r="I206" s="197">
        <v>17.77</v>
      </c>
      <c r="J206" s="199"/>
      <c r="K206" s="197">
        <v>1053.83</v>
      </c>
      <c r="L206" s="197">
        <v>20748</v>
      </c>
      <c r="M206" s="197">
        <v>105383</v>
      </c>
      <c r="N206" s="196"/>
      <c r="O206" s="192"/>
    </row>
    <row r="207" spans="1:15" s="53" customFormat="1" x14ac:dyDescent="0.2">
      <c r="A207" s="196" t="s">
        <v>512</v>
      </c>
      <c r="B207" s="197">
        <v>3671.56</v>
      </c>
      <c r="C207" s="197">
        <v>613.47130000000004</v>
      </c>
      <c r="D207" s="198">
        <v>45652</v>
      </c>
      <c r="E207" s="197">
        <v>50</v>
      </c>
      <c r="F207" s="197">
        <v>17527.75</v>
      </c>
      <c r="G207" s="197">
        <v>20.94</v>
      </c>
      <c r="H207" s="197">
        <v>3.5</v>
      </c>
      <c r="I207" s="197">
        <v>24.44</v>
      </c>
      <c r="J207" s="199"/>
      <c r="K207" s="197">
        <v>4285.0312999999996</v>
      </c>
      <c r="L207" s="197">
        <v>30673.5625</v>
      </c>
      <c r="M207" s="197">
        <v>214251.5625</v>
      </c>
      <c r="N207" s="196"/>
      <c r="O207" s="192"/>
    </row>
    <row r="208" spans="1:15" s="53" customFormat="1" x14ac:dyDescent="0.2">
      <c r="A208" s="196" t="s">
        <v>512</v>
      </c>
      <c r="B208" s="197">
        <v>3670.3108499999998</v>
      </c>
      <c r="C208" s="197">
        <v>613.47130000000004</v>
      </c>
      <c r="D208" s="198">
        <v>45687</v>
      </c>
      <c r="E208" s="197">
        <v>50</v>
      </c>
      <c r="F208" s="197">
        <v>17527.75</v>
      </c>
      <c r="G208" s="197">
        <v>20.94</v>
      </c>
      <c r="H208" s="197">
        <v>3.5</v>
      </c>
      <c r="I208" s="197">
        <v>24.44</v>
      </c>
      <c r="J208" s="199"/>
      <c r="K208" s="197">
        <v>4285.0312999999996</v>
      </c>
      <c r="L208" s="197">
        <v>30673.5625</v>
      </c>
      <c r="M208" s="197">
        <v>214251.5625</v>
      </c>
      <c r="N208" s="196"/>
      <c r="O208" s="192"/>
    </row>
    <row r="209" spans="1:15" s="53" customFormat="1" x14ac:dyDescent="0.2">
      <c r="A209" s="196" t="s">
        <v>512</v>
      </c>
      <c r="B209" s="197">
        <v>3670.3108499999998</v>
      </c>
      <c r="C209" s="197">
        <v>613.47130000000004</v>
      </c>
      <c r="D209" s="198">
        <v>45715</v>
      </c>
      <c r="E209" s="197">
        <v>50</v>
      </c>
      <c r="F209" s="197">
        <v>17527.75</v>
      </c>
      <c r="G209" s="197">
        <v>20.94</v>
      </c>
      <c r="H209" s="197">
        <v>3.5</v>
      </c>
      <c r="I209" s="197">
        <v>24.44</v>
      </c>
      <c r="J209" s="199"/>
      <c r="K209" s="197">
        <v>4285.0312999999996</v>
      </c>
      <c r="L209" s="197">
        <v>30673.5625</v>
      </c>
      <c r="M209" s="197">
        <v>214251.5625</v>
      </c>
      <c r="N209" s="196"/>
      <c r="O209" s="192"/>
    </row>
    <row r="210" spans="1:15" s="53" customFormat="1" x14ac:dyDescent="0.2">
      <c r="A210" s="196" t="s">
        <v>207</v>
      </c>
      <c r="B210" s="197">
        <v>155.96</v>
      </c>
      <c r="C210" s="197">
        <v>30.651299999999999</v>
      </c>
      <c r="D210" s="198">
        <v>45652</v>
      </c>
      <c r="E210" s="197">
        <v>825</v>
      </c>
      <c r="F210" s="197">
        <v>875.75</v>
      </c>
      <c r="G210" s="197">
        <v>17.8</v>
      </c>
      <c r="H210" s="197">
        <v>3.5</v>
      </c>
      <c r="I210" s="197">
        <v>21.3</v>
      </c>
      <c r="J210" s="199"/>
      <c r="K210" s="197">
        <v>186.6113</v>
      </c>
      <c r="L210" s="197">
        <v>25287.281299999999</v>
      </c>
      <c r="M210" s="197">
        <v>153954.2813</v>
      </c>
      <c r="N210" s="196"/>
      <c r="O210" s="192"/>
    </row>
    <row r="211" spans="1:15" s="53" customFormat="1" x14ac:dyDescent="0.2">
      <c r="A211" s="196" t="s">
        <v>207</v>
      </c>
      <c r="B211" s="197">
        <v>155.8835</v>
      </c>
      <c r="C211" s="197">
        <v>30.651299999999999</v>
      </c>
      <c r="D211" s="198">
        <v>45687</v>
      </c>
      <c r="E211" s="197">
        <v>825</v>
      </c>
      <c r="F211" s="197">
        <v>875.75</v>
      </c>
      <c r="G211" s="197">
        <v>17.8</v>
      </c>
      <c r="H211" s="197">
        <v>3.5</v>
      </c>
      <c r="I211" s="197">
        <v>21.3</v>
      </c>
      <c r="J211" s="199"/>
      <c r="K211" s="197">
        <v>186.6113</v>
      </c>
      <c r="L211" s="197">
        <v>25287.281299999999</v>
      </c>
      <c r="M211" s="197">
        <v>153954.2813</v>
      </c>
      <c r="N211" s="196"/>
      <c r="O211" s="192"/>
    </row>
    <row r="212" spans="1:15" s="53" customFormat="1" x14ac:dyDescent="0.2">
      <c r="A212" s="196" t="s">
        <v>207</v>
      </c>
      <c r="B212" s="197">
        <v>155.8835</v>
      </c>
      <c r="C212" s="197">
        <v>30.651299999999999</v>
      </c>
      <c r="D212" s="198">
        <v>45715</v>
      </c>
      <c r="E212" s="197">
        <v>825</v>
      </c>
      <c r="F212" s="197">
        <v>875.75</v>
      </c>
      <c r="G212" s="197">
        <v>17.8</v>
      </c>
      <c r="H212" s="197">
        <v>3.5</v>
      </c>
      <c r="I212" s="197">
        <v>21.3</v>
      </c>
      <c r="J212" s="199"/>
      <c r="K212" s="197">
        <v>186.6113</v>
      </c>
      <c r="L212" s="197">
        <v>25287.281299999999</v>
      </c>
      <c r="M212" s="197">
        <v>153954.2813</v>
      </c>
      <c r="N212" s="196"/>
      <c r="O212" s="192"/>
    </row>
    <row r="213" spans="1:15" s="53" customFormat="1" x14ac:dyDescent="0.2">
      <c r="A213" s="196" t="s">
        <v>583</v>
      </c>
      <c r="B213" s="197">
        <v>547.29999999999995</v>
      </c>
      <c r="C213" s="197">
        <v>129.79230000000001</v>
      </c>
      <c r="D213" s="198">
        <v>45652</v>
      </c>
      <c r="E213" s="197">
        <v>150</v>
      </c>
      <c r="F213" s="197">
        <v>3708.35</v>
      </c>
      <c r="G213" s="197">
        <v>14.75</v>
      </c>
      <c r="H213" s="197">
        <v>3.5</v>
      </c>
      <c r="I213" s="197">
        <v>18.25</v>
      </c>
      <c r="J213" s="199"/>
      <c r="K213" s="197">
        <v>677.09230000000002</v>
      </c>
      <c r="L213" s="197">
        <v>19468.837500000001</v>
      </c>
      <c r="M213" s="197">
        <v>101563.83749999999</v>
      </c>
      <c r="N213" s="196"/>
      <c r="O213" s="192"/>
    </row>
    <row r="214" spans="1:15" s="53" customFormat="1" x14ac:dyDescent="0.2">
      <c r="A214" s="196" t="s">
        <v>583</v>
      </c>
      <c r="B214" s="197">
        <v>546.98162500000001</v>
      </c>
      <c r="C214" s="197">
        <v>129.79230000000001</v>
      </c>
      <c r="D214" s="198">
        <v>45687</v>
      </c>
      <c r="E214" s="197">
        <v>150</v>
      </c>
      <c r="F214" s="197">
        <v>3708.35</v>
      </c>
      <c r="G214" s="197">
        <v>14.75</v>
      </c>
      <c r="H214" s="197">
        <v>3.5</v>
      </c>
      <c r="I214" s="197">
        <v>18.25</v>
      </c>
      <c r="J214" s="199"/>
      <c r="K214" s="197">
        <v>677.09230000000002</v>
      </c>
      <c r="L214" s="197">
        <v>19468.837500000001</v>
      </c>
      <c r="M214" s="197">
        <v>101563.83749999999</v>
      </c>
      <c r="N214" s="196"/>
      <c r="O214" s="192"/>
    </row>
    <row r="215" spans="1:15" s="53" customFormat="1" x14ac:dyDescent="0.2">
      <c r="A215" s="196" t="s">
        <v>583</v>
      </c>
      <c r="B215" s="197">
        <v>546.98162500000001</v>
      </c>
      <c r="C215" s="197">
        <v>129.79230000000001</v>
      </c>
      <c r="D215" s="198">
        <v>45715</v>
      </c>
      <c r="E215" s="197">
        <v>150</v>
      </c>
      <c r="F215" s="197">
        <v>3708.35</v>
      </c>
      <c r="G215" s="197">
        <v>14.75</v>
      </c>
      <c r="H215" s="197">
        <v>3.5</v>
      </c>
      <c r="I215" s="197">
        <v>18.25</v>
      </c>
      <c r="J215" s="199"/>
      <c r="K215" s="197">
        <v>677.09230000000002</v>
      </c>
      <c r="L215" s="197">
        <v>19468.837500000001</v>
      </c>
      <c r="M215" s="197">
        <v>101563.83749999999</v>
      </c>
      <c r="N215" s="196"/>
      <c r="O215" s="192"/>
    </row>
    <row r="216" spans="1:15" s="53" customFormat="1" x14ac:dyDescent="0.2">
      <c r="A216" s="196" t="s">
        <v>208</v>
      </c>
      <c r="B216" s="197">
        <v>176.83</v>
      </c>
      <c r="C216" s="197">
        <v>43.349299999999999</v>
      </c>
      <c r="D216" s="198">
        <v>45652</v>
      </c>
      <c r="E216" s="197">
        <v>625</v>
      </c>
      <c r="F216" s="197">
        <v>1238.55</v>
      </c>
      <c r="G216" s="197">
        <v>14.27</v>
      </c>
      <c r="H216" s="197">
        <v>3.5</v>
      </c>
      <c r="I216" s="197">
        <v>17.77</v>
      </c>
      <c r="J216" s="199"/>
      <c r="K216" s="197">
        <v>220.17930000000001</v>
      </c>
      <c r="L216" s="197">
        <v>27093.281299999999</v>
      </c>
      <c r="M216" s="197">
        <v>137612.2813</v>
      </c>
      <c r="N216" s="196"/>
      <c r="O216" s="192"/>
    </row>
    <row r="217" spans="1:15" s="53" customFormat="1" x14ac:dyDescent="0.2">
      <c r="A217" s="196" t="s">
        <v>208</v>
      </c>
      <c r="B217" s="197">
        <v>176.741085</v>
      </c>
      <c r="C217" s="197">
        <v>43.349299999999999</v>
      </c>
      <c r="D217" s="198">
        <v>45687</v>
      </c>
      <c r="E217" s="197">
        <v>625</v>
      </c>
      <c r="F217" s="197">
        <v>1238.55</v>
      </c>
      <c r="G217" s="197">
        <v>14.27</v>
      </c>
      <c r="H217" s="197">
        <v>3.5</v>
      </c>
      <c r="I217" s="197">
        <v>17.77</v>
      </c>
      <c r="J217" s="199"/>
      <c r="K217" s="197">
        <v>220.17930000000001</v>
      </c>
      <c r="L217" s="197">
        <v>27093.281299999999</v>
      </c>
      <c r="M217" s="197">
        <v>137612.2813</v>
      </c>
      <c r="N217" s="196"/>
      <c r="O217" s="192"/>
    </row>
    <row r="218" spans="1:15" s="53" customFormat="1" x14ac:dyDescent="0.2">
      <c r="A218" s="196" t="s">
        <v>208</v>
      </c>
      <c r="B218" s="197">
        <v>176.741085</v>
      </c>
      <c r="C218" s="197">
        <v>43.349299999999999</v>
      </c>
      <c r="D218" s="198">
        <v>45715</v>
      </c>
      <c r="E218" s="197">
        <v>625</v>
      </c>
      <c r="F218" s="197">
        <v>1238.55</v>
      </c>
      <c r="G218" s="197">
        <v>14.27</v>
      </c>
      <c r="H218" s="197">
        <v>3.5</v>
      </c>
      <c r="I218" s="197">
        <v>17.77</v>
      </c>
      <c r="J218" s="199"/>
      <c r="K218" s="197">
        <v>220.17930000000001</v>
      </c>
      <c r="L218" s="197">
        <v>27093.281299999999</v>
      </c>
      <c r="M218" s="197">
        <v>137612.2813</v>
      </c>
      <c r="N218" s="196"/>
      <c r="O218" s="192"/>
    </row>
    <row r="219" spans="1:15" s="53" customFormat="1" x14ac:dyDescent="0.2">
      <c r="A219" s="196" t="s">
        <v>209</v>
      </c>
      <c r="B219" s="197">
        <v>685.58</v>
      </c>
      <c r="C219" s="197">
        <v>168.06829999999999</v>
      </c>
      <c r="D219" s="198">
        <v>45652</v>
      </c>
      <c r="E219" s="197">
        <v>175</v>
      </c>
      <c r="F219" s="197">
        <v>4801.95</v>
      </c>
      <c r="G219" s="197">
        <v>14.27</v>
      </c>
      <c r="H219" s="197">
        <v>3.5</v>
      </c>
      <c r="I219" s="197">
        <v>17.77</v>
      </c>
      <c r="J219" s="199"/>
      <c r="K219" s="197">
        <v>853.64829999999995</v>
      </c>
      <c r="L219" s="197">
        <v>29411.943800000001</v>
      </c>
      <c r="M219" s="197">
        <v>149388.94380000001</v>
      </c>
      <c r="N219" s="196"/>
      <c r="O219" s="192"/>
    </row>
    <row r="220" spans="1:15" s="53" customFormat="1" x14ac:dyDescent="0.2">
      <c r="A220" s="196" t="s">
        <v>209</v>
      </c>
      <c r="B220" s="197">
        <v>685.23826499999996</v>
      </c>
      <c r="C220" s="197">
        <v>168.06829999999999</v>
      </c>
      <c r="D220" s="198">
        <v>45687</v>
      </c>
      <c r="E220" s="197">
        <v>175</v>
      </c>
      <c r="F220" s="197">
        <v>4801.95</v>
      </c>
      <c r="G220" s="197">
        <v>14.27</v>
      </c>
      <c r="H220" s="197">
        <v>3.5</v>
      </c>
      <c r="I220" s="197">
        <v>17.77</v>
      </c>
      <c r="J220" s="199"/>
      <c r="K220" s="197">
        <v>853.64829999999995</v>
      </c>
      <c r="L220" s="197">
        <v>29411.943800000001</v>
      </c>
      <c r="M220" s="197">
        <v>149388.94380000001</v>
      </c>
      <c r="N220" s="196"/>
      <c r="O220" s="192"/>
    </row>
    <row r="221" spans="1:15" s="53" customFormat="1" x14ac:dyDescent="0.2">
      <c r="A221" s="196" t="s">
        <v>209</v>
      </c>
      <c r="B221" s="197">
        <v>685.23826499999996</v>
      </c>
      <c r="C221" s="197">
        <v>168.06829999999999</v>
      </c>
      <c r="D221" s="198">
        <v>45715</v>
      </c>
      <c r="E221" s="197">
        <v>175</v>
      </c>
      <c r="F221" s="197">
        <v>4801.95</v>
      </c>
      <c r="G221" s="197">
        <v>14.27</v>
      </c>
      <c r="H221" s="197">
        <v>3.5</v>
      </c>
      <c r="I221" s="197">
        <v>17.77</v>
      </c>
      <c r="J221" s="199"/>
      <c r="K221" s="197">
        <v>853.64829999999995</v>
      </c>
      <c r="L221" s="197">
        <v>29411.943800000001</v>
      </c>
      <c r="M221" s="197">
        <v>149388.94380000001</v>
      </c>
      <c r="N221" s="196"/>
      <c r="O221" s="192"/>
    </row>
    <row r="222" spans="1:15" s="53" customFormat="1" x14ac:dyDescent="0.2">
      <c r="A222" s="196" t="s">
        <v>210</v>
      </c>
      <c r="B222" s="197">
        <v>987.50331000000006</v>
      </c>
      <c r="C222" s="197">
        <v>122.3023</v>
      </c>
      <c r="D222" s="198">
        <v>45687</v>
      </c>
      <c r="E222" s="197">
        <v>150</v>
      </c>
      <c r="F222" s="197">
        <v>3494.35</v>
      </c>
      <c r="G222" s="197">
        <v>28.26</v>
      </c>
      <c r="H222" s="197">
        <v>3.5</v>
      </c>
      <c r="I222" s="197">
        <v>31.76</v>
      </c>
      <c r="J222" s="199"/>
      <c r="K222" s="197">
        <v>1109.9223</v>
      </c>
      <c r="L222" s="197">
        <v>18345.337500000001</v>
      </c>
      <c r="M222" s="197">
        <v>166488.33749999999</v>
      </c>
      <c r="N222" s="196"/>
      <c r="O222" s="192"/>
    </row>
    <row r="223" spans="1:15" s="53" customFormat="1" x14ac:dyDescent="0.2">
      <c r="A223" s="196" t="s">
        <v>210</v>
      </c>
      <c r="B223" s="197">
        <v>987.50331000000006</v>
      </c>
      <c r="C223" s="197">
        <v>122.3023</v>
      </c>
      <c r="D223" s="198">
        <v>45715</v>
      </c>
      <c r="E223" s="197">
        <v>150</v>
      </c>
      <c r="F223" s="197">
        <v>3494.35</v>
      </c>
      <c r="G223" s="197">
        <v>28.26</v>
      </c>
      <c r="H223" s="197">
        <v>3.5</v>
      </c>
      <c r="I223" s="197">
        <v>31.76</v>
      </c>
      <c r="J223" s="199"/>
      <c r="K223" s="197">
        <v>1109.9223</v>
      </c>
      <c r="L223" s="197">
        <v>18345.337500000001</v>
      </c>
      <c r="M223" s="197">
        <v>166488.33749999999</v>
      </c>
      <c r="N223" s="196"/>
      <c r="O223" s="192"/>
    </row>
    <row r="224" spans="1:15" s="53" customFormat="1" x14ac:dyDescent="0.2">
      <c r="A224" s="196" t="s">
        <v>210</v>
      </c>
      <c r="B224" s="197">
        <v>538.70000000000005</v>
      </c>
      <c r="C224" s="197">
        <v>122.3023</v>
      </c>
      <c r="D224" s="198">
        <v>45652</v>
      </c>
      <c r="E224" s="197">
        <v>275</v>
      </c>
      <c r="F224" s="197">
        <v>3494.35</v>
      </c>
      <c r="G224" s="197">
        <v>15.41</v>
      </c>
      <c r="H224" s="197">
        <v>3.5</v>
      </c>
      <c r="I224" s="197">
        <v>18.91</v>
      </c>
      <c r="J224" s="199"/>
      <c r="K224" s="197">
        <v>661.00229999999999</v>
      </c>
      <c r="L224" s="197">
        <v>33633.118799999997</v>
      </c>
      <c r="M224" s="197">
        <v>181776.1188</v>
      </c>
      <c r="N224" s="196"/>
      <c r="O224" s="192"/>
    </row>
    <row r="225" spans="1:15" s="53" customFormat="1" x14ac:dyDescent="0.2">
      <c r="A225" s="196" t="s">
        <v>211</v>
      </c>
      <c r="B225" s="197">
        <v>87.01</v>
      </c>
      <c r="C225" s="197">
        <v>24.575299999999999</v>
      </c>
      <c r="D225" s="198">
        <v>45652</v>
      </c>
      <c r="E225" s="197">
        <v>1800</v>
      </c>
      <c r="F225" s="197">
        <v>468.1</v>
      </c>
      <c r="G225" s="197">
        <v>18.579999999999998</v>
      </c>
      <c r="H225" s="197">
        <v>5.25</v>
      </c>
      <c r="I225" s="197">
        <v>23.83</v>
      </c>
      <c r="J225" s="199"/>
      <c r="K225" s="197">
        <v>111.5853</v>
      </c>
      <c r="L225" s="197">
        <v>44235.45</v>
      </c>
      <c r="M225" s="197">
        <v>200853.45</v>
      </c>
      <c r="N225" s="196"/>
      <c r="O225" s="192"/>
    </row>
    <row r="226" spans="1:15" s="53" customFormat="1" x14ac:dyDescent="0.2">
      <c r="A226" s="196" t="s">
        <v>211</v>
      </c>
      <c r="B226" s="197">
        <v>86.972980000000007</v>
      </c>
      <c r="C226" s="197">
        <v>24.575299999999999</v>
      </c>
      <c r="D226" s="198">
        <v>45687</v>
      </c>
      <c r="E226" s="197">
        <v>1800</v>
      </c>
      <c r="F226" s="197">
        <v>468.1</v>
      </c>
      <c r="G226" s="197">
        <v>18.579999999999998</v>
      </c>
      <c r="H226" s="197">
        <v>5.25</v>
      </c>
      <c r="I226" s="197">
        <v>23.83</v>
      </c>
      <c r="J226" s="199"/>
      <c r="K226" s="197">
        <v>111.5853</v>
      </c>
      <c r="L226" s="197">
        <v>44235.45</v>
      </c>
      <c r="M226" s="197">
        <v>200853.45</v>
      </c>
      <c r="N226" s="196"/>
      <c r="O226" s="192"/>
    </row>
    <row r="227" spans="1:15" s="53" customFormat="1" x14ac:dyDescent="0.2">
      <c r="A227" s="196" t="s">
        <v>211</v>
      </c>
      <c r="B227" s="197">
        <v>86.972980000000007</v>
      </c>
      <c r="C227" s="197">
        <v>24.575299999999999</v>
      </c>
      <c r="D227" s="198">
        <v>45715</v>
      </c>
      <c r="E227" s="197">
        <v>1800</v>
      </c>
      <c r="F227" s="197">
        <v>468.1</v>
      </c>
      <c r="G227" s="197">
        <v>18.579999999999998</v>
      </c>
      <c r="H227" s="197">
        <v>5.25</v>
      </c>
      <c r="I227" s="197">
        <v>23.83</v>
      </c>
      <c r="J227" s="199"/>
      <c r="K227" s="197">
        <v>111.5853</v>
      </c>
      <c r="L227" s="197">
        <v>44235.45</v>
      </c>
      <c r="M227" s="197">
        <v>200853.45</v>
      </c>
      <c r="N227" s="196"/>
      <c r="O227" s="192"/>
    </row>
    <row r="228" spans="1:15" s="53" customFormat="1" x14ac:dyDescent="0.2">
      <c r="A228" s="196" t="s">
        <v>212</v>
      </c>
      <c r="B228" s="197">
        <v>31.27</v>
      </c>
      <c r="C228" s="197">
        <v>7.5145</v>
      </c>
      <c r="D228" s="198">
        <v>45652</v>
      </c>
      <c r="E228" s="197">
        <v>5000</v>
      </c>
      <c r="F228" s="197">
        <v>214.7</v>
      </c>
      <c r="G228" s="197">
        <v>14.56</v>
      </c>
      <c r="H228" s="197">
        <v>3.5</v>
      </c>
      <c r="I228" s="197">
        <v>18.059999999999999</v>
      </c>
      <c r="J228" s="199"/>
      <c r="K228" s="197">
        <v>38.784500000000001</v>
      </c>
      <c r="L228" s="197">
        <v>37572.5</v>
      </c>
      <c r="M228" s="197">
        <v>193922.5</v>
      </c>
      <c r="N228" s="196"/>
      <c r="O228" s="192"/>
    </row>
    <row r="229" spans="1:15" s="53" customFormat="1" x14ac:dyDescent="0.2">
      <c r="A229" s="196" t="s">
        <v>212</v>
      </c>
      <c r="B229" s="197">
        <v>31.26032</v>
      </c>
      <c r="C229" s="197">
        <v>7.5145</v>
      </c>
      <c r="D229" s="198">
        <v>45687</v>
      </c>
      <c r="E229" s="197">
        <v>5000</v>
      </c>
      <c r="F229" s="197">
        <v>214.7</v>
      </c>
      <c r="G229" s="197">
        <v>14.56</v>
      </c>
      <c r="H229" s="197">
        <v>3.5</v>
      </c>
      <c r="I229" s="197">
        <v>18.060000000000002</v>
      </c>
      <c r="J229" s="199"/>
      <c r="K229" s="197">
        <v>38.784500000000001</v>
      </c>
      <c r="L229" s="197">
        <v>37572.5</v>
      </c>
      <c r="M229" s="197">
        <v>193922.5</v>
      </c>
      <c r="N229" s="196"/>
      <c r="O229" s="192"/>
    </row>
    <row r="230" spans="1:15" s="53" customFormat="1" x14ac:dyDescent="0.2">
      <c r="A230" s="196" t="s">
        <v>212</v>
      </c>
      <c r="B230" s="197">
        <v>31.26032</v>
      </c>
      <c r="C230" s="197">
        <v>7.5145</v>
      </c>
      <c r="D230" s="198">
        <v>45715</v>
      </c>
      <c r="E230" s="197">
        <v>5000</v>
      </c>
      <c r="F230" s="197">
        <v>214.7</v>
      </c>
      <c r="G230" s="197">
        <v>14.56</v>
      </c>
      <c r="H230" s="197">
        <v>3.5</v>
      </c>
      <c r="I230" s="197">
        <v>18.060000000000002</v>
      </c>
      <c r="J230" s="199"/>
      <c r="K230" s="197">
        <v>38.784500000000001</v>
      </c>
      <c r="L230" s="197">
        <v>37572.5</v>
      </c>
      <c r="M230" s="197">
        <v>193922.5</v>
      </c>
      <c r="N230" s="196"/>
      <c r="O230" s="192"/>
    </row>
    <row r="231" spans="1:15" s="53" customFormat="1" x14ac:dyDescent="0.2">
      <c r="A231" s="196" t="s">
        <v>480</v>
      </c>
      <c r="B231" s="197">
        <v>2822.8</v>
      </c>
      <c r="C231" s="197">
        <v>496.06099999999998</v>
      </c>
      <c r="D231" s="198">
        <v>45657</v>
      </c>
      <c r="E231" s="197">
        <v>25</v>
      </c>
      <c r="F231" s="197">
        <v>24803.05</v>
      </c>
      <c r="G231" s="197">
        <v>11.38</v>
      </c>
      <c r="H231" s="197">
        <v>2</v>
      </c>
      <c r="I231" s="197">
        <v>13.38</v>
      </c>
      <c r="J231" s="199"/>
      <c r="K231" s="197">
        <v>3318.8609999999999</v>
      </c>
      <c r="L231" s="197">
        <v>12401.525</v>
      </c>
      <c r="M231" s="197">
        <v>82971.524999999994</v>
      </c>
      <c r="N231" s="196"/>
      <c r="O231" s="192"/>
    </row>
    <row r="232" spans="1:15" s="53" customFormat="1" x14ac:dyDescent="0.2">
      <c r="A232" s="196" t="s">
        <v>480</v>
      </c>
      <c r="B232" s="197">
        <v>2822.58709</v>
      </c>
      <c r="C232" s="197">
        <v>496.06099999999998</v>
      </c>
      <c r="D232" s="198">
        <v>45685</v>
      </c>
      <c r="E232" s="197">
        <v>25</v>
      </c>
      <c r="F232" s="197">
        <v>24803.05</v>
      </c>
      <c r="G232" s="197">
        <v>11.38</v>
      </c>
      <c r="H232" s="197">
        <v>2</v>
      </c>
      <c r="I232" s="197">
        <v>13.38</v>
      </c>
      <c r="J232" s="199"/>
      <c r="K232" s="197">
        <v>3318.8609999999999</v>
      </c>
      <c r="L232" s="197">
        <v>12401.525</v>
      </c>
      <c r="M232" s="197">
        <v>82971.524999999994</v>
      </c>
      <c r="N232" s="196"/>
      <c r="O232" s="192"/>
    </row>
    <row r="233" spans="1:15" s="53" customFormat="1" x14ac:dyDescent="0.2">
      <c r="A233" s="196" t="s">
        <v>480</v>
      </c>
      <c r="B233" s="197">
        <v>2822.58709</v>
      </c>
      <c r="C233" s="197">
        <v>496.06099999999998</v>
      </c>
      <c r="D233" s="198">
        <v>45713</v>
      </c>
      <c r="E233" s="197">
        <v>25</v>
      </c>
      <c r="F233" s="197">
        <v>24803.05</v>
      </c>
      <c r="G233" s="197">
        <v>11.38</v>
      </c>
      <c r="H233" s="197">
        <v>2</v>
      </c>
      <c r="I233" s="197">
        <v>13.38</v>
      </c>
      <c r="J233" s="199"/>
      <c r="K233" s="197">
        <v>3318.8609999999999</v>
      </c>
      <c r="L233" s="197">
        <v>12401.525</v>
      </c>
      <c r="M233" s="197">
        <v>82971.524999999994</v>
      </c>
      <c r="N233" s="196"/>
      <c r="O233" s="192"/>
    </row>
    <row r="234" spans="1:15" s="53" customFormat="1" x14ac:dyDescent="0.2">
      <c r="A234" s="196" t="s">
        <v>213</v>
      </c>
      <c r="B234" s="197">
        <v>78.224580000000003</v>
      </c>
      <c r="C234" s="197">
        <v>7.2030000000000003</v>
      </c>
      <c r="D234" s="198">
        <v>45687</v>
      </c>
      <c r="E234" s="197">
        <v>2350</v>
      </c>
      <c r="F234" s="197">
        <v>205.8</v>
      </c>
      <c r="G234" s="197">
        <v>38.01</v>
      </c>
      <c r="H234" s="197">
        <v>3.5</v>
      </c>
      <c r="I234" s="197">
        <v>41.51</v>
      </c>
      <c r="J234" s="199"/>
      <c r="K234" s="197">
        <v>85.442999999999998</v>
      </c>
      <c r="L234" s="197">
        <v>16927.05</v>
      </c>
      <c r="M234" s="197">
        <v>200796.05</v>
      </c>
      <c r="N234" s="196"/>
      <c r="O234" s="192"/>
    </row>
    <row r="235" spans="1:15" s="53" customFormat="1" x14ac:dyDescent="0.2">
      <c r="A235" s="196" t="s">
        <v>213</v>
      </c>
      <c r="B235" s="197">
        <v>78.224580000000003</v>
      </c>
      <c r="C235" s="197">
        <v>7.2030000000000003</v>
      </c>
      <c r="D235" s="198">
        <v>45715</v>
      </c>
      <c r="E235" s="197">
        <v>2350</v>
      </c>
      <c r="F235" s="197">
        <v>205.8</v>
      </c>
      <c r="G235" s="197">
        <v>38.01</v>
      </c>
      <c r="H235" s="197">
        <v>3.5</v>
      </c>
      <c r="I235" s="197">
        <v>41.51</v>
      </c>
      <c r="J235" s="199"/>
      <c r="K235" s="197">
        <v>85.442999999999998</v>
      </c>
      <c r="L235" s="197">
        <v>16927.05</v>
      </c>
      <c r="M235" s="197">
        <v>200796.05</v>
      </c>
      <c r="N235" s="196"/>
      <c r="O235" s="192"/>
    </row>
    <row r="236" spans="1:15" s="53" customFormat="1" x14ac:dyDescent="0.2">
      <c r="A236" s="196" t="s">
        <v>213</v>
      </c>
      <c r="B236" s="197">
        <v>40.19</v>
      </c>
      <c r="C236" s="197">
        <v>7.2030000000000003</v>
      </c>
      <c r="D236" s="198">
        <v>45652</v>
      </c>
      <c r="E236" s="197">
        <v>4575</v>
      </c>
      <c r="F236" s="197">
        <v>205.8</v>
      </c>
      <c r="G236" s="197">
        <v>19.52</v>
      </c>
      <c r="H236" s="197">
        <v>3.5</v>
      </c>
      <c r="I236" s="197">
        <v>23.02</v>
      </c>
      <c r="J236" s="199"/>
      <c r="K236" s="197">
        <v>47.393000000000001</v>
      </c>
      <c r="L236" s="197">
        <v>32953.724999999999</v>
      </c>
      <c r="M236" s="197">
        <v>216822.72500000001</v>
      </c>
      <c r="N236" s="196"/>
      <c r="O236" s="192"/>
    </row>
    <row r="237" spans="1:15" s="53" customFormat="1" x14ac:dyDescent="0.2">
      <c r="A237" s="196" t="s">
        <v>214</v>
      </c>
      <c r="B237" s="197">
        <v>563.08896000000004</v>
      </c>
      <c r="C237" s="197">
        <v>53.423999999999999</v>
      </c>
      <c r="D237" s="198">
        <v>45687</v>
      </c>
      <c r="E237" s="197">
        <v>325</v>
      </c>
      <c r="F237" s="197">
        <v>1526.4</v>
      </c>
      <c r="G237" s="197">
        <v>36.89</v>
      </c>
      <c r="H237" s="197">
        <v>3.5</v>
      </c>
      <c r="I237" s="197">
        <v>40.39</v>
      </c>
      <c r="J237" s="199"/>
      <c r="K237" s="197">
        <v>616.62400000000002</v>
      </c>
      <c r="L237" s="197">
        <v>17362.8</v>
      </c>
      <c r="M237" s="197">
        <v>200403.8</v>
      </c>
      <c r="N237" s="196"/>
      <c r="O237" s="192"/>
    </row>
    <row r="238" spans="1:15" s="53" customFormat="1" x14ac:dyDescent="0.2">
      <c r="A238" s="196" t="s">
        <v>214</v>
      </c>
      <c r="B238" s="197">
        <v>563.08896000000004</v>
      </c>
      <c r="C238" s="197">
        <v>53.423999999999999</v>
      </c>
      <c r="D238" s="198">
        <v>45715</v>
      </c>
      <c r="E238" s="197">
        <v>325</v>
      </c>
      <c r="F238" s="197">
        <v>1526.4</v>
      </c>
      <c r="G238" s="197">
        <v>36.89</v>
      </c>
      <c r="H238" s="197">
        <v>3.5</v>
      </c>
      <c r="I238" s="197">
        <v>40.39</v>
      </c>
      <c r="J238" s="199"/>
      <c r="K238" s="197">
        <v>616.62400000000002</v>
      </c>
      <c r="L238" s="197">
        <v>17362.8</v>
      </c>
      <c r="M238" s="197">
        <v>200403.8</v>
      </c>
      <c r="N238" s="196"/>
      <c r="O238" s="192"/>
    </row>
    <row r="239" spans="1:15" s="53" customFormat="1" x14ac:dyDescent="0.2">
      <c r="A239" s="196" t="s">
        <v>214</v>
      </c>
      <c r="B239" s="197">
        <v>252.47</v>
      </c>
      <c r="C239" s="197">
        <v>53.423999999999999</v>
      </c>
      <c r="D239" s="198">
        <v>45652</v>
      </c>
      <c r="E239" s="197">
        <v>725</v>
      </c>
      <c r="F239" s="197">
        <v>1526.4</v>
      </c>
      <c r="G239" s="197">
        <v>16.54</v>
      </c>
      <c r="H239" s="197">
        <v>3.5</v>
      </c>
      <c r="I239" s="197">
        <v>20.04</v>
      </c>
      <c r="J239" s="199"/>
      <c r="K239" s="197">
        <v>305.89400000000001</v>
      </c>
      <c r="L239" s="197">
        <v>38732.400000000001</v>
      </c>
      <c r="M239" s="197">
        <v>221773.4</v>
      </c>
      <c r="N239" s="196"/>
      <c r="O239" s="192"/>
    </row>
    <row r="240" spans="1:15" s="53" customFormat="1" x14ac:dyDescent="0.2">
      <c r="A240" s="196" t="s">
        <v>631</v>
      </c>
      <c r="B240" s="197">
        <v>18.079999999999998</v>
      </c>
      <c r="C240" s="197">
        <v>2.9904000000000002</v>
      </c>
      <c r="D240" s="198">
        <v>45652</v>
      </c>
      <c r="E240" s="197">
        <v>5625</v>
      </c>
      <c r="F240" s="197">
        <v>85.44</v>
      </c>
      <c r="G240" s="197">
        <v>21.16</v>
      </c>
      <c r="H240" s="197">
        <v>3.5</v>
      </c>
      <c r="I240" s="197">
        <v>24.66</v>
      </c>
      <c r="J240" s="199"/>
      <c r="K240" s="197">
        <v>21.070399999999999</v>
      </c>
      <c r="L240" s="197">
        <v>16821</v>
      </c>
      <c r="M240" s="197">
        <v>118521</v>
      </c>
      <c r="N240" s="196"/>
      <c r="O240" s="192"/>
    </row>
    <row r="241" spans="1:15" s="53" customFormat="1" x14ac:dyDescent="0.2">
      <c r="A241" s="196" t="s">
        <v>631</v>
      </c>
      <c r="B241" s="197">
        <v>18.079104000000001</v>
      </c>
      <c r="C241" s="197">
        <v>2.9904000000000002</v>
      </c>
      <c r="D241" s="198">
        <v>45687</v>
      </c>
      <c r="E241" s="197">
        <v>5625</v>
      </c>
      <c r="F241" s="197">
        <v>85.44</v>
      </c>
      <c r="G241" s="197">
        <v>21.16</v>
      </c>
      <c r="H241" s="197">
        <v>3.5</v>
      </c>
      <c r="I241" s="197">
        <v>24.66</v>
      </c>
      <c r="J241" s="199"/>
      <c r="K241" s="197">
        <v>21.070399999999999</v>
      </c>
      <c r="L241" s="197">
        <v>16821</v>
      </c>
      <c r="M241" s="197">
        <v>118521</v>
      </c>
      <c r="N241" s="196"/>
      <c r="O241" s="192"/>
    </row>
    <row r="242" spans="1:15" s="53" customFormat="1" x14ac:dyDescent="0.2">
      <c r="A242" s="196" t="s">
        <v>631</v>
      </c>
      <c r="B242" s="197">
        <v>18.079104000000001</v>
      </c>
      <c r="C242" s="197">
        <v>2.9904000000000002</v>
      </c>
      <c r="D242" s="198">
        <v>45715</v>
      </c>
      <c r="E242" s="197">
        <v>5625</v>
      </c>
      <c r="F242" s="197">
        <v>85.44</v>
      </c>
      <c r="G242" s="197">
        <v>21.16</v>
      </c>
      <c r="H242" s="197">
        <v>3.5</v>
      </c>
      <c r="I242" s="197">
        <v>24.66</v>
      </c>
      <c r="J242" s="199"/>
      <c r="K242" s="197">
        <v>21.070399999999999</v>
      </c>
      <c r="L242" s="197">
        <v>16821</v>
      </c>
      <c r="M242" s="197">
        <v>118521</v>
      </c>
      <c r="N242" s="196"/>
      <c r="O242" s="192"/>
    </row>
    <row r="243" spans="1:15" s="53" customFormat="1" x14ac:dyDescent="0.2">
      <c r="A243" s="196" t="s">
        <v>546</v>
      </c>
      <c r="B243" s="197">
        <v>118.36</v>
      </c>
      <c r="C243" s="197">
        <v>32.796799999999998</v>
      </c>
      <c r="D243" s="198">
        <v>45652</v>
      </c>
      <c r="E243" s="197">
        <v>1300</v>
      </c>
      <c r="F243" s="197">
        <v>624.70000000000005</v>
      </c>
      <c r="G243" s="197">
        <v>18.940000000000001</v>
      </c>
      <c r="H243" s="197">
        <v>5.25</v>
      </c>
      <c r="I243" s="197">
        <v>24.19</v>
      </c>
      <c r="J243" s="199"/>
      <c r="K243" s="197">
        <v>151.1568</v>
      </c>
      <c r="L243" s="197">
        <v>42635.775000000001</v>
      </c>
      <c r="M243" s="197">
        <v>196503.77499999999</v>
      </c>
      <c r="N243" s="196"/>
      <c r="O243" s="192"/>
    </row>
    <row r="244" spans="1:15" s="53" customFormat="1" x14ac:dyDescent="0.2">
      <c r="A244" s="196" t="s">
        <v>546</v>
      </c>
      <c r="B244" s="197">
        <v>118.31818</v>
      </c>
      <c r="C244" s="197">
        <v>32.796799999999998</v>
      </c>
      <c r="D244" s="198">
        <v>45687</v>
      </c>
      <c r="E244" s="197">
        <v>1300</v>
      </c>
      <c r="F244" s="197">
        <v>624.70000000000005</v>
      </c>
      <c r="G244" s="197">
        <v>18.940000000000001</v>
      </c>
      <c r="H244" s="197">
        <v>5.25</v>
      </c>
      <c r="I244" s="197">
        <v>24.19</v>
      </c>
      <c r="J244" s="199"/>
      <c r="K244" s="197">
        <v>151.1568</v>
      </c>
      <c r="L244" s="197">
        <v>42635.775000000001</v>
      </c>
      <c r="M244" s="197">
        <v>196503.77499999999</v>
      </c>
      <c r="N244" s="196"/>
      <c r="O244" s="192"/>
    </row>
    <row r="245" spans="1:15" s="53" customFormat="1" x14ac:dyDescent="0.2">
      <c r="A245" s="196" t="s">
        <v>546</v>
      </c>
      <c r="B245" s="197">
        <v>118.31818</v>
      </c>
      <c r="C245" s="197">
        <v>32.796799999999998</v>
      </c>
      <c r="D245" s="198">
        <v>45715</v>
      </c>
      <c r="E245" s="197">
        <v>1300</v>
      </c>
      <c r="F245" s="197">
        <v>624.70000000000005</v>
      </c>
      <c r="G245" s="197">
        <v>18.940000000000001</v>
      </c>
      <c r="H245" s="197">
        <v>5.25</v>
      </c>
      <c r="I245" s="197">
        <v>24.19</v>
      </c>
      <c r="J245" s="199"/>
      <c r="K245" s="197">
        <v>151.1568</v>
      </c>
      <c r="L245" s="197">
        <v>42635.775000000001</v>
      </c>
      <c r="M245" s="197">
        <v>196503.77499999999</v>
      </c>
      <c r="N245" s="196"/>
      <c r="O245" s="192"/>
    </row>
    <row r="246" spans="1:15" s="53" customFormat="1" x14ac:dyDescent="0.2">
      <c r="A246" s="196" t="s">
        <v>217</v>
      </c>
      <c r="B246" s="197">
        <v>164.28</v>
      </c>
      <c r="C246" s="197">
        <v>39.735500000000002</v>
      </c>
      <c r="D246" s="198">
        <v>45652</v>
      </c>
      <c r="E246" s="197">
        <v>500</v>
      </c>
      <c r="F246" s="197">
        <v>1135.3</v>
      </c>
      <c r="G246" s="197">
        <v>14.47</v>
      </c>
      <c r="H246" s="197">
        <v>3.5</v>
      </c>
      <c r="I246" s="197">
        <v>17.97</v>
      </c>
      <c r="J246" s="199"/>
      <c r="K246" s="197">
        <v>204.0155</v>
      </c>
      <c r="L246" s="197">
        <v>19867.75</v>
      </c>
      <c r="M246" s="197">
        <v>102007.75</v>
      </c>
      <c r="N246" s="196"/>
      <c r="O246" s="192"/>
    </row>
    <row r="247" spans="1:15" s="53" customFormat="1" x14ac:dyDescent="0.2">
      <c r="A247" s="196" t="s">
        <v>217</v>
      </c>
      <c r="B247" s="197">
        <v>164.27790999999999</v>
      </c>
      <c r="C247" s="197">
        <v>39.735500000000002</v>
      </c>
      <c r="D247" s="198">
        <v>45687</v>
      </c>
      <c r="E247" s="197">
        <v>500</v>
      </c>
      <c r="F247" s="197">
        <v>1135.3</v>
      </c>
      <c r="G247" s="197">
        <v>14.47</v>
      </c>
      <c r="H247" s="197">
        <v>3.5</v>
      </c>
      <c r="I247" s="197">
        <v>17.97</v>
      </c>
      <c r="J247" s="199"/>
      <c r="K247" s="197">
        <v>204.0155</v>
      </c>
      <c r="L247" s="197">
        <v>19867.75</v>
      </c>
      <c r="M247" s="197">
        <v>102007.75</v>
      </c>
      <c r="N247" s="196"/>
      <c r="O247" s="192"/>
    </row>
    <row r="248" spans="1:15" s="53" customFormat="1" x14ac:dyDescent="0.2">
      <c r="A248" s="196" t="s">
        <v>217</v>
      </c>
      <c r="B248" s="197">
        <v>164.27790999999999</v>
      </c>
      <c r="C248" s="197">
        <v>39.735500000000002</v>
      </c>
      <c r="D248" s="198">
        <v>45715</v>
      </c>
      <c r="E248" s="197">
        <v>500</v>
      </c>
      <c r="F248" s="197">
        <v>1135.3</v>
      </c>
      <c r="G248" s="197">
        <v>14.47</v>
      </c>
      <c r="H248" s="197">
        <v>3.5</v>
      </c>
      <c r="I248" s="197">
        <v>17.97</v>
      </c>
      <c r="J248" s="199"/>
      <c r="K248" s="197">
        <v>204.0155</v>
      </c>
      <c r="L248" s="197">
        <v>19867.75</v>
      </c>
      <c r="M248" s="197">
        <v>102007.75</v>
      </c>
      <c r="N248" s="196"/>
      <c r="O248" s="192"/>
    </row>
    <row r="249" spans="1:15" s="53" customFormat="1" x14ac:dyDescent="0.2">
      <c r="A249" s="196" t="s">
        <v>218</v>
      </c>
      <c r="B249" s="197">
        <v>599.22</v>
      </c>
      <c r="C249" s="197">
        <v>101.9498</v>
      </c>
      <c r="D249" s="198">
        <v>45652</v>
      </c>
      <c r="E249" s="197">
        <v>225</v>
      </c>
      <c r="F249" s="197">
        <v>2912.85</v>
      </c>
      <c r="G249" s="197">
        <v>20.57</v>
      </c>
      <c r="H249" s="197">
        <v>3.5</v>
      </c>
      <c r="I249" s="197">
        <v>24.07</v>
      </c>
      <c r="J249" s="199"/>
      <c r="K249" s="197">
        <v>701.16980000000001</v>
      </c>
      <c r="L249" s="197">
        <v>22938.693800000001</v>
      </c>
      <c r="M249" s="197">
        <v>157763.69380000001</v>
      </c>
      <c r="N249" s="196"/>
      <c r="O249" s="192"/>
    </row>
    <row r="250" spans="1:15" s="53" customFormat="1" x14ac:dyDescent="0.2">
      <c r="A250" s="196" t="s">
        <v>218</v>
      </c>
      <c r="B250" s="197">
        <v>599.17324499999995</v>
      </c>
      <c r="C250" s="197">
        <v>101.9498</v>
      </c>
      <c r="D250" s="198">
        <v>45687</v>
      </c>
      <c r="E250" s="197">
        <v>225</v>
      </c>
      <c r="F250" s="197">
        <v>2912.85</v>
      </c>
      <c r="G250" s="197">
        <v>20.57</v>
      </c>
      <c r="H250" s="197">
        <v>3.5</v>
      </c>
      <c r="I250" s="197">
        <v>24.07</v>
      </c>
      <c r="J250" s="199"/>
      <c r="K250" s="197">
        <v>701.16980000000001</v>
      </c>
      <c r="L250" s="197">
        <v>22938.693800000001</v>
      </c>
      <c r="M250" s="197">
        <v>157763.69380000001</v>
      </c>
      <c r="N250" s="196"/>
      <c r="O250" s="192"/>
    </row>
    <row r="251" spans="1:15" s="53" customFormat="1" x14ac:dyDescent="0.2">
      <c r="A251" s="196" t="s">
        <v>218</v>
      </c>
      <c r="B251" s="197">
        <v>599.17324499999995</v>
      </c>
      <c r="C251" s="197">
        <v>101.9498</v>
      </c>
      <c r="D251" s="198">
        <v>45715</v>
      </c>
      <c r="E251" s="197">
        <v>225</v>
      </c>
      <c r="F251" s="197">
        <v>2912.85</v>
      </c>
      <c r="G251" s="197">
        <v>20.57</v>
      </c>
      <c r="H251" s="197">
        <v>3.5</v>
      </c>
      <c r="I251" s="197">
        <v>24.07</v>
      </c>
      <c r="J251" s="199"/>
      <c r="K251" s="197">
        <v>701.16980000000001</v>
      </c>
      <c r="L251" s="197">
        <v>22938.693800000001</v>
      </c>
      <c r="M251" s="197">
        <v>157763.69380000001</v>
      </c>
      <c r="N251" s="196"/>
      <c r="O251" s="192"/>
    </row>
    <row r="252" spans="1:15" s="53" customFormat="1" x14ac:dyDescent="0.2">
      <c r="A252" s="196" t="s">
        <v>492</v>
      </c>
      <c r="B252" s="197">
        <v>127.47</v>
      </c>
      <c r="C252" s="197">
        <v>81.941999999999993</v>
      </c>
      <c r="D252" s="198">
        <v>45652</v>
      </c>
      <c r="E252" s="197">
        <v>1000</v>
      </c>
      <c r="F252" s="197">
        <v>585.29999999999995</v>
      </c>
      <c r="G252" s="197">
        <v>21.77</v>
      </c>
      <c r="H252" s="197">
        <v>14</v>
      </c>
      <c r="I252" s="197">
        <v>35.770000000000003</v>
      </c>
      <c r="J252" s="199"/>
      <c r="K252" s="197">
        <v>209.41200000000001</v>
      </c>
      <c r="L252" s="197">
        <v>81942</v>
      </c>
      <c r="M252" s="197">
        <v>209412</v>
      </c>
      <c r="N252" s="196"/>
      <c r="O252" s="192"/>
    </row>
    <row r="253" spans="1:15" s="53" customFormat="1" x14ac:dyDescent="0.2">
      <c r="A253" s="196" t="s">
        <v>492</v>
      </c>
      <c r="B253" s="197">
        <v>127.41981</v>
      </c>
      <c r="C253" s="197">
        <v>81.941999999999993</v>
      </c>
      <c r="D253" s="198">
        <v>45687</v>
      </c>
      <c r="E253" s="197">
        <v>1000</v>
      </c>
      <c r="F253" s="197">
        <v>585.29999999999995</v>
      </c>
      <c r="G253" s="197">
        <v>21.77</v>
      </c>
      <c r="H253" s="197">
        <v>14</v>
      </c>
      <c r="I253" s="197">
        <v>35.769999999999996</v>
      </c>
      <c r="J253" s="199"/>
      <c r="K253" s="197">
        <v>209.41200000000001</v>
      </c>
      <c r="L253" s="197">
        <v>81942</v>
      </c>
      <c r="M253" s="197">
        <v>209412</v>
      </c>
      <c r="N253" s="196"/>
      <c r="O253" s="192"/>
    </row>
    <row r="254" spans="1:15" s="53" customFormat="1" x14ac:dyDescent="0.2">
      <c r="A254" s="196" t="s">
        <v>492</v>
      </c>
      <c r="B254" s="197">
        <v>127.41981</v>
      </c>
      <c r="C254" s="197">
        <v>81.941999999999993</v>
      </c>
      <c r="D254" s="198">
        <v>45715</v>
      </c>
      <c r="E254" s="197">
        <v>1000</v>
      </c>
      <c r="F254" s="197">
        <v>585.29999999999995</v>
      </c>
      <c r="G254" s="197">
        <v>21.77</v>
      </c>
      <c r="H254" s="197">
        <v>14</v>
      </c>
      <c r="I254" s="197">
        <v>35.769999999999996</v>
      </c>
      <c r="J254" s="199"/>
      <c r="K254" s="197">
        <v>209.41200000000001</v>
      </c>
      <c r="L254" s="197">
        <v>81942</v>
      </c>
      <c r="M254" s="197">
        <v>209412</v>
      </c>
      <c r="N254" s="196"/>
      <c r="O254" s="192"/>
    </row>
    <row r="255" spans="1:15" s="53" customFormat="1" x14ac:dyDescent="0.2">
      <c r="A255" s="196" t="s">
        <v>219</v>
      </c>
      <c r="B255" s="197">
        <v>381.31</v>
      </c>
      <c r="C255" s="197">
        <v>93.476299999999995</v>
      </c>
      <c r="D255" s="198">
        <v>45652</v>
      </c>
      <c r="E255" s="197">
        <v>250</v>
      </c>
      <c r="F255" s="197">
        <v>2670.75</v>
      </c>
      <c r="G255" s="197">
        <v>14.27</v>
      </c>
      <c r="H255" s="197">
        <v>3.5</v>
      </c>
      <c r="I255" s="197">
        <v>17.77</v>
      </c>
      <c r="J255" s="199"/>
      <c r="K255" s="197">
        <v>474.78629999999998</v>
      </c>
      <c r="L255" s="197">
        <v>23369.0625</v>
      </c>
      <c r="M255" s="197">
        <v>118697.0625</v>
      </c>
      <c r="N255" s="196"/>
      <c r="O255" s="192"/>
    </row>
    <row r="256" spans="1:15" s="53" customFormat="1" x14ac:dyDescent="0.2">
      <c r="A256" s="196" t="s">
        <v>219</v>
      </c>
      <c r="B256" s="197">
        <v>381.11602499999998</v>
      </c>
      <c r="C256" s="197">
        <v>93.476299999999995</v>
      </c>
      <c r="D256" s="198">
        <v>45687</v>
      </c>
      <c r="E256" s="197">
        <v>250</v>
      </c>
      <c r="F256" s="197">
        <v>2670.75</v>
      </c>
      <c r="G256" s="197">
        <v>14.27</v>
      </c>
      <c r="H256" s="197">
        <v>3.5</v>
      </c>
      <c r="I256" s="197">
        <v>17.77</v>
      </c>
      <c r="J256" s="199"/>
      <c r="K256" s="197">
        <v>474.78629999999998</v>
      </c>
      <c r="L256" s="197">
        <v>23369.0625</v>
      </c>
      <c r="M256" s="197">
        <v>118697.0625</v>
      </c>
      <c r="N256" s="196"/>
      <c r="O256" s="192"/>
    </row>
    <row r="257" spans="1:15" s="53" customFormat="1" x14ac:dyDescent="0.2">
      <c r="A257" s="196" t="s">
        <v>219</v>
      </c>
      <c r="B257" s="197">
        <v>381.11602499999998</v>
      </c>
      <c r="C257" s="197">
        <v>93.476299999999995</v>
      </c>
      <c r="D257" s="198">
        <v>45715</v>
      </c>
      <c r="E257" s="197">
        <v>250</v>
      </c>
      <c r="F257" s="197">
        <v>2670.75</v>
      </c>
      <c r="G257" s="197">
        <v>14.27</v>
      </c>
      <c r="H257" s="197">
        <v>3.5</v>
      </c>
      <c r="I257" s="197">
        <v>17.77</v>
      </c>
      <c r="J257" s="199"/>
      <c r="K257" s="197">
        <v>474.78629999999998</v>
      </c>
      <c r="L257" s="197">
        <v>23369.0625</v>
      </c>
      <c r="M257" s="197">
        <v>118697.0625</v>
      </c>
      <c r="N257" s="196"/>
      <c r="O257" s="192"/>
    </row>
    <row r="258" spans="1:15" s="53" customFormat="1" x14ac:dyDescent="0.2">
      <c r="A258" s="196" t="s">
        <v>491</v>
      </c>
      <c r="B258" s="197">
        <v>89.44</v>
      </c>
      <c r="C258" s="197">
        <v>18.143999999999998</v>
      </c>
      <c r="D258" s="198">
        <v>45652</v>
      </c>
      <c r="E258" s="197">
        <v>1250</v>
      </c>
      <c r="F258" s="197">
        <v>518.4</v>
      </c>
      <c r="G258" s="197">
        <v>17.25</v>
      </c>
      <c r="H258" s="197">
        <v>3.5</v>
      </c>
      <c r="I258" s="197">
        <v>20.75</v>
      </c>
      <c r="J258" s="199"/>
      <c r="K258" s="197">
        <v>107.584</v>
      </c>
      <c r="L258" s="197">
        <v>22680</v>
      </c>
      <c r="M258" s="197">
        <v>134480</v>
      </c>
      <c r="N258" s="196"/>
      <c r="O258" s="192"/>
    </row>
    <row r="259" spans="1:15" s="53" customFormat="1" x14ac:dyDescent="0.2">
      <c r="A259" s="196" t="s">
        <v>491</v>
      </c>
      <c r="B259" s="197">
        <v>89.424000000000007</v>
      </c>
      <c r="C259" s="197">
        <v>18.143999999999998</v>
      </c>
      <c r="D259" s="198">
        <v>45687</v>
      </c>
      <c r="E259" s="197">
        <v>1250</v>
      </c>
      <c r="F259" s="197">
        <v>518.4</v>
      </c>
      <c r="G259" s="197">
        <v>17.25</v>
      </c>
      <c r="H259" s="197">
        <v>3.5</v>
      </c>
      <c r="I259" s="197">
        <v>20.75</v>
      </c>
      <c r="J259" s="199"/>
      <c r="K259" s="197">
        <v>107.584</v>
      </c>
      <c r="L259" s="197">
        <v>22680</v>
      </c>
      <c r="M259" s="197">
        <v>134480</v>
      </c>
      <c r="N259" s="196"/>
      <c r="O259" s="192"/>
    </row>
    <row r="260" spans="1:15" s="53" customFormat="1" x14ac:dyDescent="0.2">
      <c r="A260" s="196" t="s">
        <v>491</v>
      </c>
      <c r="B260" s="197">
        <v>89.424000000000007</v>
      </c>
      <c r="C260" s="197">
        <v>18.143999999999998</v>
      </c>
      <c r="D260" s="198">
        <v>45715</v>
      </c>
      <c r="E260" s="197">
        <v>1250</v>
      </c>
      <c r="F260" s="197">
        <v>518.4</v>
      </c>
      <c r="G260" s="197">
        <v>17.25</v>
      </c>
      <c r="H260" s="197">
        <v>3.5</v>
      </c>
      <c r="I260" s="197">
        <v>20.75</v>
      </c>
      <c r="J260" s="199"/>
      <c r="K260" s="197">
        <v>107.584</v>
      </c>
      <c r="L260" s="197">
        <v>22680</v>
      </c>
      <c r="M260" s="197">
        <v>134480</v>
      </c>
      <c r="N260" s="196"/>
      <c r="O260" s="192"/>
    </row>
    <row r="261" spans="1:15" s="53" customFormat="1" x14ac:dyDescent="0.2">
      <c r="A261" s="196" t="s">
        <v>513</v>
      </c>
      <c r="B261" s="197">
        <v>937.19</v>
      </c>
      <c r="C261" s="197">
        <v>162.73949999999999</v>
      </c>
      <c r="D261" s="198">
        <v>45652</v>
      </c>
      <c r="E261" s="197">
        <v>150</v>
      </c>
      <c r="F261" s="197">
        <v>4649.7</v>
      </c>
      <c r="G261" s="197">
        <v>20.149999999999999</v>
      </c>
      <c r="H261" s="197">
        <v>3.5</v>
      </c>
      <c r="I261" s="197">
        <v>23.65</v>
      </c>
      <c r="J261" s="199"/>
      <c r="K261" s="197">
        <v>1099.9295</v>
      </c>
      <c r="L261" s="197">
        <v>24410.924999999999</v>
      </c>
      <c r="M261" s="197">
        <v>164989.92499999999</v>
      </c>
      <c r="N261" s="196"/>
      <c r="O261" s="192"/>
    </row>
    <row r="262" spans="1:15" s="53" customFormat="1" x14ac:dyDescent="0.2">
      <c r="A262" s="196" t="s">
        <v>513</v>
      </c>
      <c r="B262" s="197">
        <v>936.91454999999996</v>
      </c>
      <c r="C262" s="197">
        <v>162.73949999999999</v>
      </c>
      <c r="D262" s="198">
        <v>45687</v>
      </c>
      <c r="E262" s="197">
        <v>150</v>
      </c>
      <c r="F262" s="197">
        <v>4649.7</v>
      </c>
      <c r="G262" s="197">
        <v>20.149999999999999</v>
      </c>
      <c r="H262" s="197">
        <v>3.5</v>
      </c>
      <c r="I262" s="197">
        <v>23.65</v>
      </c>
      <c r="J262" s="199"/>
      <c r="K262" s="197">
        <v>1099.9295</v>
      </c>
      <c r="L262" s="197">
        <v>24410.924999999999</v>
      </c>
      <c r="M262" s="197">
        <v>164989.92499999999</v>
      </c>
      <c r="N262" s="196"/>
      <c r="O262" s="192"/>
    </row>
    <row r="263" spans="1:15" s="53" customFormat="1" x14ac:dyDescent="0.2">
      <c r="A263" s="196" t="s">
        <v>513</v>
      </c>
      <c r="B263" s="197">
        <v>936.91454999999996</v>
      </c>
      <c r="C263" s="197">
        <v>162.73949999999999</v>
      </c>
      <c r="D263" s="198">
        <v>45715</v>
      </c>
      <c r="E263" s="197">
        <v>150</v>
      </c>
      <c r="F263" s="197">
        <v>4649.7</v>
      </c>
      <c r="G263" s="197">
        <v>20.149999999999999</v>
      </c>
      <c r="H263" s="197">
        <v>3.5</v>
      </c>
      <c r="I263" s="197">
        <v>23.65</v>
      </c>
      <c r="J263" s="199"/>
      <c r="K263" s="197">
        <v>1099.9295</v>
      </c>
      <c r="L263" s="197">
        <v>24410.924999999999</v>
      </c>
      <c r="M263" s="197">
        <v>164989.92499999999</v>
      </c>
      <c r="N263" s="196"/>
      <c r="O263" s="192"/>
    </row>
    <row r="264" spans="1:15" s="53" customFormat="1" x14ac:dyDescent="0.2">
      <c r="A264" s="196" t="s">
        <v>220</v>
      </c>
      <c r="B264" s="197">
        <v>250.17</v>
      </c>
      <c r="C264" s="197">
        <v>61.328800000000001</v>
      </c>
      <c r="D264" s="198">
        <v>45652</v>
      </c>
      <c r="E264" s="197">
        <v>500</v>
      </c>
      <c r="F264" s="197">
        <v>1752.25</v>
      </c>
      <c r="G264" s="197">
        <v>14.27</v>
      </c>
      <c r="H264" s="197">
        <v>3.5</v>
      </c>
      <c r="I264" s="197">
        <v>17.77</v>
      </c>
      <c r="J264" s="199"/>
      <c r="K264" s="197">
        <v>311.49880000000002</v>
      </c>
      <c r="L264" s="197">
        <v>30664.375</v>
      </c>
      <c r="M264" s="197">
        <v>155749.375</v>
      </c>
      <c r="N264" s="196"/>
      <c r="O264" s="192"/>
    </row>
    <row r="265" spans="1:15" s="53" customFormat="1" x14ac:dyDescent="0.2">
      <c r="A265" s="196" t="s">
        <v>220</v>
      </c>
      <c r="B265" s="197">
        <v>250.046075</v>
      </c>
      <c r="C265" s="197">
        <v>61.328800000000001</v>
      </c>
      <c r="D265" s="198">
        <v>45687</v>
      </c>
      <c r="E265" s="197">
        <v>500</v>
      </c>
      <c r="F265" s="197">
        <v>1752.25</v>
      </c>
      <c r="G265" s="197">
        <v>14.27</v>
      </c>
      <c r="H265" s="197">
        <v>3.5</v>
      </c>
      <c r="I265" s="197">
        <v>17.77</v>
      </c>
      <c r="J265" s="199"/>
      <c r="K265" s="197">
        <v>311.49880000000002</v>
      </c>
      <c r="L265" s="197">
        <v>30664.375</v>
      </c>
      <c r="M265" s="197">
        <v>155749.375</v>
      </c>
      <c r="N265" s="196"/>
      <c r="O265" s="192"/>
    </row>
    <row r="266" spans="1:15" s="53" customFormat="1" x14ac:dyDescent="0.2">
      <c r="A266" s="196" t="s">
        <v>220</v>
      </c>
      <c r="B266" s="197">
        <v>250.046075</v>
      </c>
      <c r="C266" s="197">
        <v>61.328800000000001</v>
      </c>
      <c r="D266" s="198">
        <v>45715</v>
      </c>
      <c r="E266" s="197">
        <v>500</v>
      </c>
      <c r="F266" s="197">
        <v>1752.25</v>
      </c>
      <c r="G266" s="197">
        <v>14.27</v>
      </c>
      <c r="H266" s="197">
        <v>3.5</v>
      </c>
      <c r="I266" s="197">
        <v>17.77</v>
      </c>
      <c r="J266" s="199"/>
      <c r="K266" s="197">
        <v>311.49880000000002</v>
      </c>
      <c r="L266" s="197">
        <v>30664.375</v>
      </c>
      <c r="M266" s="197">
        <v>155749.375</v>
      </c>
      <c r="N266" s="196"/>
      <c r="O266" s="192"/>
    </row>
    <row r="267" spans="1:15" s="53" customFormat="1" x14ac:dyDescent="0.2">
      <c r="A267" s="196" t="s">
        <v>222</v>
      </c>
      <c r="B267" s="197">
        <v>275.68</v>
      </c>
      <c r="C267" s="197">
        <v>67.581500000000005</v>
      </c>
      <c r="D267" s="198">
        <v>45652</v>
      </c>
      <c r="E267" s="197">
        <v>350</v>
      </c>
      <c r="F267" s="197">
        <v>1930.9</v>
      </c>
      <c r="G267" s="197">
        <v>14.27</v>
      </c>
      <c r="H267" s="197">
        <v>3.5</v>
      </c>
      <c r="I267" s="197">
        <v>17.77</v>
      </c>
      <c r="J267" s="199"/>
      <c r="K267" s="197">
        <v>343.26150000000001</v>
      </c>
      <c r="L267" s="197">
        <v>23653.525000000001</v>
      </c>
      <c r="M267" s="197">
        <v>120141.52499999999</v>
      </c>
      <c r="N267" s="196"/>
      <c r="O267" s="192"/>
    </row>
    <row r="268" spans="1:15" s="53" customFormat="1" x14ac:dyDescent="0.2">
      <c r="A268" s="196" t="s">
        <v>222</v>
      </c>
      <c r="B268" s="197">
        <v>275.53942999999998</v>
      </c>
      <c r="C268" s="197">
        <v>67.581500000000005</v>
      </c>
      <c r="D268" s="198">
        <v>45687</v>
      </c>
      <c r="E268" s="197">
        <v>350</v>
      </c>
      <c r="F268" s="197">
        <v>1930.9</v>
      </c>
      <c r="G268" s="197">
        <v>14.27</v>
      </c>
      <c r="H268" s="197">
        <v>3.5</v>
      </c>
      <c r="I268" s="197">
        <v>17.77</v>
      </c>
      <c r="J268" s="199"/>
      <c r="K268" s="197">
        <v>343.26150000000001</v>
      </c>
      <c r="L268" s="197">
        <v>23653.525000000001</v>
      </c>
      <c r="M268" s="197">
        <v>120141.52499999999</v>
      </c>
      <c r="N268" s="196"/>
      <c r="O268" s="192"/>
    </row>
    <row r="269" spans="1:15" s="53" customFormat="1" x14ac:dyDescent="0.2">
      <c r="A269" s="196" t="s">
        <v>222</v>
      </c>
      <c r="B269" s="197">
        <v>275.53942999999998</v>
      </c>
      <c r="C269" s="197">
        <v>67.581500000000005</v>
      </c>
      <c r="D269" s="198">
        <v>45715</v>
      </c>
      <c r="E269" s="197">
        <v>350</v>
      </c>
      <c r="F269" s="197">
        <v>1930.9</v>
      </c>
      <c r="G269" s="197">
        <v>14.27</v>
      </c>
      <c r="H269" s="197">
        <v>3.5</v>
      </c>
      <c r="I269" s="197">
        <v>17.77</v>
      </c>
      <c r="J269" s="199"/>
      <c r="K269" s="197">
        <v>343.26150000000001</v>
      </c>
      <c r="L269" s="197">
        <v>23653.525000000001</v>
      </c>
      <c r="M269" s="197">
        <v>120141.52499999999</v>
      </c>
      <c r="N269" s="196"/>
      <c r="O269" s="192"/>
    </row>
    <row r="270" spans="1:15" s="53" customFormat="1" x14ac:dyDescent="0.2">
      <c r="A270" s="196" t="s">
        <v>475</v>
      </c>
      <c r="B270" s="197">
        <v>762.7</v>
      </c>
      <c r="C270" s="197">
        <v>159.03479999999999</v>
      </c>
      <c r="D270" s="198">
        <v>45652</v>
      </c>
      <c r="E270" s="197">
        <v>150</v>
      </c>
      <c r="F270" s="197">
        <v>4543.8500000000004</v>
      </c>
      <c r="G270" s="197">
        <v>16.78</v>
      </c>
      <c r="H270" s="197">
        <v>3.5</v>
      </c>
      <c r="I270" s="197">
        <v>20.28</v>
      </c>
      <c r="J270" s="199"/>
      <c r="K270" s="197">
        <v>921.73479999999995</v>
      </c>
      <c r="L270" s="197">
        <v>23855.212500000001</v>
      </c>
      <c r="M270" s="197">
        <v>138260.21249999999</v>
      </c>
      <c r="N270" s="196"/>
      <c r="O270" s="192"/>
    </row>
    <row r="271" spans="1:15" s="53" customFormat="1" x14ac:dyDescent="0.2">
      <c r="A271" s="196" t="s">
        <v>475</v>
      </c>
      <c r="B271" s="197">
        <v>762.45803000000001</v>
      </c>
      <c r="C271" s="197">
        <v>159.03479999999999</v>
      </c>
      <c r="D271" s="198">
        <v>45687</v>
      </c>
      <c r="E271" s="197">
        <v>150</v>
      </c>
      <c r="F271" s="197">
        <v>4543.8500000000004</v>
      </c>
      <c r="G271" s="197">
        <v>16.78</v>
      </c>
      <c r="H271" s="197">
        <v>3.5</v>
      </c>
      <c r="I271" s="197">
        <v>20.28</v>
      </c>
      <c r="J271" s="199"/>
      <c r="K271" s="197">
        <v>921.73479999999995</v>
      </c>
      <c r="L271" s="197">
        <v>23855.212500000001</v>
      </c>
      <c r="M271" s="197">
        <v>138260.21249999999</v>
      </c>
      <c r="N271" s="196"/>
      <c r="O271" s="192"/>
    </row>
    <row r="272" spans="1:15" s="53" customFormat="1" x14ac:dyDescent="0.2">
      <c r="A272" s="196" t="s">
        <v>475</v>
      </c>
      <c r="B272" s="197">
        <v>762.45803000000001</v>
      </c>
      <c r="C272" s="197">
        <v>159.03479999999999</v>
      </c>
      <c r="D272" s="198">
        <v>45715</v>
      </c>
      <c r="E272" s="197">
        <v>150</v>
      </c>
      <c r="F272" s="197">
        <v>4543.8500000000004</v>
      </c>
      <c r="G272" s="197">
        <v>16.78</v>
      </c>
      <c r="H272" s="197">
        <v>3.5</v>
      </c>
      <c r="I272" s="197">
        <v>20.28</v>
      </c>
      <c r="J272" s="199"/>
      <c r="K272" s="197">
        <v>921.73479999999995</v>
      </c>
      <c r="L272" s="197">
        <v>23855.212500000001</v>
      </c>
      <c r="M272" s="197">
        <v>138260.21249999999</v>
      </c>
      <c r="N272" s="196"/>
      <c r="O272" s="192"/>
    </row>
    <row r="273" spans="1:15" s="53" customFormat="1" x14ac:dyDescent="0.2">
      <c r="A273" s="196" t="s">
        <v>224</v>
      </c>
      <c r="B273" s="197">
        <v>266</v>
      </c>
      <c r="C273" s="197">
        <v>65.208500000000001</v>
      </c>
      <c r="D273" s="198">
        <v>45652</v>
      </c>
      <c r="E273" s="197">
        <v>550</v>
      </c>
      <c r="F273" s="197">
        <v>1863.1</v>
      </c>
      <c r="G273" s="197">
        <v>14.27</v>
      </c>
      <c r="H273" s="197">
        <v>3.5</v>
      </c>
      <c r="I273" s="197">
        <v>17.77</v>
      </c>
      <c r="J273" s="199"/>
      <c r="K273" s="197">
        <v>331.20850000000002</v>
      </c>
      <c r="L273" s="197">
        <v>35864.675000000003</v>
      </c>
      <c r="M273" s="197">
        <v>182164.67499999999</v>
      </c>
      <c r="N273" s="196"/>
      <c r="O273" s="192"/>
    </row>
    <row r="274" spans="1:15" s="53" customFormat="1" x14ac:dyDescent="0.2">
      <c r="A274" s="196" t="s">
        <v>224</v>
      </c>
      <c r="B274" s="197">
        <v>265.86437000000001</v>
      </c>
      <c r="C274" s="197">
        <v>65.208500000000001</v>
      </c>
      <c r="D274" s="198">
        <v>45687</v>
      </c>
      <c r="E274" s="197">
        <v>550</v>
      </c>
      <c r="F274" s="197">
        <v>1863.1</v>
      </c>
      <c r="G274" s="197">
        <v>14.27</v>
      </c>
      <c r="H274" s="197">
        <v>3.5</v>
      </c>
      <c r="I274" s="197">
        <v>17.77</v>
      </c>
      <c r="J274" s="199"/>
      <c r="K274" s="197">
        <v>331.20850000000002</v>
      </c>
      <c r="L274" s="197">
        <v>35864.675000000003</v>
      </c>
      <c r="M274" s="197">
        <v>182164.67499999999</v>
      </c>
      <c r="N274" s="196"/>
      <c r="O274" s="192"/>
    </row>
    <row r="275" spans="1:15" s="53" customFormat="1" x14ac:dyDescent="0.2">
      <c r="A275" s="196" t="s">
        <v>224</v>
      </c>
      <c r="B275" s="197">
        <v>265.86437000000001</v>
      </c>
      <c r="C275" s="197">
        <v>65.208500000000001</v>
      </c>
      <c r="D275" s="198">
        <v>45715</v>
      </c>
      <c r="E275" s="197">
        <v>550</v>
      </c>
      <c r="F275" s="197">
        <v>1863.1</v>
      </c>
      <c r="G275" s="197">
        <v>14.27</v>
      </c>
      <c r="H275" s="197">
        <v>3.5</v>
      </c>
      <c r="I275" s="197">
        <v>17.77</v>
      </c>
      <c r="J275" s="199"/>
      <c r="K275" s="197">
        <v>331.20850000000002</v>
      </c>
      <c r="L275" s="197">
        <v>35864.675000000003</v>
      </c>
      <c r="M275" s="197">
        <v>182164.67499999999</v>
      </c>
      <c r="N275" s="196"/>
      <c r="O275" s="192"/>
    </row>
    <row r="276" spans="1:15" s="53" customFormat="1" x14ac:dyDescent="0.2">
      <c r="A276" s="196" t="s">
        <v>225</v>
      </c>
      <c r="B276" s="197">
        <v>90.61</v>
      </c>
      <c r="C276" s="197">
        <v>22.212800000000001</v>
      </c>
      <c r="D276" s="198">
        <v>45652</v>
      </c>
      <c r="E276" s="197">
        <v>1100</v>
      </c>
      <c r="F276" s="197">
        <v>634.65</v>
      </c>
      <c r="G276" s="197">
        <v>14.27</v>
      </c>
      <c r="H276" s="197">
        <v>3.5</v>
      </c>
      <c r="I276" s="197">
        <v>17.77</v>
      </c>
      <c r="J276" s="199"/>
      <c r="K276" s="197">
        <v>112.8228</v>
      </c>
      <c r="L276" s="197">
        <v>24434.025000000001</v>
      </c>
      <c r="M276" s="197">
        <v>124105.02499999999</v>
      </c>
      <c r="N276" s="196"/>
      <c r="O276" s="192"/>
    </row>
    <row r="277" spans="1:15" s="53" customFormat="1" x14ac:dyDescent="0.2">
      <c r="A277" s="196" t="s">
        <v>225</v>
      </c>
      <c r="B277" s="197">
        <v>90.564554999999999</v>
      </c>
      <c r="C277" s="197">
        <v>22.212800000000001</v>
      </c>
      <c r="D277" s="198">
        <v>45687</v>
      </c>
      <c r="E277" s="197">
        <v>1100</v>
      </c>
      <c r="F277" s="197">
        <v>634.65</v>
      </c>
      <c r="G277" s="197">
        <v>14.27</v>
      </c>
      <c r="H277" s="197">
        <v>3.5</v>
      </c>
      <c r="I277" s="197">
        <v>17.77</v>
      </c>
      <c r="J277" s="199"/>
      <c r="K277" s="197">
        <v>112.8228</v>
      </c>
      <c r="L277" s="197">
        <v>24434.025000000001</v>
      </c>
      <c r="M277" s="197">
        <v>124105.02499999999</v>
      </c>
      <c r="N277" s="196"/>
      <c r="O277" s="192"/>
    </row>
    <row r="278" spans="1:15" s="53" customFormat="1" x14ac:dyDescent="0.2">
      <c r="A278" s="196" t="s">
        <v>225</v>
      </c>
      <c r="B278" s="197">
        <v>90.564554999999999</v>
      </c>
      <c r="C278" s="197">
        <v>22.212800000000001</v>
      </c>
      <c r="D278" s="198">
        <v>45715</v>
      </c>
      <c r="E278" s="197">
        <v>1100</v>
      </c>
      <c r="F278" s="197">
        <v>634.65</v>
      </c>
      <c r="G278" s="197">
        <v>14.27</v>
      </c>
      <c r="H278" s="197">
        <v>3.5</v>
      </c>
      <c r="I278" s="197">
        <v>17.77</v>
      </c>
      <c r="J278" s="199"/>
      <c r="K278" s="197">
        <v>112.8228</v>
      </c>
      <c r="L278" s="197">
        <v>24434.025000000001</v>
      </c>
      <c r="M278" s="197">
        <v>124105.02499999999</v>
      </c>
      <c r="N278" s="196"/>
      <c r="O278" s="192"/>
    </row>
    <row r="279" spans="1:15" s="53" customFormat="1" x14ac:dyDescent="0.2">
      <c r="A279" s="196" t="s">
        <v>226</v>
      </c>
      <c r="B279" s="197">
        <v>663.95</v>
      </c>
      <c r="C279" s="197">
        <v>162.76580000000001</v>
      </c>
      <c r="D279" s="198">
        <v>45652</v>
      </c>
      <c r="E279" s="197">
        <v>150</v>
      </c>
      <c r="F279" s="197">
        <v>4650.45</v>
      </c>
      <c r="G279" s="197">
        <v>14.27</v>
      </c>
      <c r="H279" s="197">
        <v>3.5</v>
      </c>
      <c r="I279" s="197">
        <v>17.77</v>
      </c>
      <c r="J279" s="199"/>
      <c r="K279" s="197">
        <v>826.71579999999994</v>
      </c>
      <c r="L279" s="197">
        <v>24414.862499999999</v>
      </c>
      <c r="M279" s="197">
        <v>124007.8625</v>
      </c>
      <c r="N279" s="196"/>
      <c r="O279" s="192"/>
    </row>
    <row r="280" spans="1:15" s="53" customFormat="1" x14ac:dyDescent="0.2">
      <c r="A280" s="196" t="s">
        <v>226</v>
      </c>
      <c r="B280" s="197">
        <v>663.61921500000005</v>
      </c>
      <c r="C280" s="197">
        <v>162.76580000000001</v>
      </c>
      <c r="D280" s="198">
        <v>45687</v>
      </c>
      <c r="E280" s="197">
        <v>150</v>
      </c>
      <c r="F280" s="197">
        <v>4650.45</v>
      </c>
      <c r="G280" s="197">
        <v>14.27</v>
      </c>
      <c r="H280" s="197">
        <v>3.5</v>
      </c>
      <c r="I280" s="197">
        <v>17.77</v>
      </c>
      <c r="J280" s="199"/>
      <c r="K280" s="197">
        <v>826.71579999999994</v>
      </c>
      <c r="L280" s="197">
        <v>24414.862499999999</v>
      </c>
      <c r="M280" s="197">
        <v>124007.8625</v>
      </c>
      <c r="N280" s="196"/>
      <c r="O280" s="192"/>
    </row>
    <row r="281" spans="1:15" s="53" customFormat="1" x14ac:dyDescent="0.2">
      <c r="A281" s="196" t="s">
        <v>226</v>
      </c>
      <c r="B281" s="197">
        <v>663.61921500000005</v>
      </c>
      <c r="C281" s="197">
        <v>162.76580000000001</v>
      </c>
      <c r="D281" s="198">
        <v>45715</v>
      </c>
      <c r="E281" s="197">
        <v>150</v>
      </c>
      <c r="F281" s="197">
        <v>4650.45</v>
      </c>
      <c r="G281" s="197">
        <v>14.27</v>
      </c>
      <c r="H281" s="197">
        <v>3.5</v>
      </c>
      <c r="I281" s="197">
        <v>17.77</v>
      </c>
      <c r="J281" s="199"/>
      <c r="K281" s="197">
        <v>826.71579999999994</v>
      </c>
      <c r="L281" s="197">
        <v>24414.862499999999</v>
      </c>
      <c r="M281" s="197">
        <v>124007.8625</v>
      </c>
      <c r="N281" s="196"/>
      <c r="O281" s="192"/>
    </row>
    <row r="282" spans="1:15" s="53" customFormat="1" x14ac:dyDescent="0.2">
      <c r="A282" s="196" t="s">
        <v>576</v>
      </c>
      <c r="B282" s="197">
        <v>35.54</v>
      </c>
      <c r="C282" s="197">
        <v>4.4275000000000002</v>
      </c>
      <c r="D282" s="198">
        <v>45652</v>
      </c>
      <c r="E282" s="197">
        <v>4150</v>
      </c>
      <c r="F282" s="197">
        <v>126.5</v>
      </c>
      <c r="G282" s="197">
        <v>28.09</v>
      </c>
      <c r="H282" s="197">
        <v>3.5</v>
      </c>
      <c r="I282" s="197">
        <v>31.59</v>
      </c>
      <c r="J282" s="199"/>
      <c r="K282" s="197">
        <v>39.967500000000001</v>
      </c>
      <c r="L282" s="197">
        <v>18374.125</v>
      </c>
      <c r="M282" s="197">
        <v>165865.125</v>
      </c>
      <c r="N282" s="196"/>
      <c r="O282" s="192"/>
    </row>
    <row r="283" spans="1:15" s="53" customFormat="1" x14ac:dyDescent="0.2">
      <c r="A283" s="196" t="s">
        <v>576</v>
      </c>
      <c r="B283" s="197">
        <v>35.533850000000001</v>
      </c>
      <c r="C283" s="197">
        <v>4.4275000000000002</v>
      </c>
      <c r="D283" s="198">
        <v>45687</v>
      </c>
      <c r="E283" s="197">
        <v>4150</v>
      </c>
      <c r="F283" s="197">
        <v>126.5</v>
      </c>
      <c r="G283" s="197">
        <v>28.09</v>
      </c>
      <c r="H283" s="197">
        <v>3.5</v>
      </c>
      <c r="I283" s="197">
        <v>31.59</v>
      </c>
      <c r="J283" s="199"/>
      <c r="K283" s="197">
        <v>39.967500000000001</v>
      </c>
      <c r="L283" s="197">
        <v>18374.125</v>
      </c>
      <c r="M283" s="197">
        <v>165865.125</v>
      </c>
      <c r="N283" s="196"/>
      <c r="O283" s="192"/>
    </row>
    <row r="284" spans="1:15" s="53" customFormat="1" x14ac:dyDescent="0.2">
      <c r="A284" s="196" t="s">
        <v>576</v>
      </c>
      <c r="B284" s="197">
        <v>35.533850000000001</v>
      </c>
      <c r="C284" s="197">
        <v>4.4275000000000002</v>
      </c>
      <c r="D284" s="198">
        <v>45715</v>
      </c>
      <c r="E284" s="197">
        <v>4150</v>
      </c>
      <c r="F284" s="197">
        <v>126.5</v>
      </c>
      <c r="G284" s="197">
        <v>28.09</v>
      </c>
      <c r="H284" s="197">
        <v>3.5</v>
      </c>
      <c r="I284" s="197">
        <v>31.59</v>
      </c>
      <c r="J284" s="199"/>
      <c r="K284" s="197">
        <v>39.967500000000001</v>
      </c>
      <c r="L284" s="197">
        <v>18374.125</v>
      </c>
      <c r="M284" s="197">
        <v>165865.125</v>
      </c>
      <c r="N284" s="196"/>
      <c r="O284" s="192"/>
    </row>
    <row r="285" spans="1:15" s="53" customFormat="1" x14ac:dyDescent="0.2">
      <c r="A285" s="196" t="s">
        <v>228</v>
      </c>
      <c r="B285" s="197">
        <v>114.87</v>
      </c>
      <c r="C285" s="197">
        <v>23.467500000000001</v>
      </c>
      <c r="D285" s="198">
        <v>45652</v>
      </c>
      <c r="E285" s="197">
        <v>1400</v>
      </c>
      <c r="F285" s="197">
        <v>670.5</v>
      </c>
      <c r="G285" s="197">
        <v>17.13</v>
      </c>
      <c r="H285" s="197">
        <v>3.5</v>
      </c>
      <c r="I285" s="197">
        <v>20.63</v>
      </c>
      <c r="J285" s="199"/>
      <c r="K285" s="197">
        <v>138.33750000000001</v>
      </c>
      <c r="L285" s="197">
        <v>32854.5</v>
      </c>
      <c r="M285" s="197">
        <v>193672.5</v>
      </c>
      <c r="N285" s="196"/>
      <c r="O285" s="192"/>
    </row>
    <row r="286" spans="1:15" s="53" customFormat="1" x14ac:dyDescent="0.2">
      <c r="A286" s="196" t="s">
        <v>228</v>
      </c>
      <c r="B286" s="197">
        <v>114.85665</v>
      </c>
      <c r="C286" s="197">
        <v>23.467500000000001</v>
      </c>
      <c r="D286" s="198">
        <v>45687</v>
      </c>
      <c r="E286" s="197">
        <v>1400</v>
      </c>
      <c r="F286" s="197">
        <v>670.5</v>
      </c>
      <c r="G286" s="197">
        <v>17.13</v>
      </c>
      <c r="H286" s="197">
        <v>3.5</v>
      </c>
      <c r="I286" s="197">
        <v>20.63</v>
      </c>
      <c r="J286" s="199"/>
      <c r="K286" s="197">
        <v>138.33750000000001</v>
      </c>
      <c r="L286" s="197">
        <v>32854.5</v>
      </c>
      <c r="M286" s="197">
        <v>193672.5</v>
      </c>
      <c r="N286" s="196"/>
      <c r="O286" s="192"/>
    </row>
    <row r="287" spans="1:15" s="53" customFormat="1" x14ac:dyDescent="0.2">
      <c r="A287" s="196" t="s">
        <v>228</v>
      </c>
      <c r="B287" s="197">
        <v>114.85665</v>
      </c>
      <c r="C287" s="197">
        <v>23.467500000000001</v>
      </c>
      <c r="D287" s="198">
        <v>45715</v>
      </c>
      <c r="E287" s="197">
        <v>1400</v>
      </c>
      <c r="F287" s="197">
        <v>670.5</v>
      </c>
      <c r="G287" s="197">
        <v>17.13</v>
      </c>
      <c r="H287" s="197">
        <v>3.5</v>
      </c>
      <c r="I287" s="197">
        <v>20.63</v>
      </c>
      <c r="J287" s="199"/>
      <c r="K287" s="197">
        <v>138.33750000000001</v>
      </c>
      <c r="L287" s="197">
        <v>32854.5</v>
      </c>
      <c r="M287" s="197">
        <v>193672.5</v>
      </c>
      <c r="N287" s="196"/>
      <c r="O287" s="192"/>
    </row>
    <row r="288" spans="1:15" s="53" customFormat="1" x14ac:dyDescent="0.2">
      <c r="A288" s="196" t="s">
        <v>547</v>
      </c>
      <c r="B288" s="197">
        <v>75.31</v>
      </c>
      <c r="C288" s="197">
        <v>53.659300000000002</v>
      </c>
      <c r="D288" s="198">
        <v>45652</v>
      </c>
      <c r="E288" s="197">
        <v>2650</v>
      </c>
      <c r="F288" s="197">
        <v>290.05</v>
      </c>
      <c r="G288" s="197">
        <v>25.96</v>
      </c>
      <c r="H288" s="197">
        <v>18.5</v>
      </c>
      <c r="I288" s="197">
        <v>44.46</v>
      </c>
      <c r="J288" s="199"/>
      <c r="K288" s="197">
        <v>128.9693</v>
      </c>
      <c r="L288" s="197">
        <v>142197.01250000001</v>
      </c>
      <c r="M288" s="197">
        <v>341769.01250000001</v>
      </c>
      <c r="N288" s="196"/>
      <c r="O288" s="192"/>
    </row>
    <row r="289" spans="1:15" s="53" customFormat="1" x14ac:dyDescent="0.2">
      <c r="A289" s="196" t="s">
        <v>547</v>
      </c>
      <c r="B289" s="197">
        <v>75.296980000000005</v>
      </c>
      <c r="C289" s="197">
        <v>53.659300000000002</v>
      </c>
      <c r="D289" s="198">
        <v>45687</v>
      </c>
      <c r="E289" s="197">
        <v>2650</v>
      </c>
      <c r="F289" s="197">
        <v>290.05</v>
      </c>
      <c r="G289" s="197">
        <v>25.96</v>
      </c>
      <c r="H289" s="197">
        <v>18.5</v>
      </c>
      <c r="I289" s="197">
        <v>44.46</v>
      </c>
      <c r="J289" s="199"/>
      <c r="K289" s="197">
        <v>128.9693</v>
      </c>
      <c r="L289" s="197">
        <v>142197.01250000001</v>
      </c>
      <c r="M289" s="197">
        <v>341769.01250000001</v>
      </c>
      <c r="N289" s="196"/>
      <c r="O289" s="192"/>
    </row>
    <row r="290" spans="1:15" s="53" customFormat="1" x14ac:dyDescent="0.2">
      <c r="A290" s="196" t="s">
        <v>547</v>
      </c>
      <c r="B290" s="197">
        <v>75.296980000000005</v>
      </c>
      <c r="C290" s="197">
        <v>53.659300000000002</v>
      </c>
      <c r="D290" s="198">
        <v>45715</v>
      </c>
      <c r="E290" s="197">
        <v>2650</v>
      </c>
      <c r="F290" s="197">
        <v>290.05</v>
      </c>
      <c r="G290" s="197">
        <v>25.96</v>
      </c>
      <c r="H290" s="197">
        <v>18.5</v>
      </c>
      <c r="I290" s="197">
        <v>44.46</v>
      </c>
      <c r="J290" s="199"/>
      <c r="K290" s="197">
        <v>128.9693</v>
      </c>
      <c r="L290" s="197">
        <v>142197.01250000001</v>
      </c>
      <c r="M290" s="197">
        <v>341769.01250000001</v>
      </c>
      <c r="N290" s="196"/>
      <c r="O290" s="192"/>
    </row>
    <row r="291" spans="1:15" s="53" customFormat="1" x14ac:dyDescent="0.2">
      <c r="A291" s="196" t="s">
        <v>229</v>
      </c>
      <c r="B291" s="197">
        <v>87.89</v>
      </c>
      <c r="C291" s="197">
        <v>14.3553</v>
      </c>
      <c r="D291" s="198">
        <v>45652</v>
      </c>
      <c r="E291" s="197">
        <v>2025</v>
      </c>
      <c r="F291" s="197">
        <v>410.15</v>
      </c>
      <c r="G291" s="197">
        <v>21.42</v>
      </c>
      <c r="H291" s="197">
        <v>3.5</v>
      </c>
      <c r="I291" s="197">
        <v>24.92</v>
      </c>
      <c r="J291" s="199"/>
      <c r="K291" s="197">
        <v>102.2453</v>
      </c>
      <c r="L291" s="197">
        <v>29069.381300000001</v>
      </c>
      <c r="M291" s="197">
        <v>207046.38130000001</v>
      </c>
      <c r="N291" s="196"/>
      <c r="O291" s="192"/>
    </row>
    <row r="292" spans="1:15" s="53" customFormat="1" x14ac:dyDescent="0.2">
      <c r="A292" s="196" t="s">
        <v>229</v>
      </c>
      <c r="B292" s="197">
        <v>87.854129999999998</v>
      </c>
      <c r="C292" s="197">
        <v>14.3553</v>
      </c>
      <c r="D292" s="198">
        <v>45687</v>
      </c>
      <c r="E292" s="197">
        <v>2025</v>
      </c>
      <c r="F292" s="197">
        <v>410.15</v>
      </c>
      <c r="G292" s="197">
        <v>21.42</v>
      </c>
      <c r="H292" s="197">
        <v>3.5</v>
      </c>
      <c r="I292" s="197">
        <v>24.92</v>
      </c>
      <c r="J292" s="199"/>
      <c r="K292" s="197">
        <v>102.2453</v>
      </c>
      <c r="L292" s="197">
        <v>29069.381300000001</v>
      </c>
      <c r="M292" s="197">
        <v>207046.38130000001</v>
      </c>
      <c r="N292" s="196"/>
      <c r="O292" s="192"/>
    </row>
    <row r="293" spans="1:15" s="53" customFormat="1" x14ac:dyDescent="0.2">
      <c r="A293" s="196" t="s">
        <v>229</v>
      </c>
      <c r="B293" s="197">
        <v>87.854129999999998</v>
      </c>
      <c r="C293" s="197">
        <v>14.3553</v>
      </c>
      <c r="D293" s="198">
        <v>45715</v>
      </c>
      <c r="E293" s="197">
        <v>2025</v>
      </c>
      <c r="F293" s="197">
        <v>410.15</v>
      </c>
      <c r="G293" s="197">
        <v>21.42</v>
      </c>
      <c r="H293" s="197">
        <v>3.5</v>
      </c>
      <c r="I293" s="197">
        <v>24.92</v>
      </c>
      <c r="J293" s="199"/>
      <c r="K293" s="197">
        <v>102.2453</v>
      </c>
      <c r="L293" s="197">
        <v>29069.381300000001</v>
      </c>
      <c r="M293" s="197">
        <v>207046.38130000001</v>
      </c>
      <c r="N293" s="196"/>
      <c r="O293" s="192"/>
    </row>
    <row r="294" spans="1:15" s="53" customFormat="1" x14ac:dyDescent="0.2">
      <c r="A294" s="196" t="s">
        <v>230</v>
      </c>
      <c r="B294" s="197">
        <v>342.84</v>
      </c>
      <c r="C294" s="197">
        <v>84.047300000000007</v>
      </c>
      <c r="D294" s="198">
        <v>45652</v>
      </c>
      <c r="E294" s="197">
        <v>300</v>
      </c>
      <c r="F294" s="197">
        <v>2401.35</v>
      </c>
      <c r="G294" s="197">
        <v>14.27</v>
      </c>
      <c r="H294" s="197">
        <v>3.5</v>
      </c>
      <c r="I294" s="197">
        <v>17.77</v>
      </c>
      <c r="J294" s="199"/>
      <c r="K294" s="197">
        <v>426.88729999999998</v>
      </c>
      <c r="L294" s="197">
        <v>25214.174999999999</v>
      </c>
      <c r="M294" s="197">
        <v>128066.175</v>
      </c>
      <c r="N294" s="196"/>
      <c r="O294" s="192"/>
    </row>
    <row r="295" spans="1:15" s="53" customFormat="1" x14ac:dyDescent="0.2">
      <c r="A295" s="196" t="s">
        <v>230</v>
      </c>
      <c r="B295" s="197">
        <v>342.67264499999999</v>
      </c>
      <c r="C295" s="197">
        <v>84.047300000000007</v>
      </c>
      <c r="D295" s="198">
        <v>45687</v>
      </c>
      <c r="E295" s="197">
        <v>300</v>
      </c>
      <c r="F295" s="197">
        <v>2401.35</v>
      </c>
      <c r="G295" s="197">
        <v>14.27</v>
      </c>
      <c r="H295" s="197">
        <v>3.5</v>
      </c>
      <c r="I295" s="197">
        <v>17.77</v>
      </c>
      <c r="J295" s="199"/>
      <c r="K295" s="197">
        <v>426.88729999999998</v>
      </c>
      <c r="L295" s="197">
        <v>25214.174999999999</v>
      </c>
      <c r="M295" s="197">
        <v>128066.175</v>
      </c>
      <c r="N295" s="196"/>
      <c r="O295" s="192"/>
    </row>
    <row r="296" spans="1:15" s="53" customFormat="1" x14ac:dyDescent="0.2">
      <c r="A296" s="196" t="s">
        <v>230</v>
      </c>
      <c r="B296" s="197">
        <v>342.67264499999999</v>
      </c>
      <c r="C296" s="197">
        <v>84.047300000000007</v>
      </c>
      <c r="D296" s="198">
        <v>45715</v>
      </c>
      <c r="E296" s="197">
        <v>300</v>
      </c>
      <c r="F296" s="197">
        <v>2401.35</v>
      </c>
      <c r="G296" s="197">
        <v>14.27</v>
      </c>
      <c r="H296" s="197">
        <v>3.5</v>
      </c>
      <c r="I296" s="197">
        <v>17.77</v>
      </c>
      <c r="J296" s="199"/>
      <c r="K296" s="197">
        <v>426.88729999999998</v>
      </c>
      <c r="L296" s="197">
        <v>25214.174999999999</v>
      </c>
      <c r="M296" s="197">
        <v>128066.175</v>
      </c>
      <c r="N296" s="196"/>
      <c r="O296" s="192"/>
    </row>
    <row r="297" spans="1:15" s="53" customFormat="1" x14ac:dyDescent="0.2">
      <c r="A297" s="196" t="s">
        <v>608</v>
      </c>
      <c r="B297" s="197">
        <v>118.01</v>
      </c>
      <c r="C297" s="197">
        <v>8.8514999999999997</v>
      </c>
      <c r="D297" s="198">
        <v>45652</v>
      </c>
      <c r="E297" s="197">
        <v>2425</v>
      </c>
      <c r="F297" s="197">
        <v>252.9</v>
      </c>
      <c r="G297" s="197">
        <v>46.66</v>
      </c>
      <c r="H297" s="197">
        <v>3.5</v>
      </c>
      <c r="I297" s="197">
        <v>50.16</v>
      </c>
      <c r="J297" s="199"/>
      <c r="K297" s="197">
        <v>126.86150000000001</v>
      </c>
      <c r="L297" s="197">
        <v>21464.887500000001</v>
      </c>
      <c r="M297" s="197">
        <v>307638.88750000001</v>
      </c>
      <c r="N297" s="196"/>
      <c r="O297" s="192"/>
    </row>
    <row r="298" spans="1:15" s="53" customFormat="1" x14ac:dyDescent="0.2">
      <c r="A298" s="196" t="s">
        <v>608</v>
      </c>
      <c r="B298" s="197">
        <v>118.00314</v>
      </c>
      <c r="C298" s="197">
        <v>8.8514999999999997</v>
      </c>
      <c r="D298" s="198">
        <v>45687</v>
      </c>
      <c r="E298" s="197">
        <v>2425</v>
      </c>
      <c r="F298" s="197">
        <v>252.9</v>
      </c>
      <c r="G298" s="197">
        <v>46.66</v>
      </c>
      <c r="H298" s="197">
        <v>3.5</v>
      </c>
      <c r="I298" s="197">
        <v>50.16</v>
      </c>
      <c r="J298" s="199"/>
      <c r="K298" s="197">
        <v>126.86150000000001</v>
      </c>
      <c r="L298" s="197">
        <v>21464.887500000001</v>
      </c>
      <c r="M298" s="197">
        <v>307638.88750000001</v>
      </c>
      <c r="N298" s="196"/>
      <c r="O298" s="192"/>
    </row>
    <row r="299" spans="1:15" s="53" customFormat="1" x14ac:dyDescent="0.2">
      <c r="A299" s="196" t="s">
        <v>608</v>
      </c>
      <c r="B299" s="197">
        <v>118.00314</v>
      </c>
      <c r="C299" s="197">
        <v>8.8514999999999997</v>
      </c>
      <c r="D299" s="198">
        <v>45715</v>
      </c>
      <c r="E299" s="197">
        <v>2425</v>
      </c>
      <c r="F299" s="197">
        <v>252.9</v>
      </c>
      <c r="G299" s="197">
        <v>46.66</v>
      </c>
      <c r="H299" s="197">
        <v>3.5</v>
      </c>
      <c r="I299" s="197">
        <v>50.16</v>
      </c>
      <c r="J299" s="199"/>
      <c r="K299" s="197">
        <v>126.86150000000001</v>
      </c>
      <c r="L299" s="197">
        <v>21464.887500000001</v>
      </c>
      <c r="M299" s="197">
        <v>307638.88750000001</v>
      </c>
      <c r="N299" s="196"/>
      <c r="O299" s="192"/>
    </row>
    <row r="300" spans="1:15" s="53" customFormat="1" x14ac:dyDescent="0.2">
      <c r="A300" s="196" t="s">
        <v>232</v>
      </c>
      <c r="B300" s="197">
        <v>189.53</v>
      </c>
      <c r="C300" s="197">
        <v>46.462499999999999</v>
      </c>
      <c r="D300" s="198">
        <v>45652</v>
      </c>
      <c r="E300" s="197">
        <v>700</v>
      </c>
      <c r="F300" s="197">
        <v>1327.5</v>
      </c>
      <c r="G300" s="197">
        <v>14.27</v>
      </c>
      <c r="H300" s="197">
        <v>3.5</v>
      </c>
      <c r="I300" s="197">
        <v>17.77</v>
      </c>
      <c r="J300" s="199"/>
      <c r="K300" s="197">
        <v>235.99250000000001</v>
      </c>
      <c r="L300" s="197">
        <v>32523.75</v>
      </c>
      <c r="M300" s="197">
        <v>165194.75</v>
      </c>
      <c r="N300" s="196"/>
      <c r="O300" s="192"/>
    </row>
    <row r="301" spans="1:15" s="53" customFormat="1" x14ac:dyDescent="0.2">
      <c r="A301" s="196" t="s">
        <v>232</v>
      </c>
      <c r="B301" s="197">
        <v>189.43424999999999</v>
      </c>
      <c r="C301" s="197">
        <v>46.462499999999999</v>
      </c>
      <c r="D301" s="198">
        <v>45687</v>
      </c>
      <c r="E301" s="197">
        <v>700</v>
      </c>
      <c r="F301" s="197">
        <v>1327.5</v>
      </c>
      <c r="G301" s="197">
        <v>14.27</v>
      </c>
      <c r="H301" s="197">
        <v>3.5</v>
      </c>
      <c r="I301" s="197">
        <v>17.77</v>
      </c>
      <c r="J301" s="199"/>
      <c r="K301" s="197">
        <v>235.99250000000001</v>
      </c>
      <c r="L301" s="197">
        <v>32523.75</v>
      </c>
      <c r="M301" s="197">
        <v>165194.75</v>
      </c>
      <c r="N301" s="196"/>
      <c r="O301" s="192"/>
    </row>
    <row r="302" spans="1:15" s="53" customFormat="1" x14ac:dyDescent="0.2">
      <c r="A302" s="196" t="s">
        <v>232</v>
      </c>
      <c r="B302" s="197">
        <v>189.43424999999999</v>
      </c>
      <c r="C302" s="197">
        <v>46.462499999999999</v>
      </c>
      <c r="D302" s="198">
        <v>45715</v>
      </c>
      <c r="E302" s="197">
        <v>700</v>
      </c>
      <c r="F302" s="197">
        <v>1327.5</v>
      </c>
      <c r="G302" s="197">
        <v>14.27</v>
      </c>
      <c r="H302" s="197">
        <v>3.5</v>
      </c>
      <c r="I302" s="197">
        <v>17.77</v>
      </c>
      <c r="J302" s="199"/>
      <c r="K302" s="197">
        <v>235.99250000000001</v>
      </c>
      <c r="L302" s="197">
        <v>32523.75</v>
      </c>
      <c r="M302" s="197">
        <v>165194.75</v>
      </c>
      <c r="N302" s="196"/>
      <c r="O302" s="192"/>
    </row>
    <row r="303" spans="1:15" s="53" customFormat="1" x14ac:dyDescent="0.2">
      <c r="A303" s="196" t="s">
        <v>472</v>
      </c>
      <c r="B303" s="197">
        <v>278.20999999999998</v>
      </c>
      <c r="C303" s="197">
        <v>68.202799999999996</v>
      </c>
      <c r="D303" s="198">
        <v>45652</v>
      </c>
      <c r="E303" s="197">
        <v>250</v>
      </c>
      <c r="F303" s="197">
        <v>1948.65</v>
      </c>
      <c r="G303" s="197">
        <v>14.27</v>
      </c>
      <c r="H303" s="197">
        <v>3.5</v>
      </c>
      <c r="I303" s="197">
        <v>17.77</v>
      </c>
      <c r="J303" s="199"/>
      <c r="K303" s="197">
        <v>346.4128</v>
      </c>
      <c r="L303" s="197">
        <v>17050.6875</v>
      </c>
      <c r="M303" s="197">
        <v>86603.6875</v>
      </c>
      <c r="N303" s="196"/>
      <c r="O303" s="192"/>
    </row>
    <row r="304" spans="1:15" s="53" customFormat="1" x14ac:dyDescent="0.2">
      <c r="A304" s="196" t="s">
        <v>472</v>
      </c>
      <c r="B304" s="197">
        <v>278.07235500000002</v>
      </c>
      <c r="C304" s="197">
        <v>68.202799999999996</v>
      </c>
      <c r="D304" s="198">
        <v>45687</v>
      </c>
      <c r="E304" s="197">
        <v>250</v>
      </c>
      <c r="F304" s="197">
        <v>1948.65</v>
      </c>
      <c r="G304" s="197">
        <v>14.27</v>
      </c>
      <c r="H304" s="197">
        <v>3.5</v>
      </c>
      <c r="I304" s="197">
        <v>17.77</v>
      </c>
      <c r="J304" s="199"/>
      <c r="K304" s="197">
        <v>346.4128</v>
      </c>
      <c r="L304" s="197">
        <v>17050.6875</v>
      </c>
      <c r="M304" s="197">
        <v>86603.6875</v>
      </c>
      <c r="N304" s="196"/>
      <c r="O304" s="192"/>
    </row>
    <row r="305" spans="1:15" s="53" customFormat="1" x14ac:dyDescent="0.2">
      <c r="A305" s="196" t="s">
        <v>472</v>
      </c>
      <c r="B305" s="197">
        <v>278.07235500000002</v>
      </c>
      <c r="C305" s="197">
        <v>68.202799999999996</v>
      </c>
      <c r="D305" s="198">
        <v>45715</v>
      </c>
      <c r="E305" s="197">
        <v>250</v>
      </c>
      <c r="F305" s="197">
        <v>1948.65</v>
      </c>
      <c r="G305" s="197">
        <v>14.27</v>
      </c>
      <c r="H305" s="197">
        <v>3.5</v>
      </c>
      <c r="I305" s="197">
        <v>17.77</v>
      </c>
      <c r="J305" s="199"/>
      <c r="K305" s="197">
        <v>346.4128</v>
      </c>
      <c r="L305" s="197">
        <v>17050.6875</v>
      </c>
      <c r="M305" s="197">
        <v>86603.6875</v>
      </c>
      <c r="N305" s="196"/>
      <c r="O305" s="192"/>
    </row>
    <row r="306" spans="1:15" s="53" customFormat="1" x14ac:dyDescent="0.2">
      <c r="A306" s="196" t="s">
        <v>233</v>
      </c>
      <c r="B306" s="197">
        <v>99.28</v>
      </c>
      <c r="C306" s="197">
        <v>24.337299999999999</v>
      </c>
      <c r="D306" s="198">
        <v>45652</v>
      </c>
      <c r="E306" s="197">
        <v>750</v>
      </c>
      <c r="F306" s="197">
        <v>695.35</v>
      </c>
      <c r="G306" s="197">
        <v>14.27</v>
      </c>
      <c r="H306" s="197">
        <v>3.5</v>
      </c>
      <c r="I306" s="197">
        <v>17.77</v>
      </c>
      <c r="J306" s="199"/>
      <c r="K306" s="197">
        <v>123.6173</v>
      </c>
      <c r="L306" s="197">
        <v>18252.9375</v>
      </c>
      <c r="M306" s="197">
        <v>92712.9375</v>
      </c>
      <c r="N306" s="196"/>
      <c r="O306" s="192"/>
    </row>
    <row r="307" spans="1:15" s="53" customFormat="1" x14ac:dyDescent="0.2">
      <c r="A307" s="196" t="s">
        <v>233</v>
      </c>
      <c r="B307" s="197">
        <v>99.226444999999998</v>
      </c>
      <c r="C307" s="197">
        <v>24.337299999999999</v>
      </c>
      <c r="D307" s="198">
        <v>45687</v>
      </c>
      <c r="E307" s="197">
        <v>750</v>
      </c>
      <c r="F307" s="197">
        <v>695.35</v>
      </c>
      <c r="G307" s="197">
        <v>14.27</v>
      </c>
      <c r="H307" s="197">
        <v>3.5</v>
      </c>
      <c r="I307" s="197">
        <v>17.77</v>
      </c>
      <c r="J307" s="199"/>
      <c r="K307" s="197">
        <v>123.6173</v>
      </c>
      <c r="L307" s="197">
        <v>18252.9375</v>
      </c>
      <c r="M307" s="197">
        <v>92712.9375</v>
      </c>
      <c r="N307" s="196"/>
      <c r="O307" s="192"/>
    </row>
    <row r="308" spans="1:15" s="53" customFormat="1" x14ac:dyDescent="0.2">
      <c r="A308" s="196" t="s">
        <v>233</v>
      </c>
      <c r="B308" s="197">
        <v>99.226444999999998</v>
      </c>
      <c r="C308" s="197">
        <v>24.337299999999999</v>
      </c>
      <c r="D308" s="198">
        <v>45715</v>
      </c>
      <c r="E308" s="197">
        <v>750</v>
      </c>
      <c r="F308" s="197">
        <v>695.35</v>
      </c>
      <c r="G308" s="197">
        <v>14.27</v>
      </c>
      <c r="H308" s="197">
        <v>3.5</v>
      </c>
      <c r="I308" s="197">
        <v>17.77</v>
      </c>
      <c r="J308" s="199"/>
      <c r="K308" s="197">
        <v>123.6173</v>
      </c>
      <c r="L308" s="197">
        <v>18252.9375</v>
      </c>
      <c r="M308" s="197">
        <v>92712.9375</v>
      </c>
      <c r="N308" s="196"/>
      <c r="O308" s="192"/>
    </row>
    <row r="309" spans="1:15" s="53" customFormat="1" x14ac:dyDescent="0.2">
      <c r="A309" s="196" t="s">
        <v>234</v>
      </c>
      <c r="B309" s="197">
        <v>2.71</v>
      </c>
      <c r="C309" s="197">
        <v>0.28110000000000002</v>
      </c>
      <c r="D309" s="198">
        <v>45652</v>
      </c>
      <c r="E309" s="197">
        <v>40000</v>
      </c>
      <c r="F309" s="197">
        <v>8.0299999999999994</v>
      </c>
      <c r="G309" s="197">
        <v>33.74</v>
      </c>
      <c r="H309" s="197">
        <v>3.5</v>
      </c>
      <c r="I309" s="197">
        <v>37.24</v>
      </c>
      <c r="J309" s="199"/>
      <c r="K309" s="197">
        <v>2.9910999999999999</v>
      </c>
      <c r="L309" s="197">
        <v>11242</v>
      </c>
      <c r="M309" s="197">
        <v>119642</v>
      </c>
      <c r="N309" s="196"/>
      <c r="O309" s="192"/>
    </row>
    <row r="310" spans="1:15" s="53" customFormat="1" x14ac:dyDescent="0.2">
      <c r="A310" s="196" t="s">
        <v>234</v>
      </c>
      <c r="B310" s="197">
        <v>2.7093219999999998</v>
      </c>
      <c r="C310" s="197">
        <v>0.28110000000000002</v>
      </c>
      <c r="D310" s="198">
        <v>45687</v>
      </c>
      <c r="E310" s="197">
        <v>40000</v>
      </c>
      <c r="F310" s="197">
        <v>8.0299999999999994</v>
      </c>
      <c r="G310" s="197">
        <v>33.74</v>
      </c>
      <c r="H310" s="197">
        <v>3.5</v>
      </c>
      <c r="I310" s="197">
        <v>37.24</v>
      </c>
      <c r="J310" s="199"/>
      <c r="K310" s="197">
        <v>2.9910999999999999</v>
      </c>
      <c r="L310" s="197">
        <v>11242</v>
      </c>
      <c r="M310" s="197">
        <v>119642</v>
      </c>
      <c r="N310" s="196"/>
      <c r="O310" s="192"/>
    </row>
    <row r="311" spans="1:15" s="53" customFormat="1" x14ac:dyDescent="0.2">
      <c r="A311" s="196" t="s">
        <v>234</v>
      </c>
      <c r="B311" s="197">
        <v>2.7093219999999998</v>
      </c>
      <c r="C311" s="197">
        <v>0.28110000000000002</v>
      </c>
      <c r="D311" s="198">
        <v>45715</v>
      </c>
      <c r="E311" s="197">
        <v>40000</v>
      </c>
      <c r="F311" s="197">
        <v>8.0299999999999994</v>
      </c>
      <c r="G311" s="197">
        <v>33.74</v>
      </c>
      <c r="H311" s="197">
        <v>3.5</v>
      </c>
      <c r="I311" s="197">
        <v>37.24</v>
      </c>
      <c r="J311" s="199"/>
      <c r="K311" s="197">
        <v>2.9910999999999999</v>
      </c>
      <c r="L311" s="197">
        <v>11242</v>
      </c>
      <c r="M311" s="197">
        <v>119642</v>
      </c>
      <c r="N311" s="196"/>
      <c r="O311" s="192"/>
    </row>
    <row r="312" spans="1:15" s="53" customFormat="1" x14ac:dyDescent="0.2">
      <c r="A312" s="196" t="s">
        <v>235</v>
      </c>
      <c r="B312" s="197">
        <v>10.050000000000001</v>
      </c>
      <c r="C312" s="197">
        <v>2.282</v>
      </c>
      <c r="D312" s="198">
        <v>45652</v>
      </c>
      <c r="E312" s="197">
        <v>7500</v>
      </c>
      <c r="F312" s="197">
        <v>65.2</v>
      </c>
      <c r="G312" s="197">
        <v>15.41</v>
      </c>
      <c r="H312" s="197">
        <v>3.5</v>
      </c>
      <c r="I312" s="197">
        <v>18.91</v>
      </c>
      <c r="J312" s="199"/>
      <c r="K312" s="197">
        <v>12.332000000000001</v>
      </c>
      <c r="L312" s="197">
        <v>17115</v>
      </c>
      <c r="M312" s="197">
        <v>92490</v>
      </c>
      <c r="N312" s="196"/>
      <c r="O312" s="192"/>
    </row>
    <row r="313" spans="1:15" s="53" customFormat="1" x14ac:dyDescent="0.2">
      <c r="A313" s="196" t="s">
        <v>235</v>
      </c>
      <c r="B313" s="197">
        <v>10.047319999999999</v>
      </c>
      <c r="C313" s="197">
        <v>2.282</v>
      </c>
      <c r="D313" s="198">
        <v>45687</v>
      </c>
      <c r="E313" s="197">
        <v>7500</v>
      </c>
      <c r="F313" s="197">
        <v>65.2</v>
      </c>
      <c r="G313" s="197">
        <v>15.41</v>
      </c>
      <c r="H313" s="197">
        <v>3.5</v>
      </c>
      <c r="I313" s="197">
        <v>18.91</v>
      </c>
      <c r="J313" s="199"/>
      <c r="K313" s="197">
        <v>12.332000000000001</v>
      </c>
      <c r="L313" s="197">
        <v>17115</v>
      </c>
      <c r="M313" s="197">
        <v>92490</v>
      </c>
      <c r="N313" s="196"/>
      <c r="O313" s="192"/>
    </row>
    <row r="314" spans="1:15" s="53" customFormat="1" x14ac:dyDescent="0.2">
      <c r="A314" s="196" t="s">
        <v>235</v>
      </c>
      <c r="B314" s="197">
        <v>10.047319999999999</v>
      </c>
      <c r="C314" s="197">
        <v>2.282</v>
      </c>
      <c r="D314" s="198">
        <v>45715</v>
      </c>
      <c r="E314" s="197">
        <v>7500</v>
      </c>
      <c r="F314" s="197">
        <v>65.2</v>
      </c>
      <c r="G314" s="197">
        <v>15.41</v>
      </c>
      <c r="H314" s="197">
        <v>3.5</v>
      </c>
      <c r="I314" s="197">
        <v>18.91</v>
      </c>
      <c r="J314" s="199"/>
      <c r="K314" s="197">
        <v>12.332000000000001</v>
      </c>
      <c r="L314" s="197">
        <v>17115</v>
      </c>
      <c r="M314" s="197">
        <v>92490</v>
      </c>
      <c r="N314" s="196"/>
      <c r="O314" s="192"/>
    </row>
    <row r="315" spans="1:15" s="53" customFormat="1" x14ac:dyDescent="0.2">
      <c r="A315" s="196" t="s">
        <v>514</v>
      </c>
      <c r="B315" s="197">
        <v>38.58</v>
      </c>
      <c r="C315" s="197">
        <v>6.6604999999999999</v>
      </c>
      <c r="D315" s="198">
        <v>45652</v>
      </c>
      <c r="E315" s="197">
        <v>3750</v>
      </c>
      <c r="F315" s="197">
        <v>190.3</v>
      </c>
      <c r="G315" s="197">
        <v>20.27</v>
      </c>
      <c r="H315" s="197">
        <v>3.5</v>
      </c>
      <c r="I315" s="197">
        <v>23.77</v>
      </c>
      <c r="J315" s="199"/>
      <c r="K315" s="197">
        <v>45.240499999999997</v>
      </c>
      <c r="L315" s="197">
        <v>24976.875</v>
      </c>
      <c r="M315" s="197">
        <v>169651.875</v>
      </c>
      <c r="N315" s="196"/>
      <c r="O315" s="192"/>
    </row>
    <row r="316" spans="1:15" s="53" customFormat="1" x14ac:dyDescent="0.2">
      <c r="A316" s="196" t="s">
        <v>514</v>
      </c>
      <c r="B316" s="197">
        <v>38.573810000000002</v>
      </c>
      <c r="C316" s="197">
        <v>6.6604999999999999</v>
      </c>
      <c r="D316" s="198">
        <v>45687</v>
      </c>
      <c r="E316" s="197">
        <v>3750</v>
      </c>
      <c r="F316" s="197">
        <v>190.3</v>
      </c>
      <c r="G316" s="197">
        <v>20.27</v>
      </c>
      <c r="H316" s="197">
        <v>3.5</v>
      </c>
      <c r="I316" s="197">
        <v>23.77</v>
      </c>
      <c r="J316" s="199"/>
      <c r="K316" s="197">
        <v>45.240499999999997</v>
      </c>
      <c r="L316" s="197">
        <v>24976.875</v>
      </c>
      <c r="M316" s="197">
        <v>169651.875</v>
      </c>
      <c r="N316" s="196"/>
      <c r="O316" s="192"/>
    </row>
    <row r="317" spans="1:15" s="53" customFormat="1" x14ac:dyDescent="0.2">
      <c r="A317" s="196" t="s">
        <v>514</v>
      </c>
      <c r="B317" s="197">
        <v>38.573810000000002</v>
      </c>
      <c r="C317" s="197">
        <v>6.6604999999999999</v>
      </c>
      <c r="D317" s="198">
        <v>45715</v>
      </c>
      <c r="E317" s="197">
        <v>3750</v>
      </c>
      <c r="F317" s="197">
        <v>190.3</v>
      </c>
      <c r="G317" s="197">
        <v>20.27</v>
      </c>
      <c r="H317" s="197">
        <v>3.5</v>
      </c>
      <c r="I317" s="197">
        <v>23.77</v>
      </c>
      <c r="J317" s="199"/>
      <c r="K317" s="197">
        <v>45.240499999999997</v>
      </c>
      <c r="L317" s="197">
        <v>24976.875</v>
      </c>
      <c r="M317" s="197">
        <v>169651.875</v>
      </c>
      <c r="N317" s="196"/>
      <c r="O317" s="192"/>
    </row>
    <row r="318" spans="1:15" s="53" customFormat="1" x14ac:dyDescent="0.2">
      <c r="A318" s="196" t="s">
        <v>236</v>
      </c>
      <c r="B318" s="197">
        <v>86.28</v>
      </c>
      <c r="C318" s="197">
        <v>34.369999999999997</v>
      </c>
      <c r="D318" s="198">
        <v>45652</v>
      </c>
      <c r="E318" s="197">
        <v>1375</v>
      </c>
      <c r="F318" s="197">
        <v>392.8</v>
      </c>
      <c r="G318" s="197">
        <v>21.96</v>
      </c>
      <c r="H318" s="197">
        <v>8.75</v>
      </c>
      <c r="I318" s="197">
        <v>30.71</v>
      </c>
      <c r="J318" s="199"/>
      <c r="K318" s="197">
        <v>120.65</v>
      </c>
      <c r="L318" s="197">
        <v>47258.75</v>
      </c>
      <c r="M318" s="197">
        <v>165893.75</v>
      </c>
      <c r="N318" s="196"/>
      <c r="O318" s="192"/>
    </row>
    <row r="319" spans="1:15" s="53" customFormat="1" x14ac:dyDescent="0.2">
      <c r="A319" s="196" t="s">
        <v>236</v>
      </c>
      <c r="B319" s="197">
        <v>86.258880000000005</v>
      </c>
      <c r="C319" s="197">
        <v>34.369999999999997</v>
      </c>
      <c r="D319" s="198">
        <v>45687</v>
      </c>
      <c r="E319" s="197">
        <v>1375</v>
      </c>
      <c r="F319" s="197">
        <v>392.8</v>
      </c>
      <c r="G319" s="197">
        <v>21.96</v>
      </c>
      <c r="H319" s="197">
        <v>8.75</v>
      </c>
      <c r="I319" s="197">
        <v>30.71</v>
      </c>
      <c r="J319" s="199"/>
      <c r="K319" s="197">
        <v>120.65</v>
      </c>
      <c r="L319" s="197">
        <v>47258.75</v>
      </c>
      <c r="M319" s="197">
        <v>165893.75</v>
      </c>
      <c r="N319" s="196"/>
      <c r="O319" s="192"/>
    </row>
    <row r="320" spans="1:15" s="53" customFormat="1" x14ac:dyDescent="0.2">
      <c r="A320" s="196" t="s">
        <v>236</v>
      </c>
      <c r="B320" s="197">
        <v>86.258880000000005</v>
      </c>
      <c r="C320" s="197">
        <v>34.369999999999997</v>
      </c>
      <c r="D320" s="198">
        <v>45715</v>
      </c>
      <c r="E320" s="197">
        <v>1375</v>
      </c>
      <c r="F320" s="197">
        <v>392.8</v>
      </c>
      <c r="G320" s="197">
        <v>21.96</v>
      </c>
      <c r="H320" s="197">
        <v>8.75</v>
      </c>
      <c r="I320" s="197">
        <v>30.71</v>
      </c>
      <c r="J320" s="199"/>
      <c r="K320" s="197">
        <v>120.65</v>
      </c>
      <c r="L320" s="197">
        <v>47258.75</v>
      </c>
      <c r="M320" s="197">
        <v>165893.75</v>
      </c>
      <c r="N320" s="196"/>
      <c r="O320" s="192"/>
    </row>
    <row r="321" spans="1:15" s="53" customFormat="1" x14ac:dyDescent="0.2">
      <c r="A321" s="196" t="s">
        <v>501</v>
      </c>
      <c r="B321" s="197">
        <v>139.19999999999999</v>
      </c>
      <c r="C321" s="197">
        <v>29.274000000000001</v>
      </c>
      <c r="D321" s="198">
        <v>45652</v>
      </c>
      <c r="E321" s="197">
        <v>1000</v>
      </c>
      <c r="F321" s="197">
        <v>836.4</v>
      </c>
      <c r="G321" s="197">
        <v>16.64</v>
      </c>
      <c r="H321" s="197">
        <v>3.5</v>
      </c>
      <c r="I321" s="197">
        <v>20.14</v>
      </c>
      <c r="J321" s="199"/>
      <c r="K321" s="197">
        <v>168.47399999999999</v>
      </c>
      <c r="L321" s="197">
        <v>29274</v>
      </c>
      <c r="M321" s="197">
        <v>168474</v>
      </c>
      <c r="N321" s="196"/>
      <c r="O321" s="192"/>
    </row>
    <row r="322" spans="1:15" s="53" customFormat="1" x14ac:dyDescent="0.2">
      <c r="A322" s="196" t="s">
        <v>501</v>
      </c>
      <c r="B322" s="197">
        <v>139.17696000000001</v>
      </c>
      <c r="C322" s="197">
        <v>29.274000000000001</v>
      </c>
      <c r="D322" s="198">
        <v>45687</v>
      </c>
      <c r="E322" s="197">
        <v>1000</v>
      </c>
      <c r="F322" s="197">
        <v>836.4</v>
      </c>
      <c r="G322" s="197">
        <v>16.64</v>
      </c>
      <c r="H322" s="197">
        <v>3.5</v>
      </c>
      <c r="I322" s="197">
        <v>20.14</v>
      </c>
      <c r="J322" s="199"/>
      <c r="K322" s="197">
        <v>168.47399999999999</v>
      </c>
      <c r="L322" s="197">
        <v>29274</v>
      </c>
      <c r="M322" s="197">
        <v>168474</v>
      </c>
      <c r="N322" s="196"/>
      <c r="O322" s="192"/>
    </row>
    <row r="323" spans="1:15" s="53" customFormat="1" x14ac:dyDescent="0.2">
      <c r="A323" s="196" t="s">
        <v>501</v>
      </c>
      <c r="B323" s="197">
        <v>139.17696000000001</v>
      </c>
      <c r="C323" s="197">
        <v>29.274000000000001</v>
      </c>
      <c r="D323" s="198">
        <v>45715</v>
      </c>
      <c r="E323" s="197">
        <v>1000</v>
      </c>
      <c r="F323" s="197">
        <v>836.4</v>
      </c>
      <c r="G323" s="197">
        <v>16.64</v>
      </c>
      <c r="H323" s="197">
        <v>3.5</v>
      </c>
      <c r="I323" s="197">
        <v>20.14</v>
      </c>
      <c r="J323" s="199"/>
      <c r="K323" s="197">
        <v>168.47399999999999</v>
      </c>
      <c r="L323" s="197">
        <v>29274</v>
      </c>
      <c r="M323" s="197">
        <v>168474</v>
      </c>
      <c r="N323" s="196"/>
      <c r="O323" s="192"/>
    </row>
    <row r="324" spans="1:15" s="53" customFormat="1" x14ac:dyDescent="0.2">
      <c r="A324" s="196" t="s">
        <v>515</v>
      </c>
      <c r="B324" s="197">
        <v>474.19</v>
      </c>
      <c r="C324" s="197">
        <v>83.954499999999996</v>
      </c>
      <c r="D324" s="198">
        <v>45652</v>
      </c>
      <c r="E324" s="197">
        <v>300</v>
      </c>
      <c r="F324" s="197">
        <v>2398.6999999999998</v>
      </c>
      <c r="G324" s="197">
        <v>19.760000000000002</v>
      </c>
      <c r="H324" s="197">
        <v>3.5</v>
      </c>
      <c r="I324" s="197">
        <v>23.26</v>
      </c>
      <c r="J324" s="199"/>
      <c r="K324" s="197">
        <v>558.14449999999999</v>
      </c>
      <c r="L324" s="197">
        <v>25186.35</v>
      </c>
      <c r="M324" s="197">
        <v>167443.35</v>
      </c>
      <c r="N324" s="196"/>
      <c r="O324" s="192"/>
    </row>
    <row r="325" spans="1:15" s="53" customFormat="1" x14ac:dyDescent="0.2">
      <c r="A325" s="196" t="s">
        <v>515</v>
      </c>
      <c r="B325" s="197">
        <v>473.98311999999999</v>
      </c>
      <c r="C325" s="197">
        <v>83.954499999999996</v>
      </c>
      <c r="D325" s="198">
        <v>45687</v>
      </c>
      <c r="E325" s="197">
        <v>300</v>
      </c>
      <c r="F325" s="197">
        <v>2398.6999999999998</v>
      </c>
      <c r="G325" s="197">
        <v>19.760000000000002</v>
      </c>
      <c r="H325" s="197">
        <v>3.5</v>
      </c>
      <c r="I325" s="197">
        <v>23.26</v>
      </c>
      <c r="J325" s="199"/>
      <c r="K325" s="197">
        <v>558.14449999999999</v>
      </c>
      <c r="L325" s="197">
        <v>25186.35</v>
      </c>
      <c r="M325" s="197">
        <v>167443.35</v>
      </c>
      <c r="N325" s="196"/>
      <c r="O325" s="192"/>
    </row>
    <row r="326" spans="1:15" s="53" customFormat="1" x14ac:dyDescent="0.2">
      <c r="A326" s="196" t="s">
        <v>515</v>
      </c>
      <c r="B326" s="197">
        <v>473.98311999999999</v>
      </c>
      <c r="C326" s="197">
        <v>83.954499999999996</v>
      </c>
      <c r="D326" s="198">
        <v>45715</v>
      </c>
      <c r="E326" s="197">
        <v>300</v>
      </c>
      <c r="F326" s="197">
        <v>2398.6999999999998</v>
      </c>
      <c r="G326" s="197">
        <v>19.760000000000002</v>
      </c>
      <c r="H326" s="197">
        <v>3.5</v>
      </c>
      <c r="I326" s="197">
        <v>23.26</v>
      </c>
      <c r="J326" s="199"/>
      <c r="K326" s="197">
        <v>558.14449999999999</v>
      </c>
      <c r="L326" s="197">
        <v>25186.35</v>
      </c>
      <c r="M326" s="197">
        <v>167443.35</v>
      </c>
      <c r="N326" s="196"/>
      <c r="O326" s="192"/>
    </row>
    <row r="327" spans="1:15" s="53" customFormat="1" x14ac:dyDescent="0.2">
      <c r="A327" s="196" t="s">
        <v>578</v>
      </c>
      <c r="B327" s="197">
        <v>120.65</v>
      </c>
      <c r="C327" s="197">
        <v>20.410299999999999</v>
      </c>
      <c r="D327" s="198">
        <v>45652</v>
      </c>
      <c r="E327" s="197">
        <v>950</v>
      </c>
      <c r="F327" s="197">
        <v>583.15</v>
      </c>
      <c r="G327" s="197">
        <v>20.68</v>
      </c>
      <c r="H327" s="197">
        <v>3.5</v>
      </c>
      <c r="I327" s="197">
        <v>24.18</v>
      </c>
      <c r="J327" s="199"/>
      <c r="K327" s="197">
        <v>141.06030000000001</v>
      </c>
      <c r="L327" s="197">
        <v>19389.737499999999</v>
      </c>
      <c r="M327" s="197">
        <v>134007.73749999999</v>
      </c>
      <c r="N327" s="196"/>
      <c r="O327" s="192"/>
    </row>
    <row r="328" spans="1:15" s="53" customFormat="1" x14ac:dyDescent="0.2">
      <c r="A328" s="196" t="s">
        <v>578</v>
      </c>
      <c r="B328" s="197">
        <v>120.59542</v>
      </c>
      <c r="C328" s="197">
        <v>20.410299999999999</v>
      </c>
      <c r="D328" s="198">
        <v>45687</v>
      </c>
      <c r="E328" s="197">
        <v>950</v>
      </c>
      <c r="F328" s="197">
        <v>583.15</v>
      </c>
      <c r="G328" s="197">
        <v>20.68</v>
      </c>
      <c r="H328" s="197">
        <v>3.5</v>
      </c>
      <c r="I328" s="197">
        <v>24.18</v>
      </c>
      <c r="J328" s="199"/>
      <c r="K328" s="197">
        <v>141.06030000000001</v>
      </c>
      <c r="L328" s="197">
        <v>19389.737499999999</v>
      </c>
      <c r="M328" s="197">
        <v>134007.73749999999</v>
      </c>
      <c r="N328" s="196"/>
      <c r="O328" s="192"/>
    </row>
    <row r="329" spans="1:15" s="53" customFormat="1" x14ac:dyDescent="0.2">
      <c r="A329" s="196" t="s">
        <v>578</v>
      </c>
      <c r="B329" s="197">
        <v>120.59542</v>
      </c>
      <c r="C329" s="197">
        <v>20.410299999999999</v>
      </c>
      <c r="D329" s="198">
        <v>45715</v>
      </c>
      <c r="E329" s="197">
        <v>950</v>
      </c>
      <c r="F329" s="197">
        <v>583.15</v>
      </c>
      <c r="G329" s="197">
        <v>20.68</v>
      </c>
      <c r="H329" s="197">
        <v>3.5</v>
      </c>
      <c r="I329" s="197">
        <v>24.18</v>
      </c>
      <c r="J329" s="199"/>
      <c r="K329" s="197">
        <v>141.06030000000001</v>
      </c>
      <c r="L329" s="197">
        <v>19389.737499999999</v>
      </c>
      <c r="M329" s="197">
        <v>134007.73749999999</v>
      </c>
      <c r="N329" s="196"/>
      <c r="O329" s="192"/>
    </row>
    <row r="330" spans="1:15" s="53" customFormat="1" x14ac:dyDescent="0.2">
      <c r="A330" s="196" t="s">
        <v>238</v>
      </c>
      <c r="B330" s="197">
        <v>706.52</v>
      </c>
      <c r="C330" s="197">
        <v>156.29429999999999</v>
      </c>
      <c r="D330" s="198">
        <v>45652</v>
      </c>
      <c r="E330" s="197">
        <v>150</v>
      </c>
      <c r="F330" s="197">
        <v>4465.55</v>
      </c>
      <c r="G330" s="197">
        <v>15.82</v>
      </c>
      <c r="H330" s="197">
        <v>3.5</v>
      </c>
      <c r="I330" s="197">
        <v>19.32</v>
      </c>
      <c r="J330" s="199"/>
      <c r="K330" s="197">
        <v>862.8143</v>
      </c>
      <c r="L330" s="197">
        <v>23444.137500000001</v>
      </c>
      <c r="M330" s="197">
        <v>129422.1375</v>
      </c>
      <c r="N330" s="196"/>
      <c r="O330" s="192"/>
    </row>
    <row r="331" spans="1:15" s="53" customFormat="1" x14ac:dyDescent="0.2">
      <c r="A331" s="196" t="s">
        <v>238</v>
      </c>
      <c r="B331" s="197">
        <v>706.45001000000002</v>
      </c>
      <c r="C331" s="197">
        <v>156.29429999999999</v>
      </c>
      <c r="D331" s="198">
        <v>45687</v>
      </c>
      <c r="E331" s="197">
        <v>150</v>
      </c>
      <c r="F331" s="197">
        <v>4465.55</v>
      </c>
      <c r="G331" s="197">
        <v>15.82</v>
      </c>
      <c r="H331" s="197">
        <v>3.5</v>
      </c>
      <c r="I331" s="197">
        <v>19.32</v>
      </c>
      <c r="J331" s="199"/>
      <c r="K331" s="197">
        <v>862.8143</v>
      </c>
      <c r="L331" s="197">
        <v>23444.137500000001</v>
      </c>
      <c r="M331" s="197">
        <v>129422.1375</v>
      </c>
      <c r="N331" s="196"/>
      <c r="O331" s="192"/>
    </row>
    <row r="332" spans="1:15" s="53" customFormat="1" x14ac:dyDescent="0.2">
      <c r="A332" s="196" t="s">
        <v>238</v>
      </c>
      <c r="B332" s="197">
        <v>706.45001000000002</v>
      </c>
      <c r="C332" s="197">
        <v>156.29429999999999</v>
      </c>
      <c r="D332" s="198">
        <v>45715</v>
      </c>
      <c r="E332" s="197">
        <v>150</v>
      </c>
      <c r="F332" s="197">
        <v>4465.55</v>
      </c>
      <c r="G332" s="197">
        <v>15.82</v>
      </c>
      <c r="H332" s="197">
        <v>3.5</v>
      </c>
      <c r="I332" s="197">
        <v>19.32</v>
      </c>
      <c r="J332" s="199"/>
      <c r="K332" s="197">
        <v>862.8143</v>
      </c>
      <c r="L332" s="197">
        <v>23444.137500000001</v>
      </c>
      <c r="M332" s="197">
        <v>129422.1375</v>
      </c>
      <c r="N332" s="196"/>
      <c r="O332" s="192"/>
    </row>
    <row r="333" spans="1:15" s="53" customFormat="1" x14ac:dyDescent="0.2">
      <c r="A333" s="196" t="s">
        <v>239</v>
      </c>
      <c r="B333" s="197">
        <v>176.05</v>
      </c>
      <c r="C333" s="197">
        <v>68.939499999999995</v>
      </c>
      <c r="D333" s="198">
        <v>45652</v>
      </c>
      <c r="E333" s="197">
        <v>500</v>
      </c>
      <c r="F333" s="197">
        <v>984.85</v>
      </c>
      <c r="G333" s="197">
        <v>17.87</v>
      </c>
      <c r="H333" s="197">
        <v>7</v>
      </c>
      <c r="I333" s="197">
        <v>24.87</v>
      </c>
      <c r="J333" s="199"/>
      <c r="K333" s="197">
        <v>244.98949999999999</v>
      </c>
      <c r="L333" s="197">
        <v>34469.75</v>
      </c>
      <c r="M333" s="197">
        <v>122494.75</v>
      </c>
      <c r="N333" s="196"/>
      <c r="O333" s="192"/>
    </row>
    <row r="334" spans="1:15" s="53" customFormat="1" x14ac:dyDescent="0.2">
      <c r="A334" s="196" t="s">
        <v>239</v>
      </c>
      <c r="B334" s="197">
        <v>175.992695</v>
      </c>
      <c r="C334" s="197">
        <v>68.939499999999995</v>
      </c>
      <c r="D334" s="198">
        <v>45687</v>
      </c>
      <c r="E334" s="197">
        <v>500</v>
      </c>
      <c r="F334" s="197">
        <v>984.85</v>
      </c>
      <c r="G334" s="197">
        <v>17.87</v>
      </c>
      <c r="H334" s="197">
        <v>7</v>
      </c>
      <c r="I334" s="197">
        <v>24.87</v>
      </c>
      <c r="J334" s="199"/>
      <c r="K334" s="197">
        <v>244.98949999999999</v>
      </c>
      <c r="L334" s="197">
        <v>34469.75</v>
      </c>
      <c r="M334" s="197">
        <v>122494.75</v>
      </c>
      <c r="N334" s="196"/>
      <c r="O334" s="192"/>
    </row>
    <row r="335" spans="1:15" s="53" customFormat="1" x14ac:dyDescent="0.2">
      <c r="A335" s="196" t="s">
        <v>239</v>
      </c>
      <c r="B335" s="197">
        <v>175.992695</v>
      </c>
      <c r="C335" s="197">
        <v>68.939499999999995</v>
      </c>
      <c r="D335" s="198">
        <v>45715</v>
      </c>
      <c r="E335" s="197">
        <v>500</v>
      </c>
      <c r="F335" s="197">
        <v>984.85</v>
      </c>
      <c r="G335" s="197">
        <v>17.87</v>
      </c>
      <c r="H335" s="197">
        <v>7</v>
      </c>
      <c r="I335" s="197">
        <v>24.87</v>
      </c>
      <c r="J335" s="199"/>
      <c r="K335" s="197">
        <v>244.98949999999999</v>
      </c>
      <c r="L335" s="197">
        <v>34469.75</v>
      </c>
      <c r="M335" s="197">
        <v>122494.75</v>
      </c>
      <c r="N335" s="196"/>
      <c r="O335" s="192"/>
    </row>
    <row r="336" spans="1:15" s="53" customFormat="1" x14ac:dyDescent="0.2">
      <c r="A336" s="196" t="s">
        <v>473</v>
      </c>
      <c r="B336" s="197">
        <v>74.94</v>
      </c>
      <c r="C336" s="197">
        <v>12.586</v>
      </c>
      <c r="D336" s="198">
        <v>45652</v>
      </c>
      <c r="E336" s="197">
        <v>1700</v>
      </c>
      <c r="F336" s="197">
        <v>359.6</v>
      </c>
      <c r="G336" s="197">
        <v>20.83</v>
      </c>
      <c r="H336" s="197">
        <v>3.5</v>
      </c>
      <c r="I336" s="197">
        <v>24.33</v>
      </c>
      <c r="J336" s="199"/>
      <c r="K336" s="197">
        <v>87.525999999999996</v>
      </c>
      <c r="L336" s="197">
        <v>21396.2</v>
      </c>
      <c r="M336" s="197">
        <v>148794.20000000001</v>
      </c>
      <c r="N336" s="196"/>
      <c r="O336" s="192"/>
    </row>
    <row r="337" spans="1:15" s="53" customFormat="1" x14ac:dyDescent="0.2">
      <c r="A337" s="196" t="s">
        <v>473</v>
      </c>
      <c r="B337" s="197">
        <v>74.904679999999999</v>
      </c>
      <c r="C337" s="197">
        <v>12.586</v>
      </c>
      <c r="D337" s="198">
        <v>45687</v>
      </c>
      <c r="E337" s="197">
        <v>1700</v>
      </c>
      <c r="F337" s="197">
        <v>359.6</v>
      </c>
      <c r="G337" s="197">
        <v>20.83</v>
      </c>
      <c r="H337" s="197">
        <v>3.5</v>
      </c>
      <c r="I337" s="197">
        <v>24.33</v>
      </c>
      <c r="J337" s="199"/>
      <c r="K337" s="197">
        <v>87.525999999999996</v>
      </c>
      <c r="L337" s="197">
        <v>21396.2</v>
      </c>
      <c r="M337" s="197">
        <v>148794.20000000001</v>
      </c>
      <c r="N337" s="196"/>
      <c r="O337" s="192"/>
    </row>
    <row r="338" spans="1:15" s="53" customFormat="1" x14ac:dyDescent="0.2">
      <c r="A338" s="196" t="s">
        <v>473</v>
      </c>
      <c r="B338" s="197">
        <v>74.904679999999999</v>
      </c>
      <c r="C338" s="197">
        <v>12.586</v>
      </c>
      <c r="D338" s="198">
        <v>45715</v>
      </c>
      <c r="E338" s="197">
        <v>1700</v>
      </c>
      <c r="F338" s="197">
        <v>359.6</v>
      </c>
      <c r="G338" s="197">
        <v>20.83</v>
      </c>
      <c r="H338" s="197">
        <v>3.5</v>
      </c>
      <c r="I338" s="197">
        <v>24.33</v>
      </c>
      <c r="J338" s="199"/>
      <c r="K338" s="197">
        <v>87.525999999999996</v>
      </c>
      <c r="L338" s="197">
        <v>21396.2</v>
      </c>
      <c r="M338" s="197">
        <v>148794.20000000001</v>
      </c>
      <c r="N338" s="196"/>
      <c r="O338" s="192"/>
    </row>
    <row r="339" spans="1:15" s="53" customFormat="1" x14ac:dyDescent="0.2">
      <c r="A339" s="196" t="s">
        <v>240</v>
      </c>
      <c r="B339" s="197">
        <v>281.83</v>
      </c>
      <c r="C339" s="197">
        <v>69.09</v>
      </c>
      <c r="D339" s="198">
        <v>45652</v>
      </c>
      <c r="E339" s="197">
        <v>400</v>
      </c>
      <c r="F339" s="197">
        <v>1974</v>
      </c>
      <c r="G339" s="197">
        <v>14.27</v>
      </c>
      <c r="H339" s="197">
        <v>3.5</v>
      </c>
      <c r="I339" s="197">
        <v>17.77</v>
      </c>
      <c r="J339" s="199"/>
      <c r="K339" s="197">
        <v>350.92</v>
      </c>
      <c r="L339" s="197">
        <v>27636</v>
      </c>
      <c r="M339" s="197">
        <v>140368</v>
      </c>
      <c r="N339" s="196"/>
      <c r="O339" s="192"/>
    </row>
    <row r="340" spans="1:15" s="53" customFormat="1" x14ac:dyDescent="0.2">
      <c r="A340" s="196" t="s">
        <v>240</v>
      </c>
      <c r="B340" s="197">
        <v>281.68979999999999</v>
      </c>
      <c r="C340" s="197">
        <v>69.09</v>
      </c>
      <c r="D340" s="198">
        <v>45687</v>
      </c>
      <c r="E340" s="197">
        <v>400</v>
      </c>
      <c r="F340" s="197">
        <v>1974</v>
      </c>
      <c r="G340" s="197">
        <v>14.27</v>
      </c>
      <c r="H340" s="197">
        <v>3.5</v>
      </c>
      <c r="I340" s="197">
        <v>17.77</v>
      </c>
      <c r="J340" s="199"/>
      <c r="K340" s="197">
        <v>350.92</v>
      </c>
      <c r="L340" s="197">
        <v>27636</v>
      </c>
      <c r="M340" s="197">
        <v>140368</v>
      </c>
      <c r="N340" s="196"/>
      <c r="O340" s="192"/>
    </row>
    <row r="341" spans="1:15" s="53" customFormat="1" x14ac:dyDescent="0.2">
      <c r="A341" s="196" t="s">
        <v>240</v>
      </c>
      <c r="B341" s="197">
        <v>281.68979999999999</v>
      </c>
      <c r="C341" s="197">
        <v>69.09</v>
      </c>
      <c r="D341" s="198">
        <v>45715</v>
      </c>
      <c r="E341" s="197">
        <v>400</v>
      </c>
      <c r="F341" s="197">
        <v>1974</v>
      </c>
      <c r="G341" s="197">
        <v>14.27</v>
      </c>
      <c r="H341" s="197">
        <v>3.5</v>
      </c>
      <c r="I341" s="197">
        <v>17.77</v>
      </c>
      <c r="J341" s="199"/>
      <c r="K341" s="197">
        <v>350.92</v>
      </c>
      <c r="L341" s="197">
        <v>27636</v>
      </c>
      <c r="M341" s="197">
        <v>140368</v>
      </c>
      <c r="N341" s="196"/>
      <c r="O341" s="192"/>
    </row>
    <row r="342" spans="1:15" s="53" customFormat="1" x14ac:dyDescent="0.2">
      <c r="A342" s="196" t="s">
        <v>241</v>
      </c>
      <c r="B342" s="197">
        <v>24.42</v>
      </c>
      <c r="C342" s="197">
        <v>5.0119999999999996</v>
      </c>
      <c r="D342" s="198">
        <v>45652</v>
      </c>
      <c r="E342" s="197">
        <v>4875</v>
      </c>
      <c r="F342" s="197">
        <v>143.19999999999999</v>
      </c>
      <c r="G342" s="197">
        <v>17.05</v>
      </c>
      <c r="H342" s="197">
        <v>3.5</v>
      </c>
      <c r="I342" s="197">
        <v>20.55</v>
      </c>
      <c r="J342" s="199"/>
      <c r="K342" s="197">
        <v>29.431999999999999</v>
      </c>
      <c r="L342" s="197">
        <v>24433.5</v>
      </c>
      <c r="M342" s="197">
        <v>143481.5</v>
      </c>
      <c r="N342" s="196"/>
      <c r="O342" s="192"/>
    </row>
    <row r="343" spans="1:15" s="53" customFormat="1" x14ac:dyDescent="0.2">
      <c r="A343" s="196" t="s">
        <v>241</v>
      </c>
      <c r="B343" s="197">
        <v>24.415600000000001</v>
      </c>
      <c r="C343" s="197">
        <v>5.0119999999999996</v>
      </c>
      <c r="D343" s="198">
        <v>45687</v>
      </c>
      <c r="E343" s="197">
        <v>4875</v>
      </c>
      <c r="F343" s="197">
        <v>143.19999999999999</v>
      </c>
      <c r="G343" s="197">
        <v>17.05</v>
      </c>
      <c r="H343" s="197">
        <v>3.5</v>
      </c>
      <c r="I343" s="197">
        <v>20.55</v>
      </c>
      <c r="J343" s="199"/>
      <c r="K343" s="197">
        <v>29.431999999999999</v>
      </c>
      <c r="L343" s="197">
        <v>24433.5</v>
      </c>
      <c r="M343" s="197">
        <v>143481.5</v>
      </c>
      <c r="N343" s="196"/>
      <c r="O343" s="192"/>
    </row>
    <row r="344" spans="1:15" s="53" customFormat="1" x14ac:dyDescent="0.2">
      <c r="A344" s="196" t="s">
        <v>241</v>
      </c>
      <c r="B344" s="197">
        <v>24.415600000000001</v>
      </c>
      <c r="C344" s="197">
        <v>5.0119999999999996</v>
      </c>
      <c r="D344" s="198">
        <v>45715</v>
      </c>
      <c r="E344" s="197">
        <v>4875</v>
      </c>
      <c r="F344" s="197">
        <v>143.19999999999999</v>
      </c>
      <c r="G344" s="197">
        <v>17.05</v>
      </c>
      <c r="H344" s="197">
        <v>3.5</v>
      </c>
      <c r="I344" s="197">
        <v>20.55</v>
      </c>
      <c r="J344" s="199"/>
      <c r="K344" s="197">
        <v>29.431999999999999</v>
      </c>
      <c r="L344" s="197">
        <v>24433.5</v>
      </c>
      <c r="M344" s="197">
        <v>143481.5</v>
      </c>
      <c r="N344" s="196"/>
      <c r="O344" s="192"/>
    </row>
    <row r="345" spans="1:15" s="53" customFormat="1" x14ac:dyDescent="0.2">
      <c r="A345" s="196" t="s">
        <v>516</v>
      </c>
      <c r="B345" s="197">
        <v>223.6</v>
      </c>
      <c r="C345" s="197">
        <v>54.326999999999998</v>
      </c>
      <c r="D345" s="198">
        <v>45652</v>
      </c>
      <c r="E345" s="197">
        <v>650</v>
      </c>
      <c r="F345" s="197">
        <v>1552.2</v>
      </c>
      <c r="G345" s="197">
        <v>14.4</v>
      </c>
      <c r="H345" s="197">
        <v>3.5</v>
      </c>
      <c r="I345" s="197">
        <v>17.899999999999999</v>
      </c>
      <c r="J345" s="199"/>
      <c r="K345" s="197">
        <v>277.92700000000002</v>
      </c>
      <c r="L345" s="197">
        <v>35312.550000000003</v>
      </c>
      <c r="M345" s="197">
        <v>180652.55</v>
      </c>
      <c r="N345" s="196"/>
      <c r="O345" s="192"/>
    </row>
    <row r="346" spans="1:15" s="53" customFormat="1" x14ac:dyDescent="0.2">
      <c r="A346" s="196" t="s">
        <v>516</v>
      </c>
      <c r="B346" s="197">
        <v>223.51679999999999</v>
      </c>
      <c r="C346" s="197">
        <v>54.326999999999998</v>
      </c>
      <c r="D346" s="198">
        <v>45687</v>
      </c>
      <c r="E346" s="197">
        <v>650</v>
      </c>
      <c r="F346" s="197">
        <v>1552.2</v>
      </c>
      <c r="G346" s="197">
        <v>14.4</v>
      </c>
      <c r="H346" s="197">
        <v>3.5</v>
      </c>
      <c r="I346" s="197">
        <v>17.899999999999999</v>
      </c>
      <c r="J346" s="199"/>
      <c r="K346" s="197">
        <v>277.92700000000002</v>
      </c>
      <c r="L346" s="197">
        <v>35312.550000000003</v>
      </c>
      <c r="M346" s="197">
        <v>180652.55</v>
      </c>
      <c r="N346" s="196"/>
      <c r="O346" s="192"/>
    </row>
    <row r="347" spans="1:15" s="53" customFormat="1" x14ac:dyDescent="0.2">
      <c r="A347" s="196" t="s">
        <v>516</v>
      </c>
      <c r="B347" s="197">
        <v>223.51679999999999</v>
      </c>
      <c r="C347" s="197">
        <v>54.326999999999998</v>
      </c>
      <c r="D347" s="198">
        <v>45715</v>
      </c>
      <c r="E347" s="197">
        <v>650</v>
      </c>
      <c r="F347" s="197">
        <v>1552.2</v>
      </c>
      <c r="G347" s="197">
        <v>14.4</v>
      </c>
      <c r="H347" s="197">
        <v>3.5</v>
      </c>
      <c r="I347" s="197">
        <v>17.899999999999999</v>
      </c>
      <c r="J347" s="199"/>
      <c r="K347" s="197">
        <v>277.92700000000002</v>
      </c>
      <c r="L347" s="197">
        <v>35312.550000000003</v>
      </c>
      <c r="M347" s="197">
        <v>180652.55</v>
      </c>
      <c r="N347" s="196"/>
      <c r="O347" s="192"/>
    </row>
    <row r="348" spans="1:15" s="53" customFormat="1" x14ac:dyDescent="0.2">
      <c r="A348" s="196" t="s">
        <v>594</v>
      </c>
      <c r="B348" s="197">
        <v>15.36</v>
      </c>
      <c r="C348" s="197">
        <v>2.0615000000000001</v>
      </c>
      <c r="D348" s="198">
        <v>45652</v>
      </c>
      <c r="E348" s="197">
        <v>10250</v>
      </c>
      <c r="F348" s="197">
        <v>58.9</v>
      </c>
      <c r="G348" s="197">
        <v>26.07</v>
      </c>
      <c r="H348" s="197">
        <v>3.5</v>
      </c>
      <c r="I348" s="197">
        <v>29.57</v>
      </c>
      <c r="J348" s="199"/>
      <c r="K348" s="197">
        <v>17.421500000000002</v>
      </c>
      <c r="L348" s="197">
        <v>21130.375</v>
      </c>
      <c r="M348" s="197">
        <v>178570.375</v>
      </c>
      <c r="N348" s="196"/>
      <c r="O348" s="192"/>
    </row>
    <row r="349" spans="1:15" s="53" customFormat="1" x14ac:dyDescent="0.2">
      <c r="A349" s="196" t="s">
        <v>594</v>
      </c>
      <c r="B349" s="197">
        <v>15.355230000000001</v>
      </c>
      <c r="C349" s="197">
        <v>2.0615000000000001</v>
      </c>
      <c r="D349" s="198">
        <v>45687</v>
      </c>
      <c r="E349" s="197">
        <v>10250</v>
      </c>
      <c r="F349" s="197">
        <v>58.9</v>
      </c>
      <c r="G349" s="197">
        <v>26.07</v>
      </c>
      <c r="H349" s="197">
        <v>3.5</v>
      </c>
      <c r="I349" s="197">
        <v>29.57</v>
      </c>
      <c r="J349" s="199"/>
      <c r="K349" s="197">
        <v>17.421500000000002</v>
      </c>
      <c r="L349" s="197">
        <v>21130.375</v>
      </c>
      <c r="M349" s="197">
        <v>178570.375</v>
      </c>
      <c r="N349" s="196"/>
      <c r="O349" s="192"/>
    </row>
    <row r="350" spans="1:15" s="53" customFormat="1" x14ac:dyDescent="0.2">
      <c r="A350" s="196" t="s">
        <v>594</v>
      </c>
      <c r="B350" s="197">
        <v>15.355230000000001</v>
      </c>
      <c r="C350" s="197">
        <v>2.0615000000000001</v>
      </c>
      <c r="D350" s="198">
        <v>45715</v>
      </c>
      <c r="E350" s="197">
        <v>10250</v>
      </c>
      <c r="F350" s="197">
        <v>58.9</v>
      </c>
      <c r="G350" s="197">
        <v>26.07</v>
      </c>
      <c r="H350" s="197">
        <v>3.5</v>
      </c>
      <c r="I350" s="197">
        <v>29.57</v>
      </c>
      <c r="J350" s="199"/>
      <c r="K350" s="197">
        <v>17.421500000000002</v>
      </c>
      <c r="L350" s="197">
        <v>21130.375</v>
      </c>
      <c r="M350" s="197">
        <v>178570.375</v>
      </c>
      <c r="N350" s="196"/>
      <c r="O350" s="192"/>
    </row>
    <row r="351" spans="1:15" s="53" customFormat="1" x14ac:dyDescent="0.2">
      <c r="A351" s="196" t="s">
        <v>490</v>
      </c>
      <c r="B351" s="197">
        <v>145.41999999999999</v>
      </c>
      <c r="C351" s="197">
        <v>29.940799999999999</v>
      </c>
      <c r="D351" s="198">
        <v>45652</v>
      </c>
      <c r="E351" s="197">
        <v>875</v>
      </c>
      <c r="F351" s="197">
        <v>855.45</v>
      </c>
      <c r="G351" s="197">
        <v>16.989999999999998</v>
      </c>
      <c r="H351" s="197">
        <v>3.5</v>
      </c>
      <c r="I351" s="197">
        <v>20.49</v>
      </c>
      <c r="J351" s="199"/>
      <c r="K351" s="197">
        <v>175.36080000000001</v>
      </c>
      <c r="L351" s="197">
        <v>26198.156299999999</v>
      </c>
      <c r="M351" s="197">
        <v>153441.1563</v>
      </c>
      <c r="N351" s="196"/>
      <c r="O351" s="192"/>
    </row>
    <row r="352" spans="1:15" s="53" customFormat="1" x14ac:dyDescent="0.2">
      <c r="A352" s="196" t="s">
        <v>490</v>
      </c>
      <c r="B352" s="197">
        <v>145.34095500000001</v>
      </c>
      <c r="C352" s="197">
        <v>29.940799999999999</v>
      </c>
      <c r="D352" s="198">
        <v>45687</v>
      </c>
      <c r="E352" s="197">
        <v>875</v>
      </c>
      <c r="F352" s="197">
        <v>855.45</v>
      </c>
      <c r="G352" s="197">
        <v>16.989999999999998</v>
      </c>
      <c r="H352" s="197">
        <v>3.5</v>
      </c>
      <c r="I352" s="197">
        <v>20.49</v>
      </c>
      <c r="J352" s="199"/>
      <c r="K352" s="197">
        <v>175.36080000000001</v>
      </c>
      <c r="L352" s="197">
        <v>26198.156299999999</v>
      </c>
      <c r="M352" s="197">
        <v>153441.1563</v>
      </c>
      <c r="N352" s="196"/>
      <c r="O352" s="192"/>
    </row>
    <row r="353" spans="1:15" s="53" customFormat="1" x14ac:dyDescent="0.2">
      <c r="A353" s="196" t="s">
        <v>490</v>
      </c>
      <c r="B353" s="197">
        <v>145.34095500000001</v>
      </c>
      <c r="C353" s="197">
        <v>29.940799999999999</v>
      </c>
      <c r="D353" s="198">
        <v>45715</v>
      </c>
      <c r="E353" s="197">
        <v>875</v>
      </c>
      <c r="F353" s="197">
        <v>855.45</v>
      </c>
      <c r="G353" s="197">
        <v>16.989999999999998</v>
      </c>
      <c r="H353" s="197">
        <v>3.5</v>
      </c>
      <c r="I353" s="197">
        <v>20.49</v>
      </c>
      <c r="J353" s="199"/>
      <c r="K353" s="197">
        <v>175.36080000000001</v>
      </c>
      <c r="L353" s="197">
        <v>26198.156299999999</v>
      </c>
      <c r="M353" s="197">
        <v>153441.1563</v>
      </c>
      <c r="N353" s="196"/>
      <c r="O353" s="192"/>
    </row>
    <row r="354" spans="1:15" s="53" customFormat="1" x14ac:dyDescent="0.2">
      <c r="A354" s="196" t="s">
        <v>592</v>
      </c>
      <c r="B354" s="197">
        <v>43.88</v>
      </c>
      <c r="C354" s="197">
        <v>5.7714999999999996</v>
      </c>
      <c r="D354" s="198">
        <v>45652</v>
      </c>
      <c r="E354" s="197">
        <v>3525</v>
      </c>
      <c r="F354" s="197">
        <v>164.9</v>
      </c>
      <c r="G354" s="197">
        <v>26.61</v>
      </c>
      <c r="H354" s="197">
        <v>3.5</v>
      </c>
      <c r="I354" s="197">
        <v>30.11</v>
      </c>
      <c r="J354" s="199"/>
      <c r="K354" s="197">
        <v>49.651499999999999</v>
      </c>
      <c r="L354" s="197">
        <v>20344.537499999999</v>
      </c>
      <c r="M354" s="197">
        <v>175021.53750000001</v>
      </c>
      <c r="N354" s="196"/>
      <c r="O354" s="192"/>
    </row>
    <row r="355" spans="1:15" s="53" customFormat="1" x14ac:dyDescent="0.2">
      <c r="A355" s="196" t="s">
        <v>592</v>
      </c>
      <c r="B355" s="197">
        <v>43.879890000000003</v>
      </c>
      <c r="C355" s="197">
        <v>5.7714999999999996</v>
      </c>
      <c r="D355" s="198">
        <v>45687</v>
      </c>
      <c r="E355" s="197">
        <v>3525</v>
      </c>
      <c r="F355" s="197">
        <v>164.9</v>
      </c>
      <c r="G355" s="197">
        <v>26.61</v>
      </c>
      <c r="H355" s="197">
        <v>3.5</v>
      </c>
      <c r="I355" s="197">
        <v>30.11</v>
      </c>
      <c r="J355" s="199"/>
      <c r="K355" s="197">
        <v>49.651499999999999</v>
      </c>
      <c r="L355" s="197">
        <v>20344.537499999999</v>
      </c>
      <c r="M355" s="197">
        <v>175021.53750000001</v>
      </c>
      <c r="N355" s="196"/>
      <c r="O355" s="192"/>
    </row>
    <row r="356" spans="1:15" s="53" customFormat="1" x14ac:dyDescent="0.2">
      <c r="A356" s="196" t="s">
        <v>592</v>
      </c>
      <c r="B356" s="197">
        <v>43.879890000000003</v>
      </c>
      <c r="C356" s="197">
        <v>5.7714999999999996</v>
      </c>
      <c r="D356" s="198">
        <v>45715</v>
      </c>
      <c r="E356" s="197">
        <v>3525</v>
      </c>
      <c r="F356" s="197">
        <v>164.9</v>
      </c>
      <c r="G356" s="197">
        <v>26.61</v>
      </c>
      <c r="H356" s="197">
        <v>3.5</v>
      </c>
      <c r="I356" s="197">
        <v>30.11</v>
      </c>
      <c r="J356" s="199"/>
      <c r="K356" s="197">
        <v>49.651499999999999</v>
      </c>
      <c r="L356" s="197">
        <v>20344.537499999999</v>
      </c>
      <c r="M356" s="197">
        <v>175021.53750000001</v>
      </c>
      <c r="N356" s="196"/>
      <c r="O356" s="192"/>
    </row>
    <row r="357" spans="1:15" s="53" customFormat="1" x14ac:dyDescent="0.2">
      <c r="A357" s="196" t="s">
        <v>242</v>
      </c>
      <c r="B357" s="197">
        <v>66.42</v>
      </c>
      <c r="C357" s="197">
        <v>16.283799999999999</v>
      </c>
      <c r="D357" s="198">
        <v>45652</v>
      </c>
      <c r="E357" s="197">
        <v>1600</v>
      </c>
      <c r="F357" s="197">
        <v>465.25</v>
      </c>
      <c r="G357" s="197">
        <v>14.27</v>
      </c>
      <c r="H357" s="197">
        <v>3.5</v>
      </c>
      <c r="I357" s="197">
        <v>17.77</v>
      </c>
      <c r="J357" s="199"/>
      <c r="K357" s="197">
        <v>82.703800000000001</v>
      </c>
      <c r="L357" s="197">
        <v>26054</v>
      </c>
      <c r="M357" s="197">
        <v>132326</v>
      </c>
      <c r="N357" s="196"/>
      <c r="O357" s="192"/>
    </row>
    <row r="358" spans="1:15" s="53" customFormat="1" x14ac:dyDescent="0.2">
      <c r="A358" s="196" t="s">
        <v>242</v>
      </c>
      <c r="B358" s="197">
        <v>66.391175000000004</v>
      </c>
      <c r="C358" s="197">
        <v>16.283799999999999</v>
      </c>
      <c r="D358" s="198">
        <v>45687</v>
      </c>
      <c r="E358" s="197">
        <v>1600</v>
      </c>
      <c r="F358" s="197">
        <v>465.25</v>
      </c>
      <c r="G358" s="197">
        <v>14.27</v>
      </c>
      <c r="H358" s="197">
        <v>3.5</v>
      </c>
      <c r="I358" s="197">
        <v>17.77</v>
      </c>
      <c r="J358" s="199"/>
      <c r="K358" s="197">
        <v>82.703800000000001</v>
      </c>
      <c r="L358" s="197">
        <v>26054</v>
      </c>
      <c r="M358" s="197">
        <v>132326</v>
      </c>
      <c r="N358" s="196"/>
      <c r="O358" s="192"/>
    </row>
    <row r="359" spans="1:15" s="53" customFormat="1" x14ac:dyDescent="0.2">
      <c r="A359" s="196" t="s">
        <v>242</v>
      </c>
      <c r="B359" s="197">
        <v>66.391175000000004</v>
      </c>
      <c r="C359" s="197">
        <v>16.283799999999999</v>
      </c>
      <c r="D359" s="198">
        <v>45715</v>
      </c>
      <c r="E359" s="197">
        <v>1600</v>
      </c>
      <c r="F359" s="197">
        <v>465.25</v>
      </c>
      <c r="G359" s="197">
        <v>14.27</v>
      </c>
      <c r="H359" s="197">
        <v>3.5</v>
      </c>
      <c r="I359" s="197">
        <v>17.77</v>
      </c>
      <c r="J359" s="199"/>
      <c r="K359" s="197">
        <v>82.703800000000001</v>
      </c>
      <c r="L359" s="197">
        <v>26054</v>
      </c>
      <c r="M359" s="197">
        <v>132326</v>
      </c>
      <c r="N359" s="196"/>
      <c r="O359" s="192"/>
    </row>
    <row r="360" spans="1:15" s="53" customFormat="1" x14ac:dyDescent="0.2">
      <c r="A360" s="196" t="s">
        <v>243</v>
      </c>
      <c r="B360" s="197">
        <v>173.55</v>
      </c>
      <c r="C360" s="197">
        <v>34.812800000000003</v>
      </c>
      <c r="D360" s="198">
        <v>45652</v>
      </c>
      <c r="E360" s="197">
        <v>625</v>
      </c>
      <c r="F360" s="197">
        <v>994.65</v>
      </c>
      <c r="G360" s="197">
        <v>17.440000000000001</v>
      </c>
      <c r="H360" s="197">
        <v>3.5</v>
      </c>
      <c r="I360" s="197">
        <v>20.94</v>
      </c>
      <c r="J360" s="199"/>
      <c r="K360" s="197">
        <v>208.36279999999999</v>
      </c>
      <c r="L360" s="197">
        <v>21757.968799999999</v>
      </c>
      <c r="M360" s="197">
        <v>130226.9688</v>
      </c>
      <c r="N360" s="196"/>
      <c r="O360" s="192"/>
    </row>
    <row r="361" spans="1:15" s="53" customFormat="1" x14ac:dyDescent="0.2">
      <c r="A361" s="196" t="s">
        <v>243</v>
      </c>
      <c r="B361" s="197">
        <v>173.46696</v>
      </c>
      <c r="C361" s="197">
        <v>34.812800000000003</v>
      </c>
      <c r="D361" s="198">
        <v>45687</v>
      </c>
      <c r="E361" s="197">
        <v>625</v>
      </c>
      <c r="F361" s="197">
        <v>994.65</v>
      </c>
      <c r="G361" s="197">
        <v>17.440000000000001</v>
      </c>
      <c r="H361" s="197">
        <v>3.5</v>
      </c>
      <c r="I361" s="197">
        <v>20.94</v>
      </c>
      <c r="J361" s="199"/>
      <c r="K361" s="197">
        <v>208.36279999999999</v>
      </c>
      <c r="L361" s="197">
        <v>21757.968799999999</v>
      </c>
      <c r="M361" s="197">
        <v>130226.9688</v>
      </c>
      <c r="N361" s="196"/>
      <c r="O361" s="192"/>
    </row>
    <row r="362" spans="1:15" s="53" customFormat="1" x14ac:dyDescent="0.2">
      <c r="A362" s="196" t="s">
        <v>243</v>
      </c>
      <c r="B362" s="197">
        <v>173.46696</v>
      </c>
      <c r="C362" s="197">
        <v>34.812800000000003</v>
      </c>
      <c r="D362" s="198">
        <v>45715</v>
      </c>
      <c r="E362" s="197">
        <v>625</v>
      </c>
      <c r="F362" s="197">
        <v>994.65</v>
      </c>
      <c r="G362" s="197">
        <v>17.440000000000001</v>
      </c>
      <c r="H362" s="197">
        <v>3.5</v>
      </c>
      <c r="I362" s="197">
        <v>20.94</v>
      </c>
      <c r="J362" s="199"/>
      <c r="K362" s="197">
        <v>208.36279999999999</v>
      </c>
      <c r="L362" s="197">
        <v>21757.968799999999</v>
      </c>
      <c r="M362" s="197">
        <v>130226.9688</v>
      </c>
      <c r="N362" s="196"/>
      <c r="O362" s="192"/>
    </row>
    <row r="363" spans="1:15" s="53" customFormat="1" x14ac:dyDescent="0.2">
      <c r="A363" s="196" t="s">
        <v>570</v>
      </c>
      <c r="B363" s="197">
        <v>56.38</v>
      </c>
      <c r="C363" s="197">
        <v>12.005000000000001</v>
      </c>
      <c r="D363" s="198">
        <v>45652</v>
      </c>
      <c r="E363" s="197">
        <v>1650</v>
      </c>
      <c r="F363" s="197">
        <v>343</v>
      </c>
      <c r="G363" s="197">
        <v>16.43</v>
      </c>
      <c r="H363" s="197">
        <v>3.5</v>
      </c>
      <c r="I363" s="197">
        <v>19.93</v>
      </c>
      <c r="J363" s="199"/>
      <c r="K363" s="197">
        <v>68.385000000000005</v>
      </c>
      <c r="L363" s="197">
        <v>19808.25</v>
      </c>
      <c r="M363" s="197">
        <v>112835.25</v>
      </c>
      <c r="N363" s="196"/>
      <c r="O363" s="192"/>
    </row>
    <row r="364" spans="1:15" s="53" customFormat="1" x14ac:dyDescent="0.2">
      <c r="A364" s="196" t="s">
        <v>570</v>
      </c>
      <c r="B364" s="197">
        <v>56.354900000000001</v>
      </c>
      <c r="C364" s="197">
        <v>12.005000000000001</v>
      </c>
      <c r="D364" s="198">
        <v>45687</v>
      </c>
      <c r="E364" s="197">
        <v>1650</v>
      </c>
      <c r="F364" s="197">
        <v>343</v>
      </c>
      <c r="G364" s="197">
        <v>16.43</v>
      </c>
      <c r="H364" s="197">
        <v>3.5</v>
      </c>
      <c r="I364" s="197">
        <v>19.93</v>
      </c>
      <c r="J364" s="199"/>
      <c r="K364" s="197">
        <v>68.385000000000005</v>
      </c>
      <c r="L364" s="197">
        <v>19808.25</v>
      </c>
      <c r="M364" s="197">
        <v>112835.25</v>
      </c>
      <c r="N364" s="196"/>
      <c r="O364" s="192"/>
    </row>
    <row r="365" spans="1:15" s="53" customFormat="1" x14ac:dyDescent="0.2">
      <c r="A365" s="196" t="s">
        <v>570</v>
      </c>
      <c r="B365" s="197">
        <v>56.354900000000001</v>
      </c>
      <c r="C365" s="197">
        <v>12.005000000000001</v>
      </c>
      <c r="D365" s="198">
        <v>45715</v>
      </c>
      <c r="E365" s="197">
        <v>1650</v>
      </c>
      <c r="F365" s="197">
        <v>343</v>
      </c>
      <c r="G365" s="197">
        <v>16.43</v>
      </c>
      <c r="H365" s="197">
        <v>3.5</v>
      </c>
      <c r="I365" s="197">
        <v>19.93</v>
      </c>
      <c r="J365" s="199"/>
      <c r="K365" s="197">
        <v>68.385000000000005</v>
      </c>
      <c r="L365" s="197">
        <v>19808.25</v>
      </c>
      <c r="M365" s="197">
        <v>112835.25</v>
      </c>
      <c r="N365" s="196"/>
      <c r="O365" s="192"/>
    </row>
    <row r="366" spans="1:15" s="53" customFormat="1" x14ac:dyDescent="0.2">
      <c r="A366" s="196" t="s">
        <v>527</v>
      </c>
      <c r="B366" s="197">
        <v>700.9</v>
      </c>
      <c r="C366" s="197">
        <v>164.4948</v>
      </c>
      <c r="D366" s="198">
        <v>45652</v>
      </c>
      <c r="E366" s="197">
        <v>125</v>
      </c>
      <c r="F366" s="197">
        <v>4699.8500000000004</v>
      </c>
      <c r="G366" s="197">
        <v>14.91</v>
      </c>
      <c r="H366" s="197">
        <v>3.5</v>
      </c>
      <c r="I366" s="197">
        <v>18.41</v>
      </c>
      <c r="J366" s="199"/>
      <c r="K366" s="197">
        <v>865.39480000000003</v>
      </c>
      <c r="L366" s="197">
        <v>20561.843799999999</v>
      </c>
      <c r="M366" s="197">
        <v>108174.8438</v>
      </c>
      <c r="N366" s="196"/>
      <c r="O366" s="192"/>
    </row>
    <row r="367" spans="1:15" s="53" customFormat="1" x14ac:dyDescent="0.2">
      <c r="A367" s="196" t="s">
        <v>527</v>
      </c>
      <c r="B367" s="197">
        <v>700.74763499999995</v>
      </c>
      <c r="C367" s="197">
        <v>164.4948</v>
      </c>
      <c r="D367" s="198">
        <v>45687</v>
      </c>
      <c r="E367" s="197">
        <v>125</v>
      </c>
      <c r="F367" s="197">
        <v>4699.8500000000004</v>
      </c>
      <c r="G367" s="197">
        <v>14.91</v>
      </c>
      <c r="H367" s="197">
        <v>3.5</v>
      </c>
      <c r="I367" s="197">
        <v>18.41</v>
      </c>
      <c r="J367" s="199"/>
      <c r="K367" s="197">
        <v>865.39480000000003</v>
      </c>
      <c r="L367" s="197">
        <v>20561.843799999999</v>
      </c>
      <c r="M367" s="197">
        <v>108174.8438</v>
      </c>
      <c r="N367" s="196"/>
      <c r="O367" s="192"/>
    </row>
    <row r="368" spans="1:15" s="53" customFormat="1" x14ac:dyDescent="0.2">
      <c r="A368" s="196" t="s">
        <v>527</v>
      </c>
      <c r="B368" s="197">
        <v>700.74763499999995</v>
      </c>
      <c r="C368" s="197">
        <v>164.4948</v>
      </c>
      <c r="D368" s="198">
        <v>45715</v>
      </c>
      <c r="E368" s="197">
        <v>125</v>
      </c>
      <c r="F368" s="197">
        <v>4699.8500000000004</v>
      </c>
      <c r="G368" s="197">
        <v>14.91</v>
      </c>
      <c r="H368" s="197">
        <v>3.5</v>
      </c>
      <c r="I368" s="197">
        <v>18.41</v>
      </c>
      <c r="J368" s="199"/>
      <c r="K368" s="197">
        <v>865.39480000000003</v>
      </c>
      <c r="L368" s="197">
        <v>20561.843799999999</v>
      </c>
      <c r="M368" s="197">
        <v>108174.8438</v>
      </c>
      <c r="N368" s="196"/>
      <c r="O368" s="192"/>
    </row>
    <row r="369" spans="1:15" s="53" customFormat="1" x14ac:dyDescent="0.2">
      <c r="A369" s="196" t="s">
        <v>581</v>
      </c>
      <c r="B369" s="197">
        <v>157.21</v>
      </c>
      <c r="C369" s="197">
        <v>26.148499999999999</v>
      </c>
      <c r="D369" s="198">
        <v>45652</v>
      </c>
      <c r="E369" s="197">
        <v>775</v>
      </c>
      <c r="F369" s="197">
        <v>747.1</v>
      </c>
      <c r="G369" s="197">
        <v>21.04</v>
      </c>
      <c r="H369" s="197">
        <v>3.5</v>
      </c>
      <c r="I369" s="197">
        <v>24.54</v>
      </c>
      <c r="J369" s="199"/>
      <c r="K369" s="197">
        <v>183.35849999999999</v>
      </c>
      <c r="L369" s="197">
        <v>20265.087500000001</v>
      </c>
      <c r="M369" s="197">
        <v>142103.08749999999</v>
      </c>
      <c r="N369" s="196"/>
      <c r="O369" s="192"/>
    </row>
    <row r="370" spans="1:15" s="53" customFormat="1" x14ac:dyDescent="0.2">
      <c r="A370" s="196" t="s">
        <v>581</v>
      </c>
      <c r="B370" s="197">
        <v>157.18984</v>
      </c>
      <c r="C370" s="197">
        <v>26.148499999999999</v>
      </c>
      <c r="D370" s="198">
        <v>45687</v>
      </c>
      <c r="E370" s="197">
        <v>775</v>
      </c>
      <c r="F370" s="197">
        <v>747.1</v>
      </c>
      <c r="G370" s="197">
        <v>21.04</v>
      </c>
      <c r="H370" s="197">
        <v>3.5</v>
      </c>
      <c r="I370" s="197">
        <v>24.54</v>
      </c>
      <c r="J370" s="199"/>
      <c r="K370" s="197">
        <v>183.35849999999999</v>
      </c>
      <c r="L370" s="197">
        <v>20265.087500000001</v>
      </c>
      <c r="M370" s="197">
        <v>142103.08749999999</v>
      </c>
      <c r="N370" s="196"/>
      <c r="O370" s="192"/>
    </row>
    <row r="371" spans="1:15" s="53" customFormat="1" x14ac:dyDescent="0.2">
      <c r="A371" s="196" t="s">
        <v>581</v>
      </c>
      <c r="B371" s="197">
        <v>157.18984</v>
      </c>
      <c r="C371" s="197">
        <v>26.148499999999999</v>
      </c>
      <c r="D371" s="198">
        <v>45715</v>
      </c>
      <c r="E371" s="197">
        <v>775</v>
      </c>
      <c r="F371" s="197">
        <v>747.1</v>
      </c>
      <c r="G371" s="197">
        <v>21.04</v>
      </c>
      <c r="H371" s="197">
        <v>3.5</v>
      </c>
      <c r="I371" s="197">
        <v>24.54</v>
      </c>
      <c r="J371" s="199"/>
      <c r="K371" s="197">
        <v>183.35849999999999</v>
      </c>
      <c r="L371" s="197">
        <v>20265.087500000001</v>
      </c>
      <c r="M371" s="197">
        <v>142103.08749999999</v>
      </c>
      <c r="N371" s="196"/>
      <c r="O371" s="192"/>
    </row>
    <row r="372" spans="1:15" s="53" customFormat="1" x14ac:dyDescent="0.2">
      <c r="A372" s="196" t="s">
        <v>580</v>
      </c>
      <c r="B372" s="197">
        <v>160.09</v>
      </c>
      <c r="C372" s="197">
        <v>23.714300000000001</v>
      </c>
      <c r="D372" s="198">
        <v>45652</v>
      </c>
      <c r="E372" s="197">
        <v>750</v>
      </c>
      <c r="F372" s="197">
        <v>677.55</v>
      </c>
      <c r="G372" s="197">
        <v>23.62</v>
      </c>
      <c r="H372" s="197">
        <v>3.5</v>
      </c>
      <c r="I372" s="197">
        <v>27.12</v>
      </c>
      <c r="J372" s="199"/>
      <c r="K372" s="197">
        <v>183.80430000000001</v>
      </c>
      <c r="L372" s="197">
        <v>17785.6875</v>
      </c>
      <c r="M372" s="197">
        <v>137853.6875</v>
      </c>
      <c r="N372" s="196"/>
      <c r="O372" s="192"/>
    </row>
    <row r="373" spans="1:15" s="53" customFormat="1" x14ac:dyDescent="0.2">
      <c r="A373" s="196" t="s">
        <v>580</v>
      </c>
      <c r="B373" s="197">
        <v>160.03730999999999</v>
      </c>
      <c r="C373" s="197">
        <v>23.714300000000001</v>
      </c>
      <c r="D373" s="198">
        <v>45687</v>
      </c>
      <c r="E373" s="197">
        <v>750</v>
      </c>
      <c r="F373" s="197">
        <v>677.55</v>
      </c>
      <c r="G373" s="197">
        <v>23.62</v>
      </c>
      <c r="H373" s="197">
        <v>3.5</v>
      </c>
      <c r="I373" s="197">
        <v>27.12</v>
      </c>
      <c r="J373" s="199"/>
      <c r="K373" s="197">
        <v>183.80430000000001</v>
      </c>
      <c r="L373" s="197">
        <v>17785.6875</v>
      </c>
      <c r="M373" s="197">
        <v>137853.6875</v>
      </c>
      <c r="N373" s="196"/>
      <c r="O373" s="192"/>
    </row>
    <row r="374" spans="1:15" s="53" customFormat="1" x14ac:dyDescent="0.2">
      <c r="A374" s="196" t="s">
        <v>580</v>
      </c>
      <c r="B374" s="197">
        <v>160.03730999999999</v>
      </c>
      <c r="C374" s="197">
        <v>23.714300000000001</v>
      </c>
      <c r="D374" s="198">
        <v>45715</v>
      </c>
      <c r="E374" s="197">
        <v>750</v>
      </c>
      <c r="F374" s="197">
        <v>677.55</v>
      </c>
      <c r="G374" s="197">
        <v>23.62</v>
      </c>
      <c r="H374" s="197">
        <v>3.5</v>
      </c>
      <c r="I374" s="197">
        <v>27.12</v>
      </c>
      <c r="J374" s="199"/>
      <c r="K374" s="197">
        <v>183.80430000000001</v>
      </c>
      <c r="L374" s="197">
        <v>17785.6875</v>
      </c>
      <c r="M374" s="197">
        <v>137853.6875</v>
      </c>
      <c r="N374" s="196"/>
      <c r="O374" s="192"/>
    </row>
    <row r="375" spans="1:15" s="53" customFormat="1" x14ac:dyDescent="0.2">
      <c r="A375" s="196" t="s">
        <v>244</v>
      </c>
      <c r="B375" s="197">
        <v>142.80000000000001</v>
      </c>
      <c r="C375" s="197">
        <v>35.006999999999998</v>
      </c>
      <c r="D375" s="198">
        <v>45652</v>
      </c>
      <c r="E375" s="197">
        <v>675</v>
      </c>
      <c r="F375" s="197">
        <v>1000.2</v>
      </c>
      <c r="G375" s="197">
        <v>14.27</v>
      </c>
      <c r="H375" s="197">
        <v>3.5</v>
      </c>
      <c r="I375" s="197">
        <v>17.77</v>
      </c>
      <c r="J375" s="199"/>
      <c r="K375" s="197">
        <v>177.80699999999999</v>
      </c>
      <c r="L375" s="197">
        <v>23629.724999999999</v>
      </c>
      <c r="M375" s="197">
        <v>120019.72500000001</v>
      </c>
      <c r="N375" s="196"/>
      <c r="O375" s="192"/>
    </row>
    <row r="376" spans="1:15" s="53" customFormat="1" x14ac:dyDescent="0.2">
      <c r="A376" s="196" t="s">
        <v>244</v>
      </c>
      <c r="B376" s="197">
        <v>142.72854000000001</v>
      </c>
      <c r="C376" s="197">
        <v>35.006999999999998</v>
      </c>
      <c r="D376" s="198">
        <v>45687</v>
      </c>
      <c r="E376" s="197">
        <v>675</v>
      </c>
      <c r="F376" s="197">
        <v>1000.2</v>
      </c>
      <c r="G376" s="197">
        <v>14.27</v>
      </c>
      <c r="H376" s="197">
        <v>3.5</v>
      </c>
      <c r="I376" s="197">
        <v>17.77</v>
      </c>
      <c r="J376" s="199"/>
      <c r="K376" s="197">
        <v>177.80699999999999</v>
      </c>
      <c r="L376" s="197">
        <v>23629.724999999999</v>
      </c>
      <c r="M376" s="197">
        <v>120019.72500000001</v>
      </c>
      <c r="N376" s="196"/>
      <c r="O376" s="192"/>
    </row>
    <row r="377" spans="1:15" s="53" customFormat="1" x14ac:dyDescent="0.2">
      <c r="A377" s="196" t="s">
        <v>244</v>
      </c>
      <c r="B377" s="197">
        <v>142.72854000000001</v>
      </c>
      <c r="C377" s="197">
        <v>35.006999999999998</v>
      </c>
      <c r="D377" s="198">
        <v>45715</v>
      </c>
      <c r="E377" s="197">
        <v>675</v>
      </c>
      <c r="F377" s="197">
        <v>1000.2</v>
      </c>
      <c r="G377" s="197">
        <v>14.27</v>
      </c>
      <c r="H377" s="197">
        <v>3.5</v>
      </c>
      <c r="I377" s="197">
        <v>17.77</v>
      </c>
      <c r="J377" s="199"/>
      <c r="K377" s="197">
        <v>177.80699999999999</v>
      </c>
      <c r="L377" s="197">
        <v>23629.724999999999</v>
      </c>
      <c r="M377" s="197">
        <v>120019.72500000001</v>
      </c>
      <c r="N377" s="196"/>
      <c r="O377" s="192"/>
    </row>
    <row r="378" spans="1:15" s="53" customFormat="1" x14ac:dyDescent="0.2">
      <c r="A378" s="196" t="s">
        <v>245</v>
      </c>
      <c r="B378" s="197">
        <v>111.37</v>
      </c>
      <c r="C378" s="197">
        <v>24.773</v>
      </c>
      <c r="D378" s="198">
        <v>45652</v>
      </c>
      <c r="E378" s="197">
        <v>1250</v>
      </c>
      <c r="F378" s="197">
        <v>707.8</v>
      </c>
      <c r="G378" s="197">
        <v>15.73</v>
      </c>
      <c r="H378" s="197">
        <v>3.5</v>
      </c>
      <c r="I378" s="197">
        <v>19.23</v>
      </c>
      <c r="J378" s="199"/>
      <c r="K378" s="197">
        <v>136.143</v>
      </c>
      <c r="L378" s="197">
        <v>30966.25</v>
      </c>
      <c r="M378" s="197">
        <v>170179.25</v>
      </c>
      <c r="N378" s="196"/>
      <c r="O378" s="192"/>
    </row>
    <row r="379" spans="1:15" s="53" customFormat="1" x14ac:dyDescent="0.2">
      <c r="A379" s="196" t="s">
        <v>245</v>
      </c>
      <c r="B379" s="197">
        <v>111.33694</v>
      </c>
      <c r="C379" s="197">
        <v>24.773</v>
      </c>
      <c r="D379" s="198">
        <v>45687</v>
      </c>
      <c r="E379" s="197">
        <v>1250</v>
      </c>
      <c r="F379" s="197">
        <v>707.8</v>
      </c>
      <c r="G379" s="197">
        <v>15.73</v>
      </c>
      <c r="H379" s="197">
        <v>3.5</v>
      </c>
      <c r="I379" s="197">
        <v>19.23</v>
      </c>
      <c r="J379" s="199"/>
      <c r="K379" s="197">
        <v>136.143</v>
      </c>
      <c r="L379" s="197">
        <v>30966.25</v>
      </c>
      <c r="M379" s="197">
        <v>170179.25</v>
      </c>
      <c r="N379" s="196"/>
      <c r="O379" s="192"/>
    </row>
    <row r="380" spans="1:15" s="53" customFormat="1" x14ac:dyDescent="0.2">
      <c r="A380" s="196" t="s">
        <v>245</v>
      </c>
      <c r="B380" s="197">
        <v>111.33694</v>
      </c>
      <c r="C380" s="197">
        <v>24.773</v>
      </c>
      <c r="D380" s="198">
        <v>45715</v>
      </c>
      <c r="E380" s="197">
        <v>1250</v>
      </c>
      <c r="F380" s="197">
        <v>707.8</v>
      </c>
      <c r="G380" s="197">
        <v>15.73</v>
      </c>
      <c r="H380" s="197">
        <v>3.5</v>
      </c>
      <c r="I380" s="197">
        <v>19.23</v>
      </c>
      <c r="J380" s="199"/>
      <c r="K380" s="197">
        <v>136.143</v>
      </c>
      <c r="L380" s="197">
        <v>30966.25</v>
      </c>
      <c r="M380" s="197">
        <v>170179.25</v>
      </c>
      <c r="N380" s="196"/>
      <c r="O380" s="192"/>
    </row>
    <row r="381" spans="1:15" s="53" customFormat="1" x14ac:dyDescent="0.2">
      <c r="A381" s="196" t="s">
        <v>582</v>
      </c>
      <c r="B381" s="197">
        <v>170.35</v>
      </c>
      <c r="C381" s="197">
        <v>26.703299999999999</v>
      </c>
      <c r="D381" s="198">
        <v>45652</v>
      </c>
      <c r="E381" s="197">
        <v>775</v>
      </c>
      <c r="F381" s="197">
        <v>762.95</v>
      </c>
      <c r="G381" s="197">
        <v>22.32</v>
      </c>
      <c r="H381" s="197">
        <v>3.5</v>
      </c>
      <c r="I381" s="197">
        <v>25.82</v>
      </c>
      <c r="J381" s="199"/>
      <c r="K381" s="197">
        <v>197.05330000000001</v>
      </c>
      <c r="L381" s="197">
        <v>20695.018800000002</v>
      </c>
      <c r="M381" s="197">
        <v>152716.01879999999</v>
      </c>
      <c r="N381" s="196"/>
      <c r="O381" s="192"/>
    </row>
    <row r="382" spans="1:15" s="53" customFormat="1" x14ac:dyDescent="0.2">
      <c r="A382" s="196" t="s">
        <v>582</v>
      </c>
      <c r="B382" s="197">
        <v>170.29043999999999</v>
      </c>
      <c r="C382" s="197">
        <v>26.703299999999999</v>
      </c>
      <c r="D382" s="198">
        <v>45687</v>
      </c>
      <c r="E382" s="197">
        <v>775</v>
      </c>
      <c r="F382" s="197">
        <v>762.95</v>
      </c>
      <c r="G382" s="197">
        <v>22.32</v>
      </c>
      <c r="H382" s="197">
        <v>3.5</v>
      </c>
      <c r="I382" s="197">
        <v>25.82</v>
      </c>
      <c r="J382" s="199"/>
      <c r="K382" s="197">
        <v>197.05330000000001</v>
      </c>
      <c r="L382" s="197">
        <v>20695.018800000002</v>
      </c>
      <c r="M382" s="197">
        <v>152716.01879999999</v>
      </c>
      <c r="N382" s="196"/>
      <c r="O382" s="192"/>
    </row>
    <row r="383" spans="1:15" s="53" customFormat="1" x14ac:dyDescent="0.2">
      <c r="A383" s="196" t="s">
        <v>582</v>
      </c>
      <c r="B383" s="197">
        <v>170.29043999999999</v>
      </c>
      <c r="C383" s="197">
        <v>26.703299999999999</v>
      </c>
      <c r="D383" s="198">
        <v>45715</v>
      </c>
      <c r="E383" s="197">
        <v>775</v>
      </c>
      <c r="F383" s="197">
        <v>762.95</v>
      </c>
      <c r="G383" s="197">
        <v>22.32</v>
      </c>
      <c r="H383" s="197">
        <v>3.5</v>
      </c>
      <c r="I383" s="197">
        <v>25.82</v>
      </c>
      <c r="J383" s="199"/>
      <c r="K383" s="197">
        <v>197.05330000000001</v>
      </c>
      <c r="L383" s="197">
        <v>20695.018800000002</v>
      </c>
      <c r="M383" s="197">
        <v>152716.01879999999</v>
      </c>
      <c r="N383" s="196"/>
      <c r="O383" s="192"/>
    </row>
    <row r="384" spans="1:15" s="53" customFormat="1" x14ac:dyDescent="0.2">
      <c r="A384" s="196" t="s">
        <v>610</v>
      </c>
      <c r="B384" s="197">
        <v>944.51</v>
      </c>
      <c r="C384" s="197">
        <v>162.1095</v>
      </c>
      <c r="D384" s="198">
        <v>45652</v>
      </c>
      <c r="E384" s="197">
        <v>150</v>
      </c>
      <c r="F384" s="197">
        <v>4631.7</v>
      </c>
      <c r="G384" s="197">
        <v>20.39</v>
      </c>
      <c r="H384" s="197">
        <v>3.5</v>
      </c>
      <c r="I384" s="197">
        <v>23.89</v>
      </c>
      <c r="J384" s="199"/>
      <c r="K384" s="197">
        <v>1106.6195</v>
      </c>
      <c r="L384" s="197">
        <v>24316.424999999999</v>
      </c>
      <c r="M384" s="197">
        <v>165993.42499999999</v>
      </c>
      <c r="N384" s="196"/>
      <c r="O384" s="192"/>
    </row>
    <row r="385" spans="1:15" s="53" customFormat="1" x14ac:dyDescent="0.2">
      <c r="A385" s="196" t="s">
        <v>610</v>
      </c>
      <c r="B385" s="197">
        <v>944.40363000000002</v>
      </c>
      <c r="C385" s="197">
        <v>162.1095</v>
      </c>
      <c r="D385" s="198">
        <v>45687</v>
      </c>
      <c r="E385" s="197">
        <v>150</v>
      </c>
      <c r="F385" s="197">
        <v>4631.7</v>
      </c>
      <c r="G385" s="197">
        <v>20.39</v>
      </c>
      <c r="H385" s="197">
        <v>3.5</v>
      </c>
      <c r="I385" s="197">
        <v>23.89</v>
      </c>
      <c r="J385" s="199"/>
      <c r="K385" s="197">
        <v>1106.6195</v>
      </c>
      <c r="L385" s="197">
        <v>24316.424999999999</v>
      </c>
      <c r="M385" s="197">
        <v>165993.42499999999</v>
      </c>
      <c r="N385" s="196"/>
      <c r="O385" s="192"/>
    </row>
    <row r="386" spans="1:15" s="53" customFormat="1" x14ac:dyDescent="0.2">
      <c r="A386" s="196" t="s">
        <v>610</v>
      </c>
      <c r="B386" s="197">
        <v>944.40363000000002</v>
      </c>
      <c r="C386" s="197">
        <v>162.1095</v>
      </c>
      <c r="D386" s="198">
        <v>45715</v>
      </c>
      <c r="E386" s="197">
        <v>150</v>
      </c>
      <c r="F386" s="197">
        <v>4631.7</v>
      </c>
      <c r="G386" s="197">
        <v>20.39</v>
      </c>
      <c r="H386" s="197">
        <v>3.5</v>
      </c>
      <c r="I386" s="197">
        <v>23.89</v>
      </c>
      <c r="J386" s="199"/>
      <c r="K386" s="197">
        <v>1106.6195</v>
      </c>
      <c r="L386" s="197">
        <v>24316.424999999999</v>
      </c>
      <c r="M386" s="197">
        <v>165993.42499999999</v>
      </c>
      <c r="N386" s="196"/>
      <c r="O386" s="192"/>
    </row>
    <row r="387" spans="1:15" s="53" customFormat="1" x14ac:dyDescent="0.2">
      <c r="A387" s="196" t="s">
        <v>246</v>
      </c>
      <c r="B387" s="197">
        <v>256.23</v>
      </c>
      <c r="C387" s="197">
        <v>62.814500000000002</v>
      </c>
      <c r="D387" s="198">
        <v>45652</v>
      </c>
      <c r="E387" s="197">
        <v>400</v>
      </c>
      <c r="F387" s="197">
        <v>1794.7</v>
      </c>
      <c r="G387" s="197">
        <v>14.27</v>
      </c>
      <c r="H387" s="197">
        <v>3.5</v>
      </c>
      <c r="I387" s="197">
        <v>17.77</v>
      </c>
      <c r="J387" s="199"/>
      <c r="K387" s="197">
        <v>319.04450000000003</v>
      </c>
      <c r="L387" s="197">
        <v>25125.8</v>
      </c>
      <c r="M387" s="197">
        <v>127617.8</v>
      </c>
      <c r="N387" s="196"/>
      <c r="O387" s="192"/>
    </row>
    <row r="388" spans="1:15" s="53" customFormat="1" x14ac:dyDescent="0.2">
      <c r="A388" s="196" t="s">
        <v>246</v>
      </c>
      <c r="B388" s="197">
        <v>256.10368999999997</v>
      </c>
      <c r="C388" s="197">
        <v>62.814500000000002</v>
      </c>
      <c r="D388" s="198">
        <v>45687</v>
      </c>
      <c r="E388" s="197">
        <v>400</v>
      </c>
      <c r="F388" s="197">
        <v>1794.7</v>
      </c>
      <c r="G388" s="197">
        <v>14.27</v>
      </c>
      <c r="H388" s="197">
        <v>3.5</v>
      </c>
      <c r="I388" s="197">
        <v>17.77</v>
      </c>
      <c r="J388" s="199"/>
      <c r="K388" s="197">
        <v>319.04450000000003</v>
      </c>
      <c r="L388" s="197">
        <v>25125.8</v>
      </c>
      <c r="M388" s="197">
        <v>127617.8</v>
      </c>
      <c r="N388" s="196"/>
      <c r="O388" s="192"/>
    </row>
    <row r="389" spans="1:15" s="53" customFormat="1" x14ac:dyDescent="0.2">
      <c r="A389" s="196" t="s">
        <v>246</v>
      </c>
      <c r="B389" s="197">
        <v>256.10368999999997</v>
      </c>
      <c r="C389" s="197">
        <v>62.814500000000002</v>
      </c>
      <c r="D389" s="198">
        <v>45715</v>
      </c>
      <c r="E389" s="197">
        <v>400</v>
      </c>
      <c r="F389" s="197">
        <v>1794.7</v>
      </c>
      <c r="G389" s="197">
        <v>14.27</v>
      </c>
      <c r="H389" s="197">
        <v>3.5</v>
      </c>
      <c r="I389" s="197">
        <v>17.77</v>
      </c>
      <c r="J389" s="199"/>
      <c r="K389" s="197">
        <v>319.04450000000003</v>
      </c>
      <c r="L389" s="197">
        <v>25125.8</v>
      </c>
      <c r="M389" s="197">
        <v>127617.8</v>
      </c>
      <c r="N389" s="196"/>
      <c r="O389" s="192"/>
    </row>
    <row r="390" spans="1:15" s="53" customFormat="1" x14ac:dyDescent="0.2">
      <c r="A390" s="196" t="s">
        <v>577</v>
      </c>
      <c r="B390" s="197">
        <v>330.58</v>
      </c>
      <c r="C390" s="197">
        <v>54.209800000000001</v>
      </c>
      <c r="D390" s="198">
        <v>45652</v>
      </c>
      <c r="E390" s="197">
        <v>400</v>
      </c>
      <c r="F390" s="197">
        <v>1548.85</v>
      </c>
      <c r="G390" s="197">
        <v>21.34</v>
      </c>
      <c r="H390" s="197">
        <v>3.5</v>
      </c>
      <c r="I390" s="197">
        <v>24.84</v>
      </c>
      <c r="J390" s="199"/>
      <c r="K390" s="197">
        <v>384.78980000000001</v>
      </c>
      <c r="L390" s="197">
        <v>21683.9</v>
      </c>
      <c r="M390" s="197">
        <v>153915.9</v>
      </c>
      <c r="N390" s="196"/>
      <c r="O390" s="192"/>
    </row>
    <row r="391" spans="1:15" s="53" customFormat="1" x14ac:dyDescent="0.2">
      <c r="A391" s="196" t="s">
        <v>577</v>
      </c>
      <c r="B391" s="197">
        <v>330.52458999999999</v>
      </c>
      <c r="C391" s="197">
        <v>54.209800000000001</v>
      </c>
      <c r="D391" s="198">
        <v>45687</v>
      </c>
      <c r="E391" s="197">
        <v>400</v>
      </c>
      <c r="F391" s="197">
        <v>1548.85</v>
      </c>
      <c r="G391" s="197">
        <v>21.34</v>
      </c>
      <c r="H391" s="197">
        <v>3.5</v>
      </c>
      <c r="I391" s="197">
        <v>24.84</v>
      </c>
      <c r="J391" s="199"/>
      <c r="K391" s="197">
        <v>384.78980000000001</v>
      </c>
      <c r="L391" s="197">
        <v>21683.9</v>
      </c>
      <c r="M391" s="197">
        <v>153915.9</v>
      </c>
      <c r="N391" s="196"/>
      <c r="O391" s="192"/>
    </row>
    <row r="392" spans="1:15" s="53" customFormat="1" x14ac:dyDescent="0.2">
      <c r="A392" s="196" t="s">
        <v>577</v>
      </c>
      <c r="B392" s="197">
        <v>330.52458999999999</v>
      </c>
      <c r="C392" s="197">
        <v>54.209800000000001</v>
      </c>
      <c r="D392" s="198">
        <v>45715</v>
      </c>
      <c r="E392" s="197">
        <v>400</v>
      </c>
      <c r="F392" s="197">
        <v>1548.85</v>
      </c>
      <c r="G392" s="197">
        <v>21.34</v>
      </c>
      <c r="H392" s="197">
        <v>3.5</v>
      </c>
      <c r="I392" s="197">
        <v>24.84</v>
      </c>
      <c r="J392" s="199"/>
      <c r="K392" s="197">
        <v>384.78980000000001</v>
      </c>
      <c r="L392" s="197">
        <v>21683.9</v>
      </c>
      <c r="M392" s="197">
        <v>153915.9</v>
      </c>
      <c r="N392" s="196"/>
      <c r="O392" s="192"/>
    </row>
    <row r="393" spans="1:15" s="53" customFormat="1" x14ac:dyDescent="0.2">
      <c r="A393" s="196" t="s">
        <v>474</v>
      </c>
      <c r="B393" s="197">
        <v>472.89</v>
      </c>
      <c r="C393" s="197">
        <v>110.3708</v>
      </c>
      <c r="D393" s="198">
        <v>45652</v>
      </c>
      <c r="E393" s="197">
        <v>150</v>
      </c>
      <c r="F393" s="197">
        <v>3153.45</v>
      </c>
      <c r="G393" s="197">
        <v>14.99</v>
      </c>
      <c r="H393" s="197">
        <v>3.5</v>
      </c>
      <c r="I393" s="197">
        <v>18.489999999999998</v>
      </c>
      <c r="J393" s="199"/>
      <c r="K393" s="197">
        <v>583.26080000000002</v>
      </c>
      <c r="L393" s="197">
        <v>16555.612499999999</v>
      </c>
      <c r="M393" s="197">
        <v>87489.612500000003</v>
      </c>
      <c r="N393" s="196"/>
      <c r="O393" s="192"/>
    </row>
    <row r="394" spans="1:15" s="53" customFormat="1" x14ac:dyDescent="0.2">
      <c r="A394" s="196" t="s">
        <v>474</v>
      </c>
      <c r="B394" s="197">
        <v>472.702155</v>
      </c>
      <c r="C394" s="197">
        <v>110.3708</v>
      </c>
      <c r="D394" s="198">
        <v>45687</v>
      </c>
      <c r="E394" s="197">
        <v>150</v>
      </c>
      <c r="F394" s="197">
        <v>3153.45</v>
      </c>
      <c r="G394" s="197">
        <v>14.99</v>
      </c>
      <c r="H394" s="197">
        <v>3.5</v>
      </c>
      <c r="I394" s="197">
        <v>18.490000000000002</v>
      </c>
      <c r="J394" s="199"/>
      <c r="K394" s="197">
        <v>583.26080000000002</v>
      </c>
      <c r="L394" s="197">
        <v>16555.612499999999</v>
      </c>
      <c r="M394" s="197">
        <v>87489.612500000003</v>
      </c>
      <c r="N394" s="196"/>
      <c r="O394" s="192"/>
    </row>
    <row r="395" spans="1:15" s="53" customFormat="1" x14ac:dyDescent="0.2">
      <c r="A395" s="196" t="s">
        <v>474</v>
      </c>
      <c r="B395" s="197">
        <v>472.702155</v>
      </c>
      <c r="C395" s="197">
        <v>110.3708</v>
      </c>
      <c r="D395" s="198">
        <v>45715</v>
      </c>
      <c r="E395" s="197">
        <v>150</v>
      </c>
      <c r="F395" s="197">
        <v>3153.45</v>
      </c>
      <c r="G395" s="197">
        <v>14.99</v>
      </c>
      <c r="H395" s="197">
        <v>3.5</v>
      </c>
      <c r="I395" s="197">
        <v>18.490000000000002</v>
      </c>
      <c r="J395" s="199"/>
      <c r="K395" s="197">
        <v>583.26080000000002</v>
      </c>
      <c r="L395" s="197">
        <v>16555.612499999999</v>
      </c>
      <c r="M395" s="197">
        <v>87489.612500000003</v>
      </c>
      <c r="N395" s="196"/>
      <c r="O395" s="192"/>
    </row>
    <row r="396" spans="1:15" s="53" customFormat="1" x14ac:dyDescent="0.2">
      <c r="A396" s="196" t="s">
        <v>535</v>
      </c>
      <c r="B396" s="197">
        <v>95.98</v>
      </c>
      <c r="C396" s="197">
        <v>20.046299999999999</v>
      </c>
      <c r="D396" s="198">
        <v>45652</v>
      </c>
      <c r="E396" s="197">
        <v>1700</v>
      </c>
      <c r="F396" s="197">
        <v>572.75</v>
      </c>
      <c r="G396" s="197">
        <v>16.75</v>
      </c>
      <c r="H396" s="197">
        <v>3.5</v>
      </c>
      <c r="I396" s="197">
        <v>20.25</v>
      </c>
      <c r="J396" s="199"/>
      <c r="K396" s="197">
        <v>116.02630000000001</v>
      </c>
      <c r="L396" s="197">
        <v>34078.625</v>
      </c>
      <c r="M396" s="197">
        <v>197244.625</v>
      </c>
      <c r="N396" s="196"/>
      <c r="O396" s="192"/>
    </row>
    <row r="397" spans="1:15" s="53" customFormat="1" x14ac:dyDescent="0.2">
      <c r="A397" s="196" t="s">
        <v>535</v>
      </c>
      <c r="B397" s="197">
        <v>95.935625000000002</v>
      </c>
      <c r="C397" s="197">
        <v>20.046299999999999</v>
      </c>
      <c r="D397" s="198">
        <v>45687</v>
      </c>
      <c r="E397" s="197">
        <v>1700</v>
      </c>
      <c r="F397" s="197">
        <v>572.75</v>
      </c>
      <c r="G397" s="197">
        <v>16.75</v>
      </c>
      <c r="H397" s="197">
        <v>3.5</v>
      </c>
      <c r="I397" s="197">
        <v>20.25</v>
      </c>
      <c r="J397" s="199"/>
      <c r="K397" s="197">
        <v>116.02630000000001</v>
      </c>
      <c r="L397" s="197">
        <v>34078.625</v>
      </c>
      <c r="M397" s="197">
        <v>197244.625</v>
      </c>
      <c r="N397" s="196"/>
      <c r="O397" s="192"/>
    </row>
    <row r="398" spans="1:15" s="53" customFormat="1" x14ac:dyDescent="0.2">
      <c r="A398" s="196" t="s">
        <v>535</v>
      </c>
      <c r="B398" s="197">
        <v>95.935625000000002</v>
      </c>
      <c r="C398" s="197">
        <v>20.046299999999999</v>
      </c>
      <c r="D398" s="198">
        <v>45715</v>
      </c>
      <c r="E398" s="197">
        <v>1700</v>
      </c>
      <c r="F398" s="197">
        <v>572.75</v>
      </c>
      <c r="G398" s="197">
        <v>16.75</v>
      </c>
      <c r="H398" s="197">
        <v>3.5</v>
      </c>
      <c r="I398" s="197">
        <v>20.25</v>
      </c>
      <c r="J398" s="199"/>
      <c r="K398" s="197">
        <v>116.02630000000001</v>
      </c>
      <c r="L398" s="197">
        <v>34078.625</v>
      </c>
      <c r="M398" s="197">
        <v>197244.625</v>
      </c>
      <c r="N398" s="196"/>
      <c r="O398" s="192"/>
    </row>
    <row r="399" spans="1:15" s="53" customFormat="1" x14ac:dyDescent="0.2">
      <c r="A399" s="196" t="s">
        <v>248</v>
      </c>
      <c r="B399" s="197">
        <v>115.55</v>
      </c>
      <c r="C399" s="197">
        <v>22.2898</v>
      </c>
      <c r="D399" s="198">
        <v>45652</v>
      </c>
      <c r="E399" s="197">
        <v>1000</v>
      </c>
      <c r="F399" s="197">
        <v>636.85</v>
      </c>
      <c r="G399" s="197">
        <v>18.14</v>
      </c>
      <c r="H399" s="197">
        <v>3.5</v>
      </c>
      <c r="I399" s="197">
        <v>21.64</v>
      </c>
      <c r="J399" s="199"/>
      <c r="K399" s="197">
        <v>137.8398</v>
      </c>
      <c r="L399" s="197">
        <v>22289.75</v>
      </c>
      <c r="M399" s="197">
        <v>137839.75</v>
      </c>
      <c r="N399" s="196"/>
      <c r="O399" s="192"/>
    </row>
    <row r="400" spans="1:15" s="53" customFormat="1" x14ac:dyDescent="0.2">
      <c r="A400" s="196" t="s">
        <v>248</v>
      </c>
      <c r="B400" s="197">
        <v>115.52459</v>
      </c>
      <c r="C400" s="197">
        <v>22.2898</v>
      </c>
      <c r="D400" s="198">
        <v>45687</v>
      </c>
      <c r="E400" s="197">
        <v>1000</v>
      </c>
      <c r="F400" s="197">
        <v>636.85</v>
      </c>
      <c r="G400" s="197">
        <v>18.14</v>
      </c>
      <c r="H400" s="197">
        <v>3.5</v>
      </c>
      <c r="I400" s="197">
        <v>21.64</v>
      </c>
      <c r="J400" s="199"/>
      <c r="K400" s="197">
        <v>137.8398</v>
      </c>
      <c r="L400" s="197">
        <v>22289.75</v>
      </c>
      <c r="M400" s="197">
        <v>137839.75</v>
      </c>
      <c r="N400" s="196"/>
      <c r="O400" s="192"/>
    </row>
    <row r="401" spans="1:15" s="53" customFormat="1" x14ac:dyDescent="0.2">
      <c r="A401" s="196" t="s">
        <v>248</v>
      </c>
      <c r="B401" s="197">
        <v>115.52459</v>
      </c>
      <c r="C401" s="197">
        <v>22.2898</v>
      </c>
      <c r="D401" s="198">
        <v>45715</v>
      </c>
      <c r="E401" s="197">
        <v>1000</v>
      </c>
      <c r="F401" s="197">
        <v>636.85</v>
      </c>
      <c r="G401" s="197">
        <v>18.14</v>
      </c>
      <c r="H401" s="197">
        <v>3.5</v>
      </c>
      <c r="I401" s="197">
        <v>21.64</v>
      </c>
      <c r="J401" s="199"/>
      <c r="K401" s="197">
        <v>137.8398</v>
      </c>
      <c r="L401" s="197">
        <v>22289.75</v>
      </c>
      <c r="M401" s="197">
        <v>137839.75</v>
      </c>
      <c r="N401" s="196"/>
      <c r="O401" s="192"/>
    </row>
    <row r="402" spans="1:15" s="53" customFormat="1" x14ac:dyDescent="0.2">
      <c r="A402" s="196" t="s">
        <v>607</v>
      </c>
      <c r="B402" s="197">
        <v>167.81</v>
      </c>
      <c r="C402" s="197">
        <v>32.857999999999997</v>
      </c>
      <c r="D402" s="198">
        <v>45652</v>
      </c>
      <c r="E402" s="197">
        <v>575</v>
      </c>
      <c r="F402" s="197">
        <v>938.8</v>
      </c>
      <c r="G402" s="197">
        <v>17.87</v>
      </c>
      <c r="H402" s="197">
        <v>3.5</v>
      </c>
      <c r="I402" s="197">
        <v>21.37</v>
      </c>
      <c r="J402" s="199"/>
      <c r="K402" s="197">
        <v>200.66800000000001</v>
      </c>
      <c r="L402" s="197">
        <v>18893.349999999999</v>
      </c>
      <c r="M402" s="197">
        <v>115384.35</v>
      </c>
      <c r="N402" s="196"/>
      <c r="O402" s="192"/>
    </row>
    <row r="403" spans="1:15" s="53" customFormat="1" x14ac:dyDescent="0.2">
      <c r="A403" s="196" t="s">
        <v>607</v>
      </c>
      <c r="B403" s="197">
        <v>167.76356000000001</v>
      </c>
      <c r="C403" s="197">
        <v>32.857999999999997</v>
      </c>
      <c r="D403" s="198">
        <v>45687</v>
      </c>
      <c r="E403" s="197">
        <v>575</v>
      </c>
      <c r="F403" s="197">
        <v>938.8</v>
      </c>
      <c r="G403" s="197">
        <v>17.87</v>
      </c>
      <c r="H403" s="197">
        <v>3.5</v>
      </c>
      <c r="I403" s="197">
        <v>21.37</v>
      </c>
      <c r="J403" s="199"/>
      <c r="K403" s="197">
        <v>200.66800000000001</v>
      </c>
      <c r="L403" s="197">
        <v>18893.349999999999</v>
      </c>
      <c r="M403" s="197">
        <v>115384.35</v>
      </c>
      <c r="N403" s="196"/>
      <c r="O403" s="192"/>
    </row>
    <row r="404" spans="1:15" s="53" customFormat="1" x14ac:dyDescent="0.2">
      <c r="A404" s="196" t="s">
        <v>607</v>
      </c>
      <c r="B404" s="197">
        <v>167.76356000000001</v>
      </c>
      <c r="C404" s="197">
        <v>32.857999999999997</v>
      </c>
      <c r="D404" s="198">
        <v>45715</v>
      </c>
      <c r="E404" s="197">
        <v>575</v>
      </c>
      <c r="F404" s="197">
        <v>938.8</v>
      </c>
      <c r="G404" s="197">
        <v>17.87</v>
      </c>
      <c r="H404" s="197">
        <v>3.5</v>
      </c>
      <c r="I404" s="197">
        <v>21.37</v>
      </c>
      <c r="J404" s="199"/>
      <c r="K404" s="197">
        <v>200.66800000000001</v>
      </c>
      <c r="L404" s="197">
        <v>18893.349999999999</v>
      </c>
      <c r="M404" s="197">
        <v>115384.35</v>
      </c>
      <c r="N404" s="196"/>
      <c r="O404" s="192"/>
    </row>
    <row r="405" spans="1:15" s="53" customFormat="1" x14ac:dyDescent="0.2">
      <c r="A405" s="196" t="s">
        <v>588</v>
      </c>
      <c r="B405" s="197">
        <v>330.22</v>
      </c>
      <c r="C405" s="197">
        <v>49.384999999999998</v>
      </c>
      <c r="D405" s="198">
        <v>45652</v>
      </c>
      <c r="E405" s="197">
        <v>450</v>
      </c>
      <c r="F405" s="197">
        <v>1411</v>
      </c>
      <c r="G405" s="197">
        <v>23.4</v>
      </c>
      <c r="H405" s="197">
        <v>3.5</v>
      </c>
      <c r="I405" s="197">
        <v>26.9</v>
      </c>
      <c r="J405" s="199"/>
      <c r="K405" s="197">
        <v>379.60500000000002</v>
      </c>
      <c r="L405" s="197">
        <v>22223.25</v>
      </c>
      <c r="M405" s="197">
        <v>170822.25</v>
      </c>
      <c r="N405" s="196"/>
      <c r="O405" s="192"/>
    </row>
    <row r="406" spans="1:15" s="53" customFormat="1" x14ac:dyDescent="0.2">
      <c r="A406" s="196" t="s">
        <v>588</v>
      </c>
      <c r="B406" s="197">
        <v>330.17399999999998</v>
      </c>
      <c r="C406" s="197">
        <v>49.384999999999998</v>
      </c>
      <c r="D406" s="198">
        <v>45687</v>
      </c>
      <c r="E406" s="197">
        <v>450</v>
      </c>
      <c r="F406" s="197">
        <v>1411</v>
      </c>
      <c r="G406" s="197">
        <v>23.4</v>
      </c>
      <c r="H406" s="197">
        <v>3.5</v>
      </c>
      <c r="I406" s="197">
        <v>26.9</v>
      </c>
      <c r="J406" s="199"/>
      <c r="K406" s="197">
        <v>379.60500000000002</v>
      </c>
      <c r="L406" s="197">
        <v>22223.25</v>
      </c>
      <c r="M406" s="197">
        <v>170822.25</v>
      </c>
      <c r="N406" s="196"/>
      <c r="O406" s="192"/>
    </row>
    <row r="407" spans="1:15" s="53" customFormat="1" x14ac:dyDescent="0.2">
      <c r="A407" s="196" t="s">
        <v>588</v>
      </c>
      <c r="B407" s="197">
        <v>330.17399999999998</v>
      </c>
      <c r="C407" s="197">
        <v>49.384999999999998</v>
      </c>
      <c r="D407" s="198">
        <v>45715</v>
      </c>
      <c r="E407" s="197">
        <v>450</v>
      </c>
      <c r="F407" s="197">
        <v>1411</v>
      </c>
      <c r="G407" s="197">
        <v>23.4</v>
      </c>
      <c r="H407" s="197">
        <v>3.5</v>
      </c>
      <c r="I407" s="197">
        <v>26.9</v>
      </c>
      <c r="J407" s="199"/>
      <c r="K407" s="197">
        <v>379.60500000000002</v>
      </c>
      <c r="L407" s="197">
        <v>22223.25</v>
      </c>
      <c r="M407" s="197">
        <v>170822.25</v>
      </c>
      <c r="N407" s="196"/>
      <c r="O407" s="192"/>
    </row>
    <row r="408" spans="1:15" s="53" customFormat="1" x14ac:dyDescent="0.2">
      <c r="A408" s="196" t="s">
        <v>249</v>
      </c>
      <c r="B408" s="197">
        <v>559.20000000000005</v>
      </c>
      <c r="C408" s="197">
        <v>137.08629999999999</v>
      </c>
      <c r="D408" s="198">
        <v>45652</v>
      </c>
      <c r="E408" s="197">
        <v>150</v>
      </c>
      <c r="F408" s="197">
        <v>3916.75</v>
      </c>
      <c r="G408" s="197">
        <v>14.27</v>
      </c>
      <c r="H408" s="197">
        <v>3.5</v>
      </c>
      <c r="I408" s="197">
        <v>17.77</v>
      </c>
      <c r="J408" s="199"/>
      <c r="K408" s="197">
        <v>696.28629999999998</v>
      </c>
      <c r="L408" s="197">
        <v>20562.9375</v>
      </c>
      <c r="M408" s="197">
        <v>104442.9375</v>
      </c>
      <c r="N408" s="196"/>
      <c r="O408" s="192"/>
    </row>
    <row r="409" spans="1:15" s="53" customFormat="1" x14ac:dyDescent="0.2">
      <c r="A409" s="196" t="s">
        <v>249</v>
      </c>
      <c r="B409" s="197">
        <v>558.92022499999996</v>
      </c>
      <c r="C409" s="197">
        <v>137.08629999999999</v>
      </c>
      <c r="D409" s="198">
        <v>45687</v>
      </c>
      <c r="E409" s="197">
        <v>150</v>
      </c>
      <c r="F409" s="197">
        <v>3916.75</v>
      </c>
      <c r="G409" s="197">
        <v>14.27</v>
      </c>
      <c r="H409" s="197">
        <v>3.5</v>
      </c>
      <c r="I409" s="197">
        <v>17.77</v>
      </c>
      <c r="J409" s="199"/>
      <c r="K409" s="197">
        <v>696.28629999999998</v>
      </c>
      <c r="L409" s="197">
        <v>20562.9375</v>
      </c>
      <c r="M409" s="197">
        <v>104442.9375</v>
      </c>
      <c r="N409" s="196"/>
      <c r="O409" s="192"/>
    </row>
    <row r="410" spans="1:15" s="53" customFormat="1" x14ac:dyDescent="0.2">
      <c r="A410" s="196" t="s">
        <v>249</v>
      </c>
      <c r="B410" s="197">
        <v>558.92022499999996</v>
      </c>
      <c r="C410" s="197">
        <v>137.08629999999999</v>
      </c>
      <c r="D410" s="198">
        <v>45715</v>
      </c>
      <c r="E410" s="197">
        <v>150</v>
      </c>
      <c r="F410" s="197">
        <v>3916.75</v>
      </c>
      <c r="G410" s="197">
        <v>14.27</v>
      </c>
      <c r="H410" s="197">
        <v>3.5</v>
      </c>
      <c r="I410" s="197">
        <v>17.77</v>
      </c>
      <c r="J410" s="199"/>
      <c r="K410" s="197">
        <v>696.28629999999998</v>
      </c>
      <c r="L410" s="197">
        <v>20562.9375</v>
      </c>
      <c r="M410" s="197">
        <v>104442.9375</v>
      </c>
      <c r="N410" s="196"/>
      <c r="O410" s="192"/>
    </row>
    <row r="411" spans="1:15" s="53" customFormat="1" x14ac:dyDescent="0.2">
      <c r="A411" s="196" t="s">
        <v>565</v>
      </c>
      <c r="B411" s="197">
        <v>27.13</v>
      </c>
      <c r="C411" s="197">
        <v>5.2518000000000002</v>
      </c>
      <c r="D411" s="198">
        <v>45652</v>
      </c>
      <c r="E411" s="197">
        <v>4462</v>
      </c>
      <c r="F411" s="197">
        <v>150.05000000000001</v>
      </c>
      <c r="G411" s="197">
        <v>18.079999999999998</v>
      </c>
      <c r="H411" s="197">
        <v>3.5</v>
      </c>
      <c r="I411" s="197">
        <v>21.58</v>
      </c>
      <c r="J411" s="199"/>
      <c r="K411" s="197">
        <v>32.381799999999998</v>
      </c>
      <c r="L411" s="197">
        <v>23433.308499999999</v>
      </c>
      <c r="M411" s="197">
        <v>144487.30850000001</v>
      </c>
      <c r="N411" s="196"/>
      <c r="O411" s="192"/>
    </row>
    <row r="412" spans="1:15" s="53" customFormat="1" x14ac:dyDescent="0.2">
      <c r="A412" s="196" t="s">
        <v>565</v>
      </c>
      <c r="B412" s="197">
        <v>27.12904</v>
      </c>
      <c r="C412" s="197">
        <v>5.2518000000000002</v>
      </c>
      <c r="D412" s="198">
        <v>45687</v>
      </c>
      <c r="E412" s="197">
        <v>4462</v>
      </c>
      <c r="F412" s="197">
        <v>150.05000000000001</v>
      </c>
      <c r="G412" s="197">
        <v>18.079999999999998</v>
      </c>
      <c r="H412" s="197">
        <v>3.5</v>
      </c>
      <c r="I412" s="197">
        <v>21.58</v>
      </c>
      <c r="J412" s="199"/>
      <c r="K412" s="197">
        <v>32.381799999999998</v>
      </c>
      <c r="L412" s="197">
        <v>23433.308499999999</v>
      </c>
      <c r="M412" s="197">
        <v>144487.30850000001</v>
      </c>
      <c r="N412" s="196"/>
      <c r="O412" s="192"/>
    </row>
    <row r="413" spans="1:15" s="53" customFormat="1" x14ac:dyDescent="0.2">
      <c r="A413" s="196" t="s">
        <v>565</v>
      </c>
      <c r="B413" s="197">
        <v>27.12904</v>
      </c>
      <c r="C413" s="197">
        <v>5.2518000000000002</v>
      </c>
      <c r="D413" s="198">
        <v>45715</v>
      </c>
      <c r="E413" s="197">
        <v>4462</v>
      </c>
      <c r="F413" s="197">
        <v>150.05000000000001</v>
      </c>
      <c r="G413" s="197">
        <v>18.079999999999998</v>
      </c>
      <c r="H413" s="197">
        <v>3.5</v>
      </c>
      <c r="I413" s="197">
        <v>21.58</v>
      </c>
      <c r="J413" s="199"/>
      <c r="K413" s="197">
        <v>32.381799999999998</v>
      </c>
      <c r="L413" s="197">
        <v>23433.308499999999</v>
      </c>
      <c r="M413" s="197">
        <v>144487.30850000001</v>
      </c>
      <c r="N413" s="196"/>
      <c r="O413" s="192"/>
    </row>
    <row r="414" spans="1:15" s="53" customFormat="1" x14ac:dyDescent="0.2">
      <c r="A414" s="196" t="s">
        <v>561</v>
      </c>
      <c r="B414" s="197">
        <v>950.61</v>
      </c>
      <c r="C414" s="197">
        <v>230.95099999999999</v>
      </c>
      <c r="D414" s="198">
        <v>45652</v>
      </c>
      <c r="E414" s="197">
        <v>150</v>
      </c>
      <c r="F414" s="197">
        <v>6598.6</v>
      </c>
      <c r="G414" s="197">
        <v>14.4</v>
      </c>
      <c r="H414" s="197">
        <v>3.5</v>
      </c>
      <c r="I414" s="197">
        <v>17.899999999999999</v>
      </c>
      <c r="J414" s="199"/>
      <c r="K414" s="197">
        <v>1181.5609999999999</v>
      </c>
      <c r="L414" s="197">
        <v>34642.65</v>
      </c>
      <c r="M414" s="197">
        <v>177234.65</v>
      </c>
      <c r="N414" s="196"/>
      <c r="O414" s="192"/>
    </row>
    <row r="415" spans="1:15" s="53" customFormat="1" x14ac:dyDescent="0.2">
      <c r="A415" s="196" t="s">
        <v>561</v>
      </c>
      <c r="B415" s="197">
        <v>950.19839999999999</v>
      </c>
      <c r="C415" s="197">
        <v>230.95099999999999</v>
      </c>
      <c r="D415" s="198">
        <v>45687</v>
      </c>
      <c r="E415" s="197">
        <v>150</v>
      </c>
      <c r="F415" s="197">
        <v>6598.6</v>
      </c>
      <c r="G415" s="197">
        <v>14.4</v>
      </c>
      <c r="H415" s="197">
        <v>3.5</v>
      </c>
      <c r="I415" s="197">
        <v>17.899999999999999</v>
      </c>
      <c r="J415" s="199"/>
      <c r="K415" s="197">
        <v>1181.5609999999999</v>
      </c>
      <c r="L415" s="197">
        <v>34642.65</v>
      </c>
      <c r="M415" s="197">
        <v>177234.65</v>
      </c>
      <c r="N415" s="196"/>
      <c r="O415" s="192"/>
    </row>
    <row r="416" spans="1:15" s="53" customFormat="1" x14ac:dyDescent="0.2">
      <c r="A416" s="196" t="s">
        <v>561</v>
      </c>
      <c r="B416" s="197">
        <v>950.19839999999999</v>
      </c>
      <c r="C416" s="197">
        <v>230.95099999999999</v>
      </c>
      <c r="D416" s="198">
        <v>45715</v>
      </c>
      <c r="E416" s="197">
        <v>150</v>
      </c>
      <c r="F416" s="197">
        <v>6598.6</v>
      </c>
      <c r="G416" s="197">
        <v>14.4</v>
      </c>
      <c r="H416" s="197">
        <v>3.5</v>
      </c>
      <c r="I416" s="197">
        <v>17.899999999999999</v>
      </c>
      <c r="J416" s="199"/>
      <c r="K416" s="197">
        <v>1181.5609999999999</v>
      </c>
      <c r="L416" s="197">
        <v>34642.65</v>
      </c>
      <c r="M416" s="197">
        <v>177234.65</v>
      </c>
      <c r="N416" s="196"/>
      <c r="O416" s="192"/>
    </row>
    <row r="417" spans="1:15" s="53" customFormat="1" x14ac:dyDescent="0.2">
      <c r="A417" s="196" t="s">
        <v>488</v>
      </c>
      <c r="B417" s="197">
        <v>829.6</v>
      </c>
      <c r="C417" s="197">
        <v>187.95349999999999</v>
      </c>
      <c r="D417" s="198">
        <v>45652</v>
      </c>
      <c r="E417" s="197">
        <v>100</v>
      </c>
      <c r="F417" s="197">
        <v>5370.1</v>
      </c>
      <c r="G417" s="197">
        <v>15.44</v>
      </c>
      <c r="H417" s="197">
        <v>3.5</v>
      </c>
      <c r="I417" s="197">
        <v>18.940000000000001</v>
      </c>
      <c r="J417" s="199"/>
      <c r="K417" s="197">
        <v>1017.5535</v>
      </c>
      <c r="L417" s="197">
        <v>18795.349999999999</v>
      </c>
      <c r="M417" s="197">
        <v>101755.35</v>
      </c>
      <c r="N417" s="196"/>
      <c r="O417" s="192"/>
    </row>
    <row r="418" spans="1:15" s="53" customFormat="1" x14ac:dyDescent="0.2">
      <c r="A418" s="196" t="s">
        <v>488</v>
      </c>
      <c r="B418" s="197">
        <v>829.14344000000006</v>
      </c>
      <c r="C418" s="197">
        <v>187.95349999999999</v>
      </c>
      <c r="D418" s="198">
        <v>45687</v>
      </c>
      <c r="E418" s="197">
        <v>100</v>
      </c>
      <c r="F418" s="197">
        <v>5370.1</v>
      </c>
      <c r="G418" s="197">
        <v>15.44</v>
      </c>
      <c r="H418" s="197">
        <v>3.5</v>
      </c>
      <c r="I418" s="197">
        <v>18.939999999999998</v>
      </c>
      <c r="J418" s="199"/>
      <c r="K418" s="197">
        <v>1017.5535</v>
      </c>
      <c r="L418" s="197">
        <v>18795.349999999999</v>
      </c>
      <c r="M418" s="197">
        <v>101755.35</v>
      </c>
      <c r="N418" s="196"/>
      <c r="O418" s="192"/>
    </row>
    <row r="419" spans="1:15" s="53" customFormat="1" x14ac:dyDescent="0.2">
      <c r="A419" s="196" t="s">
        <v>488</v>
      </c>
      <c r="B419" s="197">
        <v>829.14344000000006</v>
      </c>
      <c r="C419" s="197">
        <v>187.95349999999999</v>
      </c>
      <c r="D419" s="198">
        <v>45715</v>
      </c>
      <c r="E419" s="197">
        <v>100</v>
      </c>
      <c r="F419" s="197">
        <v>5370.1</v>
      </c>
      <c r="G419" s="197">
        <v>15.44</v>
      </c>
      <c r="H419" s="197">
        <v>3.5</v>
      </c>
      <c r="I419" s="197">
        <v>18.939999999999998</v>
      </c>
      <c r="J419" s="199"/>
      <c r="K419" s="197">
        <v>1017.5535</v>
      </c>
      <c r="L419" s="197">
        <v>18795.349999999999</v>
      </c>
      <c r="M419" s="197">
        <v>101755.35</v>
      </c>
      <c r="N419" s="196"/>
      <c r="O419" s="192"/>
    </row>
    <row r="420" spans="1:15" s="53" customFormat="1" x14ac:dyDescent="0.2">
      <c r="A420" s="196" t="s">
        <v>250</v>
      </c>
      <c r="B420" s="197">
        <v>307.01</v>
      </c>
      <c r="C420" s="197">
        <v>75.263999999999996</v>
      </c>
      <c r="D420" s="198">
        <v>45652</v>
      </c>
      <c r="E420" s="197">
        <v>425</v>
      </c>
      <c r="F420" s="197">
        <v>2150.4</v>
      </c>
      <c r="G420" s="197">
        <v>14.27</v>
      </c>
      <c r="H420" s="197">
        <v>3.5</v>
      </c>
      <c r="I420" s="197">
        <v>17.77</v>
      </c>
      <c r="J420" s="199"/>
      <c r="K420" s="197">
        <v>382.274</v>
      </c>
      <c r="L420" s="197">
        <v>31987.200000000001</v>
      </c>
      <c r="M420" s="197">
        <v>162466.20000000001</v>
      </c>
      <c r="N420" s="196"/>
      <c r="O420" s="192"/>
    </row>
    <row r="421" spans="1:15" s="53" customFormat="1" x14ac:dyDescent="0.2">
      <c r="A421" s="196" t="s">
        <v>250</v>
      </c>
      <c r="B421" s="197">
        <v>306.86207999999999</v>
      </c>
      <c r="C421" s="197">
        <v>75.263999999999996</v>
      </c>
      <c r="D421" s="198">
        <v>45687</v>
      </c>
      <c r="E421" s="197">
        <v>425</v>
      </c>
      <c r="F421" s="197">
        <v>2150.4</v>
      </c>
      <c r="G421" s="197">
        <v>14.27</v>
      </c>
      <c r="H421" s="197">
        <v>3.5</v>
      </c>
      <c r="I421" s="197">
        <v>17.77</v>
      </c>
      <c r="J421" s="199"/>
      <c r="K421" s="197">
        <v>382.274</v>
      </c>
      <c r="L421" s="197">
        <v>31987.200000000001</v>
      </c>
      <c r="M421" s="197">
        <v>162466.20000000001</v>
      </c>
      <c r="N421" s="196"/>
      <c r="O421" s="192"/>
    </row>
    <row r="422" spans="1:15" s="53" customFormat="1" x14ac:dyDescent="0.2">
      <c r="A422" s="196" t="s">
        <v>250</v>
      </c>
      <c r="B422" s="197">
        <v>306.86207999999999</v>
      </c>
      <c r="C422" s="197">
        <v>75.263999999999996</v>
      </c>
      <c r="D422" s="198">
        <v>45715</v>
      </c>
      <c r="E422" s="197">
        <v>425</v>
      </c>
      <c r="F422" s="197">
        <v>2150.4</v>
      </c>
      <c r="G422" s="197">
        <v>14.27</v>
      </c>
      <c r="H422" s="197">
        <v>3.5</v>
      </c>
      <c r="I422" s="197">
        <v>17.77</v>
      </c>
      <c r="J422" s="199"/>
      <c r="K422" s="197">
        <v>382.274</v>
      </c>
      <c r="L422" s="197">
        <v>31987.200000000001</v>
      </c>
      <c r="M422" s="197">
        <v>162466.20000000001</v>
      </c>
      <c r="N422" s="196"/>
      <c r="O422" s="192"/>
    </row>
    <row r="423" spans="1:15" s="53" customFormat="1" x14ac:dyDescent="0.2">
      <c r="A423" s="196" t="s">
        <v>251</v>
      </c>
      <c r="B423" s="197">
        <v>494.41</v>
      </c>
      <c r="C423" s="197">
        <v>107.5218</v>
      </c>
      <c r="D423" s="198">
        <v>45652</v>
      </c>
      <c r="E423" s="197">
        <v>175</v>
      </c>
      <c r="F423" s="197">
        <v>3072.05</v>
      </c>
      <c r="G423" s="197">
        <v>16.09</v>
      </c>
      <c r="H423" s="197">
        <v>3.5</v>
      </c>
      <c r="I423" s="197">
        <v>19.59</v>
      </c>
      <c r="J423" s="199"/>
      <c r="K423" s="197">
        <v>601.93179999999995</v>
      </c>
      <c r="L423" s="197">
        <v>18816.3063</v>
      </c>
      <c r="M423" s="197">
        <v>105338.3063</v>
      </c>
      <c r="N423" s="196"/>
      <c r="O423" s="192"/>
    </row>
    <row r="424" spans="1:15" s="53" customFormat="1" x14ac:dyDescent="0.2">
      <c r="A424" s="196" t="s">
        <v>251</v>
      </c>
      <c r="B424" s="197">
        <v>494.292845</v>
      </c>
      <c r="C424" s="197">
        <v>107.5218</v>
      </c>
      <c r="D424" s="198">
        <v>45687</v>
      </c>
      <c r="E424" s="197">
        <v>175</v>
      </c>
      <c r="F424" s="197">
        <v>3072.05</v>
      </c>
      <c r="G424" s="197">
        <v>16.09</v>
      </c>
      <c r="H424" s="197">
        <v>3.5</v>
      </c>
      <c r="I424" s="197">
        <v>19.59</v>
      </c>
      <c r="J424" s="199"/>
      <c r="K424" s="197">
        <v>601.93179999999995</v>
      </c>
      <c r="L424" s="197">
        <v>18816.3063</v>
      </c>
      <c r="M424" s="197">
        <v>105338.3063</v>
      </c>
      <c r="N424" s="196"/>
      <c r="O424" s="192"/>
    </row>
    <row r="425" spans="1:15" s="53" customFormat="1" x14ac:dyDescent="0.2">
      <c r="A425" s="196" t="s">
        <v>251</v>
      </c>
      <c r="B425" s="197">
        <v>494.292845</v>
      </c>
      <c r="C425" s="197">
        <v>107.5218</v>
      </c>
      <c r="D425" s="198">
        <v>45715</v>
      </c>
      <c r="E425" s="197">
        <v>175</v>
      </c>
      <c r="F425" s="197">
        <v>3072.05</v>
      </c>
      <c r="G425" s="197">
        <v>16.09</v>
      </c>
      <c r="H425" s="197">
        <v>3.5</v>
      </c>
      <c r="I425" s="197">
        <v>19.59</v>
      </c>
      <c r="J425" s="199"/>
      <c r="K425" s="197">
        <v>601.93179999999995</v>
      </c>
      <c r="L425" s="197">
        <v>18816.3063</v>
      </c>
      <c r="M425" s="197">
        <v>105338.3063</v>
      </c>
      <c r="N425" s="196"/>
      <c r="O425" s="192"/>
    </row>
    <row r="426" spans="1:15" s="53" customFormat="1" x14ac:dyDescent="0.2">
      <c r="A426" s="196" t="s">
        <v>252</v>
      </c>
      <c r="B426" s="197">
        <v>48.44</v>
      </c>
      <c r="C426" s="197">
        <v>9.9068000000000005</v>
      </c>
      <c r="D426" s="198">
        <v>45652</v>
      </c>
      <c r="E426" s="197">
        <v>2000</v>
      </c>
      <c r="F426" s="197">
        <v>283.05</v>
      </c>
      <c r="G426" s="197">
        <v>17.11</v>
      </c>
      <c r="H426" s="197">
        <v>3.5</v>
      </c>
      <c r="I426" s="197">
        <v>20.61</v>
      </c>
      <c r="J426" s="199"/>
      <c r="K426" s="197">
        <v>58.346800000000002</v>
      </c>
      <c r="L426" s="197">
        <v>19813.5</v>
      </c>
      <c r="M426" s="197">
        <v>116693.5</v>
      </c>
      <c r="N426" s="196"/>
      <c r="O426" s="192"/>
    </row>
    <row r="427" spans="1:15" s="53" customFormat="1" x14ac:dyDescent="0.2">
      <c r="A427" s="196" t="s">
        <v>252</v>
      </c>
      <c r="B427" s="197">
        <v>48.429855000000003</v>
      </c>
      <c r="C427" s="197">
        <v>9.9068000000000005</v>
      </c>
      <c r="D427" s="198">
        <v>45687</v>
      </c>
      <c r="E427" s="197">
        <v>2000</v>
      </c>
      <c r="F427" s="197">
        <v>283.05</v>
      </c>
      <c r="G427" s="197">
        <v>17.11</v>
      </c>
      <c r="H427" s="197">
        <v>3.5</v>
      </c>
      <c r="I427" s="197">
        <v>20.61</v>
      </c>
      <c r="J427" s="199"/>
      <c r="K427" s="197">
        <v>58.346800000000002</v>
      </c>
      <c r="L427" s="197">
        <v>19813.5</v>
      </c>
      <c r="M427" s="197">
        <v>116693.5</v>
      </c>
      <c r="N427" s="196"/>
      <c r="O427" s="192"/>
    </row>
    <row r="428" spans="1:15" s="53" customFormat="1" x14ac:dyDescent="0.2">
      <c r="A428" s="196" t="s">
        <v>252</v>
      </c>
      <c r="B428" s="197">
        <v>48.429855000000003</v>
      </c>
      <c r="C428" s="197">
        <v>9.9068000000000005</v>
      </c>
      <c r="D428" s="198">
        <v>45715</v>
      </c>
      <c r="E428" s="197">
        <v>2000</v>
      </c>
      <c r="F428" s="197">
        <v>283.05</v>
      </c>
      <c r="G428" s="197">
        <v>17.11</v>
      </c>
      <c r="H428" s="197">
        <v>3.5</v>
      </c>
      <c r="I428" s="197">
        <v>20.61</v>
      </c>
      <c r="J428" s="199"/>
      <c r="K428" s="197">
        <v>58.346800000000002</v>
      </c>
      <c r="L428" s="197">
        <v>19813.5</v>
      </c>
      <c r="M428" s="197">
        <v>116693.5</v>
      </c>
      <c r="N428" s="196"/>
      <c r="O428" s="192"/>
    </row>
    <row r="429" spans="1:15" s="53" customFormat="1" x14ac:dyDescent="0.2">
      <c r="A429" s="196" t="s">
        <v>253</v>
      </c>
      <c r="B429" s="197">
        <v>40.18</v>
      </c>
      <c r="C429" s="197">
        <v>15.54</v>
      </c>
      <c r="D429" s="198">
        <v>45652</v>
      </c>
      <c r="E429" s="197">
        <v>3000</v>
      </c>
      <c r="F429" s="197">
        <v>177.6</v>
      </c>
      <c r="G429" s="197">
        <v>22.62</v>
      </c>
      <c r="H429" s="197">
        <v>8.75</v>
      </c>
      <c r="I429" s="197">
        <v>31.37</v>
      </c>
      <c r="J429" s="199"/>
      <c r="K429" s="197">
        <v>55.72</v>
      </c>
      <c r="L429" s="197">
        <v>46620</v>
      </c>
      <c r="M429" s="197">
        <v>167160</v>
      </c>
      <c r="N429" s="196"/>
      <c r="O429" s="192"/>
    </row>
    <row r="430" spans="1:15" s="53" customFormat="1" x14ac:dyDescent="0.2">
      <c r="A430" s="196" t="s">
        <v>253</v>
      </c>
      <c r="B430" s="197">
        <v>40.173119999999997</v>
      </c>
      <c r="C430" s="197">
        <v>15.54</v>
      </c>
      <c r="D430" s="198">
        <v>45687</v>
      </c>
      <c r="E430" s="197">
        <v>3000</v>
      </c>
      <c r="F430" s="197">
        <v>177.6</v>
      </c>
      <c r="G430" s="197">
        <v>22.62</v>
      </c>
      <c r="H430" s="197">
        <v>8.75</v>
      </c>
      <c r="I430" s="197">
        <v>31.37</v>
      </c>
      <c r="J430" s="199"/>
      <c r="K430" s="197">
        <v>55.72</v>
      </c>
      <c r="L430" s="197">
        <v>46620</v>
      </c>
      <c r="M430" s="197">
        <v>167160</v>
      </c>
      <c r="N430" s="196"/>
      <c r="O430" s="192"/>
    </row>
    <row r="431" spans="1:15" s="53" customFormat="1" x14ac:dyDescent="0.2">
      <c r="A431" s="196" t="s">
        <v>253</v>
      </c>
      <c r="B431" s="197">
        <v>40.173119999999997</v>
      </c>
      <c r="C431" s="197">
        <v>15.54</v>
      </c>
      <c r="D431" s="198">
        <v>45715</v>
      </c>
      <c r="E431" s="197">
        <v>3000</v>
      </c>
      <c r="F431" s="197">
        <v>177.6</v>
      </c>
      <c r="G431" s="197">
        <v>22.62</v>
      </c>
      <c r="H431" s="197">
        <v>8.75</v>
      </c>
      <c r="I431" s="197">
        <v>31.37</v>
      </c>
      <c r="J431" s="199"/>
      <c r="K431" s="197">
        <v>55.72</v>
      </c>
      <c r="L431" s="197">
        <v>46620</v>
      </c>
      <c r="M431" s="197">
        <v>167160</v>
      </c>
      <c r="N431" s="196"/>
      <c r="O431" s="192"/>
    </row>
    <row r="432" spans="1:15" s="53" customFormat="1" x14ac:dyDescent="0.2">
      <c r="A432" s="196" t="s">
        <v>254</v>
      </c>
      <c r="B432" s="197">
        <v>90.36</v>
      </c>
      <c r="C432" s="197">
        <v>22.151499999999999</v>
      </c>
      <c r="D432" s="198">
        <v>45652</v>
      </c>
      <c r="E432" s="197">
        <v>1200</v>
      </c>
      <c r="F432" s="197">
        <v>632.9</v>
      </c>
      <c r="G432" s="197">
        <v>14.27</v>
      </c>
      <c r="H432" s="197">
        <v>3.5</v>
      </c>
      <c r="I432" s="197">
        <v>17.77</v>
      </c>
      <c r="J432" s="199"/>
      <c r="K432" s="197">
        <v>112.5115</v>
      </c>
      <c r="L432" s="197">
        <v>26581.8</v>
      </c>
      <c r="M432" s="197">
        <v>135013.79999999999</v>
      </c>
      <c r="N432" s="196"/>
      <c r="O432" s="192"/>
    </row>
    <row r="433" spans="1:15" s="53" customFormat="1" x14ac:dyDescent="0.2">
      <c r="A433" s="196" t="s">
        <v>254</v>
      </c>
      <c r="B433" s="197">
        <v>90.314830000000001</v>
      </c>
      <c r="C433" s="197">
        <v>22.151499999999999</v>
      </c>
      <c r="D433" s="198">
        <v>45687</v>
      </c>
      <c r="E433" s="197">
        <v>1200</v>
      </c>
      <c r="F433" s="197">
        <v>632.9</v>
      </c>
      <c r="G433" s="197">
        <v>14.27</v>
      </c>
      <c r="H433" s="197">
        <v>3.5</v>
      </c>
      <c r="I433" s="197">
        <v>17.77</v>
      </c>
      <c r="J433" s="199"/>
      <c r="K433" s="197">
        <v>112.5115</v>
      </c>
      <c r="L433" s="197">
        <v>26581.8</v>
      </c>
      <c r="M433" s="197">
        <v>135013.79999999999</v>
      </c>
      <c r="N433" s="196"/>
      <c r="O433" s="192"/>
    </row>
    <row r="434" spans="1:15" s="53" customFormat="1" x14ac:dyDescent="0.2">
      <c r="A434" s="196" t="s">
        <v>254</v>
      </c>
      <c r="B434" s="197">
        <v>90.314830000000001</v>
      </c>
      <c r="C434" s="197">
        <v>22.151499999999999</v>
      </c>
      <c r="D434" s="198">
        <v>45715</v>
      </c>
      <c r="E434" s="197">
        <v>1200</v>
      </c>
      <c r="F434" s="197">
        <v>632.9</v>
      </c>
      <c r="G434" s="197">
        <v>14.27</v>
      </c>
      <c r="H434" s="197">
        <v>3.5</v>
      </c>
      <c r="I434" s="197">
        <v>17.77</v>
      </c>
      <c r="J434" s="199"/>
      <c r="K434" s="197">
        <v>112.5115</v>
      </c>
      <c r="L434" s="197">
        <v>26581.8</v>
      </c>
      <c r="M434" s="197">
        <v>135013.79999999999</v>
      </c>
      <c r="N434" s="196"/>
      <c r="O434" s="192"/>
    </row>
    <row r="435" spans="1:15" s="53" customFormat="1" x14ac:dyDescent="0.2">
      <c r="A435" s="196" t="s">
        <v>255</v>
      </c>
      <c r="B435" s="197">
        <v>1610.14</v>
      </c>
      <c r="C435" s="197">
        <v>394.72300000000001</v>
      </c>
      <c r="D435" s="198">
        <v>45652</v>
      </c>
      <c r="E435" s="197">
        <v>50</v>
      </c>
      <c r="F435" s="197">
        <v>11277.8</v>
      </c>
      <c r="G435" s="197">
        <v>14.27</v>
      </c>
      <c r="H435" s="197">
        <v>3.5</v>
      </c>
      <c r="I435" s="197">
        <v>17.77</v>
      </c>
      <c r="J435" s="199"/>
      <c r="K435" s="197">
        <v>2004.8630000000001</v>
      </c>
      <c r="L435" s="197">
        <v>19736.150000000001</v>
      </c>
      <c r="M435" s="197">
        <v>100243.15</v>
      </c>
      <c r="N435" s="196"/>
      <c r="O435" s="192"/>
    </row>
    <row r="436" spans="1:15" s="53" customFormat="1" x14ac:dyDescent="0.2">
      <c r="A436" s="196" t="s">
        <v>255</v>
      </c>
      <c r="B436" s="197">
        <v>1609.3420599999999</v>
      </c>
      <c r="C436" s="197">
        <v>394.72300000000001</v>
      </c>
      <c r="D436" s="198">
        <v>45687</v>
      </c>
      <c r="E436" s="197">
        <v>50</v>
      </c>
      <c r="F436" s="197">
        <v>11277.8</v>
      </c>
      <c r="G436" s="197">
        <v>14.27</v>
      </c>
      <c r="H436" s="197">
        <v>3.5</v>
      </c>
      <c r="I436" s="197">
        <v>17.77</v>
      </c>
      <c r="J436" s="199"/>
      <c r="K436" s="197">
        <v>2004.8630000000001</v>
      </c>
      <c r="L436" s="197">
        <v>19736.150000000001</v>
      </c>
      <c r="M436" s="197">
        <v>100243.15</v>
      </c>
      <c r="N436" s="196"/>
      <c r="O436" s="192"/>
    </row>
    <row r="437" spans="1:15" x14ac:dyDescent="0.2">
      <c r="A437" s="196" t="s">
        <v>255</v>
      </c>
      <c r="B437" s="197">
        <v>1609.3420599999999</v>
      </c>
      <c r="C437" s="197">
        <v>394.72300000000001</v>
      </c>
      <c r="D437" s="198">
        <v>45715</v>
      </c>
      <c r="E437" s="197">
        <v>50</v>
      </c>
      <c r="F437" s="197">
        <v>11277.8</v>
      </c>
      <c r="G437" s="197">
        <v>14.27</v>
      </c>
      <c r="H437" s="197">
        <v>3.5</v>
      </c>
      <c r="I437" s="197">
        <v>17.77</v>
      </c>
      <c r="J437" s="199"/>
      <c r="K437" s="197">
        <v>2004.8630000000001</v>
      </c>
      <c r="L437" s="197">
        <v>19736.150000000001</v>
      </c>
      <c r="M437" s="197">
        <v>100243.15</v>
      </c>
      <c r="N437" s="196"/>
      <c r="O437" s="194"/>
    </row>
    <row r="438" spans="1:15" x14ac:dyDescent="0.2">
      <c r="A438" s="196" t="s">
        <v>603</v>
      </c>
      <c r="B438" s="197">
        <v>221.33</v>
      </c>
      <c r="C438" s="197">
        <v>39.627000000000002</v>
      </c>
      <c r="D438" s="198">
        <v>45652</v>
      </c>
      <c r="E438" s="197">
        <v>525</v>
      </c>
      <c r="F438" s="197">
        <v>1132.2</v>
      </c>
      <c r="G438" s="197">
        <v>19.54</v>
      </c>
      <c r="H438" s="197">
        <v>3.5</v>
      </c>
      <c r="I438" s="197">
        <v>23.04</v>
      </c>
      <c r="J438" s="199"/>
      <c r="K438" s="197">
        <v>260.95699999999999</v>
      </c>
      <c r="L438" s="197">
        <v>20804.174999999999</v>
      </c>
      <c r="M438" s="197">
        <v>137002.17499999999</v>
      </c>
      <c r="N438" s="196"/>
      <c r="O438" s="194"/>
    </row>
    <row r="439" spans="1:15" x14ac:dyDescent="0.2">
      <c r="A439" s="196" t="s">
        <v>603</v>
      </c>
      <c r="B439" s="197">
        <v>221.23187999999999</v>
      </c>
      <c r="C439" s="197">
        <v>39.627000000000002</v>
      </c>
      <c r="D439" s="198">
        <v>45687</v>
      </c>
      <c r="E439" s="197">
        <v>525</v>
      </c>
      <c r="F439" s="197">
        <v>1132.2</v>
      </c>
      <c r="G439" s="197">
        <v>19.54</v>
      </c>
      <c r="H439" s="197">
        <v>3.5</v>
      </c>
      <c r="I439" s="197">
        <v>23.04</v>
      </c>
      <c r="J439" s="199"/>
      <c r="K439" s="197">
        <v>260.95699999999999</v>
      </c>
      <c r="L439" s="197">
        <v>20804.174999999999</v>
      </c>
      <c r="M439" s="197">
        <v>137002.17499999999</v>
      </c>
      <c r="N439" s="196"/>
      <c r="O439" s="194"/>
    </row>
    <row r="440" spans="1:15" x14ac:dyDescent="0.2">
      <c r="A440" s="196" t="s">
        <v>603</v>
      </c>
      <c r="B440" s="197">
        <v>221.23187999999999</v>
      </c>
      <c r="C440" s="197">
        <v>39.627000000000002</v>
      </c>
      <c r="D440" s="198">
        <v>45715</v>
      </c>
      <c r="E440" s="197">
        <v>525</v>
      </c>
      <c r="F440" s="197">
        <v>1132.2</v>
      </c>
      <c r="G440" s="197">
        <v>19.54</v>
      </c>
      <c r="H440" s="197">
        <v>3.5</v>
      </c>
      <c r="I440" s="197">
        <v>23.04</v>
      </c>
      <c r="J440" s="199"/>
      <c r="K440" s="197">
        <v>260.95699999999999</v>
      </c>
      <c r="L440" s="197">
        <v>20804.174999999999</v>
      </c>
      <c r="M440" s="197">
        <v>137002.17499999999</v>
      </c>
      <c r="N440" s="196"/>
      <c r="O440" s="194"/>
    </row>
    <row r="441" spans="1:15" x14ac:dyDescent="0.2">
      <c r="A441" s="196" t="s">
        <v>517</v>
      </c>
      <c r="B441" s="197">
        <v>3129.24</v>
      </c>
      <c r="C441" s="197">
        <v>234.72049999999999</v>
      </c>
      <c r="D441" s="198">
        <v>45652</v>
      </c>
      <c r="E441" s="197">
        <v>100</v>
      </c>
      <c r="F441" s="197">
        <v>6706.3</v>
      </c>
      <c r="G441" s="197">
        <v>46.66</v>
      </c>
      <c r="H441" s="197">
        <v>3.5</v>
      </c>
      <c r="I441" s="197">
        <v>50.16</v>
      </c>
      <c r="J441" s="199"/>
      <c r="K441" s="197">
        <v>3363.9605000000001</v>
      </c>
      <c r="L441" s="197">
        <v>23472.05</v>
      </c>
      <c r="M441" s="197">
        <v>336396.05</v>
      </c>
      <c r="N441" s="196"/>
      <c r="O441" s="194"/>
    </row>
    <row r="442" spans="1:15" x14ac:dyDescent="0.2">
      <c r="A442" s="196" t="s">
        <v>517</v>
      </c>
      <c r="B442" s="197">
        <v>3129.15958</v>
      </c>
      <c r="C442" s="197">
        <v>234.72049999999999</v>
      </c>
      <c r="D442" s="198">
        <v>45687</v>
      </c>
      <c r="E442" s="197">
        <v>100</v>
      </c>
      <c r="F442" s="197">
        <v>6706.3</v>
      </c>
      <c r="G442" s="197">
        <v>46.66</v>
      </c>
      <c r="H442" s="197">
        <v>3.5</v>
      </c>
      <c r="I442" s="197">
        <v>50.16</v>
      </c>
      <c r="J442" s="199"/>
      <c r="K442" s="197">
        <v>3363.9605000000001</v>
      </c>
      <c r="L442" s="197">
        <v>23472.05</v>
      </c>
      <c r="M442" s="197">
        <v>336396.05</v>
      </c>
      <c r="N442" s="196"/>
      <c r="O442" s="194"/>
    </row>
    <row r="443" spans="1:15" x14ac:dyDescent="0.2">
      <c r="A443" s="196" t="s">
        <v>517</v>
      </c>
      <c r="B443" s="197">
        <v>3129.15958</v>
      </c>
      <c r="C443" s="197">
        <v>234.72049999999999</v>
      </c>
      <c r="D443" s="198">
        <v>45715</v>
      </c>
      <c r="E443" s="197">
        <v>100</v>
      </c>
      <c r="F443" s="197">
        <v>6706.3</v>
      </c>
      <c r="G443" s="197">
        <v>46.66</v>
      </c>
      <c r="H443" s="197">
        <v>3.5</v>
      </c>
      <c r="I443" s="197">
        <v>50.16</v>
      </c>
      <c r="J443" s="199"/>
      <c r="K443" s="197">
        <v>3363.9605000000001</v>
      </c>
      <c r="L443" s="197">
        <v>23472.05</v>
      </c>
      <c r="M443" s="197">
        <v>336396.05</v>
      </c>
      <c r="N443" s="196"/>
      <c r="O443" s="194"/>
    </row>
    <row r="444" spans="1:15" x14ac:dyDescent="0.2">
      <c r="A444" s="196" t="s">
        <v>502</v>
      </c>
      <c r="B444" s="197">
        <v>375.36</v>
      </c>
      <c r="C444" s="197">
        <v>311.14299999999997</v>
      </c>
      <c r="D444" s="198">
        <v>45652</v>
      </c>
      <c r="E444" s="197">
        <v>400</v>
      </c>
      <c r="F444" s="197">
        <v>2222.4499999999998</v>
      </c>
      <c r="G444" s="197">
        <v>16.88</v>
      </c>
      <c r="H444" s="197">
        <v>14</v>
      </c>
      <c r="I444" s="197">
        <v>30.88</v>
      </c>
      <c r="J444" s="199"/>
      <c r="K444" s="197">
        <v>686.50300000000004</v>
      </c>
      <c r="L444" s="197">
        <v>124457.2</v>
      </c>
      <c r="M444" s="197">
        <v>274601.2</v>
      </c>
      <c r="N444" s="196"/>
      <c r="O444" s="194"/>
    </row>
    <row r="445" spans="1:15" x14ac:dyDescent="0.2">
      <c r="A445" s="196" t="s">
        <v>502</v>
      </c>
      <c r="B445" s="197">
        <v>375.14956000000001</v>
      </c>
      <c r="C445" s="197">
        <v>311.14299999999997</v>
      </c>
      <c r="D445" s="198">
        <v>45687</v>
      </c>
      <c r="E445" s="197">
        <v>400</v>
      </c>
      <c r="F445" s="197">
        <v>2222.4499999999998</v>
      </c>
      <c r="G445" s="197">
        <v>16.88</v>
      </c>
      <c r="H445" s="197">
        <v>14</v>
      </c>
      <c r="I445" s="197">
        <v>30.88</v>
      </c>
      <c r="J445" s="199"/>
      <c r="K445" s="197">
        <v>686.50300000000004</v>
      </c>
      <c r="L445" s="197">
        <v>124457.2</v>
      </c>
      <c r="M445" s="197">
        <v>274601.2</v>
      </c>
      <c r="N445" s="196"/>
      <c r="O445" s="194"/>
    </row>
    <row r="446" spans="1:15" x14ac:dyDescent="0.2">
      <c r="A446" s="196" t="s">
        <v>502</v>
      </c>
      <c r="B446" s="197">
        <v>375.14956000000001</v>
      </c>
      <c r="C446" s="197">
        <v>311.14299999999997</v>
      </c>
      <c r="D446" s="198">
        <v>45715</v>
      </c>
      <c r="E446" s="197">
        <v>400</v>
      </c>
      <c r="F446" s="197">
        <v>2222.4499999999998</v>
      </c>
      <c r="G446" s="197">
        <v>16.88</v>
      </c>
      <c r="H446" s="197">
        <v>14</v>
      </c>
      <c r="I446" s="197">
        <v>30.88</v>
      </c>
      <c r="J446" s="199"/>
      <c r="K446" s="197">
        <v>686.50300000000004</v>
      </c>
      <c r="L446" s="197">
        <v>124457.2</v>
      </c>
      <c r="M446" s="197">
        <v>274601.2</v>
      </c>
      <c r="N446" s="196"/>
      <c r="O446" s="194"/>
    </row>
    <row r="447" spans="1:15" x14ac:dyDescent="0.2">
      <c r="A447" s="196" t="s">
        <v>257</v>
      </c>
      <c r="B447" s="197">
        <v>184.54</v>
      </c>
      <c r="C447" s="197">
        <v>40.0715</v>
      </c>
      <c r="D447" s="198">
        <v>45652</v>
      </c>
      <c r="E447" s="197">
        <v>800</v>
      </c>
      <c r="F447" s="197">
        <v>1144.9000000000001</v>
      </c>
      <c r="G447" s="197">
        <v>16.11</v>
      </c>
      <c r="H447" s="197">
        <v>3.5</v>
      </c>
      <c r="I447" s="197">
        <v>19.61</v>
      </c>
      <c r="J447" s="199"/>
      <c r="K447" s="197">
        <v>224.61150000000001</v>
      </c>
      <c r="L447" s="197">
        <v>32057.200000000001</v>
      </c>
      <c r="M447" s="197">
        <v>179689.2</v>
      </c>
      <c r="N447" s="196"/>
      <c r="O447" s="194"/>
    </row>
    <row r="448" spans="1:15" x14ac:dyDescent="0.2">
      <c r="A448" s="196" t="s">
        <v>257</v>
      </c>
      <c r="B448" s="197">
        <v>184.44338999999999</v>
      </c>
      <c r="C448" s="197">
        <v>40.0715</v>
      </c>
      <c r="D448" s="198">
        <v>45687</v>
      </c>
      <c r="E448" s="197">
        <v>800</v>
      </c>
      <c r="F448" s="197">
        <v>1144.9000000000001</v>
      </c>
      <c r="G448" s="197">
        <v>16.11</v>
      </c>
      <c r="H448" s="197">
        <v>3.5</v>
      </c>
      <c r="I448" s="197">
        <v>19.61</v>
      </c>
      <c r="J448" s="199"/>
      <c r="K448" s="197">
        <v>224.61150000000001</v>
      </c>
      <c r="L448" s="197">
        <v>32057.200000000001</v>
      </c>
      <c r="M448" s="197">
        <v>179689.2</v>
      </c>
      <c r="N448" s="196"/>
      <c r="O448" s="194"/>
    </row>
    <row r="449" spans="1:15" x14ac:dyDescent="0.2">
      <c r="A449" s="196" t="s">
        <v>257</v>
      </c>
      <c r="B449" s="197">
        <v>184.44338999999999</v>
      </c>
      <c r="C449" s="197">
        <v>40.0715</v>
      </c>
      <c r="D449" s="198">
        <v>45715</v>
      </c>
      <c r="E449" s="197">
        <v>800</v>
      </c>
      <c r="F449" s="197">
        <v>1144.9000000000001</v>
      </c>
      <c r="G449" s="197">
        <v>16.11</v>
      </c>
      <c r="H449" s="197">
        <v>3.5</v>
      </c>
      <c r="I449" s="197">
        <v>19.61</v>
      </c>
      <c r="J449" s="199"/>
      <c r="K449" s="197">
        <v>224.61150000000001</v>
      </c>
      <c r="L449" s="197">
        <v>32057.200000000001</v>
      </c>
      <c r="M449" s="197">
        <v>179689.2</v>
      </c>
      <c r="N449" s="196"/>
      <c r="O449" s="194"/>
    </row>
    <row r="450" spans="1:15" x14ac:dyDescent="0.2">
      <c r="A450" s="196" t="s">
        <v>258</v>
      </c>
      <c r="B450" s="197">
        <v>280.95</v>
      </c>
      <c r="C450" s="197">
        <v>45.505299999999998</v>
      </c>
      <c r="D450" s="198">
        <v>45652</v>
      </c>
      <c r="E450" s="197">
        <v>400</v>
      </c>
      <c r="F450" s="197">
        <v>1300.1500000000001</v>
      </c>
      <c r="G450" s="197">
        <v>21.6</v>
      </c>
      <c r="H450" s="197">
        <v>3.5</v>
      </c>
      <c r="I450" s="197">
        <v>25.1</v>
      </c>
      <c r="J450" s="199"/>
      <c r="K450" s="197">
        <v>326.45530000000002</v>
      </c>
      <c r="L450" s="197">
        <v>18202.099999999999</v>
      </c>
      <c r="M450" s="197">
        <v>130582.1</v>
      </c>
      <c r="N450" s="196"/>
      <c r="O450" s="194"/>
    </row>
    <row r="451" spans="1:15" x14ac:dyDescent="0.2">
      <c r="A451" s="196" t="s">
        <v>258</v>
      </c>
      <c r="B451" s="197">
        <v>280.83240000000001</v>
      </c>
      <c r="C451" s="197">
        <v>45.505299999999998</v>
      </c>
      <c r="D451" s="198">
        <v>45687</v>
      </c>
      <c r="E451" s="197">
        <v>400</v>
      </c>
      <c r="F451" s="197">
        <v>1300.1500000000001</v>
      </c>
      <c r="G451" s="197">
        <v>21.6</v>
      </c>
      <c r="H451" s="197">
        <v>3.5</v>
      </c>
      <c r="I451" s="197">
        <v>25.1</v>
      </c>
      <c r="J451" s="199"/>
      <c r="K451" s="197">
        <v>326.45530000000002</v>
      </c>
      <c r="L451" s="197">
        <v>18202.099999999999</v>
      </c>
      <c r="M451" s="197">
        <v>130582.1</v>
      </c>
      <c r="N451" s="196"/>
      <c r="O451" s="194"/>
    </row>
    <row r="452" spans="1:15" x14ac:dyDescent="0.2">
      <c r="A452" s="196" t="s">
        <v>258</v>
      </c>
      <c r="B452" s="197">
        <v>280.83240000000001</v>
      </c>
      <c r="C452" s="197">
        <v>45.505299999999998</v>
      </c>
      <c r="D452" s="198">
        <v>45715</v>
      </c>
      <c r="E452" s="197">
        <v>400</v>
      </c>
      <c r="F452" s="197">
        <v>1300.1500000000001</v>
      </c>
      <c r="G452" s="197">
        <v>21.6</v>
      </c>
      <c r="H452" s="197">
        <v>3.5</v>
      </c>
      <c r="I452" s="197">
        <v>25.1</v>
      </c>
      <c r="J452" s="199"/>
      <c r="K452" s="197">
        <v>326.45530000000002</v>
      </c>
      <c r="L452" s="197">
        <v>18202.099999999999</v>
      </c>
      <c r="M452" s="197">
        <v>130582.1</v>
      </c>
      <c r="N452" s="196"/>
      <c r="O452" s="194"/>
    </row>
    <row r="453" spans="1:15" x14ac:dyDescent="0.2">
      <c r="A453" s="196" t="s">
        <v>563</v>
      </c>
      <c r="B453" s="197">
        <v>1309.4000000000001</v>
      </c>
      <c r="C453" s="197">
        <v>262.67599999999999</v>
      </c>
      <c r="D453" s="198">
        <v>45656</v>
      </c>
      <c r="E453" s="197">
        <v>50</v>
      </c>
      <c r="F453" s="197">
        <v>13133.8</v>
      </c>
      <c r="G453" s="197">
        <v>9.9600000000000009</v>
      </c>
      <c r="H453" s="197">
        <v>2</v>
      </c>
      <c r="I453" s="197">
        <v>11.96</v>
      </c>
      <c r="J453" s="199"/>
      <c r="K453" s="197">
        <v>1572.076</v>
      </c>
      <c r="L453" s="197">
        <v>13133.8</v>
      </c>
      <c r="M453" s="197">
        <v>78603.8</v>
      </c>
      <c r="N453" s="196"/>
      <c r="O453" s="194"/>
    </row>
    <row r="454" spans="1:15" x14ac:dyDescent="0.2">
      <c r="A454" s="196" t="s">
        <v>563</v>
      </c>
      <c r="B454" s="197">
        <v>1308.1264799999999</v>
      </c>
      <c r="C454" s="197">
        <v>262.67599999999999</v>
      </c>
      <c r="D454" s="198">
        <v>45684</v>
      </c>
      <c r="E454" s="197">
        <v>50</v>
      </c>
      <c r="F454" s="197">
        <v>13133.8</v>
      </c>
      <c r="G454" s="197">
        <v>9.9600000000000009</v>
      </c>
      <c r="H454" s="197">
        <v>2</v>
      </c>
      <c r="I454" s="197">
        <v>11.96</v>
      </c>
      <c r="J454" s="199"/>
      <c r="K454" s="197">
        <v>1572.076</v>
      </c>
      <c r="L454" s="197">
        <v>13133.8</v>
      </c>
      <c r="M454" s="197">
        <v>78603.8</v>
      </c>
      <c r="N454" s="196"/>
      <c r="O454" s="194"/>
    </row>
    <row r="455" spans="1:15" x14ac:dyDescent="0.2">
      <c r="A455" s="196" t="s">
        <v>563</v>
      </c>
      <c r="B455" s="197">
        <v>1308.1264799999999</v>
      </c>
      <c r="C455" s="197">
        <v>262.67599999999999</v>
      </c>
      <c r="D455" s="198">
        <v>45712</v>
      </c>
      <c r="E455" s="197">
        <v>50</v>
      </c>
      <c r="F455" s="197">
        <v>13133.8</v>
      </c>
      <c r="G455" s="197">
        <v>9.9600000000000009</v>
      </c>
      <c r="H455" s="197">
        <v>2</v>
      </c>
      <c r="I455" s="197">
        <v>11.96</v>
      </c>
      <c r="J455" s="199"/>
      <c r="K455" s="197">
        <v>1572.076</v>
      </c>
      <c r="L455" s="197">
        <v>13133.8</v>
      </c>
      <c r="M455" s="197">
        <v>78603.8</v>
      </c>
      <c r="N455" s="196"/>
      <c r="O455" s="194"/>
    </row>
    <row r="456" spans="1:15" x14ac:dyDescent="0.2">
      <c r="A456" s="196" t="s">
        <v>559</v>
      </c>
      <c r="B456" s="197">
        <v>29.74</v>
      </c>
      <c r="C456" s="197">
        <v>5.8380000000000001</v>
      </c>
      <c r="D456" s="198">
        <v>45652</v>
      </c>
      <c r="E456" s="197">
        <v>3550</v>
      </c>
      <c r="F456" s="197">
        <v>166.8</v>
      </c>
      <c r="G456" s="197">
        <v>17.82</v>
      </c>
      <c r="H456" s="197">
        <v>3.5</v>
      </c>
      <c r="I456" s="197">
        <v>21.32</v>
      </c>
      <c r="J456" s="199"/>
      <c r="K456" s="197">
        <v>35.578000000000003</v>
      </c>
      <c r="L456" s="197">
        <v>20724.900000000001</v>
      </c>
      <c r="M456" s="197">
        <v>126301.9</v>
      </c>
      <c r="N456" s="196"/>
      <c r="O456" s="194"/>
    </row>
    <row r="457" spans="1:15" x14ac:dyDescent="0.2">
      <c r="A457" s="196" t="s">
        <v>559</v>
      </c>
      <c r="B457" s="197">
        <v>29.723759999999999</v>
      </c>
      <c r="C457" s="197">
        <v>5.8380000000000001</v>
      </c>
      <c r="D457" s="198">
        <v>45687</v>
      </c>
      <c r="E457" s="197">
        <v>3550</v>
      </c>
      <c r="F457" s="197">
        <v>166.8</v>
      </c>
      <c r="G457" s="197">
        <v>17.82</v>
      </c>
      <c r="H457" s="197">
        <v>3.5</v>
      </c>
      <c r="I457" s="197">
        <v>21.32</v>
      </c>
      <c r="J457" s="199"/>
      <c r="K457" s="197">
        <v>35.578000000000003</v>
      </c>
      <c r="L457" s="197">
        <v>20724.900000000001</v>
      </c>
      <c r="M457" s="197">
        <v>126301.9</v>
      </c>
      <c r="N457" s="196"/>
      <c r="O457" s="194"/>
    </row>
    <row r="458" spans="1:15" x14ac:dyDescent="0.2">
      <c r="A458" s="196" t="s">
        <v>559</v>
      </c>
      <c r="B458" s="197">
        <v>29.723759999999999</v>
      </c>
      <c r="C458" s="197">
        <v>5.8380000000000001</v>
      </c>
      <c r="D458" s="198">
        <v>45715</v>
      </c>
      <c r="E458" s="197">
        <v>3550</v>
      </c>
      <c r="F458" s="197">
        <v>166.8</v>
      </c>
      <c r="G458" s="197">
        <v>17.82</v>
      </c>
      <c r="H458" s="197">
        <v>3.5</v>
      </c>
      <c r="I458" s="197">
        <v>21.32</v>
      </c>
      <c r="J458" s="199"/>
      <c r="K458" s="197">
        <v>35.578000000000003</v>
      </c>
      <c r="L458" s="197">
        <v>20724.900000000001</v>
      </c>
      <c r="M458" s="197">
        <v>126301.9</v>
      </c>
      <c r="N458" s="196"/>
      <c r="O458" s="194"/>
    </row>
    <row r="459" spans="1:15" x14ac:dyDescent="0.2">
      <c r="A459" s="196" t="s">
        <v>487</v>
      </c>
      <c r="B459" s="197">
        <v>531.25</v>
      </c>
      <c r="C459" s="197">
        <v>111.4575</v>
      </c>
      <c r="D459" s="198">
        <v>45652</v>
      </c>
      <c r="E459" s="197">
        <v>275</v>
      </c>
      <c r="F459" s="197">
        <v>3184.5</v>
      </c>
      <c r="G459" s="197">
        <v>16.68</v>
      </c>
      <c r="H459" s="197">
        <v>3.5</v>
      </c>
      <c r="I459" s="197">
        <v>20.18</v>
      </c>
      <c r="J459" s="199"/>
      <c r="K459" s="197">
        <v>642.70749999999998</v>
      </c>
      <c r="L459" s="197">
        <v>30650.8125</v>
      </c>
      <c r="M459" s="197">
        <v>176744.8125</v>
      </c>
      <c r="N459" s="196"/>
      <c r="O459" s="194"/>
    </row>
    <row r="460" spans="1:15" x14ac:dyDescent="0.2">
      <c r="A460" s="196" t="s">
        <v>487</v>
      </c>
      <c r="B460" s="197">
        <v>531.17460000000005</v>
      </c>
      <c r="C460" s="197">
        <v>111.4575</v>
      </c>
      <c r="D460" s="198">
        <v>45687</v>
      </c>
      <c r="E460" s="197">
        <v>275</v>
      </c>
      <c r="F460" s="197">
        <v>3184.5</v>
      </c>
      <c r="G460" s="197">
        <v>16.68</v>
      </c>
      <c r="H460" s="197">
        <v>3.5</v>
      </c>
      <c r="I460" s="197">
        <v>20.18</v>
      </c>
      <c r="J460" s="199"/>
      <c r="K460" s="197">
        <v>642.70749999999998</v>
      </c>
      <c r="L460" s="197">
        <v>30650.8125</v>
      </c>
      <c r="M460" s="197">
        <v>176744.8125</v>
      </c>
      <c r="N460" s="196"/>
      <c r="O460" s="194"/>
    </row>
    <row r="461" spans="1:15" x14ac:dyDescent="0.2">
      <c r="A461" s="196" t="s">
        <v>487</v>
      </c>
      <c r="B461" s="197">
        <v>531.17460000000005</v>
      </c>
      <c r="C461" s="197">
        <v>111.4575</v>
      </c>
      <c r="D461" s="198">
        <v>45715</v>
      </c>
      <c r="E461" s="197">
        <v>275</v>
      </c>
      <c r="F461" s="197">
        <v>3184.5</v>
      </c>
      <c r="G461" s="197">
        <v>16.68</v>
      </c>
      <c r="H461" s="197">
        <v>3.5</v>
      </c>
      <c r="I461" s="197">
        <v>20.18</v>
      </c>
      <c r="J461" s="199"/>
      <c r="K461" s="197">
        <v>642.70749999999998</v>
      </c>
      <c r="L461" s="197">
        <v>30650.8125</v>
      </c>
      <c r="M461" s="197">
        <v>176744.8125</v>
      </c>
      <c r="N461" s="196"/>
      <c r="O461" s="194"/>
    </row>
    <row r="462" spans="1:15" x14ac:dyDescent="0.2">
      <c r="A462" s="196" t="s">
        <v>261</v>
      </c>
      <c r="B462" s="197">
        <v>18919.2</v>
      </c>
      <c r="C462" s="197">
        <v>4638.0214999999998</v>
      </c>
      <c r="D462" s="198">
        <v>45652</v>
      </c>
      <c r="E462" s="197">
        <v>5</v>
      </c>
      <c r="F462" s="197">
        <v>132514.9</v>
      </c>
      <c r="G462" s="197">
        <v>14.27</v>
      </c>
      <c r="H462" s="197">
        <v>3.5</v>
      </c>
      <c r="I462" s="197">
        <v>17.77</v>
      </c>
      <c r="J462" s="199"/>
      <c r="K462" s="197">
        <v>23557.2215</v>
      </c>
      <c r="L462" s="197">
        <v>23190.107499999998</v>
      </c>
      <c r="M462" s="197">
        <v>117786.1075</v>
      </c>
      <c r="N462" s="196"/>
      <c r="O462" s="194"/>
    </row>
    <row r="463" spans="1:15" x14ac:dyDescent="0.2">
      <c r="A463" s="196" t="s">
        <v>261</v>
      </c>
      <c r="B463" s="197">
        <v>18909.876230000002</v>
      </c>
      <c r="C463" s="197">
        <v>4638.0214999999998</v>
      </c>
      <c r="D463" s="198">
        <v>45687</v>
      </c>
      <c r="E463" s="197">
        <v>5</v>
      </c>
      <c r="F463" s="197">
        <v>132514.9</v>
      </c>
      <c r="G463" s="197">
        <v>14.27</v>
      </c>
      <c r="H463" s="197">
        <v>3.5</v>
      </c>
      <c r="I463" s="197">
        <v>17.77</v>
      </c>
      <c r="J463" s="199"/>
      <c r="K463" s="197">
        <v>23557.2215</v>
      </c>
      <c r="L463" s="197">
        <v>23190.107499999998</v>
      </c>
      <c r="M463" s="197">
        <v>117786.1075</v>
      </c>
      <c r="N463" s="196"/>
      <c r="O463" s="194"/>
    </row>
    <row r="464" spans="1:15" x14ac:dyDescent="0.2">
      <c r="A464" s="196" t="s">
        <v>261</v>
      </c>
      <c r="B464" s="197">
        <v>18909.876230000002</v>
      </c>
      <c r="C464" s="197">
        <v>4638.0214999999998</v>
      </c>
      <c r="D464" s="198">
        <v>45715</v>
      </c>
      <c r="E464" s="197">
        <v>5</v>
      </c>
      <c r="F464" s="197">
        <v>132514.9</v>
      </c>
      <c r="G464" s="197">
        <v>14.27</v>
      </c>
      <c r="H464" s="197">
        <v>3.5</v>
      </c>
      <c r="I464" s="197">
        <v>17.77</v>
      </c>
      <c r="J464" s="199"/>
      <c r="K464" s="197">
        <v>23557.2215</v>
      </c>
      <c r="L464" s="197">
        <v>23190.107499999998</v>
      </c>
      <c r="M464" s="197">
        <v>117786.1075</v>
      </c>
      <c r="N464" s="196"/>
      <c r="O464" s="194"/>
    </row>
    <row r="465" spans="1:15" x14ac:dyDescent="0.2">
      <c r="A465" s="196" t="s">
        <v>262</v>
      </c>
      <c r="B465" s="197">
        <v>303.70999999999998</v>
      </c>
      <c r="C465" s="197">
        <v>72.257499999999993</v>
      </c>
      <c r="D465" s="198">
        <v>45652</v>
      </c>
      <c r="E465" s="197">
        <v>275</v>
      </c>
      <c r="F465" s="197">
        <v>2064.5</v>
      </c>
      <c r="G465" s="197">
        <v>14.71</v>
      </c>
      <c r="H465" s="197">
        <v>3.5</v>
      </c>
      <c r="I465" s="197">
        <v>18.21</v>
      </c>
      <c r="J465" s="199"/>
      <c r="K465" s="197">
        <v>375.96749999999997</v>
      </c>
      <c r="L465" s="197">
        <v>19870.8125</v>
      </c>
      <c r="M465" s="197">
        <v>103390.8125</v>
      </c>
      <c r="N465" s="196"/>
      <c r="O465" s="194"/>
    </row>
    <row r="466" spans="1:15" x14ac:dyDescent="0.2">
      <c r="A466" s="196" t="s">
        <v>262</v>
      </c>
      <c r="B466" s="197">
        <v>303.68795</v>
      </c>
      <c r="C466" s="197">
        <v>72.257499999999993</v>
      </c>
      <c r="D466" s="198">
        <v>45687</v>
      </c>
      <c r="E466" s="197">
        <v>275</v>
      </c>
      <c r="F466" s="197">
        <v>2064.5</v>
      </c>
      <c r="G466" s="197">
        <v>14.71</v>
      </c>
      <c r="H466" s="197">
        <v>3.5</v>
      </c>
      <c r="I466" s="197">
        <v>18.21</v>
      </c>
      <c r="J466" s="199"/>
      <c r="K466" s="197">
        <v>375.96749999999997</v>
      </c>
      <c r="L466" s="197">
        <v>19870.8125</v>
      </c>
      <c r="M466" s="197">
        <v>103390.8125</v>
      </c>
      <c r="N466" s="196"/>
      <c r="O466" s="194"/>
    </row>
    <row r="467" spans="1:15" x14ac:dyDescent="0.2">
      <c r="A467" s="196" t="s">
        <v>262</v>
      </c>
      <c r="B467" s="197">
        <v>303.68795</v>
      </c>
      <c r="C467" s="197">
        <v>72.257499999999993</v>
      </c>
      <c r="D467" s="198">
        <v>45715</v>
      </c>
      <c r="E467" s="197">
        <v>275</v>
      </c>
      <c r="F467" s="197">
        <v>2064.5</v>
      </c>
      <c r="G467" s="197">
        <v>14.71</v>
      </c>
      <c r="H467" s="197">
        <v>3.5</v>
      </c>
      <c r="I467" s="197">
        <v>18.21</v>
      </c>
      <c r="J467" s="199"/>
      <c r="K467" s="197">
        <v>375.96749999999997</v>
      </c>
      <c r="L467" s="197">
        <v>19870.8125</v>
      </c>
      <c r="M467" s="197">
        <v>103390.8125</v>
      </c>
      <c r="N467" s="196"/>
      <c r="O467" s="194"/>
    </row>
    <row r="468" spans="1:15" x14ac:dyDescent="0.2">
      <c r="A468" s="196" t="s">
        <v>263</v>
      </c>
      <c r="B468" s="197">
        <v>60.46</v>
      </c>
      <c r="C468" s="197">
        <v>8.7342999999999993</v>
      </c>
      <c r="D468" s="198">
        <v>45652</v>
      </c>
      <c r="E468" s="197">
        <v>3750</v>
      </c>
      <c r="F468" s="197">
        <v>249.55</v>
      </c>
      <c r="G468" s="197">
        <v>24.22</v>
      </c>
      <c r="H468" s="197">
        <v>3.5</v>
      </c>
      <c r="I468" s="197">
        <v>27.72</v>
      </c>
      <c r="J468" s="199"/>
      <c r="K468" s="197">
        <v>69.194299999999998</v>
      </c>
      <c r="L468" s="197">
        <v>32753.4375</v>
      </c>
      <c r="M468" s="197">
        <v>259478.4375</v>
      </c>
      <c r="N468" s="196"/>
      <c r="O468" s="194"/>
    </row>
    <row r="469" spans="1:15" x14ac:dyDescent="0.2">
      <c r="A469" s="196" t="s">
        <v>263</v>
      </c>
      <c r="B469" s="197">
        <v>60.441009999999999</v>
      </c>
      <c r="C469" s="197">
        <v>8.7342999999999993</v>
      </c>
      <c r="D469" s="198">
        <v>45687</v>
      </c>
      <c r="E469" s="197">
        <v>3750</v>
      </c>
      <c r="F469" s="197">
        <v>249.55</v>
      </c>
      <c r="G469" s="197">
        <v>24.22</v>
      </c>
      <c r="H469" s="197">
        <v>3.5</v>
      </c>
      <c r="I469" s="197">
        <v>27.72</v>
      </c>
      <c r="J469" s="199"/>
      <c r="K469" s="197">
        <v>69.194299999999998</v>
      </c>
      <c r="L469" s="197">
        <v>32753.4375</v>
      </c>
      <c r="M469" s="197">
        <v>259478.4375</v>
      </c>
      <c r="N469" s="196"/>
      <c r="O469" s="194"/>
    </row>
    <row r="470" spans="1:15" x14ac:dyDescent="0.2">
      <c r="A470" s="196" t="s">
        <v>263</v>
      </c>
      <c r="B470" s="197">
        <v>60.441009999999999</v>
      </c>
      <c r="C470" s="197">
        <v>8.7342999999999993</v>
      </c>
      <c r="D470" s="198">
        <v>45715</v>
      </c>
      <c r="E470" s="197">
        <v>3750</v>
      </c>
      <c r="F470" s="197">
        <v>249.55</v>
      </c>
      <c r="G470" s="197">
        <v>24.22</v>
      </c>
      <c r="H470" s="197">
        <v>3.5</v>
      </c>
      <c r="I470" s="197">
        <v>27.72</v>
      </c>
      <c r="J470" s="199"/>
      <c r="K470" s="197">
        <v>69.194299999999998</v>
      </c>
      <c r="L470" s="197">
        <v>32753.4375</v>
      </c>
      <c r="M470" s="197">
        <v>259478.4375</v>
      </c>
      <c r="N470" s="196"/>
      <c r="O470" s="194"/>
    </row>
    <row r="471" spans="1:15" x14ac:dyDescent="0.2">
      <c r="A471" s="196" t="s">
        <v>264</v>
      </c>
      <c r="B471" s="197">
        <v>1438.76</v>
      </c>
      <c r="C471" s="197">
        <v>299.47579999999999</v>
      </c>
      <c r="D471" s="198">
        <v>45652</v>
      </c>
      <c r="E471" s="197">
        <v>75</v>
      </c>
      <c r="F471" s="197">
        <v>8556.4500000000007</v>
      </c>
      <c r="G471" s="197">
        <v>16.809999999999999</v>
      </c>
      <c r="H471" s="197">
        <v>3.5</v>
      </c>
      <c r="I471" s="197">
        <v>20.309999999999999</v>
      </c>
      <c r="J471" s="199"/>
      <c r="K471" s="197">
        <v>1738.2357999999999</v>
      </c>
      <c r="L471" s="197">
        <v>22460.6813</v>
      </c>
      <c r="M471" s="197">
        <v>130367.6813</v>
      </c>
      <c r="N471" s="196"/>
      <c r="O471" s="194"/>
    </row>
    <row r="472" spans="1:15" x14ac:dyDescent="0.2">
      <c r="A472" s="196" t="s">
        <v>264</v>
      </c>
      <c r="B472" s="197">
        <v>1438.3392449999999</v>
      </c>
      <c r="C472" s="197">
        <v>299.47579999999999</v>
      </c>
      <c r="D472" s="198">
        <v>45687</v>
      </c>
      <c r="E472" s="197">
        <v>75</v>
      </c>
      <c r="F472" s="197">
        <v>8556.4500000000007</v>
      </c>
      <c r="G472" s="197">
        <v>16.809999999999999</v>
      </c>
      <c r="H472" s="197">
        <v>3.5</v>
      </c>
      <c r="I472" s="197">
        <v>20.309999999999999</v>
      </c>
      <c r="J472" s="199"/>
      <c r="K472" s="197">
        <v>1738.2357999999999</v>
      </c>
      <c r="L472" s="197">
        <v>22460.6813</v>
      </c>
      <c r="M472" s="197">
        <v>130367.6813</v>
      </c>
      <c r="N472" s="196"/>
      <c r="O472" s="194"/>
    </row>
    <row r="473" spans="1:15" x14ac:dyDescent="0.2">
      <c r="A473" s="196" t="s">
        <v>264</v>
      </c>
      <c r="B473" s="197">
        <v>1438.3392449999999</v>
      </c>
      <c r="C473" s="197">
        <v>299.47579999999999</v>
      </c>
      <c r="D473" s="198">
        <v>45715</v>
      </c>
      <c r="E473" s="197">
        <v>75</v>
      </c>
      <c r="F473" s="197">
        <v>8556.4500000000007</v>
      </c>
      <c r="G473" s="197">
        <v>16.809999999999999</v>
      </c>
      <c r="H473" s="197">
        <v>3.5</v>
      </c>
      <c r="I473" s="197">
        <v>20.309999999999999</v>
      </c>
      <c r="J473" s="199"/>
      <c r="K473" s="197">
        <v>1738.2357999999999</v>
      </c>
      <c r="L473" s="197">
        <v>22460.6813</v>
      </c>
      <c r="M473" s="197">
        <v>130367.6813</v>
      </c>
      <c r="N473" s="196"/>
      <c r="O473" s="194"/>
    </row>
    <row r="474" spans="1:15" x14ac:dyDescent="0.2">
      <c r="A474" s="196" t="s">
        <v>485</v>
      </c>
      <c r="B474" s="197">
        <v>605.51</v>
      </c>
      <c r="C474" s="197">
        <v>125.7533</v>
      </c>
      <c r="D474" s="198">
        <v>45652</v>
      </c>
      <c r="E474" s="197">
        <v>175</v>
      </c>
      <c r="F474" s="197">
        <v>3592.95</v>
      </c>
      <c r="G474" s="197">
        <v>16.850000000000001</v>
      </c>
      <c r="H474" s="197">
        <v>3.5</v>
      </c>
      <c r="I474" s="197">
        <v>20.350000000000001</v>
      </c>
      <c r="J474" s="199"/>
      <c r="K474" s="197">
        <v>731.26329999999996</v>
      </c>
      <c r="L474" s="197">
        <v>22006.818800000001</v>
      </c>
      <c r="M474" s="197">
        <v>127970.81879999999</v>
      </c>
      <c r="N474" s="196"/>
      <c r="O474" s="194"/>
    </row>
    <row r="475" spans="1:15" x14ac:dyDescent="0.2">
      <c r="A475" s="196" t="s">
        <v>485</v>
      </c>
      <c r="B475" s="197">
        <v>605.41207499999996</v>
      </c>
      <c r="C475" s="197">
        <v>125.7533</v>
      </c>
      <c r="D475" s="198">
        <v>45687</v>
      </c>
      <c r="E475" s="197">
        <v>175</v>
      </c>
      <c r="F475" s="197">
        <v>3592.95</v>
      </c>
      <c r="G475" s="197">
        <v>16.850000000000001</v>
      </c>
      <c r="H475" s="197">
        <v>3.5</v>
      </c>
      <c r="I475" s="197">
        <v>20.350000000000001</v>
      </c>
      <c r="J475" s="199"/>
      <c r="K475" s="197">
        <v>731.26329999999996</v>
      </c>
      <c r="L475" s="197">
        <v>22006.818800000001</v>
      </c>
      <c r="M475" s="197">
        <v>127970.81879999999</v>
      </c>
      <c r="N475" s="196"/>
      <c r="O475" s="194"/>
    </row>
    <row r="476" spans="1:15" x14ac:dyDescent="0.2">
      <c r="A476" s="196" t="s">
        <v>485</v>
      </c>
      <c r="B476" s="197">
        <v>605.41207499999996</v>
      </c>
      <c r="C476" s="197">
        <v>125.7533</v>
      </c>
      <c r="D476" s="198">
        <v>45715</v>
      </c>
      <c r="E476" s="197">
        <v>175</v>
      </c>
      <c r="F476" s="197">
        <v>3592.95</v>
      </c>
      <c r="G476" s="197">
        <v>16.850000000000001</v>
      </c>
      <c r="H476" s="197">
        <v>3.5</v>
      </c>
      <c r="I476" s="197">
        <v>20.350000000000001</v>
      </c>
      <c r="J476" s="199"/>
      <c r="K476" s="197">
        <v>731.26329999999996</v>
      </c>
      <c r="L476" s="197">
        <v>22006.818800000001</v>
      </c>
      <c r="M476" s="197">
        <v>127970.81879999999</v>
      </c>
      <c r="N476" s="196"/>
      <c r="O476" s="194"/>
    </row>
    <row r="477" spans="1:15" x14ac:dyDescent="0.2">
      <c r="A477" s="196" t="s">
        <v>591</v>
      </c>
      <c r="B477" s="197">
        <v>74.42</v>
      </c>
      <c r="C477" s="197">
        <v>10.7258</v>
      </c>
      <c r="D477" s="198">
        <v>45652</v>
      </c>
      <c r="E477" s="197">
        <v>1775</v>
      </c>
      <c r="F477" s="197">
        <v>306.45</v>
      </c>
      <c r="G477" s="197">
        <v>24.28</v>
      </c>
      <c r="H477" s="197">
        <v>3.5</v>
      </c>
      <c r="I477" s="197">
        <v>27.78</v>
      </c>
      <c r="J477" s="199"/>
      <c r="K477" s="197">
        <v>85.145799999999994</v>
      </c>
      <c r="L477" s="197">
        <v>19038.206300000002</v>
      </c>
      <c r="M477" s="197">
        <v>151134.20629999999</v>
      </c>
      <c r="N477" s="196"/>
      <c r="O477" s="194"/>
    </row>
    <row r="478" spans="1:15" x14ac:dyDescent="0.2">
      <c r="A478" s="196" t="s">
        <v>591</v>
      </c>
      <c r="B478" s="197">
        <v>74.406059999999997</v>
      </c>
      <c r="C478" s="197">
        <v>10.7258</v>
      </c>
      <c r="D478" s="198">
        <v>45687</v>
      </c>
      <c r="E478" s="197">
        <v>1775</v>
      </c>
      <c r="F478" s="197">
        <v>306.45</v>
      </c>
      <c r="G478" s="197">
        <v>24.28</v>
      </c>
      <c r="H478" s="197">
        <v>3.5</v>
      </c>
      <c r="I478" s="197">
        <v>27.78</v>
      </c>
      <c r="J478" s="199"/>
      <c r="K478" s="197">
        <v>85.145799999999994</v>
      </c>
      <c r="L478" s="197">
        <v>19038.206300000002</v>
      </c>
      <c r="M478" s="197">
        <v>151134.20629999999</v>
      </c>
      <c r="N478" s="196"/>
      <c r="O478" s="194"/>
    </row>
    <row r="479" spans="1:15" x14ac:dyDescent="0.2">
      <c r="A479" s="196" t="s">
        <v>591</v>
      </c>
      <c r="B479" s="197">
        <v>74.406059999999997</v>
      </c>
      <c r="C479" s="197">
        <v>10.7258</v>
      </c>
      <c r="D479" s="198">
        <v>45715</v>
      </c>
      <c r="E479" s="197">
        <v>1775</v>
      </c>
      <c r="F479" s="197">
        <v>306.45</v>
      </c>
      <c r="G479" s="197">
        <v>24.28</v>
      </c>
      <c r="H479" s="197">
        <v>3.5</v>
      </c>
      <c r="I479" s="197">
        <v>27.78</v>
      </c>
      <c r="J479" s="199"/>
      <c r="K479" s="197">
        <v>85.145799999999994</v>
      </c>
      <c r="L479" s="197">
        <v>19038.206300000002</v>
      </c>
      <c r="M479" s="197">
        <v>151134.20629999999</v>
      </c>
      <c r="N479" s="196"/>
      <c r="O479" s="194"/>
    </row>
    <row r="480" spans="1:15" x14ac:dyDescent="0.2">
      <c r="A480" s="196" t="s">
        <v>265</v>
      </c>
      <c r="B480" s="197">
        <v>320</v>
      </c>
      <c r="C480" s="197">
        <v>78.447299999999998</v>
      </c>
      <c r="D480" s="198">
        <v>45652</v>
      </c>
      <c r="E480" s="197">
        <v>200</v>
      </c>
      <c r="F480" s="197">
        <v>2241.35</v>
      </c>
      <c r="G480" s="197">
        <v>14.27</v>
      </c>
      <c r="H480" s="197">
        <v>3.5</v>
      </c>
      <c r="I480" s="197">
        <v>17.77</v>
      </c>
      <c r="J480" s="199"/>
      <c r="K480" s="197">
        <v>398.44729999999998</v>
      </c>
      <c r="L480" s="197">
        <v>15689.45</v>
      </c>
      <c r="M480" s="197">
        <v>79689.45</v>
      </c>
      <c r="N480" s="196"/>
      <c r="O480" s="194"/>
    </row>
    <row r="481" spans="1:15" x14ac:dyDescent="0.2">
      <c r="A481" s="196" t="s">
        <v>265</v>
      </c>
      <c r="B481" s="197">
        <v>319.84064499999999</v>
      </c>
      <c r="C481" s="197">
        <v>78.447299999999998</v>
      </c>
      <c r="D481" s="198">
        <v>45687</v>
      </c>
      <c r="E481" s="197">
        <v>200</v>
      </c>
      <c r="F481" s="197">
        <v>2241.35</v>
      </c>
      <c r="G481" s="197">
        <v>14.27</v>
      </c>
      <c r="H481" s="197">
        <v>3.5</v>
      </c>
      <c r="I481" s="197">
        <v>17.77</v>
      </c>
      <c r="J481" s="199"/>
      <c r="K481" s="197">
        <v>398.44729999999998</v>
      </c>
      <c r="L481" s="197">
        <v>15689.45</v>
      </c>
      <c r="M481" s="197">
        <v>79689.45</v>
      </c>
      <c r="N481" s="196"/>
      <c r="O481" s="194"/>
    </row>
    <row r="482" spans="1:15" x14ac:dyDescent="0.2">
      <c r="A482" s="196" t="s">
        <v>265</v>
      </c>
      <c r="B482" s="197">
        <v>319.84064499999999</v>
      </c>
      <c r="C482" s="197">
        <v>78.447299999999998</v>
      </c>
      <c r="D482" s="198">
        <v>45715</v>
      </c>
      <c r="E482" s="197">
        <v>200</v>
      </c>
      <c r="F482" s="197">
        <v>2241.35</v>
      </c>
      <c r="G482" s="197">
        <v>14.27</v>
      </c>
      <c r="H482" s="197">
        <v>3.5</v>
      </c>
      <c r="I482" s="197">
        <v>17.77</v>
      </c>
      <c r="J482" s="199"/>
      <c r="K482" s="197">
        <v>398.44729999999998</v>
      </c>
      <c r="L482" s="197">
        <v>15689.45</v>
      </c>
      <c r="M482" s="197">
        <v>79689.45</v>
      </c>
      <c r="N482" s="196"/>
      <c r="O482" s="194"/>
    </row>
    <row r="483" spans="1:15" x14ac:dyDescent="0.2">
      <c r="A483" s="196" t="s">
        <v>585</v>
      </c>
      <c r="B483" s="197">
        <v>18.18</v>
      </c>
      <c r="C483" s="197">
        <v>3.0139</v>
      </c>
      <c r="D483" s="198">
        <v>45652</v>
      </c>
      <c r="E483" s="197">
        <v>6400</v>
      </c>
      <c r="F483" s="197">
        <v>86.11</v>
      </c>
      <c r="G483" s="197">
        <v>21.11</v>
      </c>
      <c r="H483" s="197">
        <v>3.5</v>
      </c>
      <c r="I483" s="197">
        <v>24.61</v>
      </c>
      <c r="J483" s="199"/>
      <c r="K483" s="197">
        <v>21.193899999999999</v>
      </c>
      <c r="L483" s="197">
        <v>19288.64</v>
      </c>
      <c r="M483" s="197">
        <v>135640.64000000001</v>
      </c>
      <c r="N483" s="196"/>
      <c r="O483" s="194"/>
    </row>
    <row r="484" spans="1:15" x14ac:dyDescent="0.2">
      <c r="A484" s="196" t="s">
        <v>585</v>
      </c>
      <c r="B484" s="197">
        <v>18.177821000000002</v>
      </c>
      <c r="C484" s="197">
        <v>3.0139</v>
      </c>
      <c r="D484" s="198">
        <v>45687</v>
      </c>
      <c r="E484" s="197">
        <v>6400</v>
      </c>
      <c r="F484" s="197">
        <v>86.11</v>
      </c>
      <c r="G484" s="197">
        <v>21.11</v>
      </c>
      <c r="H484" s="197">
        <v>3.5</v>
      </c>
      <c r="I484" s="197">
        <v>24.61</v>
      </c>
      <c r="J484" s="199"/>
      <c r="K484" s="197">
        <v>21.193899999999999</v>
      </c>
      <c r="L484" s="197">
        <v>19288.64</v>
      </c>
      <c r="M484" s="197">
        <v>135640.64000000001</v>
      </c>
      <c r="N484" s="196"/>
      <c r="O484" s="194"/>
    </row>
    <row r="485" spans="1:15" x14ac:dyDescent="0.2">
      <c r="A485" s="196" t="s">
        <v>585</v>
      </c>
      <c r="B485" s="197">
        <v>18.177821000000002</v>
      </c>
      <c r="C485" s="197">
        <v>3.0139</v>
      </c>
      <c r="D485" s="198">
        <v>45715</v>
      </c>
      <c r="E485" s="197">
        <v>6400</v>
      </c>
      <c r="F485" s="197">
        <v>86.11</v>
      </c>
      <c r="G485" s="197">
        <v>21.11</v>
      </c>
      <c r="H485" s="197">
        <v>3.5</v>
      </c>
      <c r="I485" s="197">
        <v>24.61</v>
      </c>
      <c r="J485" s="199"/>
      <c r="K485" s="197">
        <v>21.193899999999999</v>
      </c>
      <c r="L485" s="197">
        <v>19288.64</v>
      </c>
      <c r="M485" s="197">
        <v>135640.64000000001</v>
      </c>
      <c r="N485" s="196"/>
      <c r="O485" s="194"/>
    </row>
    <row r="486" spans="1:15" x14ac:dyDescent="0.2">
      <c r="A486" s="196" t="s">
        <v>266</v>
      </c>
      <c r="B486" s="197">
        <v>2307.56</v>
      </c>
      <c r="C486" s="197">
        <v>492.83600000000001</v>
      </c>
      <c r="D486" s="198">
        <v>45652</v>
      </c>
      <c r="E486" s="197">
        <v>25</v>
      </c>
      <c r="F486" s="197">
        <v>24641.8</v>
      </c>
      <c r="G486" s="197">
        <v>9.36</v>
      </c>
      <c r="H486" s="197">
        <v>2</v>
      </c>
      <c r="I486" s="197">
        <v>11.36</v>
      </c>
      <c r="J486" s="199"/>
      <c r="K486" s="197">
        <v>2800.3960000000002</v>
      </c>
      <c r="L486" s="197">
        <v>12320.9</v>
      </c>
      <c r="M486" s="197">
        <v>70009.899999999994</v>
      </c>
      <c r="N486" s="196"/>
      <c r="O486" s="194"/>
    </row>
    <row r="487" spans="1:15" x14ac:dyDescent="0.2">
      <c r="A487" s="196" t="s">
        <v>266</v>
      </c>
      <c r="B487" s="197">
        <v>2306.4724799999999</v>
      </c>
      <c r="C487" s="197">
        <v>492.83600000000001</v>
      </c>
      <c r="D487" s="198">
        <v>45687</v>
      </c>
      <c r="E487" s="197">
        <v>25</v>
      </c>
      <c r="F487" s="197">
        <v>24641.8</v>
      </c>
      <c r="G487" s="197">
        <v>9.36</v>
      </c>
      <c r="H487" s="197">
        <v>2</v>
      </c>
      <c r="I487" s="197">
        <v>11.36</v>
      </c>
      <c r="J487" s="199"/>
      <c r="K487" s="197">
        <v>2800.3960000000002</v>
      </c>
      <c r="L487" s="197">
        <v>12320.9</v>
      </c>
      <c r="M487" s="197">
        <v>70009.899999999994</v>
      </c>
      <c r="N487" s="196"/>
      <c r="O487" s="194"/>
    </row>
    <row r="488" spans="1:15" x14ac:dyDescent="0.2">
      <c r="A488" s="196" t="s">
        <v>266</v>
      </c>
      <c r="B488" s="197">
        <v>2306.4724799999999</v>
      </c>
      <c r="C488" s="197">
        <v>492.83600000000001</v>
      </c>
      <c r="D488" s="198">
        <v>45715</v>
      </c>
      <c r="E488" s="197">
        <v>25</v>
      </c>
      <c r="F488" s="197">
        <v>24641.8</v>
      </c>
      <c r="G488" s="197">
        <v>9.36</v>
      </c>
      <c r="H488" s="197">
        <v>2</v>
      </c>
      <c r="I488" s="197">
        <v>11.36</v>
      </c>
      <c r="J488" s="199"/>
      <c r="K488" s="197">
        <v>2800.3960000000002</v>
      </c>
      <c r="L488" s="197">
        <v>12320.9</v>
      </c>
      <c r="M488" s="197">
        <v>70009.899999999994</v>
      </c>
      <c r="N488" s="196"/>
      <c r="O488" s="194"/>
    </row>
    <row r="489" spans="1:15" x14ac:dyDescent="0.2">
      <c r="A489" s="196" t="s">
        <v>566</v>
      </c>
      <c r="B489" s="197">
        <v>7400.3</v>
      </c>
      <c r="C489" s="197">
        <v>1465.8430000000001</v>
      </c>
      <c r="D489" s="198">
        <v>45653</v>
      </c>
      <c r="E489" s="197">
        <v>10</v>
      </c>
      <c r="F489" s="197">
        <v>73292.149999999994</v>
      </c>
      <c r="G489" s="197">
        <v>10.09</v>
      </c>
      <c r="H489" s="197">
        <v>2</v>
      </c>
      <c r="I489" s="197">
        <v>12.09</v>
      </c>
      <c r="J489" s="199"/>
      <c r="K489" s="197">
        <v>8866.143</v>
      </c>
      <c r="L489" s="197">
        <v>14658.43</v>
      </c>
      <c r="M489" s="197">
        <v>88661.43</v>
      </c>
      <c r="N489" s="196"/>
      <c r="O489" s="194"/>
    </row>
    <row r="490" spans="1:15" x14ac:dyDescent="0.2">
      <c r="A490" s="196" t="s">
        <v>566</v>
      </c>
      <c r="B490" s="197">
        <v>7395.1779349999997</v>
      </c>
      <c r="C490" s="197">
        <v>1465.8430000000001</v>
      </c>
      <c r="D490" s="198">
        <v>45688</v>
      </c>
      <c r="E490" s="197">
        <v>10</v>
      </c>
      <c r="F490" s="197">
        <v>73292.149999999994</v>
      </c>
      <c r="G490" s="197">
        <v>10.09</v>
      </c>
      <c r="H490" s="197">
        <v>2</v>
      </c>
      <c r="I490" s="197">
        <v>12.09</v>
      </c>
      <c r="J490" s="199"/>
      <c r="K490" s="197">
        <v>8866.143</v>
      </c>
      <c r="L490" s="197">
        <v>14658.43</v>
      </c>
      <c r="M490" s="197">
        <v>88661.43</v>
      </c>
      <c r="N490" s="196"/>
      <c r="O490" s="194"/>
    </row>
    <row r="491" spans="1:15" x14ac:dyDescent="0.2">
      <c r="A491" s="196" t="s">
        <v>566</v>
      </c>
      <c r="B491" s="197">
        <v>7395.1779349999997</v>
      </c>
      <c r="C491" s="197">
        <v>1465.8430000000001</v>
      </c>
      <c r="D491" s="198">
        <v>45716</v>
      </c>
      <c r="E491" s="197">
        <v>10</v>
      </c>
      <c r="F491" s="197">
        <v>73292.149999999994</v>
      </c>
      <c r="G491" s="197">
        <v>10.09</v>
      </c>
      <c r="H491" s="197">
        <v>2</v>
      </c>
      <c r="I491" s="197">
        <v>12.09</v>
      </c>
      <c r="J491" s="199"/>
      <c r="K491" s="197">
        <v>8866.143</v>
      </c>
      <c r="L491" s="197">
        <v>14658.43</v>
      </c>
      <c r="M491" s="197">
        <v>88661.43</v>
      </c>
      <c r="N491" s="196"/>
      <c r="O491" s="194"/>
    </row>
    <row r="492" spans="1:15" x14ac:dyDescent="0.2">
      <c r="A492" s="196" t="s">
        <v>267</v>
      </c>
      <c r="B492" s="197">
        <v>47.62</v>
      </c>
      <c r="C492" s="197">
        <v>8.4403000000000006</v>
      </c>
      <c r="D492" s="198">
        <v>45652</v>
      </c>
      <c r="E492" s="197">
        <v>4500</v>
      </c>
      <c r="F492" s="197">
        <v>241.15</v>
      </c>
      <c r="G492" s="197">
        <v>19.739999999999998</v>
      </c>
      <c r="H492" s="197">
        <v>3.5</v>
      </c>
      <c r="I492" s="197">
        <v>23.24</v>
      </c>
      <c r="J492" s="199"/>
      <c r="K492" s="197">
        <v>56.060299999999998</v>
      </c>
      <c r="L492" s="197">
        <v>37981.125</v>
      </c>
      <c r="M492" s="197">
        <v>252271.125</v>
      </c>
      <c r="N492" s="196"/>
      <c r="O492" s="194"/>
    </row>
    <row r="493" spans="1:15" x14ac:dyDescent="0.2">
      <c r="A493" s="196" t="s">
        <v>267</v>
      </c>
      <c r="B493" s="197">
        <v>47.603009999999998</v>
      </c>
      <c r="C493" s="197">
        <v>8.4403000000000006</v>
      </c>
      <c r="D493" s="198">
        <v>45687</v>
      </c>
      <c r="E493" s="197">
        <v>4500</v>
      </c>
      <c r="F493" s="197">
        <v>241.15</v>
      </c>
      <c r="G493" s="197">
        <v>19.739999999999998</v>
      </c>
      <c r="H493" s="197">
        <v>3.5</v>
      </c>
      <c r="I493" s="197">
        <v>23.24</v>
      </c>
      <c r="J493" s="199"/>
      <c r="K493" s="197">
        <v>56.060299999999998</v>
      </c>
      <c r="L493" s="197">
        <v>37981.125</v>
      </c>
      <c r="M493" s="197">
        <v>252271.125</v>
      </c>
      <c r="N493" s="196"/>
      <c r="O493" s="194"/>
    </row>
    <row r="494" spans="1:15" x14ac:dyDescent="0.2">
      <c r="A494" s="196" t="s">
        <v>267</v>
      </c>
      <c r="B494" s="197">
        <v>47.603009999999998</v>
      </c>
      <c r="C494" s="197">
        <v>8.4403000000000006</v>
      </c>
      <c r="D494" s="198">
        <v>45715</v>
      </c>
      <c r="E494" s="197">
        <v>4500</v>
      </c>
      <c r="F494" s="197">
        <v>241.15</v>
      </c>
      <c r="G494" s="197">
        <v>19.739999999999998</v>
      </c>
      <c r="H494" s="197">
        <v>3.5</v>
      </c>
      <c r="I494" s="197">
        <v>23.24</v>
      </c>
      <c r="J494" s="199"/>
      <c r="K494" s="197">
        <v>56.060299999999998</v>
      </c>
      <c r="L494" s="197">
        <v>37981.125</v>
      </c>
      <c r="M494" s="197">
        <v>252271.125</v>
      </c>
      <c r="N494" s="196"/>
      <c r="O494" s="194"/>
    </row>
    <row r="495" spans="1:15" x14ac:dyDescent="0.2">
      <c r="A495" s="196" t="s">
        <v>268</v>
      </c>
      <c r="B495" s="197">
        <v>57.7</v>
      </c>
      <c r="C495" s="197">
        <v>12.7925</v>
      </c>
      <c r="D495" s="198">
        <v>45652</v>
      </c>
      <c r="E495" s="197">
        <v>1500</v>
      </c>
      <c r="F495" s="197">
        <v>365.5</v>
      </c>
      <c r="G495" s="197">
        <v>15.78</v>
      </c>
      <c r="H495" s="197">
        <v>3.5</v>
      </c>
      <c r="I495" s="197">
        <v>19.28</v>
      </c>
      <c r="J495" s="199"/>
      <c r="K495" s="197">
        <v>70.492500000000007</v>
      </c>
      <c r="L495" s="197">
        <v>19188.75</v>
      </c>
      <c r="M495" s="197">
        <v>105738.75</v>
      </c>
      <c r="N495" s="196"/>
      <c r="O495" s="194"/>
    </row>
    <row r="496" spans="1:15" x14ac:dyDescent="0.2">
      <c r="A496" s="196" t="s">
        <v>268</v>
      </c>
      <c r="B496" s="197">
        <v>57.675899999999999</v>
      </c>
      <c r="C496" s="197">
        <v>12.7925</v>
      </c>
      <c r="D496" s="198">
        <v>45687</v>
      </c>
      <c r="E496" s="197">
        <v>1500</v>
      </c>
      <c r="F496" s="197">
        <v>365.5</v>
      </c>
      <c r="G496" s="197">
        <v>15.78</v>
      </c>
      <c r="H496" s="197">
        <v>3.5</v>
      </c>
      <c r="I496" s="197">
        <v>19.28</v>
      </c>
      <c r="J496" s="199"/>
      <c r="K496" s="197">
        <v>70.492500000000007</v>
      </c>
      <c r="L496" s="197">
        <v>19188.75</v>
      </c>
      <c r="M496" s="197">
        <v>105738.75</v>
      </c>
      <c r="N496" s="196"/>
      <c r="O496" s="194"/>
    </row>
    <row r="497" spans="1:15" x14ac:dyDescent="0.2">
      <c r="A497" s="196" t="s">
        <v>268</v>
      </c>
      <c r="B497" s="197">
        <v>57.675899999999999</v>
      </c>
      <c r="C497" s="197">
        <v>12.7925</v>
      </c>
      <c r="D497" s="198">
        <v>45715</v>
      </c>
      <c r="E497" s="197">
        <v>1500</v>
      </c>
      <c r="F497" s="197">
        <v>365.5</v>
      </c>
      <c r="G497" s="197">
        <v>15.78</v>
      </c>
      <c r="H497" s="197">
        <v>3.5</v>
      </c>
      <c r="I497" s="197">
        <v>19.28</v>
      </c>
      <c r="J497" s="199"/>
      <c r="K497" s="197">
        <v>70.492500000000007</v>
      </c>
      <c r="L497" s="197">
        <v>19188.75</v>
      </c>
      <c r="M497" s="197">
        <v>105738.75</v>
      </c>
      <c r="N497" s="196"/>
      <c r="O497" s="194"/>
    </row>
    <row r="498" spans="1:15" x14ac:dyDescent="0.2">
      <c r="A498" s="196" t="s">
        <v>613</v>
      </c>
      <c r="B498" s="197">
        <v>31.85</v>
      </c>
      <c r="C498" s="197">
        <v>5.9465000000000003</v>
      </c>
      <c r="D498" s="198">
        <v>45652</v>
      </c>
      <c r="E498" s="197">
        <v>2950</v>
      </c>
      <c r="F498" s="197">
        <v>169.9</v>
      </c>
      <c r="G498" s="197">
        <v>18.739999999999998</v>
      </c>
      <c r="H498" s="197">
        <v>3.5</v>
      </c>
      <c r="I498" s="197">
        <v>22.24</v>
      </c>
      <c r="J498" s="199"/>
      <c r="K498" s="197">
        <v>37.796500000000002</v>
      </c>
      <c r="L498" s="197">
        <v>17542.174999999999</v>
      </c>
      <c r="M498" s="197">
        <v>111500.175</v>
      </c>
      <c r="N498" s="196"/>
      <c r="O498" s="194"/>
    </row>
    <row r="499" spans="1:15" x14ac:dyDescent="0.2">
      <c r="A499" s="196" t="s">
        <v>613</v>
      </c>
      <c r="B499" s="197">
        <v>31.839259999999999</v>
      </c>
      <c r="C499" s="197">
        <v>5.9465000000000003</v>
      </c>
      <c r="D499" s="198">
        <v>45687</v>
      </c>
      <c r="E499" s="197">
        <v>2950</v>
      </c>
      <c r="F499" s="197">
        <v>169.9</v>
      </c>
      <c r="G499" s="197">
        <v>18.739999999999998</v>
      </c>
      <c r="H499" s="197">
        <v>3.5</v>
      </c>
      <c r="I499" s="197">
        <v>22.24</v>
      </c>
      <c r="J499" s="199"/>
      <c r="K499" s="197">
        <v>37.796500000000002</v>
      </c>
      <c r="L499" s="197">
        <v>17542.174999999999</v>
      </c>
      <c r="M499" s="197">
        <v>111500.175</v>
      </c>
      <c r="N499" s="196"/>
      <c r="O499" s="194"/>
    </row>
    <row r="500" spans="1:15" x14ac:dyDescent="0.2">
      <c r="A500" s="196" t="s">
        <v>613</v>
      </c>
      <c r="B500" s="197">
        <v>31.839259999999999</v>
      </c>
      <c r="C500" s="197">
        <v>5.9465000000000003</v>
      </c>
      <c r="D500" s="198">
        <v>45715</v>
      </c>
      <c r="E500" s="197">
        <v>2950</v>
      </c>
      <c r="F500" s="197">
        <v>169.9</v>
      </c>
      <c r="G500" s="197">
        <v>18.739999999999998</v>
      </c>
      <c r="H500" s="197">
        <v>3.5</v>
      </c>
      <c r="I500" s="197">
        <v>22.24</v>
      </c>
      <c r="J500" s="199"/>
      <c r="K500" s="197">
        <v>37.796500000000002</v>
      </c>
      <c r="L500" s="197">
        <v>17542.174999999999</v>
      </c>
      <c r="M500" s="197">
        <v>111500.175</v>
      </c>
      <c r="N500" s="196"/>
      <c r="O500" s="194"/>
    </row>
    <row r="501" spans="1:15" x14ac:dyDescent="0.2">
      <c r="A501" s="196" t="s">
        <v>528</v>
      </c>
      <c r="B501" s="197">
        <v>381.34</v>
      </c>
      <c r="C501" s="197">
        <v>74.709299999999999</v>
      </c>
      <c r="D501" s="198">
        <v>45652</v>
      </c>
      <c r="E501" s="197">
        <v>350</v>
      </c>
      <c r="F501" s="197">
        <v>2134.5500000000002</v>
      </c>
      <c r="G501" s="197">
        <v>17.86</v>
      </c>
      <c r="H501" s="197">
        <v>3.5</v>
      </c>
      <c r="I501" s="197">
        <v>21.36</v>
      </c>
      <c r="J501" s="199"/>
      <c r="K501" s="197">
        <v>456.04930000000002</v>
      </c>
      <c r="L501" s="197">
        <v>26148.237499999999</v>
      </c>
      <c r="M501" s="197">
        <v>159617.23749999999</v>
      </c>
      <c r="N501" s="196"/>
      <c r="O501" s="194"/>
    </row>
    <row r="502" spans="1:15" x14ac:dyDescent="0.2">
      <c r="A502" s="196" t="s">
        <v>528</v>
      </c>
      <c r="B502" s="197">
        <v>381.23063000000002</v>
      </c>
      <c r="C502" s="197">
        <v>74.709299999999999</v>
      </c>
      <c r="D502" s="198">
        <v>45687</v>
      </c>
      <c r="E502" s="197">
        <v>350</v>
      </c>
      <c r="F502" s="197">
        <v>2134.5500000000002</v>
      </c>
      <c r="G502" s="197">
        <v>17.86</v>
      </c>
      <c r="H502" s="197">
        <v>3.5</v>
      </c>
      <c r="I502" s="197">
        <v>21.36</v>
      </c>
      <c r="J502" s="199"/>
      <c r="K502" s="197">
        <v>456.04930000000002</v>
      </c>
      <c r="L502" s="197">
        <v>26148.237499999999</v>
      </c>
      <c r="M502" s="197">
        <v>159617.23749999999</v>
      </c>
      <c r="N502" s="196"/>
      <c r="O502" s="194"/>
    </row>
    <row r="503" spans="1:15" x14ac:dyDescent="0.2">
      <c r="A503" s="196" t="s">
        <v>528</v>
      </c>
      <c r="B503" s="197">
        <v>381.23063000000002</v>
      </c>
      <c r="C503" s="197">
        <v>74.709299999999999</v>
      </c>
      <c r="D503" s="198">
        <v>45715</v>
      </c>
      <c r="E503" s="197">
        <v>350</v>
      </c>
      <c r="F503" s="197">
        <v>2134.5500000000002</v>
      </c>
      <c r="G503" s="197">
        <v>17.86</v>
      </c>
      <c r="H503" s="197">
        <v>3.5</v>
      </c>
      <c r="I503" s="197">
        <v>21.36</v>
      </c>
      <c r="J503" s="199"/>
      <c r="K503" s="197">
        <v>456.04930000000002</v>
      </c>
      <c r="L503" s="197">
        <v>26148.237499999999</v>
      </c>
      <c r="M503" s="197">
        <v>159617.23749999999</v>
      </c>
      <c r="N503" s="196"/>
      <c r="O503" s="194"/>
    </row>
    <row r="504" spans="1:15" x14ac:dyDescent="0.2">
      <c r="A504" s="196" t="s">
        <v>518</v>
      </c>
      <c r="B504" s="197">
        <v>5714.14</v>
      </c>
      <c r="C504" s="197">
        <v>428.61</v>
      </c>
      <c r="D504" s="198">
        <v>45652</v>
      </c>
      <c r="E504" s="197">
        <v>50</v>
      </c>
      <c r="F504" s="197">
        <v>12246</v>
      </c>
      <c r="G504" s="197">
        <v>46.66</v>
      </c>
      <c r="H504" s="197">
        <v>3.5</v>
      </c>
      <c r="I504" s="197">
        <v>50.16</v>
      </c>
      <c r="J504" s="199"/>
      <c r="K504" s="197">
        <v>6142.75</v>
      </c>
      <c r="L504" s="197">
        <v>21430.5</v>
      </c>
      <c r="M504" s="197">
        <v>307137.5</v>
      </c>
      <c r="N504" s="196"/>
      <c r="O504" s="194"/>
    </row>
    <row r="505" spans="1:15" x14ac:dyDescent="0.2">
      <c r="A505" s="196" t="s">
        <v>518</v>
      </c>
      <c r="B505" s="197">
        <v>5713.9835999999996</v>
      </c>
      <c r="C505" s="197">
        <v>428.61</v>
      </c>
      <c r="D505" s="198">
        <v>45687</v>
      </c>
      <c r="E505" s="197">
        <v>50</v>
      </c>
      <c r="F505" s="197">
        <v>12246</v>
      </c>
      <c r="G505" s="197">
        <v>46.66</v>
      </c>
      <c r="H505" s="197">
        <v>3.5</v>
      </c>
      <c r="I505" s="197">
        <v>50.16</v>
      </c>
      <c r="J505" s="199"/>
      <c r="K505" s="197">
        <v>6142.75</v>
      </c>
      <c r="L505" s="197">
        <v>21430.5</v>
      </c>
      <c r="M505" s="197">
        <v>307137.5</v>
      </c>
      <c r="N505" s="196"/>
      <c r="O505" s="194"/>
    </row>
    <row r="506" spans="1:15" x14ac:dyDescent="0.2">
      <c r="A506" s="196" t="s">
        <v>518</v>
      </c>
      <c r="B506" s="197">
        <v>5713.9835999999996</v>
      </c>
      <c r="C506" s="197">
        <v>428.61</v>
      </c>
      <c r="D506" s="198">
        <v>45715</v>
      </c>
      <c r="E506" s="197">
        <v>50</v>
      </c>
      <c r="F506" s="197">
        <v>12246</v>
      </c>
      <c r="G506" s="197">
        <v>46.66</v>
      </c>
      <c r="H506" s="197">
        <v>3.5</v>
      </c>
      <c r="I506" s="197">
        <v>50.16</v>
      </c>
      <c r="J506" s="199"/>
      <c r="K506" s="197">
        <v>6142.75</v>
      </c>
      <c r="L506" s="197">
        <v>21430.5</v>
      </c>
      <c r="M506" s="197">
        <v>307137.5</v>
      </c>
      <c r="N506" s="196"/>
      <c r="O506" s="194"/>
    </row>
    <row r="507" spans="1:15" x14ac:dyDescent="0.2">
      <c r="A507" s="196" t="s">
        <v>587</v>
      </c>
      <c r="B507" s="197">
        <v>219.1</v>
      </c>
      <c r="C507" s="197">
        <v>16.4343</v>
      </c>
      <c r="D507" s="198">
        <v>45652</v>
      </c>
      <c r="E507" s="197">
        <v>1075</v>
      </c>
      <c r="F507" s="197">
        <v>469.55</v>
      </c>
      <c r="G507" s="197">
        <v>46.66</v>
      </c>
      <c r="H507" s="197">
        <v>3.5</v>
      </c>
      <c r="I507" s="197">
        <v>50.16</v>
      </c>
      <c r="J507" s="199"/>
      <c r="K507" s="197">
        <v>235.5343</v>
      </c>
      <c r="L507" s="197">
        <v>17666.818800000001</v>
      </c>
      <c r="M507" s="197">
        <v>253199.81880000001</v>
      </c>
      <c r="N507" s="196"/>
      <c r="O507" s="194"/>
    </row>
    <row r="508" spans="1:15" x14ac:dyDescent="0.2">
      <c r="A508" s="196" t="s">
        <v>587</v>
      </c>
      <c r="B508" s="197">
        <v>219.09202999999999</v>
      </c>
      <c r="C508" s="197">
        <v>16.4343</v>
      </c>
      <c r="D508" s="198">
        <v>45687</v>
      </c>
      <c r="E508" s="197">
        <v>1075</v>
      </c>
      <c r="F508" s="197">
        <v>469.55</v>
      </c>
      <c r="G508" s="197">
        <v>46.66</v>
      </c>
      <c r="H508" s="197">
        <v>3.5</v>
      </c>
      <c r="I508" s="197">
        <v>50.16</v>
      </c>
      <c r="J508" s="199"/>
      <c r="K508" s="197">
        <v>235.5343</v>
      </c>
      <c r="L508" s="197">
        <v>17666.818800000001</v>
      </c>
      <c r="M508" s="197">
        <v>253199.81880000001</v>
      </c>
      <c r="N508" s="196"/>
      <c r="O508" s="194"/>
    </row>
    <row r="509" spans="1:15" x14ac:dyDescent="0.2">
      <c r="A509" s="196" t="s">
        <v>587</v>
      </c>
      <c r="B509" s="197">
        <v>219.09202999999999</v>
      </c>
      <c r="C509" s="197">
        <v>16.4343</v>
      </c>
      <c r="D509" s="198">
        <v>45715</v>
      </c>
      <c r="E509" s="197">
        <v>1075</v>
      </c>
      <c r="F509" s="197">
        <v>469.55</v>
      </c>
      <c r="G509" s="197">
        <v>46.66</v>
      </c>
      <c r="H509" s="197">
        <v>3.5</v>
      </c>
      <c r="I509" s="197">
        <v>50.16</v>
      </c>
      <c r="J509" s="199"/>
      <c r="K509" s="197">
        <v>235.5343</v>
      </c>
      <c r="L509" s="197">
        <v>17666.818800000001</v>
      </c>
      <c r="M509" s="197">
        <v>253199.81880000001</v>
      </c>
      <c r="N509" s="196"/>
      <c r="O509" s="194"/>
    </row>
    <row r="510" spans="1:15" x14ac:dyDescent="0.2">
      <c r="A510" s="196" t="s">
        <v>269</v>
      </c>
      <c r="B510" s="197">
        <v>46.32</v>
      </c>
      <c r="C510" s="197">
        <v>8.9809999999999999</v>
      </c>
      <c r="D510" s="198">
        <v>45652</v>
      </c>
      <c r="E510" s="197">
        <v>1925</v>
      </c>
      <c r="F510" s="197">
        <v>256.60000000000002</v>
      </c>
      <c r="G510" s="197">
        <v>18.05</v>
      </c>
      <c r="H510" s="197">
        <v>3.5</v>
      </c>
      <c r="I510" s="197">
        <v>21.55</v>
      </c>
      <c r="J510" s="199"/>
      <c r="K510" s="197">
        <v>55.301000000000002</v>
      </c>
      <c r="L510" s="197">
        <v>17288.424999999999</v>
      </c>
      <c r="M510" s="197">
        <v>106454.425</v>
      </c>
      <c r="N510" s="196"/>
      <c r="O510" s="194"/>
    </row>
    <row r="511" spans="1:15" x14ac:dyDescent="0.2">
      <c r="A511" s="196" t="s">
        <v>269</v>
      </c>
      <c r="B511" s="197">
        <v>46.316299999999998</v>
      </c>
      <c r="C511" s="197">
        <v>8.9809999999999999</v>
      </c>
      <c r="D511" s="198">
        <v>45687</v>
      </c>
      <c r="E511" s="197">
        <v>1925</v>
      </c>
      <c r="F511" s="197">
        <v>256.60000000000002</v>
      </c>
      <c r="G511" s="197">
        <v>18.05</v>
      </c>
      <c r="H511" s="197">
        <v>3.5</v>
      </c>
      <c r="I511" s="197">
        <v>21.55</v>
      </c>
      <c r="J511" s="199"/>
      <c r="K511" s="197">
        <v>55.301000000000002</v>
      </c>
      <c r="L511" s="197">
        <v>17288.424999999999</v>
      </c>
      <c r="M511" s="197">
        <v>106454.425</v>
      </c>
      <c r="N511" s="196"/>
      <c r="O511" s="194"/>
    </row>
    <row r="512" spans="1:15" x14ac:dyDescent="0.2">
      <c r="A512" s="196" t="s">
        <v>269</v>
      </c>
      <c r="B512" s="197">
        <v>46.316299999999998</v>
      </c>
      <c r="C512" s="197">
        <v>8.9809999999999999</v>
      </c>
      <c r="D512" s="198">
        <v>45715</v>
      </c>
      <c r="E512" s="197">
        <v>1925</v>
      </c>
      <c r="F512" s="197">
        <v>256.60000000000002</v>
      </c>
      <c r="G512" s="197">
        <v>18.05</v>
      </c>
      <c r="H512" s="197">
        <v>3.5</v>
      </c>
      <c r="I512" s="197">
        <v>21.55</v>
      </c>
      <c r="J512" s="199"/>
      <c r="K512" s="197">
        <v>55.301000000000002</v>
      </c>
      <c r="L512" s="197">
        <v>17288.424999999999</v>
      </c>
      <c r="M512" s="197">
        <v>106454.425</v>
      </c>
      <c r="N512" s="196"/>
      <c r="O512" s="194"/>
    </row>
    <row r="513" spans="1:15" x14ac:dyDescent="0.2">
      <c r="A513" s="196" t="s">
        <v>270</v>
      </c>
      <c r="B513" s="197">
        <v>6718.8</v>
      </c>
      <c r="C513" s="197">
        <v>1647.0965000000001</v>
      </c>
      <c r="D513" s="198">
        <v>45652</v>
      </c>
      <c r="E513" s="197">
        <v>15</v>
      </c>
      <c r="F513" s="197">
        <v>47059.9</v>
      </c>
      <c r="G513" s="197">
        <v>14.27</v>
      </c>
      <c r="H513" s="197">
        <v>3.5</v>
      </c>
      <c r="I513" s="197">
        <v>17.77</v>
      </c>
      <c r="J513" s="199"/>
      <c r="K513" s="197">
        <v>8365.8965000000007</v>
      </c>
      <c r="L513" s="197">
        <v>24706.447499999998</v>
      </c>
      <c r="M513" s="197">
        <v>125488.44749999999</v>
      </c>
      <c r="N513" s="196"/>
      <c r="O513" s="194"/>
    </row>
    <row r="514" spans="1:15" x14ac:dyDescent="0.2">
      <c r="A514" s="196" t="s">
        <v>270</v>
      </c>
      <c r="B514" s="197">
        <v>6715.4477299999999</v>
      </c>
      <c r="C514" s="197">
        <v>1647.0965000000001</v>
      </c>
      <c r="D514" s="198">
        <v>45687</v>
      </c>
      <c r="E514" s="197">
        <v>15</v>
      </c>
      <c r="F514" s="197">
        <v>47059.9</v>
      </c>
      <c r="G514" s="197">
        <v>14.27</v>
      </c>
      <c r="H514" s="197">
        <v>3.5</v>
      </c>
      <c r="I514" s="197">
        <v>17.77</v>
      </c>
      <c r="J514" s="199"/>
      <c r="K514" s="197">
        <v>8365.8965000000007</v>
      </c>
      <c r="L514" s="197">
        <v>24706.447499999998</v>
      </c>
      <c r="M514" s="197">
        <v>125488.44749999999</v>
      </c>
      <c r="N514" s="196"/>
      <c r="O514" s="194"/>
    </row>
    <row r="515" spans="1:15" x14ac:dyDescent="0.2">
      <c r="A515" s="196" t="s">
        <v>270</v>
      </c>
      <c r="B515" s="197">
        <v>6715.4477299999999</v>
      </c>
      <c r="C515" s="197">
        <v>1647.0965000000001</v>
      </c>
      <c r="D515" s="198">
        <v>45715</v>
      </c>
      <c r="E515" s="197">
        <v>15</v>
      </c>
      <c r="F515" s="197">
        <v>47059.9</v>
      </c>
      <c r="G515" s="197">
        <v>14.27</v>
      </c>
      <c r="H515" s="197">
        <v>3.5</v>
      </c>
      <c r="I515" s="197">
        <v>17.77</v>
      </c>
      <c r="J515" s="199"/>
      <c r="K515" s="197">
        <v>8365.8965000000007</v>
      </c>
      <c r="L515" s="197">
        <v>24706.447499999998</v>
      </c>
      <c r="M515" s="197">
        <v>125488.44749999999</v>
      </c>
      <c r="N515" s="196"/>
      <c r="O515" s="194"/>
    </row>
    <row r="516" spans="1:15" x14ac:dyDescent="0.2">
      <c r="A516" s="196" t="s">
        <v>575</v>
      </c>
      <c r="B516" s="197">
        <v>297.25</v>
      </c>
      <c r="C516" s="197">
        <v>33.444299999999998</v>
      </c>
      <c r="D516" s="198">
        <v>45652</v>
      </c>
      <c r="E516" s="197">
        <v>650</v>
      </c>
      <c r="F516" s="197">
        <v>955.55</v>
      </c>
      <c r="G516" s="197">
        <v>31.1</v>
      </c>
      <c r="H516" s="197">
        <v>3.5</v>
      </c>
      <c r="I516" s="197">
        <v>34.6</v>
      </c>
      <c r="J516" s="199"/>
      <c r="K516" s="197">
        <v>330.6943</v>
      </c>
      <c r="L516" s="197">
        <v>21738.762500000001</v>
      </c>
      <c r="M516" s="197">
        <v>214951.76250000001</v>
      </c>
      <c r="N516" s="196"/>
      <c r="O516" s="194"/>
    </row>
    <row r="517" spans="1:15" x14ac:dyDescent="0.2">
      <c r="A517" s="196" t="s">
        <v>575</v>
      </c>
      <c r="B517" s="197">
        <v>297.17604999999998</v>
      </c>
      <c r="C517" s="197">
        <v>33.444299999999998</v>
      </c>
      <c r="D517" s="198">
        <v>45687</v>
      </c>
      <c r="E517" s="197">
        <v>650</v>
      </c>
      <c r="F517" s="197">
        <v>955.55</v>
      </c>
      <c r="G517" s="197">
        <v>31.1</v>
      </c>
      <c r="H517" s="197">
        <v>3.5</v>
      </c>
      <c r="I517" s="197">
        <v>34.6</v>
      </c>
      <c r="J517" s="199"/>
      <c r="K517" s="197">
        <v>330.6943</v>
      </c>
      <c r="L517" s="197">
        <v>21738.762500000001</v>
      </c>
      <c r="M517" s="197">
        <v>214951.76250000001</v>
      </c>
      <c r="N517" s="196"/>
      <c r="O517" s="194"/>
    </row>
    <row r="518" spans="1:15" x14ac:dyDescent="0.2">
      <c r="A518" s="196" t="s">
        <v>575</v>
      </c>
      <c r="B518" s="197">
        <v>297.17604999999998</v>
      </c>
      <c r="C518" s="197">
        <v>33.444299999999998</v>
      </c>
      <c r="D518" s="198">
        <v>45715</v>
      </c>
      <c r="E518" s="197">
        <v>650</v>
      </c>
      <c r="F518" s="197">
        <v>955.55</v>
      </c>
      <c r="G518" s="197">
        <v>31.1</v>
      </c>
      <c r="H518" s="197">
        <v>3.5</v>
      </c>
      <c r="I518" s="197">
        <v>34.6</v>
      </c>
      <c r="J518" s="199"/>
      <c r="K518" s="197">
        <v>330.6943</v>
      </c>
      <c r="L518" s="197">
        <v>21738.762500000001</v>
      </c>
      <c r="M518" s="197">
        <v>214951.76250000001</v>
      </c>
      <c r="N518" s="196"/>
      <c r="O518" s="194"/>
    </row>
    <row r="519" spans="1:15" x14ac:dyDescent="0.2">
      <c r="A519" s="196" t="s">
        <v>271</v>
      </c>
      <c r="B519" s="197">
        <v>259.98</v>
      </c>
      <c r="C519" s="197">
        <v>66.661900000000003</v>
      </c>
      <c r="D519" s="198">
        <v>45652</v>
      </c>
      <c r="E519" s="197">
        <v>750</v>
      </c>
      <c r="F519" s="197">
        <v>1269.75</v>
      </c>
      <c r="G519" s="197">
        <v>20.47</v>
      </c>
      <c r="H519" s="197">
        <v>5.25</v>
      </c>
      <c r="I519" s="197">
        <v>25.72</v>
      </c>
      <c r="J519" s="199"/>
      <c r="K519" s="197">
        <v>326.64190000000002</v>
      </c>
      <c r="L519" s="197">
        <v>49996.406300000002</v>
      </c>
      <c r="M519" s="197">
        <v>244981.4063</v>
      </c>
      <c r="N519" s="196"/>
      <c r="O519" s="194"/>
    </row>
    <row r="520" spans="1:15" x14ac:dyDescent="0.2">
      <c r="A520" s="196" t="s">
        <v>271</v>
      </c>
      <c r="B520" s="197">
        <v>259.91782499999999</v>
      </c>
      <c r="C520" s="197">
        <v>66.661900000000003</v>
      </c>
      <c r="D520" s="198">
        <v>45687</v>
      </c>
      <c r="E520" s="197">
        <v>750</v>
      </c>
      <c r="F520" s="197">
        <v>1269.75</v>
      </c>
      <c r="G520" s="197">
        <v>20.47</v>
      </c>
      <c r="H520" s="197">
        <v>5.25</v>
      </c>
      <c r="I520" s="197">
        <v>25.72</v>
      </c>
      <c r="J520" s="199"/>
      <c r="K520" s="197">
        <v>326.64190000000002</v>
      </c>
      <c r="L520" s="197">
        <v>49996.406300000002</v>
      </c>
      <c r="M520" s="197">
        <v>244981.4063</v>
      </c>
      <c r="N520" s="196"/>
      <c r="O520" s="194"/>
    </row>
    <row r="521" spans="1:15" x14ac:dyDescent="0.2">
      <c r="A521" s="196" t="s">
        <v>271</v>
      </c>
      <c r="B521" s="197">
        <v>259.91782499999999</v>
      </c>
      <c r="C521" s="197">
        <v>66.661900000000003</v>
      </c>
      <c r="D521" s="198">
        <v>45715</v>
      </c>
      <c r="E521" s="197">
        <v>750</v>
      </c>
      <c r="F521" s="197">
        <v>1269.75</v>
      </c>
      <c r="G521" s="197">
        <v>20.47</v>
      </c>
      <c r="H521" s="197">
        <v>5.25</v>
      </c>
      <c r="I521" s="197">
        <v>25.72</v>
      </c>
      <c r="J521" s="199"/>
      <c r="K521" s="197">
        <v>326.64190000000002</v>
      </c>
      <c r="L521" s="197">
        <v>49996.406300000002</v>
      </c>
      <c r="M521" s="197">
        <v>244981.4063</v>
      </c>
      <c r="N521" s="196"/>
      <c r="O521" s="194"/>
    </row>
    <row r="522" spans="1:15" x14ac:dyDescent="0.2">
      <c r="A522" s="196" t="s">
        <v>529</v>
      </c>
      <c r="B522" s="197">
        <v>1118.55</v>
      </c>
      <c r="C522" s="197">
        <v>222.5598</v>
      </c>
      <c r="D522" s="198">
        <v>45652</v>
      </c>
      <c r="E522" s="197">
        <v>100</v>
      </c>
      <c r="F522" s="197">
        <v>6358.85</v>
      </c>
      <c r="G522" s="197">
        <v>17.59</v>
      </c>
      <c r="H522" s="197">
        <v>3.5</v>
      </c>
      <c r="I522" s="197">
        <v>21.09</v>
      </c>
      <c r="J522" s="199"/>
      <c r="K522" s="197">
        <v>1341.1098</v>
      </c>
      <c r="L522" s="197">
        <v>22255.974999999999</v>
      </c>
      <c r="M522" s="197">
        <v>134110.97500000001</v>
      </c>
      <c r="N522" s="196"/>
      <c r="O522" s="194"/>
    </row>
    <row r="523" spans="1:15" x14ac:dyDescent="0.2">
      <c r="A523" s="196" t="s">
        <v>529</v>
      </c>
      <c r="B523" s="197">
        <v>1118.5217150000001</v>
      </c>
      <c r="C523" s="197">
        <v>222.5598</v>
      </c>
      <c r="D523" s="198">
        <v>45687</v>
      </c>
      <c r="E523" s="197">
        <v>100</v>
      </c>
      <c r="F523" s="197">
        <v>6358.85</v>
      </c>
      <c r="G523" s="197">
        <v>17.59</v>
      </c>
      <c r="H523" s="197">
        <v>3.5</v>
      </c>
      <c r="I523" s="197">
        <v>21.09</v>
      </c>
      <c r="J523" s="199"/>
      <c r="K523" s="197">
        <v>1341.1098</v>
      </c>
      <c r="L523" s="197">
        <v>22255.974999999999</v>
      </c>
      <c r="M523" s="197">
        <v>134110.97500000001</v>
      </c>
      <c r="N523" s="196"/>
      <c r="O523" s="194"/>
    </row>
    <row r="524" spans="1:15" x14ac:dyDescent="0.2">
      <c r="A524" s="196" t="s">
        <v>529</v>
      </c>
      <c r="B524" s="197">
        <v>1118.5217150000001</v>
      </c>
      <c r="C524" s="197">
        <v>222.5598</v>
      </c>
      <c r="D524" s="198">
        <v>45715</v>
      </c>
      <c r="E524" s="197">
        <v>100</v>
      </c>
      <c r="F524" s="197">
        <v>6358.85</v>
      </c>
      <c r="G524" s="197">
        <v>17.59</v>
      </c>
      <c r="H524" s="197">
        <v>3.5</v>
      </c>
      <c r="I524" s="197">
        <v>21.09</v>
      </c>
      <c r="J524" s="199"/>
      <c r="K524" s="197">
        <v>1341.1098</v>
      </c>
      <c r="L524" s="197">
        <v>22255.974999999999</v>
      </c>
      <c r="M524" s="197">
        <v>134110.97500000001</v>
      </c>
      <c r="N524" s="196"/>
      <c r="O524" s="194"/>
    </row>
    <row r="525" spans="1:15" x14ac:dyDescent="0.2">
      <c r="A525" s="196" t="s">
        <v>272</v>
      </c>
      <c r="B525" s="197">
        <v>54.18</v>
      </c>
      <c r="C525" s="197">
        <v>11.942</v>
      </c>
      <c r="D525" s="198">
        <v>45652</v>
      </c>
      <c r="E525" s="197">
        <v>1500</v>
      </c>
      <c r="F525" s="197">
        <v>341.2</v>
      </c>
      <c r="G525" s="197">
        <v>15.87</v>
      </c>
      <c r="H525" s="197">
        <v>3.5</v>
      </c>
      <c r="I525" s="197">
        <v>19.37</v>
      </c>
      <c r="J525" s="199"/>
      <c r="K525" s="197">
        <v>66.122</v>
      </c>
      <c r="L525" s="197">
        <v>17913</v>
      </c>
      <c r="M525" s="197">
        <v>99183</v>
      </c>
      <c r="N525" s="196"/>
      <c r="O525" s="194"/>
    </row>
    <row r="526" spans="1:15" x14ac:dyDescent="0.2">
      <c r="A526" s="196" t="s">
        <v>272</v>
      </c>
      <c r="B526" s="197">
        <v>54.148440000000001</v>
      </c>
      <c r="C526" s="197">
        <v>11.942</v>
      </c>
      <c r="D526" s="198">
        <v>45687</v>
      </c>
      <c r="E526" s="197">
        <v>1500</v>
      </c>
      <c r="F526" s="197">
        <v>341.2</v>
      </c>
      <c r="G526" s="197">
        <v>15.87</v>
      </c>
      <c r="H526" s="197">
        <v>3.5</v>
      </c>
      <c r="I526" s="197">
        <v>19.369999999999997</v>
      </c>
      <c r="J526" s="199"/>
      <c r="K526" s="197">
        <v>66.122</v>
      </c>
      <c r="L526" s="197">
        <v>17913</v>
      </c>
      <c r="M526" s="197">
        <v>99183</v>
      </c>
      <c r="N526" s="196"/>
      <c r="O526" s="194"/>
    </row>
    <row r="527" spans="1:15" x14ac:dyDescent="0.2">
      <c r="A527" s="196" t="s">
        <v>272</v>
      </c>
      <c r="B527" s="197">
        <v>54.148440000000001</v>
      </c>
      <c r="C527" s="197">
        <v>11.942</v>
      </c>
      <c r="D527" s="198">
        <v>45715</v>
      </c>
      <c r="E527" s="197">
        <v>1500</v>
      </c>
      <c r="F527" s="197">
        <v>341.2</v>
      </c>
      <c r="G527" s="197">
        <v>15.87</v>
      </c>
      <c r="H527" s="197">
        <v>3.5</v>
      </c>
      <c r="I527" s="197">
        <v>19.369999999999997</v>
      </c>
      <c r="J527" s="199"/>
      <c r="K527" s="197">
        <v>66.122</v>
      </c>
      <c r="L527" s="197">
        <v>17913</v>
      </c>
      <c r="M527" s="197">
        <v>99183</v>
      </c>
      <c r="N527" s="196"/>
      <c r="O527" s="194"/>
    </row>
    <row r="528" spans="1:15" x14ac:dyDescent="0.2">
      <c r="A528" s="196" t="s">
        <v>273</v>
      </c>
      <c r="B528" s="197">
        <v>126.73</v>
      </c>
      <c r="C528" s="197">
        <v>17.954999999999998</v>
      </c>
      <c r="D528" s="198">
        <v>45652</v>
      </c>
      <c r="E528" s="197">
        <v>1300</v>
      </c>
      <c r="F528" s="197">
        <v>513</v>
      </c>
      <c r="G528" s="197">
        <v>24.7</v>
      </c>
      <c r="H528" s="197">
        <v>3.5</v>
      </c>
      <c r="I528" s="197">
        <v>28.2</v>
      </c>
      <c r="J528" s="199"/>
      <c r="K528" s="197">
        <v>144.685</v>
      </c>
      <c r="L528" s="197">
        <v>23341.5</v>
      </c>
      <c r="M528" s="197">
        <v>188090.5</v>
      </c>
      <c r="N528" s="196"/>
      <c r="O528" s="194"/>
    </row>
    <row r="529" spans="1:15" x14ac:dyDescent="0.2">
      <c r="A529" s="196" t="s">
        <v>273</v>
      </c>
      <c r="B529" s="197">
        <v>126.711</v>
      </c>
      <c r="C529" s="197">
        <v>17.954999999999998</v>
      </c>
      <c r="D529" s="198">
        <v>45687</v>
      </c>
      <c r="E529" s="197">
        <v>1300</v>
      </c>
      <c r="F529" s="197">
        <v>513</v>
      </c>
      <c r="G529" s="197">
        <v>24.7</v>
      </c>
      <c r="H529" s="197">
        <v>3.5</v>
      </c>
      <c r="I529" s="197">
        <v>28.2</v>
      </c>
      <c r="J529" s="199"/>
      <c r="K529" s="197">
        <v>144.685</v>
      </c>
      <c r="L529" s="197">
        <v>23341.5</v>
      </c>
      <c r="M529" s="197">
        <v>188090.5</v>
      </c>
      <c r="N529" s="196"/>
      <c r="O529" s="194"/>
    </row>
    <row r="530" spans="1:15" x14ac:dyDescent="0.2">
      <c r="A530" s="196" t="s">
        <v>273</v>
      </c>
      <c r="B530" s="197">
        <v>126.711</v>
      </c>
      <c r="C530" s="197">
        <v>17.954999999999998</v>
      </c>
      <c r="D530" s="198">
        <v>45715</v>
      </c>
      <c r="E530" s="197">
        <v>1300</v>
      </c>
      <c r="F530" s="197">
        <v>513</v>
      </c>
      <c r="G530" s="197">
        <v>24.7</v>
      </c>
      <c r="H530" s="197">
        <v>3.5</v>
      </c>
      <c r="I530" s="197">
        <v>28.2</v>
      </c>
      <c r="J530" s="199"/>
      <c r="K530" s="197">
        <v>144.685</v>
      </c>
      <c r="L530" s="197">
        <v>23341.5</v>
      </c>
      <c r="M530" s="197">
        <v>188090.5</v>
      </c>
      <c r="N530" s="196"/>
      <c r="O530" s="194"/>
    </row>
    <row r="531" spans="1:15" x14ac:dyDescent="0.2">
      <c r="A531" s="196" t="s">
        <v>274</v>
      </c>
      <c r="B531" s="197">
        <v>455.61</v>
      </c>
      <c r="C531" s="197">
        <v>111.69199999999999</v>
      </c>
      <c r="D531" s="198">
        <v>45652</v>
      </c>
      <c r="E531" s="197">
        <v>250</v>
      </c>
      <c r="F531" s="197">
        <v>3191.2</v>
      </c>
      <c r="G531" s="197">
        <v>14.27</v>
      </c>
      <c r="H531" s="197">
        <v>3.5</v>
      </c>
      <c r="I531" s="197">
        <v>17.77</v>
      </c>
      <c r="J531" s="199"/>
      <c r="K531" s="197">
        <v>567.30200000000002</v>
      </c>
      <c r="L531" s="197">
        <v>27923</v>
      </c>
      <c r="M531" s="197">
        <v>141826</v>
      </c>
      <c r="N531" s="196"/>
      <c r="O531" s="194"/>
    </row>
    <row r="532" spans="1:15" x14ac:dyDescent="0.2">
      <c r="A532" s="196" t="s">
        <v>274</v>
      </c>
      <c r="B532" s="197">
        <v>455.38423999999998</v>
      </c>
      <c r="C532" s="197">
        <v>111.69199999999999</v>
      </c>
      <c r="D532" s="198">
        <v>45687</v>
      </c>
      <c r="E532" s="197">
        <v>250</v>
      </c>
      <c r="F532" s="197">
        <v>3191.2</v>
      </c>
      <c r="G532" s="197">
        <v>14.27</v>
      </c>
      <c r="H532" s="197">
        <v>3.5</v>
      </c>
      <c r="I532" s="197">
        <v>17.77</v>
      </c>
      <c r="J532" s="199"/>
      <c r="K532" s="197">
        <v>567.30200000000002</v>
      </c>
      <c r="L532" s="197">
        <v>27923</v>
      </c>
      <c r="M532" s="197">
        <v>141826</v>
      </c>
      <c r="N532" s="196"/>
      <c r="O532" s="194"/>
    </row>
    <row r="533" spans="1:15" x14ac:dyDescent="0.2">
      <c r="A533" s="196" t="s">
        <v>274</v>
      </c>
      <c r="B533" s="197">
        <v>455.38423999999998</v>
      </c>
      <c r="C533" s="197">
        <v>111.69199999999999</v>
      </c>
      <c r="D533" s="198">
        <v>45715</v>
      </c>
      <c r="E533" s="197">
        <v>250</v>
      </c>
      <c r="F533" s="197">
        <v>3191.2</v>
      </c>
      <c r="G533" s="197">
        <v>14.27</v>
      </c>
      <c r="H533" s="197">
        <v>3.5</v>
      </c>
      <c r="I533" s="197">
        <v>17.77</v>
      </c>
      <c r="J533" s="199"/>
      <c r="K533" s="197">
        <v>567.30200000000002</v>
      </c>
      <c r="L533" s="197">
        <v>27923</v>
      </c>
      <c r="M533" s="197">
        <v>141826</v>
      </c>
      <c r="N533" s="196"/>
      <c r="O533" s="194"/>
    </row>
    <row r="534" spans="1:15" x14ac:dyDescent="0.2">
      <c r="A534" s="196" t="s">
        <v>483</v>
      </c>
      <c r="B534" s="197">
        <v>585.69000000000005</v>
      </c>
      <c r="C534" s="197">
        <v>143.5805</v>
      </c>
      <c r="D534" s="198">
        <v>45652</v>
      </c>
      <c r="E534" s="197">
        <v>125</v>
      </c>
      <c r="F534" s="197">
        <v>4102.3</v>
      </c>
      <c r="G534" s="197">
        <v>14.27</v>
      </c>
      <c r="H534" s="197">
        <v>3.5</v>
      </c>
      <c r="I534" s="197">
        <v>17.77</v>
      </c>
      <c r="J534" s="199"/>
      <c r="K534" s="197">
        <v>729.27049999999997</v>
      </c>
      <c r="L534" s="197">
        <v>17947.5625</v>
      </c>
      <c r="M534" s="197">
        <v>91158.5625</v>
      </c>
      <c r="N534" s="196"/>
      <c r="O534" s="194"/>
    </row>
    <row r="535" spans="1:15" x14ac:dyDescent="0.2">
      <c r="A535" s="196" t="s">
        <v>483</v>
      </c>
      <c r="B535" s="197">
        <v>585.39820999999995</v>
      </c>
      <c r="C535" s="197">
        <v>143.5805</v>
      </c>
      <c r="D535" s="198">
        <v>45687</v>
      </c>
      <c r="E535" s="197">
        <v>125</v>
      </c>
      <c r="F535" s="197">
        <v>4102.3</v>
      </c>
      <c r="G535" s="197">
        <v>14.27</v>
      </c>
      <c r="H535" s="197">
        <v>3.5</v>
      </c>
      <c r="I535" s="197">
        <v>17.77</v>
      </c>
      <c r="J535" s="199"/>
      <c r="K535" s="197">
        <v>729.27049999999997</v>
      </c>
      <c r="L535" s="197">
        <v>17947.5625</v>
      </c>
      <c r="M535" s="197">
        <v>91158.5625</v>
      </c>
      <c r="N535" s="196"/>
      <c r="O535" s="194"/>
    </row>
    <row r="536" spans="1:15" x14ac:dyDescent="0.2">
      <c r="A536" s="196" t="s">
        <v>483</v>
      </c>
      <c r="B536" s="197">
        <v>585.39820999999995</v>
      </c>
      <c r="C536" s="197">
        <v>143.5805</v>
      </c>
      <c r="D536" s="198">
        <v>45715</v>
      </c>
      <c r="E536" s="197">
        <v>125</v>
      </c>
      <c r="F536" s="197">
        <v>4102.3</v>
      </c>
      <c r="G536" s="197">
        <v>14.27</v>
      </c>
      <c r="H536" s="197">
        <v>3.5</v>
      </c>
      <c r="I536" s="197">
        <v>17.77</v>
      </c>
      <c r="J536" s="199"/>
      <c r="K536" s="197">
        <v>729.27049999999997</v>
      </c>
      <c r="L536" s="197">
        <v>17947.5625</v>
      </c>
      <c r="M536" s="197">
        <v>91158.5625</v>
      </c>
      <c r="N536" s="196"/>
      <c r="O536" s="194"/>
    </row>
    <row r="537" spans="1:15" x14ac:dyDescent="0.2">
      <c r="A537" s="196" t="s">
        <v>275</v>
      </c>
      <c r="B537" s="197">
        <v>21.9</v>
      </c>
      <c r="C537" s="197">
        <v>9.5024999999999995</v>
      </c>
      <c r="D537" s="198">
        <v>45652</v>
      </c>
      <c r="E537" s="197">
        <v>8000</v>
      </c>
      <c r="F537" s="197">
        <v>108.6</v>
      </c>
      <c r="G537" s="197">
        <v>20.16</v>
      </c>
      <c r="H537" s="197">
        <v>8.75</v>
      </c>
      <c r="I537" s="197">
        <v>28.91</v>
      </c>
      <c r="J537" s="199"/>
      <c r="K537" s="197">
        <v>31.4025</v>
      </c>
      <c r="L537" s="197">
        <v>76020</v>
      </c>
      <c r="M537" s="197">
        <v>251220</v>
      </c>
      <c r="N537" s="196"/>
      <c r="O537" s="194"/>
    </row>
    <row r="538" spans="1:15" x14ac:dyDescent="0.2">
      <c r="A538" s="196" t="s">
        <v>275</v>
      </c>
      <c r="B538" s="197">
        <v>21.89376</v>
      </c>
      <c r="C538" s="197">
        <v>9.5024999999999995</v>
      </c>
      <c r="D538" s="198">
        <v>45687</v>
      </c>
      <c r="E538" s="197">
        <v>8000</v>
      </c>
      <c r="F538" s="197">
        <v>108.6</v>
      </c>
      <c r="G538" s="197">
        <v>20.16</v>
      </c>
      <c r="H538" s="197">
        <v>8.75</v>
      </c>
      <c r="I538" s="197">
        <v>28.91</v>
      </c>
      <c r="J538" s="199"/>
      <c r="K538" s="197">
        <v>31.4025</v>
      </c>
      <c r="L538" s="197">
        <v>76020</v>
      </c>
      <c r="M538" s="197">
        <v>251220</v>
      </c>
      <c r="N538" s="196"/>
      <c r="O538" s="194"/>
    </row>
    <row r="539" spans="1:15" x14ac:dyDescent="0.2">
      <c r="A539" s="196" t="s">
        <v>275</v>
      </c>
      <c r="B539" s="197">
        <v>21.89376</v>
      </c>
      <c r="C539" s="197">
        <v>9.5024999999999995</v>
      </c>
      <c r="D539" s="198">
        <v>45715</v>
      </c>
      <c r="E539" s="197">
        <v>8000</v>
      </c>
      <c r="F539" s="197">
        <v>108.6</v>
      </c>
      <c r="G539" s="197">
        <v>20.16</v>
      </c>
      <c r="H539" s="197">
        <v>8.75</v>
      </c>
      <c r="I539" s="197">
        <v>28.91</v>
      </c>
      <c r="J539" s="199"/>
      <c r="K539" s="197">
        <v>31.4025</v>
      </c>
      <c r="L539" s="197">
        <v>76020</v>
      </c>
      <c r="M539" s="197">
        <v>251220</v>
      </c>
      <c r="N539" s="196"/>
      <c r="O539" s="194"/>
    </row>
    <row r="540" spans="1:15" x14ac:dyDescent="0.2">
      <c r="A540" s="196" t="s">
        <v>573</v>
      </c>
      <c r="B540" s="197">
        <v>488.13</v>
      </c>
      <c r="C540" s="197">
        <v>75.778499999999994</v>
      </c>
      <c r="D540" s="198">
        <v>45652</v>
      </c>
      <c r="E540" s="197">
        <v>325</v>
      </c>
      <c r="F540" s="197">
        <v>2165.1</v>
      </c>
      <c r="G540" s="197">
        <v>22.54</v>
      </c>
      <c r="H540" s="197">
        <v>3.5</v>
      </c>
      <c r="I540" s="197">
        <v>26.04</v>
      </c>
      <c r="J540" s="199"/>
      <c r="K540" s="197">
        <v>563.9085</v>
      </c>
      <c r="L540" s="197">
        <v>24628.012500000001</v>
      </c>
      <c r="M540" s="197">
        <v>183270.01250000001</v>
      </c>
      <c r="N540" s="196"/>
      <c r="O540" s="194"/>
    </row>
    <row r="541" spans="1:15" x14ac:dyDescent="0.2">
      <c r="A541" s="196" t="s">
        <v>573</v>
      </c>
      <c r="B541" s="197">
        <v>488.01353999999998</v>
      </c>
      <c r="C541" s="197">
        <v>75.778499999999994</v>
      </c>
      <c r="D541" s="198">
        <v>45687</v>
      </c>
      <c r="E541" s="197">
        <v>325</v>
      </c>
      <c r="F541" s="197">
        <v>2165.1</v>
      </c>
      <c r="G541" s="197">
        <v>22.54</v>
      </c>
      <c r="H541" s="197">
        <v>3.5</v>
      </c>
      <c r="I541" s="197">
        <v>26.04</v>
      </c>
      <c r="J541" s="199"/>
      <c r="K541" s="197">
        <v>563.9085</v>
      </c>
      <c r="L541" s="197">
        <v>24628.012500000001</v>
      </c>
      <c r="M541" s="197">
        <v>183270.01250000001</v>
      </c>
      <c r="N541" s="196"/>
      <c r="O541" s="194"/>
    </row>
    <row r="542" spans="1:15" x14ac:dyDescent="0.2">
      <c r="A542" s="196" t="s">
        <v>573</v>
      </c>
      <c r="B542" s="197">
        <v>488.01353999999998</v>
      </c>
      <c r="C542" s="197">
        <v>75.778499999999994</v>
      </c>
      <c r="D542" s="198">
        <v>45715</v>
      </c>
      <c r="E542" s="197">
        <v>325</v>
      </c>
      <c r="F542" s="197">
        <v>2165.1</v>
      </c>
      <c r="G542" s="197">
        <v>22.54</v>
      </c>
      <c r="H542" s="197">
        <v>3.5</v>
      </c>
      <c r="I542" s="197">
        <v>26.04</v>
      </c>
      <c r="J542" s="199"/>
      <c r="K542" s="197">
        <v>563.9085</v>
      </c>
      <c r="L542" s="197">
        <v>24628.012500000001</v>
      </c>
      <c r="M542" s="197">
        <v>183270.01250000001</v>
      </c>
      <c r="N542" s="196"/>
      <c r="O542" s="194"/>
    </row>
    <row r="543" spans="1:15" x14ac:dyDescent="0.2">
      <c r="A543" s="196" t="s">
        <v>519</v>
      </c>
      <c r="B543" s="197">
        <v>1338.44</v>
      </c>
      <c r="C543" s="197">
        <v>259.04199999999997</v>
      </c>
      <c r="D543" s="198">
        <v>45652</v>
      </c>
      <c r="E543" s="197">
        <v>125</v>
      </c>
      <c r="F543" s="197">
        <v>7401.2</v>
      </c>
      <c r="G543" s="197">
        <v>18.079999999999998</v>
      </c>
      <c r="H543" s="197">
        <v>3.5</v>
      </c>
      <c r="I543" s="197">
        <v>21.58</v>
      </c>
      <c r="J543" s="199"/>
      <c r="K543" s="197">
        <v>1597.482</v>
      </c>
      <c r="L543" s="197">
        <v>32380.25</v>
      </c>
      <c r="M543" s="197">
        <v>199685.25</v>
      </c>
      <c r="N543" s="196"/>
      <c r="O543" s="194"/>
    </row>
    <row r="544" spans="1:15" x14ac:dyDescent="0.2">
      <c r="A544" s="196" t="s">
        <v>519</v>
      </c>
      <c r="B544" s="197">
        <v>1338.13696</v>
      </c>
      <c r="C544" s="197">
        <v>259.04199999999997</v>
      </c>
      <c r="D544" s="198">
        <v>45687</v>
      </c>
      <c r="E544" s="197">
        <v>125</v>
      </c>
      <c r="F544" s="197">
        <v>7401.2</v>
      </c>
      <c r="G544" s="197">
        <v>18.079999999999998</v>
      </c>
      <c r="H544" s="197">
        <v>3.5</v>
      </c>
      <c r="I544" s="197">
        <v>21.58</v>
      </c>
      <c r="J544" s="199"/>
      <c r="K544" s="197">
        <v>1597.482</v>
      </c>
      <c r="L544" s="197">
        <v>32380.25</v>
      </c>
      <c r="M544" s="197">
        <v>199685.25</v>
      </c>
      <c r="N544" s="196"/>
      <c r="O544" s="194"/>
    </row>
    <row r="545" spans="1:15" x14ac:dyDescent="0.2">
      <c r="A545" s="196" t="s">
        <v>519</v>
      </c>
      <c r="B545" s="197">
        <v>1338.13696</v>
      </c>
      <c r="C545" s="197">
        <v>259.04199999999997</v>
      </c>
      <c r="D545" s="198">
        <v>45715</v>
      </c>
      <c r="E545" s="197">
        <v>125</v>
      </c>
      <c r="F545" s="197">
        <v>7401.2</v>
      </c>
      <c r="G545" s="197">
        <v>18.079999999999998</v>
      </c>
      <c r="H545" s="197">
        <v>3.5</v>
      </c>
      <c r="I545" s="197">
        <v>21.58</v>
      </c>
      <c r="J545" s="199"/>
      <c r="K545" s="197">
        <v>1597.482</v>
      </c>
      <c r="L545" s="197">
        <v>32380.25</v>
      </c>
      <c r="M545" s="197">
        <v>199685.25</v>
      </c>
      <c r="N545" s="196"/>
      <c r="O545" s="194"/>
    </row>
    <row r="546" spans="1:15" x14ac:dyDescent="0.2">
      <c r="A546" s="196" t="s">
        <v>596</v>
      </c>
      <c r="B546" s="197">
        <v>82.36</v>
      </c>
      <c r="C546" s="197">
        <v>12.7523</v>
      </c>
      <c r="D546" s="198">
        <v>45652</v>
      </c>
      <c r="E546" s="197">
        <v>1450</v>
      </c>
      <c r="F546" s="197">
        <v>364.35</v>
      </c>
      <c r="G546" s="197">
        <v>22.6</v>
      </c>
      <c r="H546" s="197">
        <v>3.5</v>
      </c>
      <c r="I546" s="197">
        <v>26.1</v>
      </c>
      <c r="J546" s="199"/>
      <c r="K546" s="197">
        <v>95.112300000000005</v>
      </c>
      <c r="L546" s="197">
        <v>18490.762500000001</v>
      </c>
      <c r="M546" s="197">
        <v>137912.76250000001</v>
      </c>
      <c r="N546" s="196"/>
      <c r="O546" s="194"/>
    </row>
    <row r="547" spans="1:15" x14ac:dyDescent="0.2">
      <c r="A547" s="196" t="s">
        <v>596</v>
      </c>
      <c r="B547" s="197">
        <v>82.343100000000007</v>
      </c>
      <c r="C547" s="197">
        <v>12.7523</v>
      </c>
      <c r="D547" s="198">
        <v>45687</v>
      </c>
      <c r="E547" s="197">
        <v>1450</v>
      </c>
      <c r="F547" s="197">
        <v>364.35</v>
      </c>
      <c r="G547" s="197">
        <v>22.6</v>
      </c>
      <c r="H547" s="197">
        <v>3.5</v>
      </c>
      <c r="I547" s="197">
        <v>26.1</v>
      </c>
      <c r="J547" s="199"/>
      <c r="K547" s="197">
        <v>95.112300000000005</v>
      </c>
      <c r="L547" s="197">
        <v>18490.762500000001</v>
      </c>
      <c r="M547" s="197">
        <v>137912.76250000001</v>
      </c>
      <c r="N547" s="196"/>
      <c r="O547" s="194"/>
    </row>
    <row r="548" spans="1:15" x14ac:dyDescent="0.2">
      <c r="A548" s="196" t="s">
        <v>596</v>
      </c>
      <c r="B548" s="197">
        <v>82.343100000000007</v>
      </c>
      <c r="C548" s="197">
        <v>12.7523</v>
      </c>
      <c r="D548" s="198">
        <v>45715</v>
      </c>
      <c r="E548" s="197">
        <v>1450</v>
      </c>
      <c r="F548" s="197">
        <v>364.35</v>
      </c>
      <c r="G548" s="197">
        <v>22.6</v>
      </c>
      <c r="H548" s="197">
        <v>3.5</v>
      </c>
      <c r="I548" s="197">
        <v>26.1</v>
      </c>
      <c r="J548" s="199"/>
      <c r="K548" s="197">
        <v>95.112300000000005</v>
      </c>
      <c r="L548" s="197">
        <v>18490.762500000001</v>
      </c>
      <c r="M548" s="197">
        <v>137912.76250000001</v>
      </c>
      <c r="N548" s="196"/>
      <c r="O548" s="194"/>
    </row>
    <row r="549" spans="1:15" x14ac:dyDescent="0.2">
      <c r="A549" s="196" t="s">
        <v>276</v>
      </c>
      <c r="B549" s="197">
        <v>49.76</v>
      </c>
      <c r="C549" s="197">
        <v>11.4643</v>
      </c>
      <c r="D549" s="198">
        <v>45652</v>
      </c>
      <c r="E549" s="197">
        <v>1800</v>
      </c>
      <c r="F549" s="197">
        <v>327.55</v>
      </c>
      <c r="G549" s="197">
        <v>15.19</v>
      </c>
      <c r="H549" s="197">
        <v>3.5</v>
      </c>
      <c r="I549" s="197">
        <v>18.690000000000001</v>
      </c>
      <c r="J549" s="199"/>
      <c r="K549" s="197">
        <v>61.224299999999999</v>
      </c>
      <c r="L549" s="197">
        <v>20635.650000000001</v>
      </c>
      <c r="M549" s="197">
        <v>110203.65</v>
      </c>
      <c r="N549" s="196"/>
      <c r="O549" s="194"/>
    </row>
    <row r="550" spans="1:15" x14ac:dyDescent="0.2">
      <c r="A550" s="196" t="s">
        <v>276</v>
      </c>
      <c r="B550" s="197">
        <v>49.754845000000003</v>
      </c>
      <c r="C550" s="197">
        <v>11.4643</v>
      </c>
      <c r="D550" s="198">
        <v>45687</v>
      </c>
      <c r="E550" s="197">
        <v>1800</v>
      </c>
      <c r="F550" s="197">
        <v>327.55</v>
      </c>
      <c r="G550" s="197">
        <v>15.19</v>
      </c>
      <c r="H550" s="197">
        <v>3.5</v>
      </c>
      <c r="I550" s="197">
        <v>18.689999999999998</v>
      </c>
      <c r="J550" s="199"/>
      <c r="K550" s="197">
        <v>61.224299999999999</v>
      </c>
      <c r="L550" s="197">
        <v>20635.650000000001</v>
      </c>
      <c r="M550" s="197">
        <v>110203.65</v>
      </c>
      <c r="N550" s="196"/>
      <c r="O550" s="194"/>
    </row>
    <row r="551" spans="1:15" x14ac:dyDescent="0.2">
      <c r="A551" s="196" t="s">
        <v>276</v>
      </c>
      <c r="B551" s="197">
        <v>49.754845000000003</v>
      </c>
      <c r="C551" s="197">
        <v>11.4643</v>
      </c>
      <c r="D551" s="198">
        <v>45715</v>
      </c>
      <c r="E551" s="197">
        <v>1800</v>
      </c>
      <c r="F551" s="197">
        <v>327.55</v>
      </c>
      <c r="G551" s="197">
        <v>15.19</v>
      </c>
      <c r="H551" s="197">
        <v>3.5</v>
      </c>
      <c r="I551" s="197">
        <v>18.689999999999998</v>
      </c>
      <c r="J551" s="199"/>
      <c r="K551" s="197">
        <v>61.224299999999999</v>
      </c>
      <c r="L551" s="197">
        <v>20635.650000000001</v>
      </c>
      <c r="M551" s="197">
        <v>110203.65</v>
      </c>
      <c r="N551" s="196"/>
      <c r="O551" s="194"/>
    </row>
    <row r="552" spans="1:15" x14ac:dyDescent="0.2">
      <c r="A552" s="196" t="s">
        <v>605</v>
      </c>
      <c r="B552" s="197">
        <v>423.8</v>
      </c>
      <c r="C552" s="197">
        <v>61.316499999999998</v>
      </c>
      <c r="D552" s="198">
        <v>45652</v>
      </c>
      <c r="E552" s="197">
        <v>325</v>
      </c>
      <c r="F552" s="197">
        <v>1751.9</v>
      </c>
      <c r="G552" s="197">
        <v>24.19</v>
      </c>
      <c r="H552" s="197">
        <v>3.5</v>
      </c>
      <c r="I552" s="197">
        <v>27.69</v>
      </c>
      <c r="J552" s="199"/>
      <c r="K552" s="197">
        <v>485.11649999999997</v>
      </c>
      <c r="L552" s="197">
        <v>19927.862499999999</v>
      </c>
      <c r="M552" s="197">
        <v>157662.86249999999</v>
      </c>
      <c r="N552" s="196"/>
      <c r="O552" s="194"/>
    </row>
    <row r="553" spans="1:15" x14ac:dyDescent="0.2">
      <c r="A553" s="196" t="s">
        <v>605</v>
      </c>
      <c r="B553" s="197">
        <v>423.78460999999999</v>
      </c>
      <c r="C553" s="197">
        <v>61.316499999999998</v>
      </c>
      <c r="D553" s="198">
        <v>45687</v>
      </c>
      <c r="E553" s="197">
        <v>325</v>
      </c>
      <c r="F553" s="197">
        <v>1751.9</v>
      </c>
      <c r="G553" s="197">
        <v>24.19</v>
      </c>
      <c r="H553" s="197">
        <v>3.5</v>
      </c>
      <c r="I553" s="197">
        <v>27.69</v>
      </c>
      <c r="J553" s="199"/>
      <c r="K553" s="197">
        <v>485.11649999999997</v>
      </c>
      <c r="L553" s="197">
        <v>19927.862499999999</v>
      </c>
      <c r="M553" s="197">
        <v>157662.86249999999</v>
      </c>
      <c r="N553" s="196"/>
      <c r="O553" s="194"/>
    </row>
    <row r="554" spans="1:15" x14ac:dyDescent="0.2">
      <c r="A554" s="196" t="s">
        <v>605</v>
      </c>
      <c r="B554" s="197">
        <v>423.78460999999999</v>
      </c>
      <c r="C554" s="197">
        <v>61.316499999999998</v>
      </c>
      <c r="D554" s="198">
        <v>45715</v>
      </c>
      <c r="E554" s="197">
        <v>325</v>
      </c>
      <c r="F554" s="197">
        <v>1751.9</v>
      </c>
      <c r="G554" s="197">
        <v>24.19</v>
      </c>
      <c r="H554" s="197">
        <v>3.5</v>
      </c>
      <c r="I554" s="197">
        <v>27.69</v>
      </c>
      <c r="J554" s="199"/>
      <c r="K554" s="197">
        <v>485.11649999999997</v>
      </c>
      <c r="L554" s="197">
        <v>19927.862499999999</v>
      </c>
      <c r="M554" s="197">
        <v>157662.86249999999</v>
      </c>
      <c r="N554" s="196"/>
      <c r="O554" s="194"/>
    </row>
    <row r="555" spans="1:15" x14ac:dyDescent="0.2">
      <c r="A555" s="196" t="s">
        <v>564</v>
      </c>
      <c r="B555" s="197">
        <v>224.88</v>
      </c>
      <c r="C555" s="197">
        <v>52.032800000000002</v>
      </c>
      <c r="D555" s="198">
        <v>45652</v>
      </c>
      <c r="E555" s="197">
        <v>407</v>
      </c>
      <c r="F555" s="197">
        <v>1486.65</v>
      </c>
      <c r="G555" s="197">
        <v>15.12</v>
      </c>
      <c r="H555" s="197">
        <v>3.5</v>
      </c>
      <c r="I555" s="197">
        <v>18.62</v>
      </c>
      <c r="J555" s="197"/>
      <c r="K555" s="197">
        <v>276.9128</v>
      </c>
      <c r="L555" s="197">
        <v>21177.329300000001</v>
      </c>
      <c r="M555" s="197">
        <v>112703.3293</v>
      </c>
      <c r="N555" s="196"/>
      <c r="O555" s="194"/>
    </row>
    <row r="556" spans="1:15" x14ac:dyDescent="0.2">
      <c r="A556" s="196" t="s">
        <v>564</v>
      </c>
      <c r="B556" s="197">
        <v>224.78147999999999</v>
      </c>
      <c r="C556" s="197">
        <v>52.032800000000002</v>
      </c>
      <c r="D556" s="198">
        <v>45687</v>
      </c>
      <c r="E556" s="197">
        <v>407</v>
      </c>
      <c r="F556" s="197">
        <v>1486.65</v>
      </c>
      <c r="G556" s="197">
        <v>15.12</v>
      </c>
      <c r="H556" s="197">
        <v>3.5</v>
      </c>
      <c r="I556" s="197">
        <v>18.619999999999997</v>
      </c>
      <c r="J556" s="197"/>
      <c r="K556" s="197">
        <v>276.9128</v>
      </c>
      <c r="L556" s="197">
        <v>21177.329300000001</v>
      </c>
      <c r="M556" s="197">
        <v>112703.3293</v>
      </c>
      <c r="N556" s="196"/>
      <c r="O556" s="194"/>
    </row>
    <row r="557" spans="1:15" x14ac:dyDescent="0.2">
      <c r="A557" s="196" t="s">
        <v>564</v>
      </c>
      <c r="B557" s="197">
        <v>224.78147999999999</v>
      </c>
      <c r="C557" s="197">
        <v>52.032800000000002</v>
      </c>
      <c r="D557" s="198">
        <v>45715</v>
      </c>
      <c r="E557" s="197">
        <v>407</v>
      </c>
      <c r="F557" s="197">
        <v>1486.65</v>
      </c>
      <c r="G557" s="197">
        <v>15.12</v>
      </c>
      <c r="H557" s="197">
        <v>3.5</v>
      </c>
      <c r="I557" s="197">
        <v>18.619999999999997</v>
      </c>
      <c r="J557" s="197"/>
      <c r="K557" s="197">
        <v>276.9128</v>
      </c>
      <c r="L557" s="197">
        <v>21177.329300000001</v>
      </c>
      <c r="M557" s="197">
        <v>112703.3293</v>
      </c>
      <c r="N557" s="196"/>
      <c r="O557" s="194"/>
    </row>
    <row r="558" spans="1:15" x14ac:dyDescent="0.2">
      <c r="A558" s="196" t="s">
        <v>278</v>
      </c>
      <c r="B558" s="197">
        <v>145.69</v>
      </c>
      <c r="C558" s="197">
        <v>35.715800000000002</v>
      </c>
      <c r="D558" s="198">
        <v>45652</v>
      </c>
      <c r="E558" s="197">
        <v>850</v>
      </c>
      <c r="F558" s="197">
        <v>1020.45</v>
      </c>
      <c r="G558" s="197">
        <v>14.27</v>
      </c>
      <c r="H558" s="197">
        <v>3.5</v>
      </c>
      <c r="I558" s="197">
        <v>17.77</v>
      </c>
      <c r="J558" s="197"/>
      <c r="K558" s="197">
        <v>181.4058</v>
      </c>
      <c r="L558" s="197">
        <v>30358.387500000001</v>
      </c>
      <c r="M558" s="197">
        <v>154195.38750000001</v>
      </c>
      <c r="N558" s="196"/>
      <c r="O558" s="194"/>
    </row>
    <row r="559" spans="1:15" x14ac:dyDescent="0.2">
      <c r="A559" s="196" t="s">
        <v>278</v>
      </c>
      <c r="B559" s="197">
        <v>145.61821499999999</v>
      </c>
      <c r="C559" s="197">
        <v>35.715800000000002</v>
      </c>
      <c r="D559" s="198">
        <v>45687</v>
      </c>
      <c r="E559" s="197">
        <v>850</v>
      </c>
      <c r="F559" s="197">
        <v>1020.45</v>
      </c>
      <c r="G559" s="197">
        <v>14.27</v>
      </c>
      <c r="H559" s="197">
        <v>3.5</v>
      </c>
      <c r="I559" s="197">
        <v>17.77</v>
      </c>
      <c r="J559" s="197"/>
      <c r="K559" s="197">
        <v>181.4058</v>
      </c>
      <c r="L559" s="197">
        <v>30358.387500000001</v>
      </c>
      <c r="M559" s="197">
        <v>154195.38750000001</v>
      </c>
      <c r="N559" s="196"/>
      <c r="O559" s="194"/>
    </row>
    <row r="560" spans="1:15" x14ac:dyDescent="0.2">
      <c r="A560" s="196" t="s">
        <v>278</v>
      </c>
      <c r="B560" s="197">
        <v>145.61821499999999</v>
      </c>
      <c r="C560" s="197">
        <v>35.715800000000002</v>
      </c>
      <c r="D560" s="198">
        <v>45715</v>
      </c>
      <c r="E560" s="197">
        <v>850</v>
      </c>
      <c r="F560" s="197">
        <v>1020.45</v>
      </c>
      <c r="G560" s="197">
        <v>14.27</v>
      </c>
      <c r="H560" s="197">
        <v>3.5</v>
      </c>
      <c r="I560" s="197">
        <v>17.77</v>
      </c>
      <c r="J560" s="197"/>
      <c r="K560" s="197">
        <v>181.4058</v>
      </c>
      <c r="L560" s="197">
        <v>30358.387500000001</v>
      </c>
      <c r="M560" s="197">
        <v>154195.38750000001</v>
      </c>
      <c r="N560" s="196"/>
      <c r="O560" s="194"/>
    </row>
    <row r="561" spans="1:15" x14ac:dyDescent="0.2">
      <c r="A561" s="196" t="s">
        <v>279</v>
      </c>
      <c r="B561" s="197">
        <v>42.18</v>
      </c>
      <c r="C561" s="197">
        <v>25.067</v>
      </c>
      <c r="D561" s="198">
        <v>45652</v>
      </c>
      <c r="E561" s="197">
        <v>2500</v>
      </c>
      <c r="F561" s="197">
        <v>179.05</v>
      </c>
      <c r="G561" s="197">
        <v>23.55</v>
      </c>
      <c r="H561" s="197">
        <v>14</v>
      </c>
      <c r="I561" s="197">
        <v>37.549999999999997</v>
      </c>
      <c r="J561" s="197"/>
      <c r="K561" s="197">
        <v>67.247</v>
      </c>
      <c r="L561" s="197">
        <v>62667.5</v>
      </c>
      <c r="M561" s="197">
        <v>168117.5</v>
      </c>
      <c r="N561" s="196"/>
      <c r="O561" s="194"/>
    </row>
    <row r="562" spans="1:15" x14ac:dyDescent="0.2">
      <c r="A562" s="196" t="s">
        <v>279</v>
      </c>
      <c r="B562" s="197">
        <v>42.166274999999999</v>
      </c>
      <c r="C562" s="197">
        <v>25.067</v>
      </c>
      <c r="D562" s="198">
        <v>45687</v>
      </c>
      <c r="E562" s="197">
        <v>2500</v>
      </c>
      <c r="F562" s="197">
        <v>179.05</v>
      </c>
      <c r="G562" s="197">
        <v>23.55</v>
      </c>
      <c r="H562" s="197">
        <v>14</v>
      </c>
      <c r="I562" s="197">
        <v>37.549999999999997</v>
      </c>
      <c r="J562" s="197"/>
      <c r="K562" s="197">
        <v>67.247</v>
      </c>
      <c r="L562" s="197">
        <v>62667.5</v>
      </c>
      <c r="M562" s="197">
        <v>168117.5</v>
      </c>
      <c r="N562" s="196"/>
      <c r="O562" s="194"/>
    </row>
    <row r="563" spans="1:15" x14ac:dyDescent="0.2">
      <c r="A563" s="196" t="s">
        <v>279</v>
      </c>
      <c r="B563" s="197">
        <v>42.166274999999999</v>
      </c>
      <c r="C563" s="197">
        <v>25.067</v>
      </c>
      <c r="D563" s="198">
        <v>45715</v>
      </c>
      <c r="E563" s="197">
        <v>2500</v>
      </c>
      <c r="F563" s="197">
        <v>179.05</v>
      </c>
      <c r="G563" s="197">
        <v>23.55</v>
      </c>
      <c r="H563" s="197">
        <v>14</v>
      </c>
      <c r="I563" s="197">
        <v>37.549999999999997</v>
      </c>
      <c r="J563" s="197"/>
      <c r="K563" s="197">
        <v>67.247</v>
      </c>
      <c r="L563" s="197">
        <v>62667.5</v>
      </c>
      <c r="M563" s="197">
        <v>168117.5</v>
      </c>
      <c r="N563" s="196"/>
      <c r="O563" s="194"/>
    </row>
    <row r="564" spans="1:15" x14ac:dyDescent="0.2">
      <c r="A564" s="196" t="s">
        <v>280</v>
      </c>
      <c r="B564" s="197">
        <v>141.69999999999999</v>
      </c>
      <c r="C564" s="197">
        <v>19.941299999999998</v>
      </c>
      <c r="D564" s="198">
        <v>45652</v>
      </c>
      <c r="E564" s="197">
        <v>1000</v>
      </c>
      <c r="F564" s="197">
        <v>569.75</v>
      </c>
      <c r="G564" s="197">
        <v>24.87</v>
      </c>
      <c r="H564" s="197">
        <v>3.5</v>
      </c>
      <c r="I564" s="197">
        <v>28.37</v>
      </c>
      <c r="J564" s="197"/>
      <c r="K564" s="197">
        <v>161.6413</v>
      </c>
      <c r="L564" s="197">
        <v>19941.25</v>
      </c>
      <c r="M564" s="197">
        <v>161641.25</v>
      </c>
      <c r="N564" s="196"/>
      <c r="O564" s="194"/>
    </row>
    <row r="565" spans="1:15" x14ac:dyDescent="0.2">
      <c r="A565" s="196" t="s">
        <v>280</v>
      </c>
      <c r="B565" s="197">
        <v>141.69682499999999</v>
      </c>
      <c r="C565" s="197">
        <v>19.941299999999998</v>
      </c>
      <c r="D565" s="198">
        <v>45687</v>
      </c>
      <c r="E565" s="197">
        <v>1000</v>
      </c>
      <c r="F565" s="197">
        <v>569.75</v>
      </c>
      <c r="G565" s="197">
        <v>24.87</v>
      </c>
      <c r="H565" s="197">
        <v>3.5</v>
      </c>
      <c r="I565" s="197">
        <v>28.37</v>
      </c>
      <c r="J565" s="197"/>
      <c r="K565" s="197">
        <v>161.6413</v>
      </c>
      <c r="L565" s="197">
        <v>19941.25</v>
      </c>
      <c r="M565" s="197">
        <v>161641.25</v>
      </c>
      <c r="N565" s="196"/>
      <c r="O565" s="194"/>
    </row>
    <row r="566" spans="1:15" x14ac:dyDescent="0.2">
      <c r="A566" s="196" t="s">
        <v>280</v>
      </c>
      <c r="B566" s="197">
        <v>141.69682499999999</v>
      </c>
      <c r="C566" s="197">
        <v>19.941299999999998</v>
      </c>
      <c r="D566" s="198">
        <v>45715</v>
      </c>
      <c r="E566" s="197">
        <v>1000</v>
      </c>
      <c r="F566" s="197">
        <v>569.75</v>
      </c>
      <c r="G566" s="197">
        <v>24.87</v>
      </c>
      <c r="H566" s="197">
        <v>3.5</v>
      </c>
      <c r="I566" s="197">
        <v>28.37</v>
      </c>
      <c r="J566" s="197"/>
      <c r="K566" s="197">
        <v>161.6413</v>
      </c>
      <c r="L566" s="197">
        <v>19941.25</v>
      </c>
      <c r="M566" s="197">
        <v>161641.25</v>
      </c>
      <c r="N566" s="196"/>
      <c r="O566" s="194"/>
    </row>
    <row r="567" spans="1:15" x14ac:dyDescent="0.2">
      <c r="A567" s="196" t="s">
        <v>281</v>
      </c>
      <c r="B567" s="197">
        <v>182.49</v>
      </c>
      <c r="C567" s="197">
        <v>44.737000000000002</v>
      </c>
      <c r="D567" s="198">
        <v>45652</v>
      </c>
      <c r="E567" s="197">
        <v>500</v>
      </c>
      <c r="F567" s="197">
        <v>1278.2</v>
      </c>
      <c r="G567" s="197">
        <v>14.27</v>
      </c>
      <c r="H567" s="197">
        <v>3.5</v>
      </c>
      <c r="I567" s="197">
        <v>17.77</v>
      </c>
      <c r="J567" s="197"/>
      <c r="K567" s="197">
        <v>227.227</v>
      </c>
      <c r="L567" s="197">
        <v>22368.5</v>
      </c>
      <c r="M567" s="197">
        <v>113613.5</v>
      </c>
      <c r="N567" s="196"/>
      <c r="O567" s="194"/>
    </row>
    <row r="568" spans="1:15" x14ac:dyDescent="0.2">
      <c r="A568" s="196" t="s">
        <v>281</v>
      </c>
      <c r="B568" s="197">
        <v>182.39913999999999</v>
      </c>
      <c r="C568" s="197">
        <v>44.737000000000002</v>
      </c>
      <c r="D568" s="198">
        <v>45687</v>
      </c>
      <c r="E568" s="197">
        <v>500</v>
      </c>
      <c r="F568" s="197">
        <v>1278.2</v>
      </c>
      <c r="G568" s="197">
        <v>14.27</v>
      </c>
      <c r="H568" s="197">
        <v>3.5</v>
      </c>
      <c r="I568" s="197">
        <v>17.77</v>
      </c>
      <c r="J568" s="197"/>
      <c r="K568" s="197">
        <v>227.227</v>
      </c>
      <c r="L568" s="197">
        <v>22368.5</v>
      </c>
      <c r="M568" s="197">
        <v>113613.5</v>
      </c>
      <c r="N568" s="196"/>
      <c r="O568" s="194"/>
    </row>
    <row r="569" spans="1:15" x14ac:dyDescent="0.2">
      <c r="A569" s="196" t="s">
        <v>281</v>
      </c>
      <c r="B569" s="197">
        <v>182.39913999999999</v>
      </c>
      <c r="C569" s="197">
        <v>44.737000000000002</v>
      </c>
      <c r="D569" s="198">
        <v>45715</v>
      </c>
      <c r="E569" s="197">
        <v>500</v>
      </c>
      <c r="F569" s="197">
        <v>1278.2</v>
      </c>
      <c r="G569" s="197">
        <v>14.27</v>
      </c>
      <c r="H569" s="197">
        <v>3.5</v>
      </c>
      <c r="I569" s="197">
        <v>17.77</v>
      </c>
      <c r="J569" s="197"/>
      <c r="K569" s="197">
        <v>227.227</v>
      </c>
      <c r="L569" s="197">
        <v>22368.5</v>
      </c>
      <c r="M569" s="197">
        <v>113613.5</v>
      </c>
      <c r="N569" s="196"/>
      <c r="O569" s="194"/>
    </row>
    <row r="570" spans="1:15" x14ac:dyDescent="0.2">
      <c r="A570" s="196" t="s">
        <v>282</v>
      </c>
      <c r="B570" s="197">
        <v>30.03</v>
      </c>
      <c r="C570" s="197">
        <v>11.1081</v>
      </c>
      <c r="D570" s="198">
        <v>45652</v>
      </c>
      <c r="E570" s="197">
        <v>4000</v>
      </c>
      <c r="F570" s="197">
        <v>126.95</v>
      </c>
      <c r="G570" s="197">
        <v>23.65</v>
      </c>
      <c r="H570" s="197">
        <v>8.75</v>
      </c>
      <c r="I570" s="197">
        <v>32.4</v>
      </c>
      <c r="J570" s="197"/>
      <c r="K570" s="197">
        <v>41.138100000000001</v>
      </c>
      <c r="L570" s="197">
        <v>44432.5</v>
      </c>
      <c r="M570" s="197">
        <v>164552.5</v>
      </c>
      <c r="N570" s="196"/>
      <c r="O570" s="194"/>
    </row>
    <row r="571" spans="1:15" x14ac:dyDescent="0.2">
      <c r="A571" s="196" t="s">
        <v>282</v>
      </c>
      <c r="B571" s="197">
        <v>30.023675000000001</v>
      </c>
      <c r="C571" s="197">
        <v>11.1081</v>
      </c>
      <c r="D571" s="198">
        <v>45687</v>
      </c>
      <c r="E571" s="197">
        <v>4000</v>
      </c>
      <c r="F571" s="197">
        <v>126.95</v>
      </c>
      <c r="G571" s="197">
        <v>23.65</v>
      </c>
      <c r="H571" s="197">
        <v>8.75</v>
      </c>
      <c r="I571" s="197">
        <v>32.4</v>
      </c>
      <c r="J571" s="197"/>
      <c r="K571" s="197">
        <v>41.138100000000001</v>
      </c>
      <c r="L571" s="197">
        <v>44432.5</v>
      </c>
      <c r="M571" s="197">
        <v>164552.5</v>
      </c>
      <c r="N571" s="196"/>
      <c r="O571" s="194"/>
    </row>
    <row r="572" spans="1:15" x14ac:dyDescent="0.2">
      <c r="A572" s="196" t="s">
        <v>282</v>
      </c>
      <c r="B572" s="197">
        <v>30.023675000000001</v>
      </c>
      <c r="C572" s="197">
        <v>11.1081</v>
      </c>
      <c r="D572" s="198">
        <v>45715</v>
      </c>
      <c r="E572" s="197">
        <v>4000</v>
      </c>
      <c r="F572" s="197">
        <v>126.95</v>
      </c>
      <c r="G572" s="197">
        <v>23.65</v>
      </c>
      <c r="H572" s="197">
        <v>8.75</v>
      </c>
      <c r="I572" s="197">
        <v>32.4</v>
      </c>
      <c r="J572" s="197"/>
      <c r="K572" s="197">
        <v>41.138100000000001</v>
      </c>
      <c r="L572" s="197">
        <v>44432.5</v>
      </c>
      <c r="M572" s="197">
        <v>164552.5</v>
      </c>
      <c r="N572" s="196"/>
      <c r="O572" s="194"/>
    </row>
    <row r="573" spans="1:15" x14ac:dyDescent="0.2">
      <c r="A573" s="196" t="s">
        <v>536</v>
      </c>
      <c r="B573" s="197">
        <v>104.33</v>
      </c>
      <c r="C573" s="197">
        <v>25.5763</v>
      </c>
      <c r="D573" s="198">
        <v>45652</v>
      </c>
      <c r="E573" s="197">
        <v>800</v>
      </c>
      <c r="F573" s="197">
        <v>730.75</v>
      </c>
      <c r="G573" s="197">
        <v>14.27</v>
      </c>
      <c r="H573" s="197">
        <v>3.5</v>
      </c>
      <c r="I573" s="197">
        <v>17.77</v>
      </c>
      <c r="J573" s="197"/>
      <c r="K573" s="197">
        <v>129.90629999999999</v>
      </c>
      <c r="L573" s="197">
        <v>20461</v>
      </c>
      <c r="M573" s="197">
        <v>103925</v>
      </c>
      <c r="N573" s="196"/>
      <c r="O573" s="194"/>
    </row>
    <row r="574" spans="1:15" x14ac:dyDescent="0.2">
      <c r="A574" s="196" t="s">
        <v>536</v>
      </c>
      <c r="B574" s="197">
        <v>104.278025</v>
      </c>
      <c r="C574" s="197">
        <v>25.5763</v>
      </c>
      <c r="D574" s="198">
        <v>45687</v>
      </c>
      <c r="E574" s="197">
        <v>800</v>
      </c>
      <c r="F574" s="197">
        <v>730.75</v>
      </c>
      <c r="G574" s="197">
        <v>14.27</v>
      </c>
      <c r="H574" s="197">
        <v>3.5</v>
      </c>
      <c r="I574" s="197">
        <v>17.77</v>
      </c>
      <c r="J574" s="197"/>
      <c r="K574" s="197">
        <v>129.90629999999999</v>
      </c>
      <c r="L574" s="197">
        <v>20461</v>
      </c>
      <c r="M574" s="197">
        <v>103925</v>
      </c>
      <c r="N574" s="196"/>
      <c r="O574" s="194"/>
    </row>
    <row r="575" spans="1:15" x14ac:dyDescent="0.2">
      <c r="A575" s="196" t="s">
        <v>536</v>
      </c>
      <c r="B575" s="197">
        <v>104.278025</v>
      </c>
      <c r="C575" s="197">
        <v>25.5763</v>
      </c>
      <c r="D575" s="198">
        <v>45715</v>
      </c>
      <c r="E575" s="197">
        <v>800</v>
      </c>
      <c r="F575" s="197">
        <v>730.75</v>
      </c>
      <c r="G575" s="197">
        <v>14.27</v>
      </c>
      <c r="H575" s="197">
        <v>3.5</v>
      </c>
      <c r="I575" s="197">
        <v>17.77</v>
      </c>
      <c r="J575" s="197"/>
      <c r="K575" s="197">
        <v>129.90629999999999</v>
      </c>
      <c r="L575" s="197">
        <v>20461</v>
      </c>
      <c r="M575" s="197">
        <v>103925</v>
      </c>
      <c r="N575" s="196"/>
      <c r="O575" s="194"/>
    </row>
    <row r="576" spans="1:15" x14ac:dyDescent="0.2">
      <c r="A576" s="196" t="s">
        <v>462</v>
      </c>
      <c r="B576" s="197">
        <v>207.9</v>
      </c>
      <c r="C576" s="197">
        <v>50.965299999999999</v>
      </c>
      <c r="D576" s="198">
        <v>45652</v>
      </c>
      <c r="E576" s="197">
        <v>375</v>
      </c>
      <c r="F576" s="197">
        <v>1456.15</v>
      </c>
      <c r="G576" s="197">
        <v>14.27</v>
      </c>
      <c r="H576" s="197">
        <v>3.5</v>
      </c>
      <c r="I576" s="197">
        <v>17.77</v>
      </c>
      <c r="J576" s="197"/>
      <c r="K576" s="197">
        <v>258.86529999999999</v>
      </c>
      <c r="L576" s="197">
        <v>19111.968799999999</v>
      </c>
      <c r="M576" s="197">
        <v>97074.968800000002</v>
      </c>
      <c r="N576" s="196"/>
      <c r="O576" s="194"/>
    </row>
    <row r="577" spans="1:15" x14ac:dyDescent="0.2">
      <c r="A577" s="196" t="s">
        <v>462</v>
      </c>
      <c r="B577" s="197">
        <v>207.79260500000001</v>
      </c>
      <c r="C577" s="197">
        <v>50.965299999999999</v>
      </c>
      <c r="D577" s="198">
        <v>45687</v>
      </c>
      <c r="E577" s="197">
        <v>375</v>
      </c>
      <c r="F577" s="197">
        <v>1456.15</v>
      </c>
      <c r="G577" s="197">
        <v>14.27</v>
      </c>
      <c r="H577" s="197">
        <v>3.5</v>
      </c>
      <c r="I577" s="197">
        <v>17.77</v>
      </c>
      <c r="J577" s="197"/>
      <c r="K577" s="197">
        <v>258.86529999999999</v>
      </c>
      <c r="L577" s="197">
        <v>19111.968799999999</v>
      </c>
      <c r="M577" s="197">
        <v>97074.968800000002</v>
      </c>
      <c r="N577" s="196"/>
      <c r="O577" s="194"/>
    </row>
    <row r="578" spans="1:15" x14ac:dyDescent="0.2">
      <c r="A578" s="196" t="s">
        <v>462</v>
      </c>
      <c r="B578" s="197">
        <v>207.79260500000001</v>
      </c>
      <c r="C578" s="197">
        <v>50.965299999999999</v>
      </c>
      <c r="D578" s="198">
        <v>45715</v>
      </c>
      <c r="E578" s="197">
        <v>375</v>
      </c>
      <c r="F578" s="197">
        <v>1456.15</v>
      </c>
      <c r="G578" s="197">
        <v>14.27</v>
      </c>
      <c r="H578" s="197">
        <v>3.5</v>
      </c>
      <c r="I578" s="197">
        <v>17.77</v>
      </c>
      <c r="J578" s="197"/>
      <c r="K578" s="197">
        <v>258.86529999999999</v>
      </c>
      <c r="L578" s="197">
        <v>19111.968799999999</v>
      </c>
      <c r="M578" s="197">
        <v>97074.968800000002</v>
      </c>
      <c r="N578" s="196"/>
      <c r="O578" s="194"/>
    </row>
    <row r="579" spans="1:15" x14ac:dyDescent="0.2">
      <c r="A579" s="196" t="s">
        <v>283</v>
      </c>
      <c r="B579" s="197">
        <v>128.08000000000001</v>
      </c>
      <c r="C579" s="197">
        <v>30.155999999999999</v>
      </c>
      <c r="D579" s="198">
        <v>45652</v>
      </c>
      <c r="E579" s="197">
        <v>750</v>
      </c>
      <c r="F579" s="197">
        <v>861.6</v>
      </c>
      <c r="G579" s="197">
        <v>14.86</v>
      </c>
      <c r="H579" s="197">
        <v>3.5</v>
      </c>
      <c r="I579" s="197">
        <v>18.36</v>
      </c>
      <c r="J579" s="197"/>
      <c r="K579" s="197">
        <v>158.23599999999999</v>
      </c>
      <c r="L579" s="197">
        <v>22617</v>
      </c>
      <c r="M579" s="197">
        <v>118677</v>
      </c>
      <c r="N579" s="196"/>
      <c r="O579" s="194"/>
    </row>
    <row r="580" spans="1:15" x14ac:dyDescent="0.2">
      <c r="A580" s="196" t="s">
        <v>283</v>
      </c>
      <c r="B580" s="197">
        <v>128.03376</v>
      </c>
      <c r="C580" s="197">
        <v>30.155999999999999</v>
      </c>
      <c r="D580" s="198">
        <v>45687</v>
      </c>
      <c r="E580" s="197">
        <v>750</v>
      </c>
      <c r="F580" s="197">
        <v>861.6</v>
      </c>
      <c r="G580" s="197">
        <v>14.86</v>
      </c>
      <c r="H580" s="197">
        <v>3.5</v>
      </c>
      <c r="I580" s="197">
        <v>18.36</v>
      </c>
      <c r="J580" s="197"/>
      <c r="K580" s="197">
        <v>158.23599999999999</v>
      </c>
      <c r="L580" s="197">
        <v>22617</v>
      </c>
      <c r="M580" s="197">
        <v>118677</v>
      </c>
      <c r="N580" s="196"/>
      <c r="O580" s="194"/>
    </row>
    <row r="581" spans="1:15" x14ac:dyDescent="0.2">
      <c r="A581" s="196" t="s">
        <v>283</v>
      </c>
      <c r="B581" s="197">
        <v>128.03376</v>
      </c>
      <c r="C581" s="197">
        <v>30.155999999999999</v>
      </c>
      <c r="D581" s="198">
        <v>45715</v>
      </c>
      <c r="E581" s="197">
        <v>750</v>
      </c>
      <c r="F581" s="197">
        <v>861.6</v>
      </c>
      <c r="G581" s="197">
        <v>14.86</v>
      </c>
      <c r="H581" s="197">
        <v>3.5</v>
      </c>
      <c r="I581" s="197">
        <v>18.36</v>
      </c>
      <c r="J581" s="197"/>
      <c r="K581" s="197">
        <v>158.23599999999999</v>
      </c>
      <c r="L581" s="197">
        <v>22617</v>
      </c>
      <c r="M581" s="197">
        <v>118677</v>
      </c>
      <c r="N581" s="196"/>
      <c r="O581" s="194"/>
    </row>
    <row r="582" spans="1:15" x14ac:dyDescent="0.2">
      <c r="A582" s="196" t="s">
        <v>284</v>
      </c>
      <c r="B582" s="197">
        <v>3898.4</v>
      </c>
      <c r="C582" s="197">
        <v>955.68200000000002</v>
      </c>
      <c r="D582" s="198">
        <v>45652</v>
      </c>
      <c r="E582" s="197">
        <v>25</v>
      </c>
      <c r="F582" s="197">
        <v>27305.200000000001</v>
      </c>
      <c r="G582" s="197">
        <v>14.27</v>
      </c>
      <c r="H582" s="197">
        <v>3.5</v>
      </c>
      <c r="I582" s="197">
        <v>17.77</v>
      </c>
      <c r="J582" s="197"/>
      <c r="K582" s="197">
        <v>4854.0820000000003</v>
      </c>
      <c r="L582" s="197">
        <v>23892.05</v>
      </c>
      <c r="M582" s="197">
        <v>121352.05</v>
      </c>
      <c r="N582" s="196"/>
      <c r="O582" s="194"/>
    </row>
    <row r="583" spans="1:15" x14ac:dyDescent="0.2">
      <c r="A583" s="196" t="s">
        <v>284</v>
      </c>
      <c r="B583" s="197">
        <v>3896.4520400000001</v>
      </c>
      <c r="C583" s="197">
        <v>955.68200000000002</v>
      </c>
      <c r="D583" s="198">
        <v>45687</v>
      </c>
      <c r="E583" s="197">
        <v>25</v>
      </c>
      <c r="F583" s="197">
        <v>27305.200000000001</v>
      </c>
      <c r="G583" s="197">
        <v>14.27</v>
      </c>
      <c r="H583" s="197">
        <v>3.5</v>
      </c>
      <c r="I583" s="197">
        <v>17.77</v>
      </c>
      <c r="J583" s="197"/>
      <c r="K583" s="197">
        <v>4854.0820000000003</v>
      </c>
      <c r="L583" s="197">
        <v>23892.05</v>
      </c>
      <c r="M583" s="197">
        <v>121352.05</v>
      </c>
      <c r="N583" s="196"/>
      <c r="O583" s="194"/>
    </row>
    <row r="584" spans="1:15" x14ac:dyDescent="0.2">
      <c r="A584" s="196" t="s">
        <v>284</v>
      </c>
      <c r="B584" s="197">
        <v>3896.4520400000001</v>
      </c>
      <c r="C584" s="197">
        <v>955.68200000000002</v>
      </c>
      <c r="D584" s="198">
        <v>45715</v>
      </c>
      <c r="E584" s="197">
        <v>25</v>
      </c>
      <c r="F584" s="197">
        <v>27305.200000000001</v>
      </c>
      <c r="G584" s="197">
        <v>14.27</v>
      </c>
      <c r="H584" s="197">
        <v>3.5</v>
      </c>
      <c r="I584" s="197">
        <v>17.77</v>
      </c>
      <c r="J584" s="199"/>
      <c r="K584" s="197">
        <v>4854.0820000000003</v>
      </c>
      <c r="L584" s="197">
        <v>23892.05</v>
      </c>
      <c r="M584" s="197">
        <v>121352.05</v>
      </c>
      <c r="N584" s="196"/>
      <c r="O584" s="194"/>
    </row>
    <row r="585" spans="1:15" x14ac:dyDescent="0.2">
      <c r="A585" s="196" t="s">
        <v>562</v>
      </c>
      <c r="B585" s="197">
        <v>591.34</v>
      </c>
      <c r="C585" s="197">
        <v>113.6888</v>
      </c>
      <c r="D585" s="198">
        <v>45652</v>
      </c>
      <c r="E585" s="197">
        <v>150</v>
      </c>
      <c r="F585" s="197">
        <v>3248.25</v>
      </c>
      <c r="G585" s="197">
        <v>18.2</v>
      </c>
      <c r="H585" s="197">
        <v>3.5</v>
      </c>
      <c r="I585" s="197">
        <v>21.7</v>
      </c>
      <c r="J585" s="199"/>
      <c r="K585" s="197">
        <v>705.02880000000005</v>
      </c>
      <c r="L585" s="197">
        <v>17053.3125</v>
      </c>
      <c r="M585" s="197">
        <v>105754.3125</v>
      </c>
      <c r="N585" s="196"/>
      <c r="O585" s="194"/>
    </row>
    <row r="586" spans="1:15" x14ac:dyDescent="0.2">
      <c r="A586" s="196" t="s">
        <v>562</v>
      </c>
      <c r="B586" s="197">
        <v>591.18150000000003</v>
      </c>
      <c r="C586" s="197">
        <v>113.6888</v>
      </c>
      <c r="D586" s="198">
        <v>45687</v>
      </c>
      <c r="E586" s="197">
        <v>150</v>
      </c>
      <c r="F586" s="197">
        <v>3248.25</v>
      </c>
      <c r="G586" s="197">
        <v>18.2</v>
      </c>
      <c r="H586" s="197">
        <v>3.5</v>
      </c>
      <c r="I586" s="197">
        <v>21.7</v>
      </c>
      <c r="J586" s="199"/>
      <c r="K586" s="197">
        <v>705.02880000000005</v>
      </c>
      <c r="L586" s="197">
        <v>17053.3125</v>
      </c>
      <c r="M586" s="197">
        <v>105754.3125</v>
      </c>
      <c r="N586" s="196"/>
      <c r="O586" s="194"/>
    </row>
    <row r="587" spans="1:15" x14ac:dyDescent="0.2">
      <c r="A587" s="196" t="s">
        <v>562</v>
      </c>
      <c r="B587" s="197">
        <v>591.18150000000003</v>
      </c>
      <c r="C587" s="197">
        <v>113.6888</v>
      </c>
      <c r="D587" s="198">
        <v>45715</v>
      </c>
      <c r="E587" s="197">
        <v>150</v>
      </c>
      <c r="F587" s="197">
        <v>3248.25</v>
      </c>
      <c r="G587" s="197">
        <v>18.2</v>
      </c>
      <c r="H587" s="197">
        <v>3.5</v>
      </c>
      <c r="I587" s="197">
        <v>21.7</v>
      </c>
      <c r="J587" s="199"/>
      <c r="K587" s="197">
        <v>705.02880000000005</v>
      </c>
      <c r="L587" s="197">
        <v>17053.3125</v>
      </c>
      <c r="M587" s="197">
        <v>105754.3125</v>
      </c>
      <c r="N587" s="196"/>
      <c r="O587" s="194"/>
    </row>
    <row r="588" spans="1:15" x14ac:dyDescent="0.2">
      <c r="A588" s="196" t="s">
        <v>285</v>
      </c>
      <c r="B588" s="197">
        <v>1334.01</v>
      </c>
      <c r="C588" s="197">
        <v>275.48500000000001</v>
      </c>
      <c r="D588" s="198">
        <v>45652</v>
      </c>
      <c r="E588" s="197">
        <v>75</v>
      </c>
      <c r="F588" s="197">
        <v>7871</v>
      </c>
      <c r="G588" s="197">
        <v>16.940000000000001</v>
      </c>
      <c r="H588" s="197">
        <v>3.5</v>
      </c>
      <c r="I588" s="197">
        <v>20.440000000000001</v>
      </c>
      <c r="J588" s="199"/>
      <c r="K588" s="197">
        <v>1609.4949999999999</v>
      </c>
      <c r="L588" s="197">
        <v>20661.375</v>
      </c>
      <c r="M588" s="197">
        <v>120712.375</v>
      </c>
      <c r="N588" s="196"/>
      <c r="O588" s="194"/>
    </row>
    <row r="589" spans="1:15" x14ac:dyDescent="0.2">
      <c r="A589" s="196" t="s">
        <v>285</v>
      </c>
      <c r="B589" s="197">
        <v>1333.3474000000001</v>
      </c>
      <c r="C589" s="197">
        <v>275.48500000000001</v>
      </c>
      <c r="D589" s="198">
        <v>45687</v>
      </c>
      <c r="E589" s="197">
        <v>75</v>
      </c>
      <c r="F589" s="197">
        <v>7871</v>
      </c>
      <c r="G589" s="197">
        <v>16.940000000000001</v>
      </c>
      <c r="H589" s="197">
        <v>3.5</v>
      </c>
      <c r="I589" s="197">
        <v>20.440000000000001</v>
      </c>
      <c r="J589" s="199"/>
      <c r="K589" s="197">
        <v>1609.4949999999999</v>
      </c>
      <c r="L589" s="197">
        <v>20661.375</v>
      </c>
      <c r="M589" s="197">
        <v>120712.375</v>
      </c>
      <c r="N589" s="196"/>
      <c r="O589" s="194"/>
    </row>
    <row r="590" spans="1:15" x14ac:dyDescent="0.2">
      <c r="A590" s="196" t="s">
        <v>285</v>
      </c>
      <c r="B590" s="197">
        <v>1333.3474000000001</v>
      </c>
      <c r="C590" s="197">
        <v>275.48500000000001</v>
      </c>
      <c r="D590" s="198">
        <v>45715</v>
      </c>
      <c r="E590" s="197">
        <v>75</v>
      </c>
      <c r="F590" s="197">
        <v>7871</v>
      </c>
      <c r="G590" s="197">
        <v>16.940000000000001</v>
      </c>
      <c r="H590" s="197">
        <v>3.5</v>
      </c>
      <c r="I590" s="197">
        <v>20.440000000000001</v>
      </c>
      <c r="J590" s="199"/>
      <c r="K590" s="197">
        <v>1609.4949999999999</v>
      </c>
      <c r="L590" s="197">
        <v>20661.375</v>
      </c>
      <c r="M590" s="197">
        <v>120712.375</v>
      </c>
      <c r="N590" s="196"/>
      <c r="O590" s="194"/>
    </row>
    <row r="591" spans="1:15" x14ac:dyDescent="0.2">
      <c r="A591" s="196" t="s">
        <v>599</v>
      </c>
      <c r="B591" s="197">
        <v>32.43</v>
      </c>
      <c r="C591" s="197">
        <v>4.2069999999999999</v>
      </c>
      <c r="D591" s="198">
        <v>45652</v>
      </c>
      <c r="E591" s="197">
        <v>4725</v>
      </c>
      <c r="F591" s="197">
        <v>120.2</v>
      </c>
      <c r="G591" s="197">
        <v>26.98</v>
      </c>
      <c r="H591" s="197">
        <v>3.5</v>
      </c>
      <c r="I591" s="197">
        <v>30.48</v>
      </c>
      <c r="J591" s="199"/>
      <c r="K591" s="197">
        <v>36.637</v>
      </c>
      <c r="L591" s="197">
        <v>19878.075000000001</v>
      </c>
      <c r="M591" s="197">
        <v>173110.07500000001</v>
      </c>
      <c r="N591" s="196"/>
      <c r="O591" s="194"/>
    </row>
    <row r="592" spans="1:15" x14ac:dyDescent="0.2">
      <c r="A592" s="196" t="s">
        <v>599</v>
      </c>
      <c r="B592" s="197">
        <v>32.429960000000001</v>
      </c>
      <c r="C592" s="197">
        <v>4.2069999999999999</v>
      </c>
      <c r="D592" s="198">
        <v>45687</v>
      </c>
      <c r="E592" s="197">
        <v>4725</v>
      </c>
      <c r="F592" s="197">
        <v>120.2</v>
      </c>
      <c r="G592" s="197">
        <v>26.98</v>
      </c>
      <c r="H592" s="197">
        <v>3.5</v>
      </c>
      <c r="I592" s="197">
        <v>30.48</v>
      </c>
      <c r="J592" s="199"/>
      <c r="K592" s="197">
        <v>36.637</v>
      </c>
      <c r="L592" s="197">
        <v>19878.075000000001</v>
      </c>
      <c r="M592" s="197">
        <v>173110.07500000001</v>
      </c>
      <c r="N592" s="196"/>
      <c r="O592" s="194"/>
    </row>
    <row r="593" spans="1:15" x14ac:dyDescent="0.2">
      <c r="A593" s="196" t="s">
        <v>599</v>
      </c>
      <c r="B593" s="197">
        <v>32.429960000000001</v>
      </c>
      <c r="C593" s="197">
        <v>4.2069999999999999</v>
      </c>
      <c r="D593" s="198">
        <v>45715</v>
      </c>
      <c r="E593" s="197">
        <v>4725</v>
      </c>
      <c r="F593" s="197">
        <v>120.2</v>
      </c>
      <c r="G593" s="197">
        <v>26.98</v>
      </c>
      <c r="H593" s="197">
        <v>3.5</v>
      </c>
      <c r="I593" s="197">
        <v>30.48</v>
      </c>
      <c r="J593" s="199"/>
      <c r="K593" s="197">
        <v>36.637</v>
      </c>
      <c r="L593" s="197">
        <v>19878.075000000001</v>
      </c>
      <c r="M593" s="197">
        <v>173110.07500000001</v>
      </c>
      <c r="N593" s="196"/>
      <c r="O593" s="194"/>
    </row>
    <row r="594" spans="1:15" x14ac:dyDescent="0.2">
      <c r="A594" s="196" t="s">
        <v>614</v>
      </c>
      <c r="B594" s="197">
        <v>117.46</v>
      </c>
      <c r="C594" s="197">
        <v>22.461300000000001</v>
      </c>
      <c r="D594" s="198">
        <v>45652</v>
      </c>
      <c r="E594" s="197">
        <v>775</v>
      </c>
      <c r="F594" s="197">
        <v>641.75</v>
      </c>
      <c r="G594" s="197">
        <v>18.3</v>
      </c>
      <c r="H594" s="197">
        <v>3.5</v>
      </c>
      <c r="I594" s="197">
        <v>21.8</v>
      </c>
      <c r="J594" s="199"/>
      <c r="K594" s="197">
        <v>139.9213</v>
      </c>
      <c r="L594" s="197">
        <v>17407.468799999999</v>
      </c>
      <c r="M594" s="197">
        <v>108439.4688</v>
      </c>
      <c r="N594" s="196"/>
      <c r="O594" s="194"/>
    </row>
    <row r="595" spans="1:15" x14ac:dyDescent="0.2">
      <c r="A595" s="196" t="s">
        <v>614</v>
      </c>
      <c r="B595" s="197">
        <v>117.44025000000001</v>
      </c>
      <c r="C595" s="197">
        <v>22.461300000000001</v>
      </c>
      <c r="D595" s="198">
        <v>45687</v>
      </c>
      <c r="E595" s="197">
        <v>775</v>
      </c>
      <c r="F595" s="197">
        <v>641.75</v>
      </c>
      <c r="G595" s="197">
        <v>18.3</v>
      </c>
      <c r="H595" s="197">
        <v>3.5</v>
      </c>
      <c r="I595" s="197">
        <v>21.8</v>
      </c>
      <c r="J595" s="199"/>
      <c r="K595" s="197">
        <v>139.9213</v>
      </c>
      <c r="L595" s="197">
        <v>17407.468799999999</v>
      </c>
      <c r="M595" s="197">
        <v>108439.4688</v>
      </c>
      <c r="N595" s="196"/>
      <c r="O595" s="194"/>
    </row>
    <row r="596" spans="1:15" x14ac:dyDescent="0.2">
      <c r="A596" s="196" t="s">
        <v>614</v>
      </c>
      <c r="B596" s="197">
        <v>117.44025000000001</v>
      </c>
      <c r="C596" s="197">
        <v>22.461300000000001</v>
      </c>
      <c r="D596" s="198">
        <v>45715</v>
      </c>
      <c r="E596" s="197">
        <v>775</v>
      </c>
      <c r="F596" s="197">
        <v>641.75</v>
      </c>
      <c r="G596" s="197">
        <v>18.3</v>
      </c>
      <c r="H596" s="197">
        <v>3.5</v>
      </c>
      <c r="I596" s="197">
        <v>21.8</v>
      </c>
      <c r="J596" s="199"/>
      <c r="K596" s="197">
        <v>139.9213</v>
      </c>
      <c r="L596" s="197">
        <v>17407.468799999999</v>
      </c>
      <c r="M596" s="197">
        <v>108439.4688</v>
      </c>
      <c r="N596" s="196"/>
      <c r="O596" s="194"/>
    </row>
    <row r="597" spans="1:15" x14ac:dyDescent="0.2">
      <c r="A597" s="196" t="s">
        <v>286</v>
      </c>
      <c r="B597" s="197">
        <v>333.58</v>
      </c>
      <c r="C597" s="197">
        <v>81.775800000000004</v>
      </c>
      <c r="D597" s="198">
        <v>45652</v>
      </c>
      <c r="E597" s="197">
        <v>375</v>
      </c>
      <c r="F597" s="197">
        <v>2336.4499999999998</v>
      </c>
      <c r="G597" s="197">
        <v>14.27</v>
      </c>
      <c r="H597" s="197">
        <v>3.5</v>
      </c>
      <c r="I597" s="197">
        <v>17.77</v>
      </c>
      <c r="J597" s="199"/>
      <c r="K597" s="197">
        <v>415.35579999999999</v>
      </c>
      <c r="L597" s="197">
        <v>30665.906299999999</v>
      </c>
      <c r="M597" s="197">
        <v>155758.9063</v>
      </c>
      <c r="N597" s="196"/>
      <c r="O597" s="194"/>
    </row>
    <row r="598" spans="1:15" x14ac:dyDescent="0.2">
      <c r="A598" s="196" t="s">
        <v>286</v>
      </c>
      <c r="B598" s="197">
        <v>333.41141499999998</v>
      </c>
      <c r="C598" s="197">
        <v>81.775800000000004</v>
      </c>
      <c r="D598" s="198">
        <v>45687</v>
      </c>
      <c r="E598" s="197">
        <v>375</v>
      </c>
      <c r="F598" s="197">
        <v>2336.4499999999998</v>
      </c>
      <c r="G598" s="197">
        <v>14.27</v>
      </c>
      <c r="H598" s="197">
        <v>3.5</v>
      </c>
      <c r="I598" s="197">
        <v>17.77</v>
      </c>
      <c r="J598" s="199"/>
      <c r="K598" s="197">
        <v>415.35579999999999</v>
      </c>
      <c r="L598" s="197">
        <v>30665.906299999999</v>
      </c>
      <c r="M598" s="197">
        <v>155758.9063</v>
      </c>
      <c r="N598" s="196"/>
      <c r="O598" s="194"/>
    </row>
    <row r="599" spans="1:15" x14ac:dyDescent="0.2">
      <c r="A599" s="196" t="s">
        <v>286</v>
      </c>
      <c r="B599" s="197">
        <v>333.41141499999998</v>
      </c>
      <c r="C599" s="197">
        <v>81.775800000000004</v>
      </c>
      <c r="D599" s="198">
        <v>45715</v>
      </c>
      <c r="E599" s="197">
        <v>375</v>
      </c>
      <c r="F599" s="197">
        <v>2336.4499999999998</v>
      </c>
      <c r="G599" s="197">
        <v>14.27</v>
      </c>
      <c r="H599" s="197">
        <v>3.5</v>
      </c>
      <c r="I599" s="197">
        <v>17.77</v>
      </c>
      <c r="J599" s="199"/>
      <c r="K599" s="197">
        <v>415.35579999999999</v>
      </c>
      <c r="L599" s="197">
        <v>30665.906299999999</v>
      </c>
      <c r="M599" s="197">
        <v>155758.9063</v>
      </c>
      <c r="N599" s="196"/>
      <c r="O599" s="194"/>
    </row>
    <row r="600" spans="1:15" x14ac:dyDescent="0.2">
      <c r="A600" s="196" t="s">
        <v>288</v>
      </c>
      <c r="B600" s="197">
        <v>259</v>
      </c>
      <c r="C600" s="197">
        <v>63.493499999999997</v>
      </c>
      <c r="D600" s="198">
        <v>45652</v>
      </c>
      <c r="E600" s="197">
        <v>350</v>
      </c>
      <c r="F600" s="197">
        <v>1814.1</v>
      </c>
      <c r="G600" s="197">
        <v>14.27</v>
      </c>
      <c r="H600" s="197">
        <v>3.5</v>
      </c>
      <c r="I600" s="197">
        <v>17.77</v>
      </c>
      <c r="J600" s="199"/>
      <c r="K600" s="197">
        <v>322.49349999999998</v>
      </c>
      <c r="L600" s="197">
        <v>22222.724999999999</v>
      </c>
      <c r="M600" s="197">
        <v>112872.72500000001</v>
      </c>
      <c r="N600" s="196"/>
      <c r="O600" s="194"/>
    </row>
    <row r="601" spans="1:15" x14ac:dyDescent="0.2">
      <c r="A601" s="196" t="s">
        <v>288</v>
      </c>
      <c r="B601" s="197">
        <v>258.87207000000001</v>
      </c>
      <c r="C601" s="197">
        <v>63.493499999999997</v>
      </c>
      <c r="D601" s="198">
        <v>45687</v>
      </c>
      <c r="E601" s="197">
        <v>350</v>
      </c>
      <c r="F601" s="197">
        <v>1814.1</v>
      </c>
      <c r="G601" s="197">
        <v>14.27</v>
      </c>
      <c r="H601" s="197">
        <v>3.5</v>
      </c>
      <c r="I601" s="197">
        <v>17.77</v>
      </c>
      <c r="J601" s="199"/>
      <c r="K601" s="197">
        <v>322.49349999999998</v>
      </c>
      <c r="L601" s="197">
        <v>22222.724999999999</v>
      </c>
      <c r="M601" s="197">
        <v>112872.72500000001</v>
      </c>
      <c r="N601" s="196"/>
      <c r="O601" s="194"/>
    </row>
    <row r="602" spans="1:15" x14ac:dyDescent="0.2">
      <c r="A602" s="196" t="s">
        <v>288</v>
      </c>
      <c r="B602" s="197">
        <v>258.87207000000001</v>
      </c>
      <c r="C602" s="197">
        <v>63.493499999999997</v>
      </c>
      <c r="D602" s="198">
        <v>45715</v>
      </c>
      <c r="E602" s="197">
        <v>350</v>
      </c>
      <c r="F602" s="197">
        <v>1814.1</v>
      </c>
      <c r="G602" s="197">
        <v>14.27</v>
      </c>
      <c r="H602" s="197">
        <v>3.5</v>
      </c>
      <c r="I602" s="197">
        <v>17.77</v>
      </c>
      <c r="J602" s="199"/>
      <c r="K602" s="197">
        <v>322.49349999999998</v>
      </c>
      <c r="L602" s="197">
        <v>22222.724999999999</v>
      </c>
      <c r="M602" s="197">
        <v>112872.72500000001</v>
      </c>
      <c r="N602" s="196"/>
      <c r="O602" s="194"/>
    </row>
    <row r="603" spans="1:15" x14ac:dyDescent="0.2">
      <c r="A603" s="196" t="s">
        <v>289</v>
      </c>
      <c r="B603" s="197">
        <v>117.71</v>
      </c>
      <c r="C603" s="197">
        <v>26.236000000000001</v>
      </c>
      <c r="D603" s="198">
        <v>45652</v>
      </c>
      <c r="E603" s="197">
        <v>750</v>
      </c>
      <c r="F603" s="197">
        <v>749.6</v>
      </c>
      <c r="G603" s="197">
        <v>15.7</v>
      </c>
      <c r="H603" s="197">
        <v>3.5</v>
      </c>
      <c r="I603" s="197">
        <v>19.2</v>
      </c>
      <c r="J603" s="199"/>
      <c r="K603" s="197">
        <v>143.946</v>
      </c>
      <c r="L603" s="197">
        <v>19677</v>
      </c>
      <c r="M603" s="197">
        <v>107960</v>
      </c>
      <c r="N603" s="196"/>
      <c r="O603" s="194"/>
    </row>
    <row r="604" spans="1:15" x14ac:dyDescent="0.2">
      <c r="A604" s="196" t="s">
        <v>289</v>
      </c>
      <c r="B604" s="197">
        <v>117.6872</v>
      </c>
      <c r="C604" s="197">
        <v>26.236000000000001</v>
      </c>
      <c r="D604" s="198">
        <v>45687</v>
      </c>
      <c r="E604" s="197">
        <v>750</v>
      </c>
      <c r="F604" s="197">
        <v>749.6</v>
      </c>
      <c r="G604" s="197">
        <v>15.7</v>
      </c>
      <c r="H604" s="197">
        <v>3.5</v>
      </c>
      <c r="I604" s="197">
        <v>19.2</v>
      </c>
      <c r="J604" s="199"/>
      <c r="K604" s="197">
        <v>143.946</v>
      </c>
      <c r="L604" s="197">
        <v>19677</v>
      </c>
      <c r="M604" s="197">
        <v>107960</v>
      </c>
      <c r="N604" s="196"/>
      <c r="O604" s="194"/>
    </row>
    <row r="605" spans="1:15" x14ac:dyDescent="0.2">
      <c r="A605" s="196" t="s">
        <v>289</v>
      </c>
      <c r="B605" s="197">
        <v>117.6872</v>
      </c>
      <c r="C605" s="197">
        <v>26.236000000000001</v>
      </c>
      <c r="D605" s="198">
        <v>45715</v>
      </c>
      <c r="E605" s="197">
        <v>750</v>
      </c>
      <c r="F605" s="197">
        <v>749.6</v>
      </c>
      <c r="G605" s="197">
        <v>15.7</v>
      </c>
      <c r="H605" s="197">
        <v>3.5</v>
      </c>
      <c r="I605" s="197">
        <v>19.2</v>
      </c>
      <c r="J605" s="199"/>
      <c r="K605" s="197">
        <v>143.946</v>
      </c>
      <c r="L605" s="197">
        <v>19677</v>
      </c>
      <c r="M605" s="197">
        <v>107960</v>
      </c>
      <c r="N605" s="196"/>
      <c r="O605" s="194"/>
    </row>
    <row r="606" spans="1:15" x14ac:dyDescent="0.2">
      <c r="A606" s="196" t="s">
        <v>574</v>
      </c>
      <c r="B606" s="197">
        <v>1006.1</v>
      </c>
      <c r="C606" s="197">
        <v>173.523</v>
      </c>
      <c r="D606" s="198">
        <v>45652</v>
      </c>
      <c r="E606" s="197">
        <v>125</v>
      </c>
      <c r="F606" s="197">
        <v>4957.8</v>
      </c>
      <c r="G606" s="197">
        <v>20.29</v>
      </c>
      <c r="H606" s="197">
        <v>3.5</v>
      </c>
      <c r="I606" s="197">
        <v>23.79</v>
      </c>
      <c r="J606" s="199"/>
      <c r="K606" s="197">
        <v>1179.623</v>
      </c>
      <c r="L606" s="197">
        <v>21690.375</v>
      </c>
      <c r="M606" s="197">
        <v>147453.375</v>
      </c>
      <c r="N606" s="196"/>
      <c r="O606" s="194"/>
    </row>
    <row r="607" spans="1:15" x14ac:dyDescent="0.2">
      <c r="A607" s="196" t="s">
        <v>574</v>
      </c>
      <c r="B607" s="197">
        <v>1005.93762</v>
      </c>
      <c r="C607" s="197">
        <v>173.523</v>
      </c>
      <c r="D607" s="198">
        <v>45687</v>
      </c>
      <c r="E607" s="197">
        <v>125</v>
      </c>
      <c r="F607" s="197">
        <v>4957.8</v>
      </c>
      <c r="G607" s="197">
        <v>20.29</v>
      </c>
      <c r="H607" s="197">
        <v>3.5</v>
      </c>
      <c r="I607" s="197">
        <v>23.79</v>
      </c>
      <c r="J607" s="199"/>
      <c r="K607" s="197">
        <v>1179.623</v>
      </c>
      <c r="L607" s="197">
        <v>21690.375</v>
      </c>
      <c r="M607" s="197">
        <v>147453.375</v>
      </c>
      <c r="N607" s="196"/>
      <c r="O607" s="194"/>
    </row>
    <row r="608" spans="1:15" x14ac:dyDescent="0.2">
      <c r="A608" s="196" t="s">
        <v>574</v>
      </c>
      <c r="B608" s="197">
        <v>1005.93762</v>
      </c>
      <c r="C608" s="197">
        <v>173.523</v>
      </c>
      <c r="D608" s="198">
        <v>45715</v>
      </c>
      <c r="E608" s="197">
        <v>125</v>
      </c>
      <c r="F608" s="197">
        <v>4957.8</v>
      </c>
      <c r="G608" s="197">
        <v>20.29</v>
      </c>
      <c r="H608" s="197">
        <v>3.5</v>
      </c>
      <c r="I608" s="197">
        <v>23.79</v>
      </c>
      <c r="J608" s="199"/>
      <c r="K608" s="197">
        <v>1179.623</v>
      </c>
      <c r="L608" s="197">
        <v>21690.375</v>
      </c>
      <c r="M608" s="197">
        <v>147453.375</v>
      </c>
      <c r="N608" s="196"/>
      <c r="O608" s="194"/>
    </row>
    <row r="609" spans="1:15" x14ac:dyDescent="0.2">
      <c r="A609" s="196" t="s">
        <v>520</v>
      </c>
      <c r="B609" s="197">
        <v>129.16999999999999</v>
      </c>
      <c r="C609" s="197">
        <v>31.6663</v>
      </c>
      <c r="D609" s="198">
        <v>45652</v>
      </c>
      <c r="E609" s="197">
        <v>1000</v>
      </c>
      <c r="F609" s="197">
        <v>904.75</v>
      </c>
      <c r="G609" s="197">
        <v>14.27</v>
      </c>
      <c r="H609" s="197">
        <v>3.5</v>
      </c>
      <c r="I609" s="197">
        <v>17.77</v>
      </c>
      <c r="J609" s="199"/>
      <c r="K609" s="197">
        <v>160.83629999999999</v>
      </c>
      <c r="L609" s="197">
        <v>31666.25</v>
      </c>
      <c r="M609" s="197">
        <v>160836.25</v>
      </c>
      <c r="N609" s="196"/>
      <c r="O609" s="194"/>
    </row>
    <row r="610" spans="1:15" x14ac:dyDescent="0.2">
      <c r="A610" s="196" t="s">
        <v>520</v>
      </c>
      <c r="B610" s="197">
        <v>129.10782499999999</v>
      </c>
      <c r="C610" s="197">
        <v>31.6663</v>
      </c>
      <c r="D610" s="198">
        <v>45687</v>
      </c>
      <c r="E610" s="197">
        <v>1000</v>
      </c>
      <c r="F610" s="197">
        <v>904.75</v>
      </c>
      <c r="G610" s="197">
        <v>14.27</v>
      </c>
      <c r="H610" s="197">
        <v>3.5</v>
      </c>
      <c r="I610" s="197">
        <v>17.77</v>
      </c>
      <c r="J610" s="199"/>
      <c r="K610" s="197">
        <v>160.83629999999999</v>
      </c>
      <c r="L610" s="197">
        <v>31666.25</v>
      </c>
      <c r="M610" s="197">
        <v>160836.25</v>
      </c>
      <c r="N610" s="196"/>
      <c r="O610" s="194"/>
    </row>
    <row r="611" spans="1:15" x14ac:dyDescent="0.2">
      <c r="A611" s="196" t="s">
        <v>520</v>
      </c>
      <c r="B611" s="197">
        <v>129.10782499999999</v>
      </c>
      <c r="C611" s="197">
        <v>31.6663</v>
      </c>
      <c r="D611" s="198">
        <v>45715</v>
      </c>
      <c r="E611" s="197">
        <v>1000</v>
      </c>
      <c r="F611" s="197">
        <v>904.75</v>
      </c>
      <c r="G611" s="197">
        <v>14.27</v>
      </c>
      <c r="H611" s="197">
        <v>3.5</v>
      </c>
      <c r="I611" s="197">
        <v>17.77</v>
      </c>
      <c r="J611" s="199"/>
      <c r="K611" s="197">
        <v>160.83629999999999</v>
      </c>
      <c r="L611" s="197">
        <v>31666.25</v>
      </c>
      <c r="M611" s="197">
        <v>160836.25</v>
      </c>
      <c r="N611" s="196"/>
    </row>
    <row r="612" spans="1:15" x14ac:dyDescent="0.2">
      <c r="A612" s="196" t="s">
        <v>290</v>
      </c>
      <c r="B612" s="197">
        <v>205.28</v>
      </c>
      <c r="C612" s="197">
        <v>39.397799999999997</v>
      </c>
      <c r="D612" s="198">
        <v>45652</v>
      </c>
      <c r="E612" s="197">
        <v>550</v>
      </c>
      <c r="F612" s="197">
        <v>1125.6500000000001</v>
      </c>
      <c r="G612" s="197">
        <v>18.23</v>
      </c>
      <c r="H612" s="197">
        <v>3.5</v>
      </c>
      <c r="I612" s="197">
        <v>21.73</v>
      </c>
      <c r="J612" s="199"/>
      <c r="K612" s="197">
        <v>244.67779999999999</v>
      </c>
      <c r="L612" s="197">
        <v>21668.762500000001</v>
      </c>
      <c r="M612" s="197">
        <v>134572.76250000001</v>
      </c>
      <c r="N612" s="196"/>
    </row>
    <row r="613" spans="1:15" x14ac:dyDescent="0.2">
      <c r="A613" s="196" t="s">
        <v>290</v>
      </c>
      <c r="B613" s="197">
        <v>205.205995</v>
      </c>
      <c r="C613" s="197">
        <v>39.397799999999997</v>
      </c>
      <c r="D613" s="198">
        <v>45687</v>
      </c>
      <c r="E613" s="197">
        <v>550</v>
      </c>
      <c r="F613" s="197">
        <v>1125.6500000000001</v>
      </c>
      <c r="G613" s="197">
        <v>18.23</v>
      </c>
      <c r="H613" s="197">
        <v>3.5</v>
      </c>
      <c r="I613" s="197">
        <v>21.73</v>
      </c>
      <c r="J613" s="199"/>
      <c r="K613" s="197">
        <v>244.67779999999999</v>
      </c>
      <c r="L613" s="197">
        <v>21668.762500000001</v>
      </c>
      <c r="M613" s="197">
        <v>134572.76250000001</v>
      </c>
      <c r="N613" s="196"/>
    </row>
    <row r="614" spans="1:15" x14ac:dyDescent="0.2">
      <c r="A614" s="196" t="s">
        <v>290</v>
      </c>
      <c r="B614" s="197">
        <v>205.205995</v>
      </c>
      <c r="C614" s="197">
        <v>39.397799999999997</v>
      </c>
      <c r="D614" s="198">
        <v>45715</v>
      </c>
      <c r="E614" s="197">
        <v>550</v>
      </c>
      <c r="F614" s="197">
        <v>1125.6500000000001</v>
      </c>
      <c r="G614" s="197">
        <v>18.23</v>
      </c>
      <c r="H614" s="197">
        <v>3.5</v>
      </c>
      <c r="I614" s="197">
        <v>21.73</v>
      </c>
      <c r="J614" s="199"/>
      <c r="K614" s="197">
        <v>244.67779999999999</v>
      </c>
      <c r="L614" s="197">
        <v>21668.762500000001</v>
      </c>
      <c r="M614" s="197">
        <v>134572.76250000001</v>
      </c>
      <c r="N614" s="196"/>
    </row>
    <row r="615" spans="1:15" x14ac:dyDescent="0.2">
      <c r="A615" s="196" t="s">
        <v>552</v>
      </c>
      <c r="B615" s="197">
        <v>280.45999999999998</v>
      </c>
      <c r="C615" s="197">
        <v>64.398300000000006</v>
      </c>
      <c r="D615" s="198">
        <v>45652</v>
      </c>
      <c r="E615" s="197">
        <v>250</v>
      </c>
      <c r="F615" s="197">
        <v>1839.95</v>
      </c>
      <c r="G615" s="197">
        <v>15.24</v>
      </c>
      <c r="H615" s="197">
        <v>3.5</v>
      </c>
      <c r="I615" s="197">
        <v>18.739999999999998</v>
      </c>
      <c r="J615" s="199"/>
      <c r="K615" s="197">
        <v>344.85829999999999</v>
      </c>
      <c r="L615" s="197">
        <v>16099.5625</v>
      </c>
      <c r="M615" s="197">
        <v>86214.5625</v>
      </c>
      <c r="N615" s="196"/>
    </row>
    <row r="616" spans="1:15" x14ac:dyDescent="0.2">
      <c r="A616" s="196" t="s">
        <v>552</v>
      </c>
      <c r="B616" s="197">
        <v>280.40838000000002</v>
      </c>
      <c r="C616" s="197">
        <v>64.398300000000006</v>
      </c>
      <c r="D616" s="198">
        <v>45687</v>
      </c>
      <c r="E616" s="197">
        <v>250</v>
      </c>
      <c r="F616" s="197">
        <v>1839.95</v>
      </c>
      <c r="G616" s="197">
        <v>15.24</v>
      </c>
      <c r="H616" s="197">
        <v>3.5</v>
      </c>
      <c r="I616" s="197">
        <v>18.740000000000002</v>
      </c>
      <c r="J616" s="199"/>
      <c r="K616" s="197">
        <v>344.85829999999999</v>
      </c>
      <c r="L616" s="197">
        <v>16099.5625</v>
      </c>
      <c r="M616" s="197">
        <v>86214.5625</v>
      </c>
      <c r="N616" s="196"/>
    </row>
    <row r="617" spans="1:15" x14ac:dyDescent="0.2">
      <c r="A617" s="196" t="s">
        <v>552</v>
      </c>
      <c r="B617" s="197">
        <v>280.40838000000002</v>
      </c>
      <c r="C617" s="197">
        <v>64.398300000000006</v>
      </c>
      <c r="D617" s="198">
        <v>45715</v>
      </c>
      <c r="E617" s="197">
        <v>250</v>
      </c>
      <c r="F617" s="197">
        <v>1839.95</v>
      </c>
      <c r="G617" s="197">
        <v>15.24</v>
      </c>
      <c r="H617" s="197">
        <v>3.5</v>
      </c>
      <c r="I617" s="197">
        <v>18.740000000000002</v>
      </c>
      <c r="J617" s="199"/>
      <c r="K617" s="197">
        <v>344.85829999999999</v>
      </c>
      <c r="L617" s="197">
        <v>16099.5625</v>
      </c>
      <c r="M617" s="197">
        <v>86214.5625</v>
      </c>
      <c r="N617" s="196"/>
    </row>
    <row r="618" spans="1:15" x14ac:dyDescent="0.2">
      <c r="A618" s="196" t="s">
        <v>291</v>
      </c>
      <c r="B618" s="197">
        <v>133.5</v>
      </c>
      <c r="C618" s="197">
        <v>32.726799999999997</v>
      </c>
      <c r="D618" s="198">
        <v>45652</v>
      </c>
      <c r="E618" s="197">
        <v>456</v>
      </c>
      <c r="F618" s="197">
        <v>935.05</v>
      </c>
      <c r="G618" s="197">
        <v>14.27</v>
      </c>
      <c r="H618" s="197">
        <v>3.5</v>
      </c>
      <c r="I618" s="197">
        <v>17.77</v>
      </c>
      <c r="J618" s="199"/>
      <c r="K618" s="197">
        <v>166.2268</v>
      </c>
      <c r="L618" s="197">
        <v>14923.397999999999</v>
      </c>
      <c r="M618" s="197">
        <v>75799.398000000001</v>
      </c>
      <c r="N618" s="196"/>
    </row>
    <row r="619" spans="1:15" x14ac:dyDescent="0.2">
      <c r="A619" s="196" t="s">
        <v>291</v>
      </c>
      <c r="B619" s="197">
        <v>133.431635</v>
      </c>
      <c r="C619" s="197">
        <v>32.726799999999997</v>
      </c>
      <c r="D619" s="198">
        <v>45687</v>
      </c>
      <c r="E619" s="197">
        <v>456</v>
      </c>
      <c r="F619" s="197">
        <v>935.05</v>
      </c>
      <c r="G619" s="197">
        <v>14.27</v>
      </c>
      <c r="H619" s="197">
        <v>3.5</v>
      </c>
      <c r="I619" s="197">
        <v>17.77</v>
      </c>
      <c r="J619" s="199"/>
      <c r="K619" s="197">
        <v>166.2268</v>
      </c>
      <c r="L619" s="197">
        <v>14923.397999999999</v>
      </c>
      <c r="M619" s="197">
        <v>75799.398000000001</v>
      </c>
      <c r="N619" s="196"/>
    </row>
    <row r="620" spans="1:15" x14ac:dyDescent="0.2">
      <c r="A620" s="196" t="s">
        <v>291</v>
      </c>
      <c r="B620" s="197">
        <v>133.431635</v>
      </c>
      <c r="C620" s="197">
        <v>32.726799999999997</v>
      </c>
      <c r="D620" s="198">
        <v>45715</v>
      </c>
      <c r="E620" s="197">
        <v>456</v>
      </c>
      <c r="F620" s="197">
        <v>935.05</v>
      </c>
      <c r="G620" s="197">
        <v>14.27</v>
      </c>
      <c r="H620" s="197">
        <v>3.5</v>
      </c>
      <c r="I620" s="197">
        <v>17.77</v>
      </c>
      <c r="J620" s="199"/>
      <c r="K620" s="197">
        <v>166.2268</v>
      </c>
      <c r="L620" s="197">
        <v>14923.397999999999</v>
      </c>
      <c r="M620" s="197">
        <v>75799.398000000001</v>
      </c>
      <c r="N620" s="196"/>
    </row>
    <row r="621" spans="1:15" x14ac:dyDescent="0.2">
      <c r="A621" s="196" t="s">
        <v>604</v>
      </c>
      <c r="B621" s="197">
        <v>1266.33</v>
      </c>
      <c r="C621" s="197">
        <v>257.25</v>
      </c>
      <c r="D621" s="198">
        <v>45652</v>
      </c>
      <c r="E621" s="197">
        <v>100</v>
      </c>
      <c r="F621" s="197">
        <v>7350</v>
      </c>
      <c r="G621" s="197">
        <v>17.22</v>
      </c>
      <c r="H621" s="197">
        <v>3.5</v>
      </c>
      <c r="I621" s="197">
        <v>20.72</v>
      </c>
      <c r="J621" s="199"/>
      <c r="K621" s="197">
        <v>1523.58</v>
      </c>
      <c r="L621" s="197">
        <v>25725</v>
      </c>
      <c r="M621" s="197">
        <v>152358</v>
      </c>
      <c r="N621" s="196"/>
    </row>
    <row r="622" spans="1:15" x14ac:dyDescent="0.2">
      <c r="A622" s="196" t="s">
        <v>604</v>
      </c>
      <c r="B622" s="197">
        <v>1265.67</v>
      </c>
      <c r="C622" s="197">
        <v>257.25</v>
      </c>
      <c r="D622" s="198">
        <v>45687</v>
      </c>
      <c r="E622" s="197">
        <v>100</v>
      </c>
      <c r="F622" s="197">
        <v>7350</v>
      </c>
      <c r="G622" s="197">
        <v>17.22</v>
      </c>
      <c r="H622" s="197">
        <v>3.5</v>
      </c>
      <c r="I622" s="197">
        <v>20.72</v>
      </c>
      <c r="J622" s="199"/>
      <c r="K622" s="197">
        <v>1523.58</v>
      </c>
      <c r="L622" s="197">
        <v>25725</v>
      </c>
      <c r="M622" s="197">
        <v>152358</v>
      </c>
      <c r="N622" s="196"/>
    </row>
    <row r="623" spans="1:15" x14ac:dyDescent="0.2">
      <c r="A623" s="196" t="s">
        <v>604</v>
      </c>
      <c r="B623" s="197">
        <v>1265.67</v>
      </c>
      <c r="C623" s="197">
        <v>257.25</v>
      </c>
      <c r="D623" s="198">
        <v>45715</v>
      </c>
      <c r="E623" s="197">
        <v>100</v>
      </c>
      <c r="F623" s="197">
        <v>7350</v>
      </c>
      <c r="G623" s="197">
        <v>17.22</v>
      </c>
      <c r="H623" s="197">
        <v>3.5</v>
      </c>
      <c r="I623" s="197">
        <v>20.72</v>
      </c>
      <c r="J623" s="199"/>
      <c r="K623" s="197">
        <v>1523.58</v>
      </c>
      <c r="L623" s="197">
        <v>25725</v>
      </c>
      <c r="M623" s="197">
        <v>152358</v>
      </c>
      <c r="N623" s="196"/>
    </row>
    <row r="624" spans="1:15" x14ac:dyDescent="0.2">
      <c r="A624" s="196" t="s">
        <v>292</v>
      </c>
      <c r="B624" s="197">
        <v>125.04</v>
      </c>
      <c r="C624" s="197">
        <v>27.968499999999999</v>
      </c>
      <c r="D624" s="198">
        <v>45652</v>
      </c>
      <c r="E624" s="197">
        <v>550</v>
      </c>
      <c r="F624" s="197">
        <v>799.1</v>
      </c>
      <c r="G624" s="197">
        <v>15.64</v>
      </c>
      <c r="H624" s="197">
        <v>3.5</v>
      </c>
      <c r="I624" s="197">
        <v>19.14</v>
      </c>
      <c r="J624" s="199"/>
      <c r="K624" s="197">
        <v>153.0085</v>
      </c>
      <c r="L624" s="197">
        <v>15382.674999999999</v>
      </c>
      <c r="M624" s="197">
        <v>84154.675000000003</v>
      </c>
      <c r="N624" s="196"/>
    </row>
    <row r="625" spans="1:14" x14ac:dyDescent="0.2">
      <c r="A625" s="196" t="s">
        <v>292</v>
      </c>
      <c r="B625" s="197">
        <v>124.97924</v>
      </c>
      <c r="C625" s="197">
        <v>27.968499999999999</v>
      </c>
      <c r="D625" s="198">
        <v>45687</v>
      </c>
      <c r="E625" s="197">
        <v>550</v>
      </c>
      <c r="F625" s="197">
        <v>799.1</v>
      </c>
      <c r="G625" s="197">
        <v>15.64</v>
      </c>
      <c r="H625" s="197">
        <v>3.5</v>
      </c>
      <c r="I625" s="197">
        <v>19.14</v>
      </c>
      <c r="J625" s="199"/>
      <c r="K625" s="197">
        <v>153.0085</v>
      </c>
      <c r="L625" s="197">
        <v>15382.674999999999</v>
      </c>
      <c r="M625" s="197">
        <v>84154.675000000003</v>
      </c>
      <c r="N625" s="196"/>
    </row>
    <row r="626" spans="1:14" x14ac:dyDescent="0.2">
      <c r="A626" s="196" t="s">
        <v>292</v>
      </c>
      <c r="B626" s="197">
        <v>124.97924</v>
      </c>
      <c r="C626" s="197">
        <v>27.968499999999999</v>
      </c>
      <c r="D626" s="198">
        <v>45715</v>
      </c>
      <c r="E626" s="197">
        <v>550</v>
      </c>
      <c r="F626" s="197">
        <v>799.1</v>
      </c>
      <c r="G626" s="197">
        <v>15.64</v>
      </c>
      <c r="H626" s="197">
        <v>3.5</v>
      </c>
      <c r="I626" s="197">
        <v>19.14</v>
      </c>
      <c r="J626" s="199"/>
      <c r="K626" s="197">
        <v>153.0085</v>
      </c>
      <c r="L626" s="197">
        <v>15382.674999999999</v>
      </c>
      <c r="M626" s="197">
        <v>84154.675000000003</v>
      </c>
      <c r="N626" s="196"/>
    </row>
    <row r="627" spans="1:14" x14ac:dyDescent="0.2">
      <c r="A627" s="196" t="s">
        <v>293</v>
      </c>
      <c r="B627" s="197">
        <v>78.88</v>
      </c>
      <c r="C627" s="197">
        <v>15.218</v>
      </c>
      <c r="D627" s="198">
        <v>45652</v>
      </c>
      <c r="E627" s="197">
        <v>1350</v>
      </c>
      <c r="F627" s="197">
        <v>434.8</v>
      </c>
      <c r="G627" s="197">
        <v>18.14</v>
      </c>
      <c r="H627" s="197">
        <v>3.5</v>
      </c>
      <c r="I627" s="197">
        <v>21.64</v>
      </c>
      <c r="J627" s="199"/>
      <c r="K627" s="197">
        <v>94.097999999999999</v>
      </c>
      <c r="L627" s="197">
        <v>20544.3</v>
      </c>
      <c r="M627" s="197">
        <v>127032.3</v>
      </c>
      <c r="N627" s="196"/>
    </row>
    <row r="628" spans="1:14" x14ac:dyDescent="0.2">
      <c r="A628" s="196" t="s">
        <v>293</v>
      </c>
      <c r="B628" s="197">
        <v>78.872720000000001</v>
      </c>
      <c r="C628" s="197">
        <v>15.218</v>
      </c>
      <c r="D628" s="198">
        <v>45687</v>
      </c>
      <c r="E628" s="197">
        <v>1350</v>
      </c>
      <c r="F628" s="197">
        <v>434.8</v>
      </c>
      <c r="G628" s="197">
        <v>18.14</v>
      </c>
      <c r="H628" s="197">
        <v>3.5</v>
      </c>
      <c r="I628" s="197">
        <v>21.64</v>
      </c>
      <c r="J628" s="199"/>
      <c r="K628" s="197">
        <v>94.097999999999999</v>
      </c>
      <c r="L628" s="197">
        <v>20544.3</v>
      </c>
      <c r="M628" s="197">
        <v>127032.3</v>
      </c>
      <c r="N628" s="196"/>
    </row>
    <row r="629" spans="1:14" x14ac:dyDescent="0.2">
      <c r="A629" s="196" t="s">
        <v>293</v>
      </c>
      <c r="B629" s="197">
        <v>78.872720000000001</v>
      </c>
      <c r="C629" s="197">
        <v>15.218</v>
      </c>
      <c r="D629" s="198">
        <v>45715</v>
      </c>
      <c r="E629" s="197">
        <v>1350</v>
      </c>
      <c r="F629" s="197">
        <v>434.8</v>
      </c>
      <c r="G629" s="197">
        <v>18.14</v>
      </c>
      <c r="H629" s="197">
        <v>3.5</v>
      </c>
      <c r="I629" s="197">
        <v>21.64</v>
      </c>
      <c r="J629" s="199"/>
      <c r="K629" s="197">
        <v>94.097999999999999</v>
      </c>
      <c r="L629" s="197">
        <v>20544.3</v>
      </c>
      <c r="M629" s="197">
        <v>127032.3</v>
      </c>
      <c r="N629" s="196"/>
    </row>
    <row r="630" spans="1:14" x14ac:dyDescent="0.2">
      <c r="A630" s="196" t="s">
        <v>294</v>
      </c>
      <c r="B630" s="197">
        <v>23.42</v>
      </c>
      <c r="C630" s="197">
        <v>5.2709999999999999</v>
      </c>
      <c r="D630" s="198">
        <v>45652</v>
      </c>
      <c r="E630" s="197">
        <v>5500</v>
      </c>
      <c r="F630" s="197">
        <v>150.6</v>
      </c>
      <c r="G630" s="197">
        <v>15.55</v>
      </c>
      <c r="H630" s="197">
        <v>3.5</v>
      </c>
      <c r="I630" s="197">
        <v>19.05</v>
      </c>
      <c r="J630" s="199"/>
      <c r="K630" s="197">
        <v>28.690999999999999</v>
      </c>
      <c r="L630" s="197">
        <v>28990.5</v>
      </c>
      <c r="M630" s="197">
        <v>157800.5</v>
      </c>
      <c r="N630" s="196"/>
    </row>
    <row r="631" spans="1:14" x14ac:dyDescent="0.2">
      <c r="A631" s="196" t="s">
        <v>294</v>
      </c>
      <c r="B631" s="197">
        <v>23.418299999999999</v>
      </c>
      <c r="C631" s="197">
        <v>5.2709999999999999</v>
      </c>
      <c r="D631" s="198">
        <v>45687</v>
      </c>
      <c r="E631" s="197">
        <v>5500</v>
      </c>
      <c r="F631" s="197">
        <v>150.6</v>
      </c>
      <c r="G631" s="197">
        <v>15.55</v>
      </c>
      <c r="H631" s="197">
        <v>3.5</v>
      </c>
      <c r="I631" s="197">
        <v>19.05</v>
      </c>
      <c r="J631" s="199"/>
      <c r="K631" s="197">
        <v>28.690999999999999</v>
      </c>
      <c r="L631" s="197">
        <v>28990.5</v>
      </c>
      <c r="M631" s="197">
        <v>157800.5</v>
      </c>
      <c r="N631" s="196"/>
    </row>
    <row r="632" spans="1:14" x14ac:dyDescent="0.2">
      <c r="A632" s="196" t="s">
        <v>294</v>
      </c>
      <c r="B632" s="197">
        <v>23.418299999999999</v>
      </c>
      <c r="C632" s="197">
        <v>5.2709999999999999</v>
      </c>
      <c r="D632" s="198">
        <v>45715</v>
      </c>
      <c r="E632" s="197">
        <v>5500</v>
      </c>
      <c r="F632" s="197">
        <v>150.6</v>
      </c>
      <c r="G632" s="197">
        <v>15.55</v>
      </c>
      <c r="H632" s="197">
        <v>3.5</v>
      </c>
      <c r="I632" s="197">
        <v>19.05</v>
      </c>
      <c r="J632" s="199"/>
      <c r="K632" s="197">
        <v>28.690999999999999</v>
      </c>
      <c r="L632" s="197">
        <v>28990.5</v>
      </c>
      <c r="M632" s="197">
        <v>157800.5</v>
      </c>
      <c r="N632" s="196"/>
    </row>
    <row r="633" spans="1:14" x14ac:dyDescent="0.2">
      <c r="A633" s="196" t="s">
        <v>295</v>
      </c>
      <c r="B633" s="197">
        <v>632.11</v>
      </c>
      <c r="C633" s="197">
        <v>154.96080000000001</v>
      </c>
      <c r="D633" s="198">
        <v>45652</v>
      </c>
      <c r="E633" s="197">
        <v>175</v>
      </c>
      <c r="F633" s="197">
        <v>4427.45</v>
      </c>
      <c r="G633" s="197">
        <v>14.27</v>
      </c>
      <c r="H633" s="197">
        <v>3.5</v>
      </c>
      <c r="I633" s="197">
        <v>17.77</v>
      </c>
      <c r="J633" s="199"/>
      <c r="K633" s="197">
        <v>787.07079999999996</v>
      </c>
      <c r="L633" s="197">
        <v>27118.131300000001</v>
      </c>
      <c r="M633" s="197">
        <v>137737.13130000001</v>
      </c>
      <c r="N633" s="196"/>
    </row>
    <row r="634" spans="1:14" x14ac:dyDescent="0.2">
      <c r="A634" s="196" t="s">
        <v>295</v>
      </c>
      <c r="B634" s="197">
        <v>631.79711499999996</v>
      </c>
      <c r="C634" s="197">
        <v>154.96080000000001</v>
      </c>
      <c r="D634" s="198">
        <v>45687</v>
      </c>
      <c r="E634" s="197">
        <v>175</v>
      </c>
      <c r="F634" s="197">
        <v>4427.45</v>
      </c>
      <c r="G634" s="197">
        <v>14.27</v>
      </c>
      <c r="H634" s="197">
        <v>3.5</v>
      </c>
      <c r="I634" s="197">
        <v>17.77</v>
      </c>
      <c r="J634" s="199"/>
      <c r="K634" s="197">
        <v>787.07079999999996</v>
      </c>
      <c r="L634" s="197">
        <v>27118.131300000001</v>
      </c>
      <c r="M634" s="197">
        <v>137737.13130000001</v>
      </c>
      <c r="N634" s="196"/>
    </row>
    <row r="635" spans="1:14" x14ac:dyDescent="0.2">
      <c r="A635" s="196" t="s">
        <v>295</v>
      </c>
      <c r="B635" s="197">
        <v>631.79711499999996</v>
      </c>
      <c r="C635" s="197">
        <v>154.96080000000001</v>
      </c>
      <c r="D635" s="198">
        <v>45715</v>
      </c>
      <c r="E635" s="197">
        <v>175</v>
      </c>
      <c r="F635" s="197">
        <v>4427.45</v>
      </c>
      <c r="G635" s="197">
        <v>14.27</v>
      </c>
      <c r="H635" s="197">
        <v>3.5</v>
      </c>
      <c r="I635" s="197">
        <v>17.77</v>
      </c>
      <c r="J635" s="199"/>
      <c r="K635" s="197">
        <v>787.07079999999996</v>
      </c>
      <c r="L635" s="197">
        <v>27118.131300000001</v>
      </c>
      <c r="M635" s="197">
        <v>137737.13130000001</v>
      </c>
      <c r="N635" s="196"/>
    </row>
    <row r="636" spans="1:14" x14ac:dyDescent="0.2">
      <c r="A636" s="196" t="s">
        <v>296</v>
      </c>
      <c r="B636" s="197">
        <v>251.67</v>
      </c>
      <c r="C636" s="197">
        <v>61.696300000000001</v>
      </c>
      <c r="D636" s="198">
        <v>45652</v>
      </c>
      <c r="E636" s="197">
        <v>600</v>
      </c>
      <c r="F636" s="197">
        <v>1762.75</v>
      </c>
      <c r="G636" s="197">
        <v>14.27</v>
      </c>
      <c r="H636" s="197">
        <v>3.5</v>
      </c>
      <c r="I636" s="197">
        <v>17.77</v>
      </c>
      <c r="J636" s="199"/>
      <c r="K636" s="197">
        <v>313.36630000000002</v>
      </c>
      <c r="L636" s="197">
        <v>37017.75</v>
      </c>
      <c r="M636" s="197">
        <v>188019.75</v>
      </c>
      <c r="N636" s="196"/>
    </row>
    <row r="637" spans="1:14" x14ac:dyDescent="0.2">
      <c r="A637" s="196" t="s">
        <v>296</v>
      </c>
      <c r="B637" s="197">
        <v>251.54442499999999</v>
      </c>
      <c r="C637" s="197">
        <v>61.696300000000001</v>
      </c>
      <c r="D637" s="198">
        <v>45687</v>
      </c>
      <c r="E637" s="197">
        <v>600</v>
      </c>
      <c r="F637" s="197">
        <v>1762.75</v>
      </c>
      <c r="G637" s="197">
        <v>14.27</v>
      </c>
      <c r="H637" s="197">
        <v>3.5</v>
      </c>
      <c r="I637" s="197">
        <v>17.77</v>
      </c>
      <c r="J637" s="199"/>
      <c r="K637" s="197">
        <v>313.36630000000002</v>
      </c>
      <c r="L637" s="197">
        <v>37017.75</v>
      </c>
      <c r="M637" s="197">
        <v>188019.75</v>
      </c>
      <c r="N637" s="196"/>
    </row>
    <row r="638" spans="1:14" x14ac:dyDescent="0.2">
      <c r="A638" s="196" t="s">
        <v>296</v>
      </c>
      <c r="B638" s="197">
        <v>251.54442499999999</v>
      </c>
      <c r="C638" s="197">
        <v>61.696300000000001</v>
      </c>
      <c r="D638" s="198">
        <v>45715</v>
      </c>
      <c r="E638" s="197">
        <v>600</v>
      </c>
      <c r="F638" s="197">
        <v>1762.75</v>
      </c>
      <c r="G638" s="197">
        <v>14.27</v>
      </c>
      <c r="H638" s="197">
        <v>3.5</v>
      </c>
      <c r="I638" s="197">
        <v>17.77</v>
      </c>
      <c r="J638" s="199"/>
      <c r="K638" s="197">
        <v>313.36630000000002</v>
      </c>
      <c r="L638" s="197">
        <v>37017.75</v>
      </c>
      <c r="M638" s="197">
        <v>188019.75</v>
      </c>
      <c r="N638" s="196"/>
    </row>
    <row r="639" spans="1:14" x14ac:dyDescent="0.2">
      <c r="A639" s="196" t="s">
        <v>595</v>
      </c>
      <c r="B639" s="197">
        <v>763.25</v>
      </c>
      <c r="C639" s="197">
        <v>128.80529999999999</v>
      </c>
      <c r="D639" s="198">
        <v>45652</v>
      </c>
      <c r="E639" s="197">
        <v>150</v>
      </c>
      <c r="F639" s="197">
        <v>3680.15</v>
      </c>
      <c r="G639" s="197">
        <v>20.73</v>
      </c>
      <c r="H639" s="197">
        <v>3.5</v>
      </c>
      <c r="I639" s="197">
        <v>24.23</v>
      </c>
      <c r="J639" s="199"/>
      <c r="K639" s="197">
        <v>892.05529999999999</v>
      </c>
      <c r="L639" s="197">
        <v>19320.787499999999</v>
      </c>
      <c r="M639" s="197">
        <v>133808.78750000001</v>
      </c>
      <c r="N639" s="196"/>
    </row>
    <row r="640" spans="1:14" x14ac:dyDescent="0.2">
      <c r="A640" s="196" t="s">
        <v>595</v>
      </c>
      <c r="B640" s="197">
        <v>762.89509499999997</v>
      </c>
      <c r="C640" s="197">
        <v>128.80529999999999</v>
      </c>
      <c r="D640" s="198">
        <v>45687</v>
      </c>
      <c r="E640" s="197">
        <v>150</v>
      </c>
      <c r="F640" s="197">
        <v>3680.15</v>
      </c>
      <c r="G640" s="197">
        <v>20.73</v>
      </c>
      <c r="H640" s="197">
        <v>3.5</v>
      </c>
      <c r="I640" s="197">
        <v>24.23</v>
      </c>
      <c r="J640" s="199"/>
      <c r="K640" s="197">
        <v>892.05529999999999</v>
      </c>
      <c r="L640" s="197">
        <v>19320.787499999999</v>
      </c>
      <c r="M640" s="197">
        <v>133808.78750000001</v>
      </c>
      <c r="N640" s="196"/>
    </row>
    <row r="641" spans="1:14" x14ac:dyDescent="0.2">
      <c r="A641" s="196" t="s">
        <v>595</v>
      </c>
      <c r="B641" s="197">
        <v>762.89509499999997</v>
      </c>
      <c r="C641" s="197">
        <v>128.80529999999999</v>
      </c>
      <c r="D641" s="198">
        <v>45715</v>
      </c>
      <c r="E641" s="197">
        <v>150</v>
      </c>
      <c r="F641" s="197">
        <v>3680.15</v>
      </c>
      <c r="G641" s="197">
        <v>20.73</v>
      </c>
      <c r="H641" s="197">
        <v>3.5</v>
      </c>
      <c r="I641" s="197">
        <v>24.23</v>
      </c>
      <c r="J641" s="199"/>
      <c r="K641" s="197">
        <v>892.05529999999999</v>
      </c>
      <c r="L641" s="197">
        <v>19320.787499999999</v>
      </c>
      <c r="M641" s="197">
        <v>133808.78750000001</v>
      </c>
      <c r="N641" s="196"/>
    </row>
    <row r="642" spans="1:14" x14ac:dyDescent="0.2">
      <c r="A642" s="196" t="s">
        <v>297</v>
      </c>
      <c r="B642" s="197">
        <v>495.85</v>
      </c>
      <c r="C642" s="197">
        <v>121.5568</v>
      </c>
      <c r="D642" s="198">
        <v>45652</v>
      </c>
      <c r="E642" s="197">
        <v>175</v>
      </c>
      <c r="F642" s="197">
        <v>3473.05</v>
      </c>
      <c r="G642" s="197">
        <v>14.27</v>
      </c>
      <c r="H642" s="197">
        <v>3.5</v>
      </c>
      <c r="I642" s="197">
        <v>17.77</v>
      </c>
      <c r="J642" s="199"/>
      <c r="K642" s="197">
        <v>617.40679999999998</v>
      </c>
      <c r="L642" s="197">
        <v>21272.4313</v>
      </c>
      <c r="M642" s="197">
        <v>108046.4313</v>
      </c>
      <c r="N642" s="196"/>
    </row>
    <row r="643" spans="1:14" x14ac:dyDescent="0.2">
      <c r="A643" s="196" t="s">
        <v>297</v>
      </c>
      <c r="B643" s="197">
        <v>495.60423500000002</v>
      </c>
      <c r="C643" s="197">
        <v>121.5568</v>
      </c>
      <c r="D643" s="198">
        <v>45687</v>
      </c>
      <c r="E643" s="197">
        <v>175</v>
      </c>
      <c r="F643" s="197">
        <v>3473.05</v>
      </c>
      <c r="G643" s="197">
        <v>14.27</v>
      </c>
      <c r="H643" s="197">
        <v>3.5</v>
      </c>
      <c r="I643" s="197">
        <v>17.77</v>
      </c>
      <c r="J643" s="199"/>
      <c r="K643" s="197">
        <v>617.40679999999998</v>
      </c>
      <c r="L643" s="197">
        <v>21272.4313</v>
      </c>
      <c r="M643" s="197">
        <v>108046.4313</v>
      </c>
      <c r="N643" s="196"/>
    </row>
    <row r="644" spans="1:14" x14ac:dyDescent="0.2">
      <c r="A644" s="196" t="s">
        <v>297</v>
      </c>
      <c r="B644" s="197">
        <v>495.60423500000002</v>
      </c>
      <c r="C644" s="197">
        <v>121.5568</v>
      </c>
      <c r="D644" s="198">
        <v>45715</v>
      </c>
      <c r="E644" s="197">
        <v>175</v>
      </c>
      <c r="F644" s="197">
        <v>3473.05</v>
      </c>
      <c r="G644" s="197">
        <v>14.27</v>
      </c>
      <c r="H644" s="197">
        <v>3.5</v>
      </c>
      <c r="I644" s="197">
        <v>17.77</v>
      </c>
      <c r="J644" s="199"/>
      <c r="K644" s="197">
        <v>617.40679999999998</v>
      </c>
      <c r="L644" s="197">
        <v>21272.4313</v>
      </c>
      <c r="M644" s="197">
        <v>108046.4313</v>
      </c>
      <c r="N644" s="196"/>
    </row>
    <row r="645" spans="1:14" x14ac:dyDescent="0.2">
      <c r="A645" s="196" t="s">
        <v>298</v>
      </c>
      <c r="B645" s="197">
        <v>481.83</v>
      </c>
      <c r="C645" s="197">
        <v>118.1198</v>
      </c>
      <c r="D645" s="198">
        <v>45652</v>
      </c>
      <c r="E645" s="197">
        <v>250</v>
      </c>
      <c r="F645" s="197">
        <v>3374.85</v>
      </c>
      <c r="G645" s="197">
        <v>14.27</v>
      </c>
      <c r="H645" s="197">
        <v>3.5</v>
      </c>
      <c r="I645" s="197">
        <v>17.77</v>
      </c>
      <c r="J645" s="199"/>
      <c r="K645" s="197">
        <v>599.94979999999998</v>
      </c>
      <c r="L645" s="197">
        <v>29529.9375</v>
      </c>
      <c r="M645" s="197">
        <v>149987.9375</v>
      </c>
      <c r="N645" s="196"/>
    </row>
    <row r="646" spans="1:14" x14ac:dyDescent="0.2">
      <c r="A646" s="196" t="s">
        <v>298</v>
      </c>
      <c r="B646" s="197">
        <v>481.591095</v>
      </c>
      <c r="C646" s="197">
        <v>118.1198</v>
      </c>
      <c r="D646" s="198">
        <v>45687</v>
      </c>
      <c r="E646" s="197">
        <v>250</v>
      </c>
      <c r="F646" s="197">
        <v>3374.85</v>
      </c>
      <c r="G646" s="197">
        <v>14.27</v>
      </c>
      <c r="H646" s="197">
        <v>3.5</v>
      </c>
      <c r="I646" s="197">
        <v>17.77</v>
      </c>
      <c r="J646" s="199"/>
      <c r="K646" s="197">
        <v>599.94979999999998</v>
      </c>
      <c r="L646" s="197">
        <v>29529.9375</v>
      </c>
      <c r="M646" s="197">
        <v>149987.9375</v>
      </c>
      <c r="N646" s="196"/>
    </row>
    <row r="647" spans="1:14" x14ac:dyDescent="0.2">
      <c r="A647" s="196" t="s">
        <v>298</v>
      </c>
      <c r="B647" s="197">
        <v>481.591095</v>
      </c>
      <c r="C647" s="197">
        <v>118.1198</v>
      </c>
      <c r="D647" s="198">
        <v>45715</v>
      </c>
      <c r="E647" s="197">
        <v>250</v>
      </c>
      <c r="F647" s="197">
        <v>3374.85</v>
      </c>
      <c r="G647" s="197">
        <v>14.27</v>
      </c>
      <c r="H647" s="197">
        <v>3.5</v>
      </c>
      <c r="I647" s="197">
        <v>17.77</v>
      </c>
      <c r="J647" s="199"/>
      <c r="K647" s="197">
        <v>599.94979999999998</v>
      </c>
      <c r="L647" s="197">
        <v>29529.9375</v>
      </c>
      <c r="M647" s="197">
        <v>149987.9375</v>
      </c>
      <c r="N647" s="196"/>
    </row>
    <row r="648" spans="1:14" x14ac:dyDescent="0.2">
      <c r="A648" s="196" t="s">
        <v>482</v>
      </c>
      <c r="B648" s="197">
        <v>1294.29</v>
      </c>
      <c r="C648" s="197">
        <v>247.21379999999999</v>
      </c>
      <c r="D648" s="198">
        <v>45652</v>
      </c>
      <c r="E648" s="197">
        <v>100</v>
      </c>
      <c r="F648" s="197">
        <v>7063.25</v>
      </c>
      <c r="G648" s="197">
        <v>18.32</v>
      </c>
      <c r="H648" s="197">
        <v>3.5</v>
      </c>
      <c r="I648" s="197">
        <v>21.82</v>
      </c>
      <c r="J648" s="199"/>
      <c r="K648" s="197">
        <v>1541.5038</v>
      </c>
      <c r="L648" s="197">
        <v>24721.375</v>
      </c>
      <c r="M648" s="197">
        <v>154150.375</v>
      </c>
      <c r="N648" s="196"/>
    </row>
    <row r="649" spans="1:14" x14ac:dyDescent="0.2">
      <c r="A649" s="196" t="s">
        <v>482</v>
      </c>
      <c r="B649" s="197">
        <v>1293.9874</v>
      </c>
      <c r="C649" s="197">
        <v>247.21379999999999</v>
      </c>
      <c r="D649" s="198">
        <v>45687</v>
      </c>
      <c r="E649" s="197">
        <v>100</v>
      </c>
      <c r="F649" s="197">
        <v>7063.25</v>
      </c>
      <c r="G649" s="197">
        <v>18.32</v>
      </c>
      <c r="H649" s="197">
        <v>3.5</v>
      </c>
      <c r="I649" s="197">
        <v>21.82</v>
      </c>
      <c r="J649" s="199"/>
      <c r="K649" s="197">
        <v>1541.5038</v>
      </c>
      <c r="L649" s="197">
        <v>24721.375</v>
      </c>
      <c r="M649" s="197">
        <v>154150.375</v>
      </c>
      <c r="N649" s="196"/>
    </row>
    <row r="650" spans="1:14" x14ac:dyDescent="0.2">
      <c r="A650" s="196" t="s">
        <v>482</v>
      </c>
      <c r="B650" s="197">
        <v>1293.9874</v>
      </c>
      <c r="C650" s="197">
        <v>247.21379999999999</v>
      </c>
      <c r="D650" s="198">
        <v>45715</v>
      </c>
      <c r="E650" s="197">
        <v>100</v>
      </c>
      <c r="F650" s="197">
        <v>7063.25</v>
      </c>
      <c r="G650" s="197">
        <v>18.32</v>
      </c>
      <c r="H650" s="197">
        <v>3.5</v>
      </c>
      <c r="I650" s="197">
        <v>21.82</v>
      </c>
      <c r="J650" s="199"/>
      <c r="K650" s="197">
        <v>1541.5038</v>
      </c>
      <c r="L650" s="197">
        <v>24721.375</v>
      </c>
      <c r="M650" s="197">
        <v>154150.375</v>
      </c>
      <c r="N650" s="196"/>
    </row>
    <row r="651" spans="1:14" x14ac:dyDescent="0.2">
      <c r="A651" s="196" t="s">
        <v>300</v>
      </c>
      <c r="B651" s="197">
        <v>361.42</v>
      </c>
      <c r="C651" s="197">
        <v>88.600800000000007</v>
      </c>
      <c r="D651" s="198">
        <v>45652</v>
      </c>
      <c r="E651" s="197">
        <v>350</v>
      </c>
      <c r="F651" s="197">
        <v>2531.4499999999998</v>
      </c>
      <c r="G651" s="197">
        <v>14.27</v>
      </c>
      <c r="H651" s="197">
        <v>3.5</v>
      </c>
      <c r="I651" s="197">
        <v>17.77</v>
      </c>
      <c r="J651" s="199"/>
      <c r="K651" s="197">
        <v>450.02080000000001</v>
      </c>
      <c r="L651" s="197">
        <v>31010.262500000001</v>
      </c>
      <c r="M651" s="197">
        <v>157507.26250000001</v>
      </c>
      <c r="N651" s="196"/>
    </row>
    <row r="652" spans="1:14" x14ac:dyDescent="0.2">
      <c r="A652" s="196" t="s">
        <v>300</v>
      </c>
      <c r="B652" s="197">
        <v>361.23791499999999</v>
      </c>
      <c r="C652" s="197">
        <v>88.600800000000007</v>
      </c>
      <c r="D652" s="198">
        <v>45687</v>
      </c>
      <c r="E652" s="197">
        <v>350</v>
      </c>
      <c r="F652" s="197">
        <v>2531.4499999999998</v>
      </c>
      <c r="G652" s="197">
        <v>14.27</v>
      </c>
      <c r="H652" s="197">
        <v>3.5</v>
      </c>
      <c r="I652" s="197">
        <v>17.77</v>
      </c>
      <c r="J652" s="199"/>
      <c r="K652" s="197">
        <v>450.02080000000001</v>
      </c>
      <c r="L652" s="197">
        <v>31010.262500000001</v>
      </c>
      <c r="M652" s="197">
        <v>157507.26250000001</v>
      </c>
      <c r="N652" s="196"/>
    </row>
    <row r="653" spans="1:14" x14ac:dyDescent="0.2">
      <c r="A653" s="196" t="s">
        <v>300</v>
      </c>
      <c r="B653" s="197">
        <v>361.23791499999999</v>
      </c>
      <c r="C653" s="197">
        <v>88.600800000000007</v>
      </c>
      <c r="D653" s="198">
        <v>45715</v>
      </c>
      <c r="E653" s="197">
        <v>350</v>
      </c>
      <c r="F653" s="197">
        <v>2531.4499999999998</v>
      </c>
      <c r="G653" s="197">
        <v>14.27</v>
      </c>
      <c r="H653" s="197">
        <v>3.5</v>
      </c>
      <c r="I653" s="197">
        <v>17.77</v>
      </c>
      <c r="J653" s="199"/>
      <c r="K653" s="197">
        <v>450.02080000000001</v>
      </c>
      <c r="L653" s="197">
        <v>31010.262500000001</v>
      </c>
      <c r="M653" s="197">
        <v>157507.26250000001</v>
      </c>
      <c r="N653" s="196"/>
    </row>
    <row r="654" spans="1:14" x14ac:dyDescent="0.2">
      <c r="A654" s="196" t="s">
        <v>301</v>
      </c>
      <c r="B654" s="197">
        <v>283.45</v>
      </c>
      <c r="C654" s="197">
        <v>69.487300000000005</v>
      </c>
      <c r="D654" s="198">
        <v>45652</v>
      </c>
      <c r="E654" s="197">
        <v>400</v>
      </c>
      <c r="F654" s="197">
        <v>1985.35</v>
      </c>
      <c r="G654" s="197">
        <v>14.27</v>
      </c>
      <c r="H654" s="197">
        <v>3.5</v>
      </c>
      <c r="I654" s="197">
        <v>17.77</v>
      </c>
      <c r="J654" s="199"/>
      <c r="K654" s="197">
        <v>352.93729999999999</v>
      </c>
      <c r="L654" s="197">
        <v>27794.9</v>
      </c>
      <c r="M654" s="197">
        <v>141174.9</v>
      </c>
      <c r="N654" s="196"/>
    </row>
    <row r="655" spans="1:14" x14ac:dyDescent="0.2">
      <c r="A655" s="196" t="s">
        <v>301</v>
      </c>
      <c r="B655" s="197">
        <v>283.30944499999998</v>
      </c>
      <c r="C655" s="197">
        <v>69.487300000000005</v>
      </c>
      <c r="D655" s="198">
        <v>45687</v>
      </c>
      <c r="E655" s="197">
        <v>400</v>
      </c>
      <c r="F655" s="197">
        <v>1985.35</v>
      </c>
      <c r="G655" s="197">
        <v>14.27</v>
      </c>
      <c r="H655" s="197">
        <v>3.5</v>
      </c>
      <c r="I655" s="197">
        <v>17.77</v>
      </c>
      <c r="J655" s="199"/>
      <c r="K655" s="197">
        <v>352.93729999999999</v>
      </c>
      <c r="L655" s="197">
        <v>27794.9</v>
      </c>
      <c r="M655" s="197">
        <v>141174.9</v>
      </c>
      <c r="N655" s="196"/>
    </row>
    <row r="656" spans="1:14" x14ac:dyDescent="0.2">
      <c r="A656" s="196" t="s">
        <v>301</v>
      </c>
      <c r="B656" s="197">
        <v>283.30944499999998</v>
      </c>
      <c r="C656" s="197">
        <v>69.487300000000005</v>
      </c>
      <c r="D656" s="198">
        <v>45715</v>
      </c>
      <c r="E656" s="197">
        <v>400</v>
      </c>
      <c r="F656" s="197">
        <v>1985.35</v>
      </c>
      <c r="G656" s="197">
        <v>14.27</v>
      </c>
      <c r="H656" s="197">
        <v>3.5</v>
      </c>
      <c r="I656" s="197">
        <v>17.77</v>
      </c>
      <c r="J656" s="199"/>
      <c r="K656" s="197">
        <v>352.93729999999999</v>
      </c>
      <c r="L656" s="197">
        <v>27794.9</v>
      </c>
      <c r="M656" s="197">
        <v>141174.9</v>
      </c>
      <c r="N656" s="196"/>
    </row>
    <row r="657" spans="1:14" x14ac:dyDescent="0.2">
      <c r="A657" s="196" t="s">
        <v>302</v>
      </c>
      <c r="B657" s="197">
        <v>1698.74</v>
      </c>
      <c r="C657" s="197">
        <v>416.44400000000002</v>
      </c>
      <c r="D657" s="198">
        <v>45652</v>
      </c>
      <c r="E657" s="197">
        <v>50</v>
      </c>
      <c r="F657" s="197">
        <v>11898.4</v>
      </c>
      <c r="G657" s="197">
        <v>14.27</v>
      </c>
      <c r="H657" s="197">
        <v>3.5</v>
      </c>
      <c r="I657" s="197">
        <v>17.77</v>
      </c>
      <c r="J657" s="199"/>
      <c r="K657" s="197">
        <v>2115.1840000000002</v>
      </c>
      <c r="L657" s="197">
        <v>20822.2</v>
      </c>
      <c r="M657" s="197">
        <v>105759.2</v>
      </c>
      <c r="N657" s="196"/>
    </row>
    <row r="658" spans="1:14" x14ac:dyDescent="0.2">
      <c r="A658" s="196" t="s">
        <v>302</v>
      </c>
      <c r="B658" s="197">
        <v>1697.9016799999999</v>
      </c>
      <c r="C658" s="197">
        <v>416.44400000000002</v>
      </c>
      <c r="D658" s="198">
        <v>45687</v>
      </c>
      <c r="E658" s="197">
        <v>50</v>
      </c>
      <c r="F658" s="197">
        <v>11898.4</v>
      </c>
      <c r="G658" s="197">
        <v>14.27</v>
      </c>
      <c r="H658" s="197">
        <v>3.5</v>
      </c>
      <c r="I658" s="197">
        <v>17.77</v>
      </c>
      <c r="J658" s="199"/>
      <c r="K658" s="197">
        <v>2115.1840000000002</v>
      </c>
      <c r="L658" s="197">
        <v>20822.2</v>
      </c>
      <c r="M658" s="197">
        <v>105759.2</v>
      </c>
      <c r="N658" s="196"/>
    </row>
    <row r="659" spans="1:14" x14ac:dyDescent="0.2">
      <c r="A659" s="196" t="s">
        <v>302</v>
      </c>
      <c r="B659" s="197">
        <v>1697.9016799999999</v>
      </c>
      <c r="C659" s="197">
        <v>416.44400000000002</v>
      </c>
      <c r="D659" s="198">
        <v>45715</v>
      </c>
      <c r="E659" s="197">
        <v>50</v>
      </c>
      <c r="F659" s="197">
        <v>11898.4</v>
      </c>
      <c r="G659" s="197">
        <v>14.27</v>
      </c>
      <c r="H659" s="197">
        <v>3.5</v>
      </c>
      <c r="I659" s="197">
        <v>17.77</v>
      </c>
      <c r="J659" s="199"/>
      <c r="K659" s="197">
        <v>2115.1840000000002</v>
      </c>
      <c r="L659" s="197">
        <v>20822.2</v>
      </c>
      <c r="M659" s="197">
        <v>105759.2</v>
      </c>
      <c r="N659" s="196"/>
    </row>
    <row r="660" spans="1:14" x14ac:dyDescent="0.2">
      <c r="A660" s="196" t="s">
        <v>593</v>
      </c>
      <c r="B660" s="197">
        <v>26.62</v>
      </c>
      <c r="C660" s="197">
        <v>4.5220000000000002</v>
      </c>
      <c r="D660" s="198">
        <v>45652</v>
      </c>
      <c r="E660" s="197">
        <v>4425</v>
      </c>
      <c r="F660" s="197">
        <v>129.19999999999999</v>
      </c>
      <c r="G660" s="197">
        <v>20.6</v>
      </c>
      <c r="H660" s="197">
        <v>3.5</v>
      </c>
      <c r="I660" s="197">
        <v>24.1</v>
      </c>
      <c r="J660" s="199"/>
      <c r="K660" s="197">
        <v>31.141999999999999</v>
      </c>
      <c r="L660" s="197">
        <v>20009.849999999999</v>
      </c>
      <c r="M660" s="197">
        <v>137803.85</v>
      </c>
      <c r="N660" s="196"/>
    </row>
    <row r="661" spans="1:14" x14ac:dyDescent="0.2">
      <c r="A661" s="196" t="s">
        <v>593</v>
      </c>
      <c r="B661" s="197">
        <v>26.615200000000002</v>
      </c>
      <c r="C661" s="197">
        <v>4.5220000000000002</v>
      </c>
      <c r="D661" s="198">
        <v>45687</v>
      </c>
      <c r="E661" s="197">
        <v>4425</v>
      </c>
      <c r="F661" s="197">
        <v>129.19999999999999</v>
      </c>
      <c r="G661" s="197">
        <v>20.6</v>
      </c>
      <c r="H661" s="197">
        <v>3.5</v>
      </c>
      <c r="I661" s="197">
        <v>24.1</v>
      </c>
      <c r="J661" s="199"/>
      <c r="K661" s="197">
        <v>31.141999999999999</v>
      </c>
      <c r="L661" s="197">
        <v>20009.849999999999</v>
      </c>
      <c r="M661" s="197">
        <v>137803.85</v>
      </c>
      <c r="N661" s="196"/>
    </row>
    <row r="662" spans="1:14" x14ac:dyDescent="0.2">
      <c r="A662" s="196" t="s">
        <v>593</v>
      </c>
      <c r="B662" s="197">
        <v>26.615200000000002</v>
      </c>
      <c r="C662" s="197">
        <v>4.5220000000000002</v>
      </c>
      <c r="D662" s="198">
        <v>45715</v>
      </c>
      <c r="E662" s="197">
        <v>4425</v>
      </c>
      <c r="F662" s="197">
        <v>129.19999999999999</v>
      </c>
      <c r="G662" s="197">
        <v>20.6</v>
      </c>
      <c r="H662" s="197">
        <v>3.5</v>
      </c>
      <c r="I662" s="197">
        <v>24.1</v>
      </c>
      <c r="J662" s="199"/>
      <c r="K662" s="197">
        <v>31.141999999999999</v>
      </c>
      <c r="L662" s="197">
        <v>20009.849999999999</v>
      </c>
      <c r="M662" s="197">
        <v>137803.85</v>
      </c>
      <c r="N662" s="196"/>
    </row>
    <row r="663" spans="1:14" x14ac:dyDescent="0.2">
      <c r="A663" s="196" t="s">
        <v>569</v>
      </c>
      <c r="B663" s="197">
        <v>216.55</v>
      </c>
      <c r="C663" s="197">
        <v>53.086300000000001</v>
      </c>
      <c r="D663" s="198">
        <v>45652</v>
      </c>
      <c r="E663" s="197">
        <v>350</v>
      </c>
      <c r="F663" s="197">
        <v>1516.75</v>
      </c>
      <c r="G663" s="197">
        <v>14.27</v>
      </c>
      <c r="H663" s="197">
        <v>3.5</v>
      </c>
      <c r="I663" s="197">
        <v>17.77</v>
      </c>
      <c r="J663" s="199"/>
      <c r="K663" s="197">
        <v>269.63630000000001</v>
      </c>
      <c r="L663" s="197">
        <v>18580.1875</v>
      </c>
      <c r="M663" s="197">
        <v>94373.1875</v>
      </c>
      <c r="N663" s="196"/>
    </row>
    <row r="664" spans="1:14" x14ac:dyDescent="0.2">
      <c r="A664" s="196" t="s">
        <v>569</v>
      </c>
      <c r="B664" s="197">
        <v>216.440225</v>
      </c>
      <c r="C664" s="197">
        <v>53.086300000000001</v>
      </c>
      <c r="D664" s="198">
        <v>45687</v>
      </c>
      <c r="E664" s="197">
        <v>350</v>
      </c>
      <c r="F664" s="197">
        <v>1516.75</v>
      </c>
      <c r="G664" s="197">
        <v>14.27</v>
      </c>
      <c r="H664" s="197">
        <v>3.5</v>
      </c>
      <c r="I664" s="197">
        <v>17.77</v>
      </c>
      <c r="J664" s="199"/>
      <c r="K664" s="197">
        <v>269.63630000000001</v>
      </c>
      <c r="L664" s="197">
        <v>18580.1875</v>
      </c>
      <c r="M664" s="197">
        <v>94373.1875</v>
      </c>
      <c r="N664" s="196"/>
    </row>
    <row r="665" spans="1:14" x14ac:dyDescent="0.2">
      <c r="A665" s="196" t="s">
        <v>569</v>
      </c>
      <c r="B665" s="197">
        <v>216.440225</v>
      </c>
      <c r="C665" s="197">
        <v>53.086300000000001</v>
      </c>
      <c r="D665" s="198">
        <v>45715</v>
      </c>
      <c r="E665" s="197">
        <v>350</v>
      </c>
      <c r="F665" s="197">
        <v>1516.75</v>
      </c>
      <c r="G665" s="197">
        <v>14.27</v>
      </c>
      <c r="H665" s="197">
        <v>3.5</v>
      </c>
      <c r="I665" s="197">
        <v>17.77</v>
      </c>
      <c r="J665" s="199"/>
      <c r="K665" s="197">
        <v>269.63630000000001</v>
      </c>
      <c r="L665" s="197">
        <v>18580.1875</v>
      </c>
      <c r="M665" s="197">
        <v>94373.1875</v>
      </c>
      <c r="N665" s="196"/>
    </row>
    <row r="666" spans="1:14" x14ac:dyDescent="0.2">
      <c r="A666" s="196" t="s">
        <v>303</v>
      </c>
      <c r="B666" s="197">
        <v>86.24</v>
      </c>
      <c r="C666" s="197">
        <v>19.32</v>
      </c>
      <c r="D666" s="198">
        <v>45652</v>
      </c>
      <c r="E666" s="197">
        <v>1355</v>
      </c>
      <c r="F666" s="197">
        <v>552</v>
      </c>
      <c r="G666" s="197">
        <v>15.62</v>
      </c>
      <c r="H666" s="197">
        <v>3.5</v>
      </c>
      <c r="I666" s="197">
        <v>19.12</v>
      </c>
      <c r="J666" s="199"/>
      <c r="K666" s="197">
        <v>105.56</v>
      </c>
      <c r="L666" s="197">
        <v>26178.6</v>
      </c>
      <c r="M666" s="197">
        <v>143033.60000000001</v>
      </c>
      <c r="N666" s="196"/>
    </row>
    <row r="667" spans="1:14" x14ac:dyDescent="0.2">
      <c r="A667" s="196" t="s">
        <v>303</v>
      </c>
      <c r="B667" s="197">
        <v>86.222399999999993</v>
      </c>
      <c r="C667" s="197">
        <v>19.32</v>
      </c>
      <c r="D667" s="198">
        <v>45687</v>
      </c>
      <c r="E667" s="197">
        <v>1355</v>
      </c>
      <c r="F667" s="197">
        <v>552</v>
      </c>
      <c r="G667" s="197">
        <v>15.62</v>
      </c>
      <c r="H667" s="197">
        <v>3.5</v>
      </c>
      <c r="I667" s="197">
        <v>19.119999999999997</v>
      </c>
      <c r="J667" s="199"/>
      <c r="K667" s="197">
        <v>105.56</v>
      </c>
      <c r="L667" s="197">
        <v>26178.6</v>
      </c>
      <c r="M667" s="197">
        <v>143033.60000000001</v>
      </c>
      <c r="N667" s="196"/>
    </row>
    <row r="668" spans="1:14" x14ac:dyDescent="0.2">
      <c r="A668" s="196" t="s">
        <v>303</v>
      </c>
      <c r="B668" s="197">
        <v>86.222399999999993</v>
      </c>
      <c r="C668" s="197">
        <v>19.32</v>
      </c>
      <c r="D668" s="198">
        <v>45715</v>
      </c>
      <c r="E668" s="197">
        <v>1355</v>
      </c>
      <c r="F668" s="197">
        <v>552</v>
      </c>
      <c r="G668" s="197">
        <v>15.62</v>
      </c>
      <c r="H668" s="197">
        <v>3.5</v>
      </c>
      <c r="I668" s="197">
        <v>19.119999999999997</v>
      </c>
      <c r="J668" s="199"/>
      <c r="K668" s="197">
        <v>105.56</v>
      </c>
      <c r="L668" s="197">
        <v>26178.6</v>
      </c>
      <c r="M668" s="197">
        <v>143033.60000000001</v>
      </c>
      <c r="N668" s="196"/>
    </row>
    <row r="669" spans="1:14" x14ac:dyDescent="0.2">
      <c r="A669" s="196" t="s">
        <v>586</v>
      </c>
      <c r="B669" s="197">
        <v>119.67</v>
      </c>
      <c r="C669" s="197">
        <v>22.5383</v>
      </c>
      <c r="D669" s="198">
        <v>45652</v>
      </c>
      <c r="E669" s="197">
        <v>875</v>
      </c>
      <c r="F669" s="197">
        <v>643.95000000000005</v>
      </c>
      <c r="G669" s="197">
        <v>18.579999999999998</v>
      </c>
      <c r="H669" s="197">
        <v>3.5</v>
      </c>
      <c r="I669" s="197">
        <v>22.08</v>
      </c>
      <c r="J669" s="199"/>
      <c r="K669" s="197">
        <v>142.20830000000001</v>
      </c>
      <c r="L669" s="197">
        <v>19720.968799999999</v>
      </c>
      <c r="M669" s="197">
        <v>124431.9688</v>
      </c>
      <c r="N669" s="196"/>
    </row>
    <row r="670" spans="1:14" x14ac:dyDescent="0.2">
      <c r="A670" s="196" t="s">
        <v>586</v>
      </c>
      <c r="B670" s="197">
        <v>119.64591</v>
      </c>
      <c r="C670" s="197">
        <v>22.5383</v>
      </c>
      <c r="D670" s="198">
        <v>45687</v>
      </c>
      <c r="E670" s="197">
        <v>875</v>
      </c>
      <c r="F670" s="197">
        <v>643.95000000000005</v>
      </c>
      <c r="G670" s="197">
        <v>18.579999999999998</v>
      </c>
      <c r="H670" s="197">
        <v>3.5</v>
      </c>
      <c r="I670" s="197">
        <v>22.08</v>
      </c>
      <c r="J670" s="199"/>
      <c r="K670" s="197">
        <v>142.20830000000001</v>
      </c>
      <c r="L670" s="197">
        <v>19720.968799999999</v>
      </c>
      <c r="M670" s="197">
        <v>124431.9688</v>
      </c>
      <c r="N670" s="196"/>
    </row>
    <row r="671" spans="1:14" x14ac:dyDescent="0.2">
      <c r="A671" s="196" t="s">
        <v>586</v>
      </c>
      <c r="B671" s="197">
        <v>119.64591</v>
      </c>
      <c r="C671" s="197">
        <v>22.5383</v>
      </c>
      <c r="D671" s="198">
        <v>45715</v>
      </c>
      <c r="E671" s="197">
        <v>875</v>
      </c>
      <c r="F671" s="197">
        <v>643.95000000000005</v>
      </c>
      <c r="G671" s="197">
        <v>18.579999999999998</v>
      </c>
      <c r="H671" s="197">
        <v>3.5</v>
      </c>
      <c r="I671" s="197">
        <v>22.08</v>
      </c>
      <c r="J671" s="199"/>
      <c r="K671" s="197">
        <v>142.20830000000001</v>
      </c>
      <c r="L671" s="197">
        <v>19720.968799999999</v>
      </c>
      <c r="M671" s="197">
        <v>124431.9688</v>
      </c>
      <c r="N671" s="196"/>
    </row>
    <row r="672" spans="1:14" x14ac:dyDescent="0.2">
      <c r="A672" s="196" t="s">
        <v>304</v>
      </c>
      <c r="B672" s="197">
        <v>96.66</v>
      </c>
      <c r="C672" s="197">
        <v>18.002300000000002</v>
      </c>
      <c r="D672" s="198">
        <v>45652</v>
      </c>
      <c r="E672" s="197">
        <v>1150</v>
      </c>
      <c r="F672" s="197">
        <v>514.35</v>
      </c>
      <c r="G672" s="197">
        <v>18.79</v>
      </c>
      <c r="H672" s="197">
        <v>3.5</v>
      </c>
      <c r="I672" s="197">
        <v>22.29</v>
      </c>
      <c r="J672" s="199"/>
      <c r="K672" s="197">
        <v>114.6623</v>
      </c>
      <c r="L672" s="197">
        <v>20702.587500000001</v>
      </c>
      <c r="M672" s="197">
        <v>131861.58749999999</v>
      </c>
      <c r="N672" s="196"/>
    </row>
    <row r="673" spans="1:14" x14ac:dyDescent="0.2">
      <c r="A673" s="196" t="s">
        <v>304</v>
      </c>
      <c r="B673" s="197">
        <v>96.646365000000003</v>
      </c>
      <c r="C673" s="197">
        <v>18.002300000000002</v>
      </c>
      <c r="D673" s="198">
        <v>45687</v>
      </c>
      <c r="E673" s="197">
        <v>1150</v>
      </c>
      <c r="F673" s="197">
        <v>514.35</v>
      </c>
      <c r="G673" s="197">
        <v>18.79</v>
      </c>
      <c r="H673" s="197">
        <v>3.5</v>
      </c>
      <c r="I673" s="197">
        <v>22.29</v>
      </c>
      <c r="J673" s="199"/>
      <c r="K673" s="197">
        <v>114.6623</v>
      </c>
      <c r="L673" s="197">
        <v>20702.587500000001</v>
      </c>
      <c r="M673" s="197">
        <v>131861.58749999999</v>
      </c>
      <c r="N673" s="196"/>
    </row>
    <row r="674" spans="1:14" x14ac:dyDescent="0.2">
      <c r="A674" s="196" t="s">
        <v>304</v>
      </c>
      <c r="B674" s="197">
        <v>96.646365000000003</v>
      </c>
      <c r="C674" s="197">
        <v>18.002300000000002</v>
      </c>
      <c r="D674" s="198">
        <v>45715</v>
      </c>
      <c r="E674" s="197">
        <v>1150</v>
      </c>
      <c r="F674" s="197">
        <v>514.35</v>
      </c>
      <c r="G674" s="197">
        <v>18.79</v>
      </c>
      <c r="H674" s="197">
        <v>3.5</v>
      </c>
      <c r="I674" s="197">
        <v>22.29</v>
      </c>
      <c r="J674" s="199"/>
      <c r="K674" s="197">
        <v>114.6623</v>
      </c>
      <c r="L674" s="197">
        <v>20702.587500000001</v>
      </c>
      <c r="M674" s="197">
        <v>131861.58749999999</v>
      </c>
      <c r="N674" s="196"/>
    </row>
    <row r="675" spans="1:14" x14ac:dyDescent="0.2">
      <c r="A675" s="196" t="s">
        <v>305</v>
      </c>
      <c r="B675" s="197">
        <v>291.48</v>
      </c>
      <c r="C675" s="197">
        <v>62.902000000000001</v>
      </c>
      <c r="D675" s="198">
        <v>45652</v>
      </c>
      <c r="E675" s="197">
        <v>300</v>
      </c>
      <c r="F675" s="197">
        <v>1797.2</v>
      </c>
      <c r="G675" s="197">
        <v>16.21</v>
      </c>
      <c r="H675" s="197">
        <v>3.5</v>
      </c>
      <c r="I675" s="197">
        <v>19.71</v>
      </c>
      <c r="J675" s="199"/>
      <c r="K675" s="197">
        <v>354.38200000000001</v>
      </c>
      <c r="L675" s="197">
        <v>18870.599999999999</v>
      </c>
      <c r="M675" s="197">
        <v>106314.6</v>
      </c>
      <c r="N675" s="196"/>
    </row>
    <row r="676" spans="1:14" x14ac:dyDescent="0.2">
      <c r="A676" s="196" t="s">
        <v>305</v>
      </c>
      <c r="B676" s="197">
        <v>291.32612</v>
      </c>
      <c r="C676" s="197">
        <v>62.902000000000001</v>
      </c>
      <c r="D676" s="198">
        <v>45687</v>
      </c>
      <c r="E676" s="197">
        <v>300</v>
      </c>
      <c r="F676" s="197">
        <v>1797.2</v>
      </c>
      <c r="G676" s="197">
        <v>16.21</v>
      </c>
      <c r="H676" s="197">
        <v>3.5</v>
      </c>
      <c r="I676" s="197">
        <v>19.71</v>
      </c>
      <c r="J676" s="199"/>
      <c r="K676" s="197">
        <v>354.38200000000001</v>
      </c>
      <c r="L676" s="197">
        <v>18870.599999999999</v>
      </c>
      <c r="M676" s="197">
        <v>106314.6</v>
      </c>
      <c r="N676" s="196"/>
    </row>
    <row r="677" spans="1:14" x14ac:dyDescent="0.2">
      <c r="A677" s="196" t="s">
        <v>305</v>
      </c>
      <c r="B677" s="197">
        <v>291.32612</v>
      </c>
      <c r="C677" s="197">
        <v>62.902000000000001</v>
      </c>
      <c r="D677" s="198">
        <v>45715</v>
      </c>
      <c r="E677" s="197">
        <v>300</v>
      </c>
      <c r="F677" s="197">
        <v>1797.2</v>
      </c>
      <c r="G677" s="197">
        <v>16.21</v>
      </c>
      <c r="H677" s="197">
        <v>3.5</v>
      </c>
      <c r="I677" s="197">
        <v>19.71</v>
      </c>
      <c r="J677" s="199"/>
      <c r="K677" s="197">
        <v>354.38200000000001</v>
      </c>
      <c r="L677" s="197">
        <v>18870.599999999999</v>
      </c>
      <c r="M677" s="197">
        <v>106314.6</v>
      </c>
      <c r="N677" s="196"/>
    </row>
    <row r="678" spans="1:14" x14ac:dyDescent="0.2">
      <c r="A678" s="196" t="s">
        <v>306</v>
      </c>
      <c r="B678" s="197">
        <v>44.14</v>
      </c>
      <c r="C678" s="197">
        <v>10.815</v>
      </c>
      <c r="D678" s="198">
        <v>45652</v>
      </c>
      <c r="E678" s="197">
        <v>3000</v>
      </c>
      <c r="F678" s="197">
        <v>309</v>
      </c>
      <c r="G678" s="197">
        <v>14.28</v>
      </c>
      <c r="H678" s="197">
        <v>3.5</v>
      </c>
      <c r="I678" s="197">
        <v>17.78</v>
      </c>
      <c r="J678" s="199"/>
      <c r="K678" s="197">
        <v>54.954999999999998</v>
      </c>
      <c r="L678" s="197">
        <v>32445</v>
      </c>
      <c r="M678" s="197">
        <v>164865</v>
      </c>
      <c r="N678" s="196"/>
    </row>
    <row r="679" spans="1:14" x14ac:dyDescent="0.2">
      <c r="A679" s="196" t="s">
        <v>306</v>
      </c>
      <c r="B679" s="197">
        <v>44.1252</v>
      </c>
      <c r="C679" s="197">
        <v>10.815</v>
      </c>
      <c r="D679" s="198">
        <v>45687</v>
      </c>
      <c r="E679" s="197">
        <v>3000</v>
      </c>
      <c r="F679" s="197">
        <v>309</v>
      </c>
      <c r="G679" s="197">
        <v>14.28</v>
      </c>
      <c r="H679" s="197">
        <v>3.5</v>
      </c>
      <c r="I679" s="197">
        <v>17.78</v>
      </c>
      <c r="J679" s="199"/>
      <c r="K679" s="197">
        <v>54.954999999999998</v>
      </c>
      <c r="L679" s="197">
        <v>32445</v>
      </c>
      <c r="M679" s="197">
        <v>164865</v>
      </c>
      <c r="N679" s="196"/>
    </row>
    <row r="680" spans="1:14" x14ac:dyDescent="0.2">
      <c r="A680" s="196" t="s">
        <v>306</v>
      </c>
      <c r="B680" s="197">
        <v>44.1252</v>
      </c>
      <c r="C680" s="197">
        <v>10.815</v>
      </c>
      <c r="D680" s="198">
        <v>45715</v>
      </c>
      <c r="E680" s="197">
        <v>3000</v>
      </c>
      <c r="F680" s="197">
        <v>309</v>
      </c>
      <c r="G680" s="197">
        <v>14.28</v>
      </c>
      <c r="H680" s="197">
        <v>3.5</v>
      </c>
      <c r="I680" s="197">
        <v>17.78</v>
      </c>
      <c r="J680" s="199"/>
      <c r="K680" s="197">
        <v>54.954999999999998</v>
      </c>
      <c r="L680" s="197">
        <v>32445</v>
      </c>
      <c r="M680" s="197">
        <v>164865</v>
      </c>
      <c r="N680" s="196"/>
    </row>
    <row r="681" spans="1:14" x14ac:dyDescent="0.2">
      <c r="A681" s="196" t="s">
        <v>590</v>
      </c>
      <c r="B681" s="197">
        <v>4.72</v>
      </c>
      <c r="C681" s="197">
        <v>0.75529999999999997</v>
      </c>
      <c r="D681" s="198">
        <v>45652</v>
      </c>
      <c r="E681" s="197">
        <v>26000</v>
      </c>
      <c r="F681" s="197">
        <v>21.58</v>
      </c>
      <c r="G681" s="197">
        <v>21.87</v>
      </c>
      <c r="H681" s="197">
        <v>3.5</v>
      </c>
      <c r="I681" s="197">
        <v>25.37</v>
      </c>
      <c r="J681" s="199"/>
      <c r="K681" s="197">
        <v>5.4752999999999998</v>
      </c>
      <c r="L681" s="197">
        <v>19637.8</v>
      </c>
      <c r="M681" s="197">
        <v>142357.79999999999</v>
      </c>
      <c r="N681" s="196"/>
    </row>
    <row r="682" spans="1:14" x14ac:dyDescent="0.2">
      <c r="A682" s="196" t="s">
        <v>590</v>
      </c>
      <c r="B682" s="197">
        <v>4.7195460000000002</v>
      </c>
      <c r="C682" s="197">
        <v>0.75529999999999997</v>
      </c>
      <c r="D682" s="198">
        <v>45687</v>
      </c>
      <c r="E682" s="197">
        <v>26000</v>
      </c>
      <c r="F682" s="197">
        <v>21.58</v>
      </c>
      <c r="G682" s="197">
        <v>21.87</v>
      </c>
      <c r="H682" s="197">
        <v>3.5</v>
      </c>
      <c r="I682" s="197">
        <v>25.37</v>
      </c>
      <c r="J682" s="199"/>
      <c r="K682" s="197">
        <v>5.4752999999999998</v>
      </c>
      <c r="L682" s="197">
        <v>19637.8</v>
      </c>
      <c r="M682" s="197">
        <v>142357.79999999999</v>
      </c>
      <c r="N682" s="196"/>
    </row>
    <row r="683" spans="1:14" x14ac:dyDescent="0.2">
      <c r="A683" s="196" t="s">
        <v>590</v>
      </c>
      <c r="B683" s="197">
        <v>4.7195460000000002</v>
      </c>
      <c r="C683" s="197">
        <v>0.75529999999999997</v>
      </c>
      <c r="D683" s="198">
        <v>45715</v>
      </c>
      <c r="E683" s="197">
        <v>26000</v>
      </c>
      <c r="F683" s="197">
        <v>21.58</v>
      </c>
      <c r="G683" s="197">
        <v>21.87</v>
      </c>
      <c r="H683" s="197">
        <v>3.5</v>
      </c>
      <c r="I683" s="197">
        <v>25.37</v>
      </c>
      <c r="J683" s="199"/>
      <c r="K683" s="197">
        <v>5.4752999999999998</v>
      </c>
      <c r="L683" s="197">
        <v>19637.8</v>
      </c>
      <c r="M683" s="197">
        <v>142357.79999999999</v>
      </c>
      <c r="N683" s="196"/>
    </row>
    <row r="684" spans="1:14" x14ac:dyDescent="0.2">
      <c r="A684" s="196" t="s">
        <v>571</v>
      </c>
      <c r="B684" s="197">
        <v>63.48</v>
      </c>
      <c r="C684" s="197">
        <v>10.212999999999999</v>
      </c>
      <c r="D684" s="198">
        <v>45652</v>
      </c>
      <c r="E684" s="197">
        <v>2000</v>
      </c>
      <c r="F684" s="197">
        <v>291.8</v>
      </c>
      <c r="G684" s="197">
        <v>21.75</v>
      </c>
      <c r="H684" s="197">
        <v>3.5</v>
      </c>
      <c r="I684" s="197">
        <v>25.25</v>
      </c>
      <c r="J684" s="199"/>
      <c r="K684" s="197">
        <v>73.692999999999998</v>
      </c>
      <c r="L684" s="197">
        <v>20426</v>
      </c>
      <c r="M684" s="197">
        <v>147386</v>
      </c>
      <c r="N684" s="196"/>
    </row>
    <row r="685" spans="1:14" x14ac:dyDescent="0.2">
      <c r="A685" s="196" t="s">
        <v>571</v>
      </c>
      <c r="B685" s="197">
        <v>63.466500000000003</v>
      </c>
      <c r="C685" s="197">
        <v>10.212999999999999</v>
      </c>
      <c r="D685" s="198">
        <v>45687</v>
      </c>
      <c r="E685" s="197">
        <v>2000</v>
      </c>
      <c r="F685" s="197">
        <v>291.8</v>
      </c>
      <c r="G685" s="197">
        <v>21.75</v>
      </c>
      <c r="H685" s="197">
        <v>3.5</v>
      </c>
      <c r="I685" s="197">
        <v>25.25</v>
      </c>
      <c r="J685" s="199"/>
      <c r="K685" s="197">
        <v>73.692999999999998</v>
      </c>
      <c r="L685" s="197">
        <v>20426</v>
      </c>
      <c r="M685" s="197">
        <v>147386</v>
      </c>
      <c r="N685" s="196"/>
    </row>
    <row r="686" spans="1:14" x14ac:dyDescent="0.2">
      <c r="A686" s="196" t="s">
        <v>571</v>
      </c>
      <c r="B686" s="197">
        <v>63.466500000000003</v>
      </c>
      <c r="C686" s="197">
        <v>10.212999999999999</v>
      </c>
      <c r="D686" s="198">
        <v>45715</v>
      </c>
      <c r="E686" s="197">
        <v>2000</v>
      </c>
      <c r="F686" s="197">
        <v>291.8</v>
      </c>
      <c r="G686" s="197">
        <v>21.75</v>
      </c>
      <c r="H686" s="197">
        <v>3.5</v>
      </c>
      <c r="I686" s="197">
        <v>25.25</v>
      </c>
      <c r="J686" s="199"/>
      <c r="K686" s="197">
        <v>73.692999999999998</v>
      </c>
      <c r="L686" s="197">
        <v>20426</v>
      </c>
      <c r="M686" s="197">
        <v>147386</v>
      </c>
      <c r="N686" s="196"/>
    </row>
    <row r="687" spans="1:14" x14ac:dyDescent="0.2">
      <c r="A687" s="196" t="s">
        <v>557</v>
      </c>
      <c r="B687" s="197">
        <v>140.84</v>
      </c>
      <c r="C687" s="197">
        <v>34.525799999999997</v>
      </c>
      <c r="D687" s="198">
        <v>45652</v>
      </c>
      <c r="E687" s="197">
        <v>900</v>
      </c>
      <c r="F687" s="197">
        <v>986.45</v>
      </c>
      <c r="G687" s="197">
        <v>14.27</v>
      </c>
      <c r="H687" s="197">
        <v>3.5</v>
      </c>
      <c r="I687" s="197">
        <v>17.77</v>
      </c>
      <c r="J687" s="199"/>
      <c r="K687" s="197">
        <v>175.36580000000001</v>
      </c>
      <c r="L687" s="197">
        <v>31073.174999999999</v>
      </c>
      <c r="M687" s="197">
        <v>157829.17499999999</v>
      </c>
      <c r="N687" s="196"/>
    </row>
    <row r="688" spans="1:14" x14ac:dyDescent="0.2">
      <c r="A688" s="196" t="s">
        <v>557</v>
      </c>
      <c r="B688" s="197">
        <v>140.76641499999999</v>
      </c>
      <c r="C688" s="197">
        <v>34.525799999999997</v>
      </c>
      <c r="D688" s="198">
        <v>45687</v>
      </c>
      <c r="E688" s="197">
        <v>900</v>
      </c>
      <c r="F688" s="197">
        <v>986.45</v>
      </c>
      <c r="G688" s="197">
        <v>14.27</v>
      </c>
      <c r="H688" s="197">
        <v>3.5</v>
      </c>
      <c r="I688" s="197">
        <v>17.77</v>
      </c>
      <c r="J688" s="199"/>
      <c r="K688" s="197">
        <v>175.36580000000001</v>
      </c>
      <c r="L688" s="197">
        <v>31073.174999999999</v>
      </c>
      <c r="M688" s="197">
        <v>157829.17499999999</v>
      </c>
      <c r="N688" s="196"/>
    </row>
    <row r="689" spans="1:14" x14ac:dyDescent="0.2">
      <c r="A689" s="196" t="s">
        <v>557</v>
      </c>
      <c r="B689" s="197">
        <v>140.76641499999999</v>
      </c>
      <c r="C689" s="197">
        <v>34.525799999999997</v>
      </c>
      <c r="D689" s="198">
        <v>45715</v>
      </c>
      <c r="E689" s="197">
        <v>900</v>
      </c>
      <c r="F689" s="197">
        <v>986.45</v>
      </c>
      <c r="G689" s="197">
        <v>14.27</v>
      </c>
      <c r="H689" s="197">
        <v>3.5</v>
      </c>
      <c r="I689" s="197">
        <v>17.77</v>
      </c>
      <c r="J689" s="199"/>
      <c r="K689" s="197">
        <v>175.36580000000001</v>
      </c>
      <c r="L689" s="197">
        <v>31073.174999999999</v>
      </c>
      <c r="M689" s="197">
        <v>157829.17499999999</v>
      </c>
      <c r="N689" s="196"/>
    </row>
    <row r="690" spans="1:14" x14ac:dyDescent="0.2">
      <c r="A690" s="196"/>
      <c r="B690" s="197"/>
      <c r="C690" s="197"/>
      <c r="D690" s="198"/>
      <c r="E690" s="197"/>
      <c r="F690" s="197"/>
      <c r="G690" s="197"/>
      <c r="H690" s="197"/>
      <c r="I690" s="197"/>
      <c r="J690" s="199"/>
      <c r="K690" s="197"/>
      <c r="L690" s="197"/>
      <c r="M690" s="197"/>
      <c r="N690" s="196"/>
    </row>
  </sheetData>
  <mergeCells count="1">
    <mergeCell ref="A4:N4"/>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4"/>
  <sheetViews>
    <sheetView topLeftCell="A3" workbookViewId="0">
      <selection activeCell="A6" sqref="A6"/>
    </sheetView>
  </sheetViews>
  <sheetFormatPr defaultRowHeight="15" x14ac:dyDescent="0.25"/>
  <cols>
    <col min="1" max="1" width="14.5703125" bestFit="1" customWidth="1"/>
    <col min="2" max="2" width="16.7109375" bestFit="1" customWidth="1"/>
    <col min="3" max="3" width="12.85546875" bestFit="1" customWidth="1"/>
    <col min="4" max="4" width="12.7109375" bestFit="1" customWidth="1"/>
    <col min="7" max="7" width="0" hidden="1" customWidth="1"/>
  </cols>
  <sheetData>
    <row r="1" spans="1:7" ht="19.5" customHeight="1" x14ac:dyDescent="0.25"/>
    <row r="2" spans="1:7" ht="15.75" thickBot="1" x14ac:dyDescent="0.3"/>
    <row r="3" spans="1:7" ht="18.75" customHeight="1" thickBot="1" x14ac:dyDescent="0.3">
      <c r="A3" s="323" t="s">
        <v>380</v>
      </c>
      <c r="B3" s="324"/>
      <c r="C3" s="324"/>
      <c r="D3" s="324"/>
      <c r="E3" s="324"/>
      <c r="F3" s="324"/>
      <c r="G3" s="325"/>
    </row>
    <row r="4" spans="1:7" s="72" customFormat="1" x14ac:dyDescent="0.25">
      <c r="A4" s="108" t="s">
        <v>330</v>
      </c>
      <c r="B4" s="326" t="s">
        <v>380</v>
      </c>
      <c r="C4" s="326"/>
      <c r="D4" s="326"/>
      <c r="E4" s="326"/>
      <c r="F4" s="326"/>
      <c r="G4" s="326"/>
    </row>
    <row r="5" spans="1:7" s="72" customFormat="1" x14ac:dyDescent="0.25">
      <c r="A5" s="71" t="s">
        <v>318</v>
      </c>
      <c r="B5" s="71" t="s">
        <v>381</v>
      </c>
      <c r="C5" s="71" t="s">
        <v>382</v>
      </c>
      <c r="D5" s="71" t="s">
        <v>383</v>
      </c>
      <c r="E5" s="65" t="s">
        <v>384</v>
      </c>
      <c r="F5" s="71" t="s">
        <v>368</v>
      </c>
      <c r="G5" s="71" t="s">
        <v>369</v>
      </c>
    </row>
    <row r="6" spans="1:7" x14ac:dyDescent="0.25">
      <c r="A6" s="101" t="s">
        <v>169</v>
      </c>
      <c r="B6" s="17">
        <v>90837871</v>
      </c>
      <c r="C6" s="17">
        <v>9298050</v>
      </c>
      <c r="D6" s="17">
        <f>C6</f>
        <v>9298050</v>
      </c>
      <c r="E6" s="49">
        <f>VLOOKUP($A6,'Data shares'!$C:$FA,128)*100</f>
        <v>2.0099999999999998</v>
      </c>
      <c r="F6" s="49">
        <f>VLOOKUP($A6,'Data shares'!$C:$FA,129)</f>
        <v>13042750</v>
      </c>
      <c r="G6" s="17"/>
    </row>
    <row r="7" spans="1:7" x14ac:dyDescent="0.25">
      <c r="A7" s="101" t="s">
        <v>228</v>
      </c>
      <c r="B7" s="17">
        <v>292206563</v>
      </c>
      <c r="C7" s="17">
        <v>71903525</v>
      </c>
      <c r="D7" s="17">
        <f t="shared" ref="D7:D70" si="0">C7</f>
        <v>71903525</v>
      </c>
      <c r="E7" s="49">
        <f>VLOOKUP($A7,'Data shares'!$C:$FA,128)*100</f>
        <v>3.47</v>
      </c>
      <c r="F7" s="49">
        <f>VLOOKUP($A7,'Data shares'!$C:$FA,129)</f>
        <v>47133100</v>
      </c>
      <c r="G7" s="17"/>
    </row>
    <row r="8" spans="1:7" x14ac:dyDescent="0.25">
      <c r="A8" s="101" t="s">
        <v>200</v>
      </c>
      <c r="B8" s="17">
        <v>417418754</v>
      </c>
      <c r="C8" s="17">
        <v>109662000</v>
      </c>
      <c r="D8" s="17">
        <f t="shared" si="0"/>
        <v>109662000</v>
      </c>
      <c r="E8" s="49">
        <f>VLOOKUP($A8,'Data shares'!$C:$FA,128)*100</f>
        <v>3.0700000000000003</v>
      </c>
      <c r="F8" s="49">
        <f>VLOOKUP($A8,'Data shares'!$C:$FA,129)</f>
        <v>39017700</v>
      </c>
      <c r="G8" s="17"/>
    </row>
    <row r="9" spans="1:7" x14ac:dyDescent="0.25">
      <c r="A9" s="101" t="s">
        <v>214</v>
      </c>
      <c r="B9" s="17">
        <v>30110093</v>
      </c>
      <c r="C9" s="17">
        <v>10703050</v>
      </c>
      <c r="D9" s="17">
        <f t="shared" si="0"/>
        <v>10703050</v>
      </c>
      <c r="E9" s="49">
        <f>VLOOKUP($A9,'Data shares'!$C:$FA,128)*100</f>
        <v>0.41000000000000003</v>
      </c>
      <c r="F9" s="49">
        <f>VLOOKUP($A9,'Data shares'!$C:$FA,129)</f>
        <v>11107125</v>
      </c>
      <c r="G9" s="17"/>
    </row>
    <row r="10" spans="1:7" x14ac:dyDescent="0.25">
      <c r="A10" s="101" t="s">
        <v>243</v>
      </c>
      <c r="B10" s="17">
        <v>80699820</v>
      </c>
      <c r="C10" s="17">
        <v>65367500</v>
      </c>
      <c r="D10" s="17">
        <f t="shared" si="0"/>
        <v>65367500</v>
      </c>
      <c r="E10" s="49">
        <f>VLOOKUP($A10,'Data shares'!$C:$FA,128)*100</f>
        <v>1.2</v>
      </c>
      <c r="F10" s="49">
        <f>VLOOKUP($A10,'Data shares'!$C:$FA,129)</f>
        <v>10290000</v>
      </c>
      <c r="G10" s="17"/>
    </row>
    <row r="11" spans="1:7" x14ac:dyDescent="0.25">
      <c r="A11" s="101" t="s">
        <v>231</v>
      </c>
      <c r="B11" s="17">
        <v>80556813</v>
      </c>
      <c r="C11" s="17">
        <v>62967200</v>
      </c>
      <c r="D11" s="17">
        <f t="shared" si="0"/>
        <v>62967200</v>
      </c>
      <c r="E11" s="49">
        <f>VLOOKUP($A11,'Data shares'!$C:$FA,128)*100</f>
        <v>3.2</v>
      </c>
      <c r="F11" s="49">
        <f>VLOOKUP($A11,'Data shares'!$C:$FA,129)</f>
        <v>36108300</v>
      </c>
      <c r="G11" s="17"/>
    </row>
    <row r="12" spans="1:7" x14ac:dyDescent="0.25">
      <c r="A12" s="101" t="s">
        <v>195</v>
      </c>
      <c r="B12" s="17">
        <v>23823080</v>
      </c>
      <c r="C12" s="17">
        <v>2862400</v>
      </c>
      <c r="D12" s="17">
        <f t="shared" si="0"/>
        <v>2862400</v>
      </c>
      <c r="E12" s="49">
        <f>VLOOKUP($A12,'Data shares'!$C:$FA,128)*100</f>
        <v>0.31</v>
      </c>
      <c r="F12" s="49">
        <f>VLOOKUP($A12,'Data shares'!$C:$FA,129)</f>
        <v>3182750</v>
      </c>
      <c r="G12" s="17"/>
    </row>
    <row r="13" spans="1:7" x14ac:dyDescent="0.25">
      <c r="A13" s="101" t="s">
        <v>304</v>
      </c>
      <c r="B13" s="17">
        <v>223492679</v>
      </c>
      <c r="C13" s="17">
        <v>98465300</v>
      </c>
      <c r="D13" s="17">
        <f t="shared" si="0"/>
        <v>98465300</v>
      </c>
      <c r="E13" s="49">
        <f>VLOOKUP($A13,'Data shares'!$C:$FA,128)*100</f>
        <v>3.5000000000000004</v>
      </c>
      <c r="F13" s="49">
        <f>VLOOKUP($A13,'Data shares'!$C:$FA,129)</f>
        <v>77055750</v>
      </c>
      <c r="G13" s="17"/>
    </row>
    <row r="14" spans="1:7" x14ac:dyDescent="0.25">
      <c r="A14" s="101" t="s">
        <v>167</v>
      </c>
      <c r="B14" s="17">
        <v>282181803</v>
      </c>
      <c r="C14" s="17">
        <v>95526000</v>
      </c>
      <c r="D14" s="17">
        <f t="shared" si="0"/>
        <v>95526000</v>
      </c>
      <c r="E14" s="49">
        <f>VLOOKUP($A14,'Data shares'!$C:$FA,128)*100</f>
        <v>1.1100000000000001</v>
      </c>
      <c r="F14" s="49">
        <f>VLOOKUP($A14,'Data shares'!$C:$FA,129)</f>
        <v>163195000</v>
      </c>
      <c r="G14" s="17"/>
    </row>
    <row r="15" spans="1:7" x14ac:dyDescent="0.25">
      <c r="A15" s="101" t="s">
        <v>222</v>
      </c>
      <c r="B15" s="17">
        <v>214194964</v>
      </c>
      <c r="C15" s="17">
        <v>37437400</v>
      </c>
      <c r="D15" s="17">
        <f t="shared" si="0"/>
        <v>37437400</v>
      </c>
      <c r="E15" s="49">
        <f>VLOOKUP($A15,'Data shares'!$C:$FA,128)*100</f>
        <v>2.39</v>
      </c>
      <c r="F15" s="49">
        <f>VLOOKUP($A15,'Data shares'!$C:$FA,129)</f>
        <v>17423350</v>
      </c>
      <c r="G15" s="17"/>
    </row>
    <row r="16" spans="1:7" x14ac:dyDescent="0.25">
      <c r="A16" s="101" t="s">
        <v>290</v>
      </c>
      <c r="B16" s="17">
        <v>31601465</v>
      </c>
      <c r="C16" s="17">
        <v>13192000</v>
      </c>
      <c r="D16" s="17">
        <f t="shared" si="0"/>
        <v>13192000</v>
      </c>
      <c r="E16" s="49">
        <f>VLOOKUP($A16,'Data shares'!$C:$FA,128)*100</f>
        <v>6.370000000000001</v>
      </c>
      <c r="F16" s="49">
        <f>VLOOKUP($A16,'Data shares'!$C:$FA,129)</f>
        <v>7634000</v>
      </c>
      <c r="G16" s="17"/>
    </row>
    <row r="17" spans="1:7" x14ac:dyDescent="0.25">
      <c r="A17" s="101" t="s">
        <v>500</v>
      </c>
      <c r="B17" s="17">
        <v>24930381</v>
      </c>
      <c r="C17" s="17">
        <v>1925625</v>
      </c>
      <c r="D17" s="17">
        <f t="shared" si="0"/>
        <v>1925625</v>
      </c>
      <c r="E17" s="49">
        <f>VLOOKUP($A17,'Data shares'!$C:$FA,128)*100</f>
        <v>2.73</v>
      </c>
      <c r="F17" s="49">
        <f>VLOOKUP($A17,'Data shares'!$C:$FA,129)</f>
        <v>31270000</v>
      </c>
      <c r="G17" s="17"/>
    </row>
    <row r="18" spans="1:7" x14ac:dyDescent="0.25">
      <c r="A18" s="101" t="s">
        <v>491</v>
      </c>
      <c r="B18" s="17">
        <v>53841317</v>
      </c>
      <c r="C18" s="17">
        <v>9268750</v>
      </c>
      <c r="D18" s="17">
        <f t="shared" si="0"/>
        <v>9268750</v>
      </c>
      <c r="E18" s="49">
        <f>VLOOKUP($A18,'Data shares'!$C:$FA,128)*100</f>
        <v>0.49</v>
      </c>
      <c r="F18" s="49">
        <f>VLOOKUP($A18,'Data shares'!$C:$FA,129)</f>
        <v>15952250</v>
      </c>
      <c r="G18" s="17"/>
    </row>
    <row r="19" spans="1:7" x14ac:dyDescent="0.25">
      <c r="A19" s="101" t="s">
        <v>257</v>
      </c>
      <c r="B19" s="17">
        <v>43771086</v>
      </c>
      <c r="C19" s="17">
        <v>2865850</v>
      </c>
      <c r="D19" s="17">
        <f t="shared" si="0"/>
        <v>2865850</v>
      </c>
      <c r="E19" s="49">
        <f>VLOOKUP($A19,'Data shares'!$C:$FA,128)*100</f>
        <v>0.19</v>
      </c>
      <c r="F19" s="49">
        <f>VLOOKUP($A19,'Data shares'!$C:$FA,129)</f>
        <v>8920000</v>
      </c>
      <c r="G19" s="17"/>
    </row>
    <row r="20" spans="1:7" x14ac:dyDescent="0.25">
      <c r="A20" s="101" t="s">
        <v>259</v>
      </c>
      <c r="B20" s="17">
        <v>12838406</v>
      </c>
      <c r="C20" s="17">
        <v>3561800</v>
      </c>
      <c r="D20" s="17">
        <f t="shared" si="0"/>
        <v>3561800</v>
      </c>
      <c r="E20" s="49">
        <f>VLOOKUP($A20,'Data shares'!$C:$FA,128)*100</f>
        <v>2.6100000000000003</v>
      </c>
      <c r="F20" s="49">
        <f>VLOOKUP($A20,'Data shares'!$C:$FA,129)</f>
        <v>2608680</v>
      </c>
      <c r="G20" s="17"/>
    </row>
    <row r="21" spans="1:7" x14ac:dyDescent="0.25">
      <c r="A21" s="101" t="s">
        <v>212</v>
      </c>
      <c r="B21" s="17">
        <v>393764205</v>
      </c>
      <c r="C21" s="17">
        <v>124730000</v>
      </c>
      <c r="D21" s="17">
        <f t="shared" si="0"/>
        <v>124730000</v>
      </c>
      <c r="E21" s="49">
        <f>VLOOKUP($A21,'Data shares'!$C:$FA,128)*100</f>
        <v>4.3999999999999995</v>
      </c>
      <c r="F21" s="49">
        <f>VLOOKUP($A21,'Data shares'!$C:$FA,129)</f>
        <v>51455000</v>
      </c>
      <c r="G21" s="17"/>
    </row>
    <row r="22" spans="1:7" x14ac:dyDescent="0.25">
      <c r="A22" s="101" t="s">
        <v>209</v>
      </c>
      <c r="B22" s="17">
        <v>27768950</v>
      </c>
      <c r="C22" s="17">
        <v>5371100</v>
      </c>
      <c r="D22" s="17">
        <f t="shared" si="0"/>
        <v>5371100</v>
      </c>
      <c r="E22" s="49">
        <f>VLOOKUP($A22,'Data shares'!$C:$FA,128)*100</f>
        <v>2.42</v>
      </c>
      <c r="F22" s="49">
        <f>VLOOKUP($A22,'Data shares'!$C:$FA,129)</f>
        <v>2901200</v>
      </c>
      <c r="G22" s="17"/>
    </row>
    <row r="23" spans="1:7" x14ac:dyDescent="0.25">
      <c r="A23" s="101" t="s">
        <v>501</v>
      </c>
      <c r="B23" s="17">
        <v>155792872</v>
      </c>
      <c r="C23" s="17">
        <v>50166406</v>
      </c>
      <c r="D23" s="17">
        <f t="shared" si="0"/>
        <v>50166406</v>
      </c>
      <c r="E23" s="49">
        <f>VLOOKUP($A23,'Data shares'!$C:$FA,128)*100</f>
        <v>2.37</v>
      </c>
      <c r="F23" s="49">
        <f>VLOOKUP($A23,'Data shares'!$C:$FA,129)</f>
        <v>27355000</v>
      </c>
      <c r="G23" s="17"/>
    </row>
    <row r="24" spans="1:7" x14ac:dyDescent="0.25">
      <c r="A24" s="101" t="s">
        <v>276</v>
      </c>
      <c r="B24" s="17">
        <v>678857930</v>
      </c>
      <c r="C24" s="17">
        <v>84677374</v>
      </c>
      <c r="D24" s="17">
        <f t="shared" si="0"/>
        <v>84677374</v>
      </c>
      <c r="E24" s="49">
        <f>VLOOKUP($A24,'Data shares'!$C:$FA,128)*100</f>
        <v>2.11</v>
      </c>
      <c r="F24" s="49">
        <f>VLOOKUP($A24,'Data shares'!$C:$FA,129)</f>
        <v>96550400</v>
      </c>
      <c r="G24" s="17"/>
    </row>
    <row r="25" spans="1:7" x14ac:dyDescent="0.25">
      <c r="A25" s="101" t="s">
        <v>210</v>
      </c>
      <c r="B25" s="17">
        <v>14114257</v>
      </c>
      <c r="C25" s="17">
        <v>11000000</v>
      </c>
      <c r="D25" s="17">
        <f t="shared" si="0"/>
        <v>11000000</v>
      </c>
      <c r="E25" s="49">
        <f>VLOOKUP($A25,'Data shares'!$C:$FA,128)*100</f>
        <v>2.42</v>
      </c>
      <c r="F25" s="49">
        <f>VLOOKUP($A25,'Data shares'!$C:$FA,129)</f>
        <v>2901200</v>
      </c>
      <c r="G25" s="17"/>
    </row>
    <row r="26" spans="1:7" x14ac:dyDescent="0.25">
      <c r="A26" s="101" t="s">
        <v>267</v>
      </c>
      <c r="B26" s="17">
        <v>229794455</v>
      </c>
      <c r="C26" s="17">
        <v>133289800</v>
      </c>
      <c r="D26" s="17">
        <f t="shared" si="0"/>
        <v>133289800</v>
      </c>
      <c r="E26" s="49">
        <f>VLOOKUP($A26,'Data shares'!$C:$FA,128)*100</f>
        <v>1.4500000000000002</v>
      </c>
      <c r="F26" s="49">
        <f>VLOOKUP($A26,'Data shares'!$C:$FA,129)</f>
        <v>337797000</v>
      </c>
      <c r="G26" s="17"/>
    </row>
    <row r="27" spans="1:7" x14ac:dyDescent="0.25">
      <c r="A27" s="101" t="s">
        <v>533</v>
      </c>
      <c r="B27" s="17">
        <v>61337685</v>
      </c>
      <c r="C27" s="17">
        <v>24741600</v>
      </c>
      <c r="D27" s="17">
        <f t="shared" si="0"/>
        <v>24741600</v>
      </c>
      <c r="E27" s="49">
        <f>VLOOKUP($A27,'Data shares'!$C:$FA,128)*100</f>
        <v>1.01</v>
      </c>
      <c r="F27" s="49">
        <f>VLOOKUP($A27,'Data shares'!$C:$FA,129)</f>
        <v>12052025</v>
      </c>
      <c r="G27" s="17"/>
    </row>
    <row r="28" spans="1:7" x14ac:dyDescent="0.25">
      <c r="A28" s="101" t="s">
        <v>502</v>
      </c>
      <c r="B28" s="17">
        <v>5165920</v>
      </c>
      <c r="C28" s="17">
        <v>1179400</v>
      </c>
      <c r="D28" s="17">
        <f t="shared" si="0"/>
        <v>1179400</v>
      </c>
      <c r="E28" s="49">
        <f>VLOOKUP($A28,'Data shares'!$C:$FA,128)*100</f>
        <v>2.91</v>
      </c>
      <c r="F28" s="49">
        <f>VLOOKUP($A28,'Data shares'!$C:$FA,129)</f>
        <v>14710000</v>
      </c>
      <c r="G28" s="17"/>
    </row>
    <row r="29" spans="1:7" x14ac:dyDescent="0.25">
      <c r="A29" s="101" t="s">
        <v>474</v>
      </c>
      <c r="B29" s="17">
        <v>7339737</v>
      </c>
      <c r="C29" s="17">
        <v>979625</v>
      </c>
      <c r="D29" s="17">
        <f t="shared" si="0"/>
        <v>979625</v>
      </c>
      <c r="E29" s="49">
        <f>VLOOKUP($A29,'Data shares'!$C:$FA,128)*100</f>
        <v>3.38</v>
      </c>
      <c r="F29" s="49">
        <f>VLOOKUP($A29,'Data shares'!$C:$FA,129)</f>
        <v>3808000</v>
      </c>
      <c r="G29" s="17"/>
    </row>
    <row r="30" spans="1:7" x14ac:dyDescent="0.25">
      <c r="A30" s="101" t="s">
        <v>158</v>
      </c>
      <c r="B30" s="17">
        <v>17078428</v>
      </c>
      <c r="C30" s="17">
        <v>3648750</v>
      </c>
      <c r="D30" s="17">
        <f t="shared" si="0"/>
        <v>3648750</v>
      </c>
      <c r="E30" s="49">
        <f>VLOOKUP($A30,'Data shares'!$C:$FA,128)*100</f>
        <v>1.23</v>
      </c>
      <c r="F30" s="49">
        <f>VLOOKUP($A30,'Data shares'!$C:$FA,129)</f>
        <v>76114300</v>
      </c>
      <c r="G30" s="17"/>
    </row>
    <row r="31" spans="1:7" x14ac:dyDescent="0.25">
      <c r="A31" s="101" t="s">
        <v>268</v>
      </c>
      <c r="B31" s="17">
        <v>948263976</v>
      </c>
      <c r="C31" s="17">
        <v>170042400</v>
      </c>
      <c r="D31" s="17">
        <f t="shared" si="0"/>
        <v>170042400</v>
      </c>
      <c r="E31" s="49">
        <f>VLOOKUP($A31,'Data shares'!$C:$FA,128)*100</f>
        <v>1.97</v>
      </c>
      <c r="F31" s="49">
        <f>VLOOKUP($A31,'Data shares'!$C:$FA,129)</f>
        <v>84417000</v>
      </c>
      <c r="G31" s="17"/>
    </row>
    <row r="32" spans="1:7" x14ac:dyDescent="0.25">
      <c r="A32" s="101" t="s">
        <v>557</v>
      </c>
      <c r="B32" s="17">
        <v>51441633</v>
      </c>
      <c r="C32" s="17">
        <v>26329600</v>
      </c>
      <c r="D32" s="17">
        <f t="shared" si="0"/>
        <v>26329600</v>
      </c>
      <c r="E32" s="49">
        <f>VLOOKUP($A32,'Data shares'!$C:$FA,128)*100</f>
        <v>1.52</v>
      </c>
      <c r="F32" s="49">
        <f>VLOOKUP($A32,'Data shares'!$C:$FA,129)</f>
        <v>8824500</v>
      </c>
      <c r="G32" s="17"/>
    </row>
    <row r="33" spans="1:7" x14ac:dyDescent="0.25">
      <c r="A33" s="101" t="s">
        <v>549</v>
      </c>
      <c r="B33" s="17">
        <v>319287188</v>
      </c>
      <c r="C33" s="17">
        <v>149780000</v>
      </c>
      <c r="D33" s="17">
        <f t="shared" si="0"/>
        <v>149780000</v>
      </c>
      <c r="E33" s="49">
        <f>VLOOKUP($A33,'Data shares'!$C:$FA,128)*100</f>
        <v>2.4</v>
      </c>
      <c r="F33" s="49">
        <f>VLOOKUP($A33,'Data shares'!$C:$FA,129)</f>
        <v>7015485675</v>
      </c>
      <c r="G33" s="17"/>
    </row>
    <row r="34" spans="1:7" x14ac:dyDescent="0.25">
      <c r="A34" s="101" t="s">
        <v>536</v>
      </c>
      <c r="B34" s="17">
        <v>57585215</v>
      </c>
      <c r="C34" s="17">
        <v>5314000</v>
      </c>
      <c r="D34" s="17">
        <f t="shared" si="0"/>
        <v>5314000</v>
      </c>
      <c r="E34" s="49">
        <f>VLOOKUP($A34,'Data shares'!$C:$FA,128)*100</f>
        <v>2.65</v>
      </c>
      <c r="F34" s="49">
        <f>VLOOKUP($A34,'Data shares'!$C:$FA,129)</f>
        <v>15699200</v>
      </c>
      <c r="G34" s="17"/>
    </row>
    <row r="35" spans="1:7" x14ac:dyDescent="0.25">
      <c r="A35" s="101" t="s">
        <v>270</v>
      </c>
      <c r="B35" s="17">
        <v>1178038</v>
      </c>
      <c r="C35" s="17">
        <v>100890</v>
      </c>
      <c r="D35" s="17">
        <f t="shared" si="0"/>
        <v>100890</v>
      </c>
      <c r="E35" s="49">
        <f>VLOOKUP($A35,'Data shares'!$C:$FA,128)*100</f>
        <v>4</v>
      </c>
      <c r="F35" s="49">
        <f>VLOOKUP($A35,'Data shares'!$C:$FA,129)</f>
        <v>282225</v>
      </c>
      <c r="G35" s="17"/>
    </row>
    <row r="36" spans="1:7" x14ac:dyDescent="0.25">
      <c r="A36" s="101" t="s">
        <v>258</v>
      </c>
      <c r="B36" s="17">
        <v>13335005</v>
      </c>
      <c r="C36" s="17">
        <v>5970600</v>
      </c>
      <c r="D36" s="17">
        <f t="shared" si="0"/>
        <v>5970600</v>
      </c>
      <c r="E36" s="49">
        <f>VLOOKUP($A36,'Data shares'!$C:$FA,128)*100</f>
        <v>0.19</v>
      </c>
      <c r="F36" s="49">
        <f>VLOOKUP($A36,'Data shares'!$C:$FA,129)</f>
        <v>8920000</v>
      </c>
      <c r="G36" s="17"/>
    </row>
    <row r="37" spans="1:7" x14ac:dyDescent="0.25">
      <c r="A37" s="101" t="s">
        <v>301</v>
      </c>
      <c r="B37" s="17">
        <v>14428803</v>
      </c>
      <c r="C37" s="17">
        <v>2171400</v>
      </c>
      <c r="D37" s="17">
        <f t="shared" si="0"/>
        <v>2171400</v>
      </c>
      <c r="E37" s="49">
        <f>VLOOKUP($A37,'Data shares'!$C:$FA,128)*100</f>
        <v>0.70000000000000007</v>
      </c>
      <c r="F37" s="49">
        <f>VLOOKUP($A37,'Data shares'!$C:$FA,129)</f>
        <v>8105300</v>
      </c>
      <c r="G37" s="17"/>
    </row>
    <row r="38" spans="1:7" x14ac:dyDescent="0.25">
      <c r="A38" s="101" t="s">
        <v>283</v>
      </c>
      <c r="B38" s="17">
        <v>747713393</v>
      </c>
      <c r="C38" s="17">
        <v>158166000</v>
      </c>
      <c r="D38" s="17">
        <f t="shared" si="0"/>
        <v>158166000</v>
      </c>
      <c r="E38" s="49">
        <f>VLOOKUP($A38,'Data shares'!$C:$FA,128)*100</f>
        <v>3.88</v>
      </c>
      <c r="F38" s="49">
        <f>VLOOKUP($A38,'Data shares'!$C:$FA,129)</f>
        <v>70955250</v>
      </c>
      <c r="G38" s="17"/>
    </row>
    <row r="39" spans="1:7" x14ac:dyDescent="0.25">
      <c r="A39" s="101" t="s">
        <v>281</v>
      </c>
      <c r="B39" s="17">
        <v>648405756</v>
      </c>
      <c r="C39" s="17">
        <v>61815500</v>
      </c>
      <c r="D39" s="17">
        <f t="shared" si="0"/>
        <v>61815500</v>
      </c>
      <c r="E39" s="49">
        <f>VLOOKUP($A39,'Data shares'!$C:$FA,128)*100</f>
        <v>9.64</v>
      </c>
      <c r="F39" s="49">
        <f>VLOOKUP($A39,'Data shares'!$C:$FA,129)</f>
        <v>119994500</v>
      </c>
      <c r="G39" s="17"/>
    </row>
    <row r="40" spans="1:7" x14ac:dyDescent="0.25">
      <c r="A40" s="101" t="s">
        <v>198</v>
      </c>
      <c r="B40" s="17">
        <v>79546680</v>
      </c>
      <c r="C40" s="17">
        <v>13283750</v>
      </c>
      <c r="D40" s="17">
        <f t="shared" si="0"/>
        <v>13283750</v>
      </c>
      <c r="E40" s="49">
        <f>VLOOKUP($A40,'Data shares'!$C:$FA,128)*100</f>
        <v>0.48</v>
      </c>
      <c r="F40" s="49">
        <f>VLOOKUP($A40,'Data shares'!$C:$FA,129)</f>
        <v>14844375</v>
      </c>
      <c r="G40" s="17"/>
    </row>
    <row r="41" spans="1:7" x14ac:dyDescent="0.25">
      <c r="A41" s="101" t="s">
        <v>299</v>
      </c>
      <c r="B41" s="17">
        <v>44634693</v>
      </c>
      <c r="C41" s="17">
        <v>3805500</v>
      </c>
      <c r="D41" s="17">
        <f t="shared" si="0"/>
        <v>3805500</v>
      </c>
      <c r="E41" s="49">
        <f>VLOOKUP($A41,'Data shares'!$C:$FA,128)*100</f>
        <v>1.1199999999999999</v>
      </c>
      <c r="F41" s="49">
        <f>VLOOKUP($A41,'Data shares'!$C:$FA,129)</f>
        <v>2884900</v>
      </c>
      <c r="G41" s="17"/>
    </row>
    <row r="42" spans="1:7" x14ac:dyDescent="0.25">
      <c r="A42" s="101" t="s">
        <v>273</v>
      </c>
      <c r="B42" s="17">
        <v>232357926</v>
      </c>
      <c r="C42" s="17">
        <v>67053000</v>
      </c>
      <c r="D42" s="17">
        <f t="shared" si="0"/>
        <v>67053000</v>
      </c>
      <c r="E42" s="49">
        <f>VLOOKUP($A42,'Data shares'!$C:$FA,128)*100</f>
        <v>4.99</v>
      </c>
      <c r="F42" s="49">
        <f>VLOOKUP($A42,'Data shares'!$C:$FA,129)</f>
        <v>63571300</v>
      </c>
      <c r="G42" s="17"/>
    </row>
    <row r="43" spans="1:7" x14ac:dyDescent="0.25">
      <c r="A43" s="101" t="s">
        <v>207</v>
      </c>
      <c r="B43" s="17">
        <v>124016568</v>
      </c>
      <c r="C43" s="17">
        <v>57530550</v>
      </c>
      <c r="D43" s="17">
        <f t="shared" si="0"/>
        <v>57530550</v>
      </c>
      <c r="E43" s="49">
        <f>VLOOKUP($A43,'Data shares'!$C:$FA,128)*100</f>
        <v>1.76</v>
      </c>
      <c r="F43" s="49">
        <f>VLOOKUP($A43,'Data shares'!$C:$FA,129)</f>
        <v>57932325</v>
      </c>
      <c r="G43" s="17"/>
    </row>
    <row r="44" spans="1:7" x14ac:dyDescent="0.25">
      <c r="A44" s="101" t="s">
        <v>191</v>
      </c>
      <c r="B44" s="17">
        <v>92946457</v>
      </c>
      <c r="C44" s="17">
        <v>36478000</v>
      </c>
      <c r="D44" s="17">
        <f t="shared" si="0"/>
        <v>36478000</v>
      </c>
      <c r="E44" s="49">
        <f>VLOOKUP($A44,'Data shares'!$C:$FA,128)*100</f>
        <v>1.7399999999999998</v>
      </c>
      <c r="F44" s="49">
        <f>VLOOKUP($A44,'Data shares'!$C:$FA,129)</f>
        <v>40430000</v>
      </c>
      <c r="G44" s="17"/>
    </row>
    <row r="45" spans="1:7" x14ac:dyDescent="0.25">
      <c r="A45" s="101" t="s">
        <v>288</v>
      </c>
      <c r="B45" s="17">
        <v>218440087</v>
      </c>
      <c r="C45" s="17">
        <v>44080400</v>
      </c>
      <c r="D45" s="17">
        <f t="shared" si="0"/>
        <v>44080400</v>
      </c>
      <c r="E45" s="49">
        <f>VLOOKUP($A45,'Data shares'!$C:$FA,128)*100</f>
        <v>1.1599999999999999</v>
      </c>
      <c r="F45" s="49">
        <f>VLOOKUP($A45,'Data shares'!$C:$FA,129)</f>
        <v>20091750</v>
      </c>
      <c r="G45" s="17"/>
    </row>
    <row r="46" spans="1:7" x14ac:dyDescent="0.25">
      <c r="A46" s="101" t="s">
        <v>275</v>
      </c>
      <c r="B46" s="17">
        <v>591377974</v>
      </c>
      <c r="C46" s="17">
        <v>493488000</v>
      </c>
      <c r="D46" s="17">
        <f t="shared" si="0"/>
        <v>493488000</v>
      </c>
      <c r="E46" s="49">
        <f>VLOOKUP($A46,'Data shares'!$C:$FA,128)*100</f>
        <v>2.96</v>
      </c>
      <c r="F46" s="49">
        <f>VLOOKUP($A46,'Data shares'!$C:$FA,129)</f>
        <v>232600000</v>
      </c>
      <c r="G46" s="17"/>
    </row>
    <row r="47" spans="1:7" x14ac:dyDescent="0.25">
      <c r="A47" s="101" t="s">
        <v>277</v>
      </c>
      <c r="B47" s="17">
        <v>10116165</v>
      </c>
      <c r="C47" s="17">
        <v>7378910</v>
      </c>
      <c r="D47" s="17">
        <f t="shared" si="0"/>
        <v>7378910</v>
      </c>
      <c r="E47" s="49">
        <f>VLOOKUP($A47,'Data shares'!$C:$FA,128)*100</f>
        <v>0.97</v>
      </c>
      <c r="F47" s="49">
        <f>VLOOKUP($A47,'Data shares'!$C:$FA,129)</f>
        <v>4220100</v>
      </c>
      <c r="G47" s="17"/>
    </row>
    <row r="48" spans="1:7" x14ac:dyDescent="0.25">
      <c r="A48" s="101" t="s">
        <v>196</v>
      </c>
      <c r="B48" s="17">
        <v>134484114</v>
      </c>
      <c r="C48" s="17">
        <v>73278000</v>
      </c>
      <c r="D48" s="17">
        <f t="shared" si="0"/>
        <v>73278000</v>
      </c>
      <c r="E48" s="49">
        <f>VLOOKUP($A48,'Data shares'!$C:$FA,128)*100</f>
        <v>3.2300000000000004</v>
      </c>
      <c r="F48" s="49">
        <f>VLOOKUP($A48,'Data shares'!$C:$FA,129)</f>
        <v>140906250</v>
      </c>
      <c r="G48" s="17"/>
    </row>
    <row r="49" spans="1:7" x14ac:dyDescent="0.25">
      <c r="A49" s="101" t="s">
        <v>287</v>
      </c>
      <c r="B49" s="17">
        <v>40005132</v>
      </c>
      <c r="C49" s="17">
        <v>6264400</v>
      </c>
      <c r="D49" s="17">
        <f t="shared" si="0"/>
        <v>6264400</v>
      </c>
      <c r="E49" s="49">
        <f>VLOOKUP($A49,'Data shares'!$C:$FA,128)*100</f>
        <v>1.37</v>
      </c>
      <c r="F49" s="49">
        <f>VLOOKUP($A49,'Data shares'!$C:$FA,129)</f>
        <v>3337400</v>
      </c>
      <c r="G49" s="17"/>
    </row>
    <row r="50" spans="1:7" x14ac:dyDescent="0.25">
      <c r="A50" s="101" t="s">
        <v>553</v>
      </c>
      <c r="B50" s="17">
        <v>10595418</v>
      </c>
      <c r="C50" s="17">
        <v>250250</v>
      </c>
      <c r="D50" s="17">
        <f t="shared" si="0"/>
        <v>250250</v>
      </c>
      <c r="E50" s="49">
        <f>VLOOKUP($A50,'Data shares'!$C:$FA,128)*100</f>
        <v>2.56</v>
      </c>
      <c r="F50" s="49">
        <f>VLOOKUP($A50,'Data shares'!$C:$FA,129)</f>
        <v>2184250</v>
      </c>
      <c r="G50" s="17"/>
    </row>
    <row r="51" spans="1:7" x14ac:dyDescent="0.25">
      <c r="A51" s="101" t="s">
        <v>519</v>
      </c>
      <c r="B51" s="17">
        <v>9516271</v>
      </c>
      <c r="C51" s="17">
        <v>1000800</v>
      </c>
      <c r="D51" s="17">
        <f t="shared" si="0"/>
        <v>1000800</v>
      </c>
      <c r="E51" s="49">
        <f>VLOOKUP($A51,'Data shares'!$C:$FA,128)*100</f>
        <v>1.39</v>
      </c>
      <c r="F51" s="49">
        <f>VLOOKUP($A51,'Data shares'!$C:$FA,129)</f>
        <v>3505875</v>
      </c>
      <c r="G51" s="17"/>
    </row>
    <row r="52" spans="1:7" x14ac:dyDescent="0.25">
      <c r="A52" s="101" t="s">
        <v>550</v>
      </c>
      <c r="B52" s="17">
        <v>137684181</v>
      </c>
      <c r="C52" s="17">
        <v>42696000</v>
      </c>
      <c r="D52" s="17">
        <f t="shared" si="0"/>
        <v>42696000</v>
      </c>
      <c r="E52" s="49">
        <f>VLOOKUP($A52,'Data shares'!$C:$FA,128)*100</f>
        <v>3.62</v>
      </c>
      <c r="F52" s="49">
        <f>VLOOKUP($A52,'Data shares'!$C:$FA,129)</f>
        <v>86378500</v>
      </c>
      <c r="G52" s="17"/>
    </row>
    <row r="53" spans="1:7" x14ac:dyDescent="0.25">
      <c r="A53" s="101" t="s">
        <v>284</v>
      </c>
      <c r="B53" s="17">
        <v>2702190</v>
      </c>
      <c r="C53" s="17">
        <v>250575</v>
      </c>
      <c r="D53" s="17">
        <f t="shared" si="0"/>
        <v>250575</v>
      </c>
      <c r="E53" s="49">
        <f>VLOOKUP($A53,'Data shares'!$C:$FA,128)*100</f>
        <v>0.57999999999999996</v>
      </c>
      <c r="F53" s="49">
        <f>VLOOKUP($A53,'Data shares'!$C:$FA,129)</f>
        <v>251000</v>
      </c>
      <c r="G53" s="17"/>
    </row>
    <row r="54" spans="1:7" x14ac:dyDescent="0.25">
      <c r="A54" s="101" t="s">
        <v>488</v>
      </c>
      <c r="B54" s="17">
        <v>5499709</v>
      </c>
      <c r="C54" s="17">
        <v>1097600</v>
      </c>
      <c r="D54" s="17">
        <f t="shared" si="0"/>
        <v>1097600</v>
      </c>
      <c r="E54" s="49">
        <f>VLOOKUP($A54,'Data shares'!$C:$FA,128)*100</f>
        <v>0.55999999999999994</v>
      </c>
      <c r="F54" s="49">
        <f>VLOOKUP($A54,'Data shares'!$C:$FA,129)</f>
        <v>2430600</v>
      </c>
      <c r="G54" s="17"/>
    </row>
    <row r="55" spans="1:7" x14ac:dyDescent="0.25">
      <c r="A55" s="101" t="s">
        <v>523</v>
      </c>
      <c r="B55" s="17">
        <v>118085392</v>
      </c>
      <c r="C55" s="17">
        <v>6549400</v>
      </c>
      <c r="D55" s="17">
        <f t="shared" si="0"/>
        <v>6549400</v>
      </c>
      <c r="E55" s="49">
        <f>VLOOKUP($A55,'Data shares'!$C:$FA,128)*100</f>
        <v>2.8400000000000003</v>
      </c>
      <c r="F55" s="49">
        <f>VLOOKUP($A55,'Data shares'!$C:$FA,129)</f>
        <v>52293600</v>
      </c>
      <c r="G55" s="17"/>
    </row>
    <row r="56" spans="1:7" x14ac:dyDescent="0.25">
      <c r="A56" s="101" t="s">
        <v>485</v>
      </c>
      <c r="B56" s="17">
        <v>6917069</v>
      </c>
      <c r="C56" s="17">
        <v>762075</v>
      </c>
      <c r="D56" s="17">
        <f t="shared" si="0"/>
        <v>762075</v>
      </c>
      <c r="E56" s="49">
        <f>VLOOKUP($A56,'Data shares'!$C:$FA,128)*100</f>
        <v>0.98</v>
      </c>
      <c r="F56" s="49">
        <f>VLOOKUP($A56,'Data shares'!$C:$FA,129)</f>
        <v>7957500</v>
      </c>
      <c r="G56" s="17"/>
    </row>
    <row r="57" spans="1:7" x14ac:dyDescent="0.25">
      <c r="A57" s="101" t="s">
        <v>178</v>
      </c>
      <c r="B57" s="17">
        <v>16125398</v>
      </c>
      <c r="C57" s="17">
        <v>1552600</v>
      </c>
      <c r="D57" s="17">
        <f t="shared" si="0"/>
        <v>1552600</v>
      </c>
      <c r="E57" s="49">
        <f>VLOOKUP($A57,'Data shares'!$C:$FA,128)*100</f>
        <v>3.82</v>
      </c>
      <c r="F57" s="49">
        <f>VLOOKUP($A57,'Data shares'!$C:$FA,129)</f>
        <v>93801750</v>
      </c>
      <c r="G57" s="17"/>
    </row>
    <row r="58" spans="1:7" x14ac:dyDescent="0.25">
      <c r="A58" s="101" t="s">
        <v>240</v>
      </c>
      <c r="B58" s="17">
        <v>727896180</v>
      </c>
      <c r="C58" s="17">
        <v>46526100</v>
      </c>
      <c r="D58" s="17">
        <f t="shared" si="0"/>
        <v>46526100</v>
      </c>
      <c r="E58" s="49">
        <f>VLOOKUP($A58,'Data shares'!$C:$FA,128)*100</f>
        <v>1.53</v>
      </c>
      <c r="F58" s="49">
        <f>VLOOKUP($A58,'Data shares'!$C:$FA,129)</f>
        <v>66801600</v>
      </c>
      <c r="G58" s="17"/>
    </row>
    <row r="59" spans="1:7" x14ac:dyDescent="0.25">
      <c r="A59" s="101" t="s">
        <v>202</v>
      </c>
      <c r="B59" s="17">
        <v>55081874</v>
      </c>
      <c r="C59" s="17">
        <v>10856000</v>
      </c>
      <c r="D59" s="17">
        <f t="shared" si="0"/>
        <v>10856000</v>
      </c>
      <c r="E59" s="49">
        <f>VLOOKUP($A59,'Data shares'!$C:$FA,128)*100</f>
        <v>2.73</v>
      </c>
      <c r="F59" s="49">
        <f>VLOOKUP($A59,'Data shares'!$C:$FA,129)</f>
        <v>31270000</v>
      </c>
      <c r="G59" s="17"/>
    </row>
    <row r="60" spans="1:7" x14ac:dyDescent="0.25">
      <c r="A60" s="101" t="s">
        <v>245</v>
      </c>
      <c r="B60" s="17">
        <v>15273675</v>
      </c>
      <c r="C60" s="17">
        <v>5077125</v>
      </c>
      <c r="D60" s="17">
        <f t="shared" si="0"/>
        <v>5077125</v>
      </c>
      <c r="E60" s="49">
        <f>VLOOKUP($A60,'Data shares'!$C:$FA,128)*100</f>
        <v>4.18</v>
      </c>
      <c r="F60" s="49">
        <f>VLOOKUP($A60,'Data shares'!$C:$FA,129)</f>
        <v>23485000</v>
      </c>
      <c r="G60" s="17"/>
    </row>
    <row r="61" spans="1:7" x14ac:dyDescent="0.25">
      <c r="A61" s="101" t="s">
        <v>173</v>
      </c>
      <c r="B61" s="17">
        <v>541823383</v>
      </c>
      <c r="C61" s="17">
        <v>95378400</v>
      </c>
      <c r="D61" s="17">
        <f t="shared" si="0"/>
        <v>95378400</v>
      </c>
      <c r="E61" s="49">
        <f>VLOOKUP($A61,'Data shares'!$C:$FA,128)*100</f>
        <v>3.15</v>
      </c>
      <c r="F61" s="49">
        <f>VLOOKUP($A61,'Data shares'!$C:$FA,129)</f>
        <v>85845000</v>
      </c>
      <c r="G61" s="17"/>
    </row>
    <row r="62" spans="1:7" x14ac:dyDescent="0.25">
      <c r="A62" s="101" t="s">
        <v>234</v>
      </c>
      <c r="B62" s="17">
        <v>1606294231</v>
      </c>
      <c r="C62" s="17">
        <v>1302000000</v>
      </c>
      <c r="D62" s="17">
        <f t="shared" si="0"/>
        <v>1302000000</v>
      </c>
      <c r="E62" s="49">
        <f>VLOOKUP($A62,'Data shares'!$C:$FA,128)*100</f>
        <v>2.4</v>
      </c>
      <c r="F62" s="49">
        <f>VLOOKUP($A62,'Data shares'!$C:$FA,129)</f>
        <v>7015485675</v>
      </c>
      <c r="G62" s="17"/>
    </row>
    <row r="63" spans="1:7" x14ac:dyDescent="0.25">
      <c r="A63" s="101" t="s">
        <v>235</v>
      </c>
      <c r="B63" s="17">
        <v>789260827</v>
      </c>
      <c r="C63" s="17">
        <v>462303900</v>
      </c>
      <c r="D63" s="17">
        <f t="shared" si="0"/>
        <v>462303900</v>
      </c>
      <c r="E63" s="49">
        <f>VLOOKUP($A63,'Data shares'!$C:$FA,128)*100</f>
        <v>4.74</v>
      </c>
      <c r="F63" s="49">
        <f>VLOOKUP($A63,'Data shares'!$C:$FA,129)</f>
        <v>287311675</v>
      </c>
      <c r="G63" s="17"/>
    </row>
    <row r="64" spans="1:7" x14ac:dyDescent="0.25">
      <c r="A64" s="101" t="s">
        <v>482</v>
      </c>
      <c r="B64" s="17">
        <v>44785930</v>
      </c>
      <c r="C64" s="17">
        <v>4025925</v>
      </c>
      <c r="D64" s="17">
        <f t="shared" si="0"/>
        <v>4025925</v>
      </c>
      <c r="E64" s="49">
        <f>VLOOKUP($A64,'Data shares'!$C:$FA,128)*100</f>
        <v>4.43</v>
      </c>
      <c r="F64" s="49">
        <f>VLOOKUP($A64,'Data shares'!$C:$FA,129)</f>
        <v>7949400</v>
      </c>
      <c r="G64" s="17"/>
    </row>
    <row r="65" spans="1:7" x14ac:dyDescent="0.25">
      <c r="A65" s="101" t="s">
        <v>475</v>
      </c>
      <c r="B65" s="17">
        <v>13287700</v>
      </c>
      <c r="C65" s="17">
        <v>3968400</v>
      </c>
      <c r="D65" s="17">
        <f t="shared" si="0"/>
        <v>3968400</v>
      </c>
      <c r="E65" s="49">
        <f>VLOOKUP($A65,'Data shares'!$C:$FA,128)*100</f>
        <v>0.54</v>
      </c>
      <c r="F65" s="49">
        <f>VLOOKUP($A65,'Data shares'!$C:$FA,129)</f>
        <v>7068000</v>
      </c>
      <c r="G65" s="17"/>
    </row>
    <row r="66" spans="1:7" x14ac:dyDescent="0.25">
      <c r="A66" s="101" t="s">
        <v>306</v>
      </c>
      <c r="B66" s="17">
        <v>292716179</v>
      </c>
      <c r="C66" s="17">
        <v>57797600</v>
      </c>
      <c r="D66" s="17">
        <f t="shared" si="0"/>
        <v>57797600</v>
      </c>
      <c r="E66" s="49">
        <f>VLOOKUP($A66,'Data shares'!$C:$FA,128)*100</f>
        <v>2.8000000000000003</v>
      </c>
      <c r="F66" s="49">
        <f>VLOOKUP($A66,'Data shares'!$C:$FA,129)</f>
        <v>123492000</v>
      </c>
      <c r="G66" s="17"/>
    </row>
    <row r="67" spans="1:7" x14ac:dyDescent="0.25">
      <c r="A67" s="101" t="s">
        <v>262</v>
      </c>
      <c r="B67" s="17">
        <v>21376133</v>
      </c>
      <c r="C67" s="17">
        <v>5958375</v>
      </c>
      <c r="D67" s="17">
        <f t="shared" si="0"/>
        <v>5958375</v>
      </c>
      <c r="E67" s="49">
        <f>VLOOKUP($A67,'Data shares'!$C:$FA,128)*100</f>
        <v>1.7000000000000002</v>
      </c>
      <c r="F67" s="49">
        <f>VLOOKUP($A67,'Data shares'!$C:$FA,129)</f>
        <v>3744400</v>
      </c>
      <c r="G67" s="17"/>
    </row>
    <row r="68" spans="1:7" x14ac:dyDescent="0.25">
      <c r="A68" s="101" t="s">
        <v>174</v>
      </c>
      <c r="B68" s="17">
        <v>26775498</v>
      </c>
      <c r="C68" s="17">
        <v>3494750</v>
      </c>
      <c r="D68" s="17">
        <f t="shared" si="0"/>
        <v>3494750</v>
      </c>
      <c r="E68" s="49">
        <f>VLOOKUP($A68,'Data shares'!$C:$FA,128)*100</f>
        <v>1.69</v>
      </c>
      <c r="F68" s="49">
        <f>VLOOKUP($A68,'Data shares'!$C:$FA,129)</f>
        <v>3305700</v>
      </c>
      <c r="G68" s="17"/>
    </row>
    <row r="69" spans="1:7" x14ac:dyDescent="0.25">
      <c r="A69" s="101" t="s">
        <v>286</v>
      </c>
      <c r="B69" s="17">
        <v>29168705</v>
      </c>
      <c r="C69" s="17">
        <v>6373125</v>
      </c>
      <c r="D69" s="17">
        <f t="shared" si="0"/>
        <v>6373125</v>
      </c>
      <c r="E69" s="49">
        <f>VLOOKUP($A69,'Data shares'!$C:$FA,128)*100</f>
        <v>1.37</v>
      </c>
      <c r="F69" s="49">
        <f>VLOOKUP($A69,'Data shares'!$C:$FA,129)</f>
        <v>3337400</v>
      </c>
      <c r="G69" s="17"/>
    </row>
    <row r="70" spans="1:7" x14ac:dyDescent="0.25">
      <c r="A70" s="101" t="s">
        <v>297</v>
      </c>
      <c r="B70" s="17">
        <v>83636848</v>
      </c>
      <c r="C70" s="17">
        <v>13455750</v>
      </c>
      <c r="D70" s="17">
        <f t="shared" si="0"/>
        <v>13455750</v>
      </c>
      <c r="E70" s="49">
        <f>VLOOKUP($A70,'Data shares'!$C:$FA,128)*100</f>
        <v>4.26</v>
      </c>
      <c r="F70" s="49">
        <f>VLOOKUP($A70,'Data shares'!$C:$FA,129)</f>
        <v>8474375</v>
      </c>
      <c r="G70" s="17"/>
    </row>
    <row r="71" spans="1:7" x14ac:dyDescent="0.25">
      <c r="A71" s="101" t="s">
        <v>302</v>
      </c>
      <c r="B71" s="17">
        <v>23058222</v>
      </c>
      <c r="C71" s="17">
        <v>3980500</v>
      </c>
      <c r="D71" s="17">
        <f t="shared" ref="D71:D134" si="1">C71</f>
        <v>3980500</v>
      </c>
      <c r="E71" s="49">
        <f>VLOOKUP($A71,'Data shares'!$C:$FA,128)*100</f>
        <v>6.0600000000000005</v>
      </c>
      <c r="F71" s="49">
        <f>VLOOKUP($A71,'Data shares'!$C:$FA,129)</f>
        <v>2793950</v>
      </c>
      <c r="G71" s="17"/>
    </row>
    <row r="72" spans="1:7" x14ac:dyDescent="0.25">
      <c r="A72" s="101" t="s">
        <v>307</v>
      </c>
      <c r="B72" s="17">
        <v>184439886</v>
      </c>
      <c r="C72" s="17">
        <v>122460000</v>
      </c>
      <c r="D72" s="17">
        <f t="shared" si="1"/>
        <v>122460000</v>
      </c>
      <c r="E72" s="49">
        <f>VLOOKUP($A72,'Data shares'!$C:$FA,128)*100</f>
        <v>5.0500000000000007</v>
      </c>
      <c r="F72" s="49">
        <f>VLOOKUP($A72,'Data shares'!$C:$FA,129)</f>
        <v>1060634400</v>
      </c>
      <c r="G72" s="17"/>
    </row>
    <row r="73" spans="1:7" x14ac:dyDescent="0.25">
      <c r="A73" s="101" t="s">
        <v>177</v>
      </c>
      <c r="B73" s="17">
        <v>52956314</v>
      </c>
      <c r="C73" s="17">
        <v>7784625</v>
      </c>
      <c r="D73" s="17">
        <f t="shared" si="1"/>
        <v>7784625</v>
      </c>
      <c r="E73" s="49">
        <f>VLOOKUP($A73,'Data shares'!$C:$FA,128)*100</f>
        <v>3.82</v>
      </c>
      <c r="F73" s="49">
        <f>VLOOKUP($A73,'Data shares'!$C:$FA,129)</f>
        <v>93801750</v>
      </c>
      <c r="G73" s="17"/>
    </row>
    <row r="74" spans="1:7" x14ac:dyDescent="0.25">
      <c r="A74" s="101" t="s">
        <v>545</v>
      </c>
      <c r="B74" s="17">
        <v>23498849</v>
      </c>
      <c r="C74" s="17">
        <v>15745600</v>
      </c>
      <c r="D74" s="17">
        <f t="shared" si="1"/>
        <v>15745600</v>
      </c>
      <c r="E74" s="49">
        <f>VLOOKUP($A74,'Data shares'!$C:$FA,128)*100</f>
        <v>3.82</v>
      </c>
      <c r="F74" s="49">
        <f>VLOOKUP($A74,'Data shares'!$C:$FA,129)</f>
        <v>93801750</v>
      </c>
      <c r="G74" s="17"/>
    </row>
    <row r="75" spans="1:7" x14ac:dyDescent="0.25">
      <c r="A75" s="101" t="s">
        <v>185</v>
      </c>
      <c r="B75" s="17">
        <v>238123793</v>
      </c>
      <c r="C75" s="17">
        <v>59926000</v>
      </c>
      <c r="D75" s="17">
        <f t="shared" si="1"/>
        <v>59926000</v>
      </c>
      <c r="E75" s="49">
        <f>VLOOKUP($A75,'Data shares'!$C:$FA,128)*100</f>
        <v>4.34</v>
      </c>
      <c r="F75" s="49">
        <f>VLOOKUP($A75,'Data shares'!$C:$FA,129)</f>
        <v>115295325</v>
      </c>
      <c r="G75" s="17"/>
    </row>
    <row r="76" spans="1:7" x14ac:dyDescent="0.25">
      <c r="A76" s="101" t="s">
        <v>219</v>
      </c>
      <c r="B76" s="17">
        <v>75317259</v>
      </c>
      <c r="C76" s="17">
        <v>12188500</v>
      </c>
      <c r="D76" s="17">
        <f t="shared" si="1"/>
        <v>12188500</v>
      </c>
      <c r="E76" s="49">
        <f>VLOOKUP($A76,'Data shares'!$C:$FA,128)*100</f>
        <v>0.49</v>
      </c>
      <c r="F76" s="49">
        <f>VLOOKUP($A76,'Data shares'!$C:$FA,129)</f>
        <v>15952250</v>
      </c>
      <c r="G76" s="17"/>
    </row>
    <row r="77" spans="1:7" x14ac:dyDescent="0.25">
      <c r="A77" s="101" t="s">
        <v>534</v>
      </c>
      <c r="B77" s="17">
        <v>70381221</v>
      </c>
      <c r="C77" s="17">
        <v>3354100</v>
      </c>
      <c r="D77" s="17">
        <f t="shared" si="1"/>
        <v>3354100</v>
      </c>
      <c r="E77" s="49">
        <f>VLOOKUP($A77,'Data shares'!$C:$FA,128)*100</f>
        <v>0.49</v>
      </c>
      <c r="F77" s="49">
        <f>VLOOKUP($A77,'Data shares'!$C:$FA,129)</f>
        <v>15952250</v>
      </c>
      <c r="G77" s="17"/>
    </row>
    <row r="78" spans="1:7" x14ac:dyDescent="0.25">
      <c r="A78" s="101" t="s">
        <v>516</v>
      </c>
      <c r="B78" s="17">
        <v>27254349</v>
      </c>
      <c r="C78" s="17">
        <v>1133550</v>
      </c>
      <c r="D78" s="17">
        <f t="shared" si="1"/>
        <v>1133550</v>
      </c>
      <c r="E78" s="49">
        <f>VLOOKUP($A78,'Data shares'!$C:$FA,128)*100</f>
        <v>2.34</v>
      </c>
      <c r="F78" s="49">
        <f>VLOOKUP($A78,'Data shares'!$C:$FA,129)</f>
        <v>84854250</v>
      </c>
      <c r="G78" s="17"/>
    </row>
    <row r="79" spans="1:7" x14ac:dyDescent="0.25">
      <c r="A79" s="101" t="s">
        <v>271</v>
      </c>
      <c r="B79" s="17">
        <v>26746179</v>
      </c>
      <c r="C79" s="17">
        <v>5445825</v>
      </c>
      <c r="D79" s="17">
        <f t="shared" si="1"/>
        <v>5445825</v>
      </c>
      <c r="E79" s="49">
        <f>VLOOKUP($A79,'Data shares'!$C:$FA,128)*100</f>
        <v>1.37</v>
      </c>
      <c r="F79" s="49">
        <f>VLOOKUP($A79,'Data shares'!$C:$FA,129)</f>
        <v>17418850</v>
      </c>
      <c r="G79" s="17"/>
    </row>
    <row r="80" spans="1:7" x14ac:dyDescent="0.25">
      <c r="A80" s="101" t="s">
        <v>264</v>
      </c>
      <c r="B80" s="17">
        <v>15844192</v>
      </c>
      <c r="C80" s="17">
        <v>2354125</v>
      </c>
      <c r="D80" s="17">
        <f t="shared" si="1"/>
        <v>2354125</v>
      </c>
      <c r="E80" s="49">
        <f>VLOOKUP($A80,'Data shares'!$C:$FA,128)*100</f>
        <v>0.98</v>
      </c>
      <c r="F80" s="49">
        <f>VLOOKUP($A80,'Data shares'!$C:$FA,129)</f>
        <v>7957500</v>
      </c>
      <c r="G80" s="17"/>
    </row>
    <row r="81" spans="1:7" x14ac:dyDescent="0.25">
      <c r="A81" s="101" t="s">
        <v>208</v>
      </c>
      <c r="B81" s="17">
        <v>24296838</v>
      </c>
      <c r="C81" s="17">
        <v>5125750</v>
      </c>
      <c r="D81" s="17">
        <f t="shared" si="1"/>
        <v>5125750</v>
      </c>
      <c r="E81" s="49">
        <f>VLOOKUP($A81,'Data shares'!$C:$FA,128)*100</f>
        <v>1.3299999999999998</v>
      </c>
      <c r="F81" s="49">
        <f>VLOOKUP($A81,'Data shares'!$C:$FA,129)</f>
        <v>14570625</v>
      </c>
      <c r="G81" s="17"/>
    </row>
    <row r="82" spans="1:7" x14ac:dyDescent="0.25">
      <c r="A82" s="101" t="s">
        <v>552</v>
      </c>
      <c r="B82" s="17">
        <v>23447901</v>
      </c>
      <c r="C82" s="17">
        <v>3785600</v>
      </c>
      <c r="D82" s="17">
        <f t="shared" si="1"/>
        <v>3785600</v>
      </c>
      <c r="E82" s="49">
        <f>VLOOKUP($A82,'Data shares'!$C:$FA,128)*100</f>
        <v>6.370000000000001</v>
      </c>
      <c r="F82" s="49">
        <f>VLOOKUP($A82,'Data shares'!$C:$FA,129)</f>
        <v>7634000</v>
      </c>
      <c r="G82" s="17"/>
    </row>
    <row r="83" spans="1:7" x14ac:dyDescent="0.25">
      <c r="A83" s="101" t="s">
        <v>204</v>
      </c>
      <c r="B83" s="17">
        <v>115362060</v>
      </c>
      <c r="C83" s="17">
        <v>19043750</v>
      </c>
      <c r="D83" s="17">
        <f t="shared" si="1"/>
        <v>19043750</v>
      </c>
      <c r="E83" s="49">
        <f>VLOOKUP($A83,'Data shares'!$C:$FA,128)*100</f>
        <v>1</v>
      </c>
      <c r="F83" s="49">
        <f>VLOOKUP($A83,'Data shares'!$C:$FA,129)</f>
        <v>22565000</v>
      </c>
      <c r="G83" s="17"/>
    </row>
    <row r="84" spans="1:7" x14ac:dyDescent="0.25">
      <c r="A84" s="101" t="s">
        <v>528</v>
      </c>
      <c r="B84" s="17">
        <v>23485458</v>
      </c>
      <c r="C84" s="17">
        <v>4272800</v>
      </c>
      <c r="D84" s="17">
        <f t="shared" si="1"/>
        <v>4272800</v>
      </c>
      <c r="E84" s="49">
        <f>VLOOKUP($A84,'Data shares'!$C:$FA,128)*100</f>
        <v>1.1499999999999999</v>
      </c>
      <c r="F84" s="49">
        <f>VLOOKUP($A84,'Data shares'!$C:$FA,129)</f>
        <v>5371100</v>
      </c>
      <c r="G84" s="17"/>
    </row>
    <row r="85" spans="1:7" x14ac:dyDescent="0.25">
      <c r="A85" s="101" t="s">
        <v>551</v>
      </c>
      <c r="B85" s="17">
        <v>39593365</v>
      </c>
      <c r="C85" s="17">
        <v>12215000</v>
      </c>
      <c r="D85" s="17">
        <f t="shared" si="1"/>
        <v>12215000</v>
      </c>
      <c r="E85" s="49">
        <f>VLOOKUP($A85,'Data shares'!$C:$FA,128)*100</f>
        <v>0.97</v>
      </c>
      <c r="F85" s="49">
        <f>VLOOKUP($A85,'Data shares'!$C:$FA,129)</f>
        <v>4220100</v>
      </c>
      <c r="G85" s="17"/>
    </row>
    <row r="86" spans="1:7" x14ac:dyDescent="0.25">
      <c r="A86" s="101" t="s">
        <v>292</v>
      </c>
      <c r="B86" s="17">
        <v>355933451</v>
      </c>
      <c r="C86" s="17">
        <v>204117000</v>
      </c>
      <c r="D86" s="17">
        <f t="shared" si="1"/>
        <v>204117000</v>
      </c>
      <c r="E86" s="49">
        <f>VLOOKUP($A86,'Data shares'!$C:$FA,128)*100</f>
        <v>2.06</v>
      </c>
      <c r="F86" s="49">
        <f>VLOOKUP($A86,'Data shares'!$C:$FA,129)</f>
        <v>1202000</v>
      </c>
      <c r="G86" s="17"/>
    </row>
    <row r="87" spans="1:7" x14ac:dyDescent="0.25">
      <c r="A87" s="101" t="s">
        <v>239</v>
      </c>
      <c r="B87" s="17">
        <v>117569462</v>
      </c>
      <c r="C87" s="17">
        <v>39785400</v>
      </c>
      <c r="D87" s="17">
        <f t="shared" si="1"/>
        <v>39785400</v>
      </c>
      <c r="E87" s="49">
        <f>VLOOKUP($A87,'Data shares'!$C:$FA,128)*100</f>
        <v>1.7500000000000002</v>
      </c>
      <c r="F87" s="49">
        <f>VLOOKUP($A87,'Data shares'!$C:$FA,129)</f>
        <v>36017800</v>
      </c>
      <c r="G87" s="17"/>
    </row>
    <row r="88" spans="1:7" x14ac:dyDescent="0.25">
      <c r="A88" s="101" t="s">
        <v>513</v>
      </c>
      <c r="B88" s="17">
        <v>16619018</v>
      </c>
      <c r="C88" s="17">
        <v>3155425</v>
      </c>
      <c r="D88" s="17">
        <f t="shared" si="1"/>
        <v>3155425</v>
      </c>
      <c r="E88" s="49">
        <f>VLOOKUP($A88,'Data shares'!$C:$FA,128)*100</f>
        <v>5.8500000000000005</v>
      </c>
      <c r="F88" s="49">
        <f>VLOOKUP($A88,'Data shares'!$C:$FA,129)</f>
        <v>8673300</v>
      </c>
      <c r="G88" s="17"/>
    </row>
    <row r="89" spans="1:7" x14ac:dyDescent="0.25">
      <c r="A89" s="101" t="s">
        <v>224</v>
      </c>
      <c r="B89" s="17">
        <v>669931623</v>
      </c>
      <c r="C89" s="17">
        <v>82663350</v>
      </c>
      <c r="D89" s="17">
        <f t="shared" si="1"/>
        <v>82663350</v>
      </c>
      <c r="E89" s="49">
        <f>VLOOKUP($A89,'Data shares'!$C:$FA,128)*100</f>
        <v>9.67</v>
      </c>
      <c r="F89" s="49">
        <f>VLOOKUP($A89,'Data shares'!$C:$FA,129)</f>
        <v>261030550</v>
      </c>
      <c r="G89" s="17"/>
    </row>
    <row r="90" spans="1:7" x14ac:dyDescent="0.25">
      <c r="A90" s="101" t="s">
        <v>232</v>
      </c>
      <c r="B90" s="17">
        <v>1110506052</v>
      </c>
      <c r="C90" s="17">
        <v>174065375</v>
      </c>
      <c r="D90" s="17">
        <f t="shared" si="1"/>
        <v>174065375</v>
      </c>
      <c r="E90" s="49">
        <f>VLOOKUP($A90,'Data shares'!$C:$FA,128)*100</f>
        <v>9.6199999999999992</v>
      </c>
      <c r="F90" s="49">
        <f>VLOOKUP($A90,'Data shares'!$C:$FA,129)</f>
        <v>128141300</v>
      </c>
      <c r="G90" s="17"/>
    </row>
    <row r="91" spans="1:7" x14ac:dyDescent="0.25">
      <c r="A91" s="101" t="s">
        <v>223</v>
      </c>
      <c r="B91" s="17">
        <v>362202362</v>
      </c>
      <c r="C91" s="17">
        <v>34249800</v>
      </c>
      <c r="D91" s="17">
        <f t="shared" si="1"/>
        <v>34249800</v>
      </c>
      <c r="E91" s="49">
        <f>VLOOKUP($A91,'Data shares'!$C:$FA,128)*100</f>
        <v>2.39</v>
      </c>
      <c r="F91" s="49">
        <f>VLOOKUP($A91,'Data shares'!$C:$FA,129)</f>
        <v>17423350</v>
      </c>
      <c r="G91" s="17"/>
    </row>
    <row r="92" spans="1:7" x14ac:dyDescent="0.25">
      <c r="A92" s="101" t="s">
        <v>218</v>
      </c>
      <c r="B92" s="17">
        <v>23110810</v>
      </c>
      <c r="C92" s="17">
        <v>6940375</v>
      </c>
      <c r="D92" s="17">
        <f t="shared" si="1"/>
        <v>6940375</v>
      </c>
      <c r="E92" s="49">
        <f>VLOOKUP($A92,'Data shares'!$C:$FA,128)*100</f>
        <v>2.56</v>
      </c>
      <c r="F92" s="49">
        <f>VLOOKUP($A92,'Data shares'!$C:$FA,129)</f>
        <v>12864775</v>
      </c>
      <c r="G92" s="17"/>
    </row>
    <row r="93" spans="1:7" x14ac:dyDescent="0.25">
      <c r="A93" s="101" t="s">
        <v>236</v>
      </c>
      <c r="B93" s="17">
        <v>77000080</v>
      </c>
      <c r="C93" s="17">
        <v>25785375</v>
      </c>
      <c r="D93" s="17">
        <f t="shared" si="1"/>
        <v>25785375</v>
      </c>
      <c r="E93" s="49">
        <f>VLOOKUP($A93,'Data shares'!$C:$FA,128)*100</f>
        <v>4.2</v>
      </c>
      <c r="F93" s="49">
        <f>VLOOKUP($A93,'Data shares'!$C:$FA,129)</f>
        <v>72138750</v>
      </c>
      <c r="G93" s="17"/>
    </row>
    <row r="94" spans="1:7" x14ac:dyDescent="0.25">
      <c r="A94" s="101" t="s">
        <v>246</v>
      </c>
      <c r="B94" s="17">
        <v>293666614</v>
      </c>
      <c r="C94" s="17">
        <v>30730800</v>
      </c>
      <c r="D94" s="17">
        <f t="shared" si="1"/>
        <v>30730800</v>
      </c>
      <c r="E94" s="49">
        <f>VLOOKUP($A94,'Data shares'!$C:$FA,128)*100</f>
        <v>5.89</v>
      </c>
      <c r="F94" s="49">
        <f>VLOOKUP($A94,'Data shares'!$C:$FA,129)</f>
        <v>198706000</v>
      </c>
      <c r="G94" s="17"/>
    </row>
    <row r="95" spans="1:7" x14ac:dyDescent="0.25">
      <c r="A95" s="101" t="s">
        <v>532</v>
      </c>
      <c r="B95" s="17">
        <v>32892110</v>
      </c>
      <c r="C95" s="17">
        <v>6216000</v>
      </c>
      <c r="D95" s="17">
        <f t="shared" si="1"/>
        <v>6216000</v>
      </c>
      <c r="E95" s="49">
        <f>VLOOKUP($A95,'Data shares'!$C:$FA,128)*100</f>
        <v>2.3199999999999998</v>
      </c>
      <c r="F95" s="49">
        <f>VLOOKUP($A95,'Data shares'!$C:$FA,129)</f>
        <v>18166200</v>
      </c>
      <c r="G95" s="17"/>
    </row>
    <row r="96" spans="1:7" x14ac:dyDescent="0.25">
      <c r="A96" s="101" t="s">
        <v>242</v>
      </c>
      <c r="B96" s="17">
        <v>2461627231</v>
      </c>
      <c r="C96" s="17">
        <v>322832000</v>
      </c>
      <c r="D96" s="17">
        <f t="shared" si="1"/>
        <v>322832000</v>
      </c>
      <c r="E96" s="49">
        <f>VLOOKUP($A96,'Data shares'!$C:$FA,128)*100</f>
        <v>6.4600000000000009</v>
      </c>
      <c r="F96" s="49">
        <f>VLOOKUP($A96,'Data shares'!$C:$FA,129)</f>
        <v>189019200</v>
      </c>
      <c r="G96" s="17"/>
    </row>
    <row r="97" spans="1:7" x14ac:dyDescent="0.25">
      <c r="A97" s="101" t="s">
        <v>165</v>
      </c>
      <c r="B97" s="17">
        <v>20321931</v>
      </c>
      <c r="C97" s="17">
        <v>3675125</v>
      </c>
      <c r="D97" s="17">
        <f t="shared" si="1"/>
        <v>3675125</v>
      </c>
      <c r="E97" s="49">
        <f>VLOOKUP($A97,'Data shares'!$C:$FA,128)*100</f>
        <v>1.21</v>
      </c>
      <c r="F97" s="49">
        <f>VLOOKUP($A97,'Data shares'!$C:$FA,129)</f>
        <v>3873875</v>
      </c>
      <c r="G97" s="17"/>
    </row>
    <row r="98" spans="1:7" x14ac:dyDescent="0.25">
      <c r="A98" s="101" t="s">
        <v>503</v>
      </c>
      <c r="B98" s="17">
        <v>17788750</v>
      </c>
      <c r="C98" s="17">
        <v>925925</v>
      </c>
      <c r="D98" s="17">
        <f t="shared" si="1"/>
        <v>925925</v>
      </c>
      <c r="E98" s="49">
        <f>VLOOKUP($A98,'Data shares'!$C:$FA,128)*100</f>
        <v>1.81</v>
      </c>
      <c r="F98" s="49">
        <f>VLOOKUP($A98,'Data shares'!$C:$FA,129)</f>
        <v>7237750</v>
      </c>
      <c r="G98" s="17"/>
    </row>
    <row r="99" spans="1:7" x14ac:dyDescent="0.25">
      <c r="A99" s="101" t="s">
        <v>192</v>
      </c>
      <c r="B99" s="17">
        <v>1737683</v>
      </c>
      <c r="C99" s="17">
        <v>235900</v>
      </c>
      <c r="D99" s="17">
        <f t="shared" si="1"/>
        <v>235900</v>
      </c>
      <c r="E99" s="49">
        <f>VLOOKUP($A99,'Data shares'!$C:$FA,128)*100</f>
        <v>1.59</v>
      </c>
      <c r="F99" s="49">
        <f>VLOOKUP($A99,'Data shares'!$C:$FA,129)</f>
        <v>184600</v>
      </c>
      <c r="G99" s="17"/>
    </row>
    <row r="100" spans="1:7" x14ac:dyDescent="0.25">
      <c r="A100" s="101" t="s">
        <v>531</v>
      </c>
      <c r="B100" s="17">
        <v>33015657</v>
      </c>
      <c r="C100" s="17">
        <v>9033700</v>
      </c>
      <c r="D100" s="17">
        <f t="shared" si="1"/>
        <v>9033700</v>
      </c>
      <c r="E100" s="49">
        <f>VLOOKUP($A100,'Data shares'!$C:$FA,128)*100</f>
        <v>3.1399999999999997</v>
      </c>
      <c r="F100" s="49">
        <f>VLOOKUP($A100,'Data shares'!$C:$FA,129)</f>
        <v>9631875</v>
      </c>
      <c r="G100" s="17"/>
    </row>
    <row r="101" spans="1:7" x14ac:dyDescent="0.25">
      <c r="A101" s="101" t="s">
        <v>494</v>
      </c>
      <c r="B101" s="17">
        <v>147873568</v>
      </c>
      <c r="C101" s="17">
        <v>20386400</v>
      </c>
      <c r="D101" s="17">
        <f t="shared" si="1"/>
        <v>20386400</v>
      </c>
      <c r="E101" s="49">
        <f>VLOOKUP($A101,'Data shares'!$C:$FA,128)*100</f>
        <v>2.8400000000000003</v>
      </c>
      <c r="F101" s="49">
        <f>VLOOKUP($A101,'Data shares'!$C:$FA,129)</f>
        <v>52293600</v>
      </c>
      <c r="G101" s="17"/>
    </row>
    <row r="102" spans="1:7" x14ac:dyDescent="0.25">
      <c r="A102" s="101" t="s">
        <v>473</v>
      </c>
      <c r="B102" s="17">
        <v>162372116</v>
      </c>
      <c r="C102" s="17">
        <v>43206800</v>
      </c>
      <c r="D102" s="17">
        <f t="shared" si="1"/>
        <v>43206800</v>
      </c>
      <c r="E102" s="49">
        <f>VLOOKUP($A102,'Data shares'!$C:$FA,128)*100</f>
        <v>0.53</v>
      </c>
      <c r="F102" s="49">
        <f>VLOOKUP($A102,'Data shares'!$C:$FA,129)</f>
        <v>95711700</v>
      </c>
      <c r="G102" s="17"/>
    </row>
    <row r="103" spans="1:7" x14ac:dyDescent="0.25">
      <c r="A103" s="101" t="s">
        <v>225</v>
      </c>
      <c r="B103" s="17">
        <v>187118353</v>
      </c>
      <c r="C103" s="17">
        <v>49800300</v>
      </c>
      <c r="D103" s="17">
        <f t="shared" si="1"/>
        <v>49800300</v>
      </c>
      <c r="E103" s="49">
        <f>VLOOKUP($A103,'Data shares'!$C:$FA,128)*100</f>
        <v>1.41</v>
      </c>
      <c r="F103" s="49">
        <f>VLOOKUP($A103,'Data shares'!$C:$FA,129)</f>
        <v>33836000</v>
      </c>
      <c r="G103" s="17"/>
    </row>
    <row r="104" spans="1:7" x14ac:dyDescent="0.25">
      <c r="A104" s="101" t="s">
        <v>504</v>
      </c>
      <c r="B104" s="17">
        <v>12641694</v>
      </c>
      <c r="C104" s="17">
        <v>6728400</v>
      </c>
      <c r="D104" s="17">
        <f t="shared" si="1"/>
        <v>6728400</v>
      </c>
      <c r="E104" s="49">
        <f>VLOOKUP($A104,'Data shares'!$C:$FA,128)*100</f>
        <v>1.37</v>
      </c>
      <c r="F104" s="49">
        <f>VLOOKUP($A104,'Data shares'!$C:$FA,129)</f>
        <v>3337400</v>
      </c>
      <c r="G104" s="17"/>
    </row>
    <row r="105" spans="1:7" x14ac:dyDescent="0.25">
      <c r="A105" s="101" t="s">
        <v>537</v>
      </c>
      <c r="B105" s="17">
        <v>6343591</v>
      </c>
      <c r="C105" s="17">
        <v>1262250</v>
      </c>
      <c r="D105" s="17">
        <f t="shared" si="1"/>
        <v>1262250</v>
      </c>
      <c r="E105" s="49">
        <f>VLOOKUP($A105,'Data shares'!$C:$FA,128)*100</f>
        <v>2.76</v>
      </c>
      <c r="F105" s="49">
        <f>VLOOKUP($A105,'Data shares'!$C:$FA,129)</f>
        <v>2282000</v>
      </c>
      <c r="G105" s="17"/>
    </row>
    <row r="106" spans="1:7" x14ac:dyDescent="0.25">
      <c r="A106" s="101" t="s">
        <v>256</v>
      </c>
      <c r="B106" s="17">
        <v>62880735</v>
      </c>
      <c r="C106" s="17">
        <v>20391250</v>
      </c>
      <c r="D106" s="17">
        <f t="shared" si="1"/>
        <v>20391250</v>
      </c>
      <c r="E106" s="49">
        <f>VLOOKUP($A106,'Data shares'!$C:$FA,128)*100</f>
        <v>3.65</v>
      </c>
      <c r="F106" s="49">
        <f>VLOOKUP($A106,'Data shares'!$C:$FA,129)</f>
        <v>4381400</v>
      </c>
      <c r="G106" s="17"/>
    </row>
    <row r="107" spans="1:7" x14ac:dyDescent="0.25">
      <c r="A107" s="101" t="s">
        <v>514</v>
      </c>
      <c r="B107" s="17">
        <v>179174844</v>
      </c>
      <c r="C107" s="17">
        <v>67477500</v>
      </c>
      <c r="D107" s="17">
        <f t="shared" si="1"/>
        <v>67477500</v>
      </c>
      <c r="E107" s="49">
        <f>VLOOKUP($A107,'Data shares'!$C:$FA,128)*100</f>
        <v>4.2</v>
      </c>
      <c r="F107" s="49">
        <f>VLOOKUP($A107,'Data shares'!$C:$FA,129)</f>
        <v>72138750</v>
      </c>
      <c r="G107" s="17"/>
    </row>
    <row r="108" spans="1:7" x14ac:dyDescent="0.25">
      <c r="A108" s="101" t="s">
        <v>272</v>
      </c>
      <c r="B108" s="17">
        <v>150000017</v>
      </c>
      <c r="C108" s="17">
        <v>35217000</v>
      </c>
      <c r="D108" s="17">
        <f t="shared" si="1"/>
        <v>35217000</v>
      </c>
      <c r="E108" s="49">
        <f>VLOOKUP($A108,'Data shares'!$C:$FA,128)*100</f>
        <v>0.77</v>
      </c>
      <c r="F108" s="49">
        <f>VLOOKUP($A108,'Data shares'!$C:$FA,129)</f>
        <v>40052000</v>
      </c>
      <c r="G108" s="17"/>
    </row>
    <row r="109" spans="1:7" x14ac:dyDescent="0.25">
      <c r="A109" s="101" t="s">
        <v>470</v>
      </c>
      <c r="B109" s="17">
        <v>6091932</v>
      </c>
      <c r="C109" s="17">
        <v>1893300</v>
      </c>
      <c r="D109" s="17">
        <f t="shared" si="1"/>
        <v>1893300</v>
      </c>
      <c r="E109" s="49">
        <f>VLOOKUP($A109,'Data shares'!$C:$FA,128)*100</f>
        <v>1.34</v>
      </c>
      <c r="F109" s="49">
        <f>VLOOKUP($A109,'Data shares'!$C:$FA,129)</f>
        <v>12298500</v>
      </c>
      <c r="G109" s="17"/>
    </row>
    <row r="110" spans="1:7" x14ac:dyDescent="0.25">
      <c r="A110" s="101" t="s">
        <v>176</v>
      </c>
      <c r="B110" s="17">
        <v>12437219</v>
      </c>
      <c r="C110" s="17">
        <v>1155950</v>
      </c>
      <c r="D110" s="17">
        <f t="shared" si="1"/>
        <v>1155950</v>
      </c>
      <c r="E110" s="49">
        <f>VLOOKUP($A110,'Data shares'!$C:$FA,128)*100</f>
        <v>1.92</v>
      </c>
      <c r="F110" s="49">
        <f>VLOOKUP($A110,'Data shares'!$C:$FA,129)</f>
        <v>14950000</v>
      </c>
      <c r="G110" s="17"/>
    </row>
    <row r="111" spans="1:7" x14ac:dyDescent="0.25">
      <c r="A111" s="101" t="s">
        <v>524</v>
      </c>
      <c r="B111" s="17">
        <v>16479425</v>
      </c>
      <c r="C111" s="17">
        <v>1670750</v>
      </c>
      <c r="D111" s="17">
        <f t="shared" si="1"/>
        <v>1670750</v>
      </c>
      <c r="E111" s="49">
        <f>VLOOKUP($A111,'Data shares'!$C:$FA,128)*100</f>
        <v>0.96</v>
      </c>
      <c r="F111" s="49">
        <f>VLOOKUP($A111,'Data shares'!$C:$FA,129)</f>
        <v>2778750</v>
      </c>
      <c r="G111" s="17"/>
    </row>
    <row r="112" spans="1:7" x14ac:dyDescent="0.25">
      <c r="A112" s="101" t="s">
        <v>487</v>
      </c>
      <c r="B112" s="17">
        <v>16533935</v>
      </c>
      <c r="C112" s="17">
        <v>1807050</v>
      </c>
      <c r="D112" s="17">
        <f t="shared" si="1"/>
        <v>1807050</v>
      </c>
      <c r="E112" s="49">
        <f>VLOOKUP($A112,'Data shares'!$C:$FA,128)*100</f>
        <v>0.57999999999999996</v>
      </c>
      <c r="F112" s="49">
        <f>VLOOKUP($A112,'Data shares'!$C:$FA,129)</f>
        <v>4601300</v>
      </c>
      <c r="G112" s="17"/>
    </row>
    <row r="113" spans="1:7" x14ac:dyDescent="0.25">
      <c r="A113" s="101" t="s">
        <v>305</v>
      </c>
      <c r="B113" s="17">
        <v>46126252</v>
      </c>
      <c r="C113" s="17">
        <v>7513500</v>
      </c>
      <c r="D113" s="17">
        <f t="shared" si="1"/>
        <v>7513500</v>
      </c>
      <c r="E113" s="49">
        <f>VLOOKUP($A113,'Data shares'!$C:$FA,128)*100</f>
        <v>1.03</v>
      </c>
      <c r="F113" s="49">
        <f>VLOOKUP($A113,'Data shares'!$C:$FA,129)</f>
        <v>11872875</v>
      </c>
      <c r="G113" s="17"/>
    </row>
    <row r="114" spans="1:7" x14ac:dyDescent="0.25">
      <c r="A114" s="101" t="s">
        <v>238</v>
      </c>
      <c r="B114" s="17">
        <v>19428657</v>
      </c>
      <c r="C114" s="17">
        <v>5637750</v>
      </c>
      <c r="D114" s="17">
        <f t="shared" si="1"/>
        <v>5637750</v>
      </c>
      <c r="E114" s="49">
        <f>VLOOKUP($A114,'Data shares'!$C:$FA,128)*100</f>
        <v>1.77</v>
      </c>
      <c r="F114" s="49">
        <f>VLOOKUP($A114,'Data shares'!$C:$FA,129)</f>
        <v>8117700</v>
      </c>
      <c r="G114" s="17"/>
    </row>
    <row r="115" spans="1:7" x14ac:dyDescent="0.25">
      <c r="A115" s="101" t="s">
        <v>527</v>
      </c>
      <c r="B115" s="17">
        <v>7494363</v>
      </c>
      <c r="C115" s="17">
        <v>739375</v>
      </c>
      <c r="D115" s="17">
        <f t="shared" si="1"/>
        <v>739375</v>
      </c>
      <c r="E115" s="49">
        <f>VLOOKUP($A115,'Data shares'!$C:$FA,128)*100</f>
        <v>4.96</v>
      </c>
      <c r="F115" s="49">
        <f>VLOOKUP($A115,'Data shares'!$C:$FA,129)</f>
        <v>165000550</v>
      </c>
      <c r="G115" s="17"/>
    </row>
    <row r="116" spans="1:7" x14ac:dyDescent="0.25">
      <c r="A116" s="101" t="s">
        <v>489</v>
      </c>
      <c r="B116" s="17">
        <v>9087752</v>
      </c>
      <c r="C116" s="17">
        <v>1575750</v>
      </c>
      <c r="D116" s="17">
        <f t="shared" si="1"/>
        <v>1575750</v>
      </c>
      <c r="E116" s="49">
        <f>VLOOKUP($A116,'Data shares'!$C:$FA,128)*100</f>
        <v>2.9499999999999997</v>
      </c>
      <c r="F116" s="49">
        <f>VLOOKUP($A116,'Data shares'!$C:$FA,129)</f>
        <v>45166500</v>
      </c>
      <c r="G116" s="17"/>
    </row>
    <row r="117" spans="1:7" x14ac:dyDescent="0.25">
      <c r="A117" s="101" t="s">
        <v>484</v>
      </c>
      <c r="B117" s="17">
        <v>3300938</v>
      </c>
      <c r="C117" s="17">
        <v>190125</v>
      </c>
      <c r="D117" s="17">
        <f t="shared" si="1"/>
        <v>190125</v>
      </c>
      <c r="E117" s="49">
        <f>VLOOKUP($A117,'Data shares'!$C:$FA,128)*100</f>
        <v>4.99</v>
      </c>
      <c r="F117" s="49">
        <f>VLOOKUP($A117,'Data shares'!$C:$FA,129)</f>
        <v>63571300</v>
      </c>
      <c r="G117" s="17"/>
    </row>
    <row r="118" spans="1:7" x14ac:dyDescent="0.25">
      <c r="A118" s="101" t="s">
        <v>285</v>
      </c>
      <c r="B118" s="17">
        <v>17806068</v>
      </c>
      <c r="C118" s="17">
        <v>1857900</v>
      </c>
      <c r="D118" s="17">
        <f t="shared" si="1"/>
        <v>1857900</v>
      </c>
      <c r="E118" s="49">
        <f>VLOOKUP($A118,'Data shares'!$C:$FA,128)*100</f>
        <v>2.0699999999999998</v>
      </c>
      <c r="F118" s="49">
        <f>VLOOKUP($A118,'Data shares'!$C:$FA,129)</f>
        <v>2389800</v>
      </c>
      <c r="G118" s="17"/>
    </row>
    <row r="119" spans="1:7" x14ac:dyDescent="0.25">
      <c r="A119" s="101" t="s">
        <v>554</v>
      </c>
      <c r="B119" s="17">
        <v>18562709</v>
      </c>
      <c r="C119" s="17">
        <v>2173500</v>
      </c>
      <c r="D119" s="17">
        <f t="shared" si="1"/>
        <v>2173500</v>
      </c>
      <c r="E119" s="49">
        <f>VLOOKUP($A119,'Data shares'!$C:$FA,128)*100</f>
        <v>2.4</v>
      </c>
      <c r="F119" s="49">
        <f>VLOOKUP($A119,'Data shares'!$C:$FA,129)</f>
        <v>92174225</v>
      </c>
      <c r="G119" s="17"/>
    </row>
    <row r="120" spans="1:7" x14ac:dyDescent="0.25">
      <c r="A120" s="101" t="s">
        <v>293</v>
      </c>
      <c r="B120" s="17">
        <v>339616396</v>
      </c>
      <c r="C120" s="17">
        <v>214528500</v>
      </c>
      <c r="D120" s="17">
        <f t="shared" si="1"/>
        <v>214528500</v>
      </c>
      <c r="E120" s="49">
        <f>VLOOKUP($A120,'Data shares'!$C:$FA,128)*100</f>
        <v>3.29</v>
      </c>
      <c r="F120" s="49">
        <f>VLOOKUP($A120,'Data shares'!$C:$FA,129)</f>
        <v>56293350</v>
      </c>
      <c r="G120" s="17"/>
    </row>
    <row r="121" spans="1:7" x14ac:dyDescent="0.25">
      <c r="A121" s="101" t="s">
        <v>282</v>
      </c>
      <c r="B121" s="17">
        <v>289139949</v>
      </c>
      <c r="C121" s="17">
        <v>230878500</v>
      </c>
      <c r="D121" s="17">
        <f t="shared" si="1"/>
        <v>230878500</v>
      </c>
      <c r="E121" s="49">
        <f>VLOOKUP($A121,'Data shares'!$C:$FA,128)*100</f>
        <v>1.53</v>
      </c>
      <c r="F121" s="49">
        <f>VLOOKUP($A121,'Data shares'!$C:$FA,129)</f>
        <v>192220600</v>
      </c>
      <c r="G121" s="17"/>
    </row>
    <row r="122" spans="1:7" x14ac:dyDescent="0.25">
      <c r="A122" s="101" t="s">
        <v>248</v>
      </c>
      <c r="B122" s="17">
        <v>60244101</v>
      </c>
      <c r="C122" s="17">
        <v>36578000</v>
      </c>
      <c r="D122" s="17">
        <f t="shared" si="1"/>
        <v>36578000</v>
      </c>
      <c r="E122" s="49">
        <f>VLOOKUP($A122,'Data shares'!$C:$FA,128)*100</f>
        <v>1.6</v>
      </c>
      <c r="F122" s="49">
        <f>VLOOKUP($A122,'Data shares'!$C:$FA,129)</f>
        <v>30190000</v>
      </c>
      <c r="G122" s="17"/>
    </row>
    <row r="123" spans="1:7" x14ac:dyDescent="0.25">
      <c r="A123" s="101" t="s">
        <v>189</v>
      </c>
      <c r="B123" s="17">
        <v>510707358</v>
      </c>
      <c r="C123" s="17">
        <v>94385350</v>
      </c>
      <c r="D123" s="17">
        <f t="shared" si="1"/>
        <v>94385350</v>
      </c>
      <c r="E123" s="49">
        <f>VLOOKUP($A123,'Data shares'!$C:$FA,128)*100</f>
        <v>4.32</v>
      </c>
      <c r="F123" s="49">
        <f>VLOOKUP($A123,'Data shares'!$C:$FA,129)</f>
        <v>54486300</v>
      </c>
      <c r="G123" s="17"/>
    </row>
    <row r="124" spans="1:7" x14ac:dyDescent="0.25">
      <c r="A124" s="101" t="s">
        <v>213</v>
      </c>
      <c r="B124" s="17">
        <v>425164259</v>
      </c>
      <c r="C124" s="17">
        <v>85375600</v>
      </c>
      <c r="D124" s="17">
        <f t="shared" si="1"/>
        <v>85375600</v>
      </c>
      <c r="E124" s="49">
        <f>VLOOKUP($A124,'Data shares'!$C:$FA,128)*100</f>
        <v>3.18</v>
      </c>
      <c r="F124" s="49">
        <f>VLOOKUP($A124,'Data shares'!$C:$FA,129)</f>
        <v>93429000</v>
      </c>
      <c r="G124" s="17"/>
    </row>
    <row r="125" spans="1:7" x14ac:dyDescent="0.25">
      <c r="A125" s="101" t="s">
        <v>295</v>
      </c>
      <c r="B125" s="17">
        <v>205769415</v>
      </c>
      <c r="C125" s="17">
        <v>21452100</v>
      </c>
      <c r="D125" s="17">
        <f t="shared" si="1"/>
        <v>21452100</v>
      </c>
      <c r="E125" s="49">
        <f>VLOOKUP($A125,'Data shares'!$C:$FA,128)*100</f>
        <v>4.3900000000000006</v>
      </c>
      <c r="F125" s="49">
        <f>VLOOKUP($A125,'Data shares'!$C:$FA,129)</f>
        <v>20025600</v>
      </c>
      <c r="G125" s="17"/>
    </row>
    <row r="126" spans="1:7" x14ac:dyDescent="0.25">
      <c r="A126" s="101" t="s">
        <v>490</v>
      </c>
      <c r="B126" s="17">
        <v>52165566</v>
      </c>
      <c r="C126" s="17">
        <v>22212750</v>
      </c>
      <c r="D126" s="17">
        <f t="shared" si="1"/>
        <v>22212750</v>
      </c>
      <c r="E126" s="49">
        <f>VLOOKUP($A126,'Data shares'!$C:$FA,128)*100</f>
        <v>0</v>
      </c>
      <c r="F126" s="49">
        <f>VLOOKUP($A126,'Data shares'!$C:$FA,129)</f>
        <v>19867750</v>
      </c>
      <c r="G126" s="17"/>
    </row>
    <row r="127" spans="1:7" x14ac:dyDescent="0.25">
      <c r="A127" s="101" t="s">
        <v>260</v>
      </c>
      <c r="B127" s="17">
        <v>241729538</v>
      </c>
      <c r="C127" s="17">
        <v>65383500</v>
      </c>
      <c r="D127" s="17">
        <f t="shared" si="1"/>
        <v>65383500</v>
      </c>
      <c r="E127" s="49">
        <f>VLOOKUP($A127,'Data shares'!$C:$FA,128)*100</f>
        <v>1.6400000000000001</v>
      </c>
      <c r="F127" s="49">
        <f>VLOOKUP($A127,'Data shares'!$C:$FA,129)</f>
        <v>172083150</v>
      </c>
      <c r="G127" s="17"/>
    </row>
    <row r="128" spans="1:7" x14ac:dyDescent="0.25">
      <c r="A128" s="101" t="s">
        <v>171</v>
      </c>
      <c r="B128" s="17">
        <v>56444627</v>
      </c>
      <c r="C128" s="17">
        <v>23336250</v>
      </c>
      <c r="D128" s="17">
        <f t="shared" si="1"/>
        <v>23336250</v>
      </c>
      <c r="E128" s="49">
        <f>VLOOKUP($A128,'Data shares'!$C:$FA,128)*100</f>
        <v>0.38999999999999996</v>
      </c>
      <c r="F128" s="49">
        <f>VLOOKUP($A128,'Data shares'!$C:$FA,129)</f>
        <v>21022650</v>
      </c>
      <c r="G128" s="17"/>
    </row>
    <row r="129" spans="1:7" x14ac:dyDescent="0.25">
      <c r="A129" s="101" t="s">
        <v>462</v>
      </c>
      <c r="B129" s="17">
        <v>88648462</v>
      </c>
      <c r="C129" s="17">
        <v>11150250</v>
      </c>
      <c r="D129" s="17">
        <f t="shared" si="1"/>
        <v>11150250</v>
      </c>
      <c r="E129" s="49">
        <f>VLOOKUP($A129,'Data shares'!$C:$FA,128)*100</f>
        <v>1.52</v>
      </c>
      <c r="F129" s="49">
        <f>VLOOKUP($A129,'Data shares'!$C:$FA,129)</f>
        <v>9742875</v>
      </c>
      <c r="G129" s="17"/>
    </row>
    <row r="130" spans="1:7" x14ac:dyDescent="0.25">
      <c r="A130" s="101" t="s">
        <v>274</v>
      </c>
      <c r="B130" s="17">
        <v>30511703</v>
      </c>
      <c r="C130" s="17">
        <v>3556000</v>
      </c>
      <c r="D130" s="17">
        <f t="shared" si="1"/>
        <v>3556000</v>
      </c>
      <c r="E130" s="49">
        <f>VLOOKUP($A130,'Data shares'!$C:$FA,128)*100</f>
        <v>0.52</v>
      </c>
      <c r="F130" s="49">
        <f>VLOOKUP($A130,'Data shares'!$C:$FA,129)</f>
        <v>8301000</v>
      </c>
      <c r="G130" s="17"/>
    </row>
    <row r="131" spans="1:7" x14ac:dyDescent="0.25">
      <c r="A131" s="101" t="s">
        <v>279</v>
      </c>
      <c r="B131" s="17">
        <v>119890099</v>
      </c>
      <c r="C131" s="17">
        <v>77232800</v>
      </c>
      <c r="D131" s="17">
        <f t="shared" si="1"/>
        <v>77232800</v>
      </c>
      <c r="E131" s="49">
        <f>VLOOKUP($A131,'Data shares'!$C:$FA,128)*100</f>
        <v>0.57999999999999996</v>
      </c>
      <c r="F131" s="49">
        <f>VLOOKUP($A131,'Data shares'!$C:$FA,129)</f>
        <v>78349475</v>
      </c>
      <c r="G131" s="17"/>
    </row>
    <row r="132" spans="1:7" x14ac:dyDescent="0.25">
      <c r="A132" s="101" t="s">
        <v>247</v>
      </c>
      <c r="B132" s="17">
        <v>180580821</v>
      </c>
      <c r="C132" s="17">
        <v>128041552</v>
      </c>
      <c r="D132" s="17">
        <f t="shared" si="1"/>
        <v>128041552</v>
      </c>
      <c r="E132" s="49">
        <f>VLOOKUP($A132,'Data shares'!$C:$FA,128)*100</f>
        <v>3.38</v>
      </c>
      <c r="F132" s="49">
        <f>VLOOKUP($A132,'Data shares'!$C:$FA,129)</f>
        <v>3808000</v>
      </c>
      <c r="G132" s="17"/>
    </row>
    <row r="133" spans="1:7" x14ac:dyDescent="0.25">
      <c r="A133" s="101" t="s">
        <v>291</v>
      </c>
      <c r="B133" s="17">
        <v>120211514</v>
      </c>
      <c r="C133" s="17">
        <v>18359325</v>
      </c>
      <c r="D133" s="17">
        <f t="shared" si="1"/>
        <v>18359325</v>
      </c>
      <c r="E133" s="49">
        <f>VLOOKUP($A133,'Data shares'!$C:$FA,128)*100</f>
        <v>2.29</v>
      </c>
      <c r="F133" s="49">
        <f>VLOOKUP($A133,'Data shares'!$C:$FA,129)</f>
        <v>11596750</v>
      </c>
      <c r="G133" s="17"/>
    </row>
    <row r="134" spans="1:7" x14ac:dyDescent="0.25">
      <c r="A134" s="101" t="s">
        <v>269</v>
      </c>
      <c r="B134" s="17">
        <v>996134149</v>
      </c>
      <c r="C134" s="17">
        <v>204565900</v>
      </c>
      <c r="D134" s="17">
        <f t="shared" si="1"/>
        <v>204565900</v>
      </c>
      <c r="E134" s="49">
        <f>VLOOKUP($A134,'Data shares'!$C:$FA,128)*100</f>
        <v>2.3199999999999998</v>
      </c>
      <c r="F134" s="49">
        <f>VLOOKUP($A134,'Data shares'!$C:$FA,129)</f>
        <v>84948750</v>
      </c>
      <c r="G134" s="17"/>
    </row>
    <row r="135" spans="1:7" x14ac:dyDescent="0.25">
      <c r="A135" s="101" t="s">
        <v>217</v>
      </c>
      <c r="B135" s="17">
        <v>75218562</v>
      </c>
      <c r="C135" s="17">
        <v>11613000</v>
      </c>
      <c r="D135" s="17">
        <f t="shared" ref="D135:D161" si="2">C135</f>
        <v>11613000</v>
      </c>
      <c r="E135" s="49">
        <f>VLOOKUP($A135,'Data shares'!$C:$FA,128)*100</f>
        <v>0.43</v>
      </c>
      <c r="F135" s="49">
        <f>VLOOKUP($A135,'Data shares'!$C:$FA,129)</f>
        <v>7949500</v>
      </c>
      <c r="G135" s="17"/>
    </row>
    <row r="136" spans="1:7" x14ac:dyDescent="0.25">
      <c r="A136" s="101" t="s">
        <v>495</v>
      </c>
      <c r="B136" s="17">
        <v>44974045</v>
      </c>
      <c r="C136" s="17">
        <v>4232500</v>
      </c>
      <c r="D136" s="17">
        <f t="shared" si="2"/>
        <v>4232500</v>
      </c>
      <c r="E136" s="49">
        <f>VLOOKUP($A136,'Data shares'!$C:$FA,128)*100</f>
        <v>1.1199999999999999</v>
      </c>
      <c r="F136" s="49">
        <f>VLOOKUP($A136,'Data shares'!$C:$FA,129)</f>
        <v>23570000</v>
      </c>
      <c r="G136" s="17"/>
    </row>
    <row r="137" spans="1:7" x14ac:dyDescent="0.25">
      <c r="A137" s="101" t="s">
        <v>250</v>
      </c>
      <c r="B137" s="17">
        <v>48318354</v>
      </c>
      <c r="C137" s="17">
        <v>18007250</v>
      </c>
      <c r="D137" s="17">
        <f t="shared" si="2"/>
        <v>18007250</v>
      </c>
      <c r="E137" s="49">
        <f>VLOOKUP($A137,'Data shares'!$C:$FA,128)*100</f>
        <v>0.91999999999999993</v>
      </c>
      <c r="F137" s="49">
        <f>VLOOKUP($A137,'Data shares'!$C:$FA,129)</f>
        <v>6484225</v>
      </c>
      <c r="G137" s="17"/>
    </row>
    <row r="138" spans="1:7" x14ac:dyDescent="0.25">
      <c r="A138" s="101" t="s">
        <v>278</v>
      </c>
      <c r="B138" s="17">
        <v>27187764</v>
      </c>
      <c r="C138" s="17">
        <v>3521550</v>
      </c>
      <c r="D138" s="17">
        <f t="shared" si="2"/>
        <v>3521550</v>
      </c>
      <c r="E138" s="49">
        <f>VLOOKUP($A138,'Data shares'!$C:$FA,128)*100</f>
        <v>0.97</v>
      </c>
      <c r="F138" s="49">
        <f>VLOOKUP($A138,'Data shares'!$C:$FA,129)</f>
        <v>4220100</v>
      </c>
      <c r="G138" s="17"/>
    </row>
    <row r="139" spans="1:7" x14ac:dyDescent="0.25">
      <c r="A139" s="101" t="s">
        <v>163</v>
      </c>
      <c r="B139" s="17">
        <v>24576009</v>
      </c>
      <c r="C139" s="17">
        <v>11979000</v>
      </c>
      <c r="D139" s="17">
        <f t="shared" si="2"/>
        <v>11979000</v>
      </c>
      <c r="E139" s="49">
        <f>VLOOKUP($A139,'Data shares'!$C:$FA,128)*100</f>
        <v>0.22</v>
      </c>
      <c r="F139" s="49">
        <f>VLOOKUP($A139,'Data shares'!$C:$FA,129)</f>
        <v>1260125</v>
      </c>
      <c r="G139" s="17"/>
    </row>
    <row r="140" spans="1:7" x14ac:dyDescent="0.25">
      <c r="A140" s="101" t="s">
        <v>289</v>
      </c>
      <c r="B140" s="17">
        <v>19704232</v>
      </c>
      <c r="C140" s="17">
        <v>15520500</v>
      </c>
      <c r="D140" s="17">
        <f t="shared" si="2"/>
        <v>15520500</v>
      </c>
      <c r="E140" s="49">
        <f>VLOOKUP($A140,'Data shares'!$C:$FA,128)*100</f>
        <v>1.1599999999999999</v>
      </c>
      <c r="F140" s="49">
        <f>VLOOKUP($A140,'Data shares'!$C:$FA,129)</f>
        <v>20091750</v>
      </c>
      <c r="G140" s="17"/>
    </row>
    <row r="141" spans="1:7" x14ac:dyDescent="0.25">
      <c r="A141" s="101" t="s">
        <v>529</v>
      </c>
      <c r="B141" s="17">
        <v>10012679</v>
      </c>
      <c r="C141" s="17">
        <v>530550</v>
      </c>
      <c r="D141" s="17">
        <f t="shared" si="2"/>
        <v>530550</v>
      </c>
      <c r="E141" s="49">
        <f>VLOOKUP($A141,'Data shares'!$C:$FA,128)*100</f>
        <v>0.95</v>
      </c>
      <c r="F141" s="49">
        <f>VLOOKUP($A141,'Data shares'!$C:$FA,129)</f>
        <v>2087100</v>
      </c>
      <c r="G141" s="17"/>
    </row>
    <row r="142" spans="1:7" x14ac:dyDescent="0.25">
      <c r="A142" s="101" t="s">
        <v>265</v>
      </c>
      <c r="B142" s="17">
        <v>7180127</v>
      </c>
      <c r="C142" s="17">
        <v>429550</v>
      </c>
      <c r="D142" s="17">
        <f t="shared" si="2"/>
        <v>429550</v>
      </c>
      <c r="E142" s="49">
        <f>VLOOKUP($A142,'Data shares'!$C:$FA,128)*100</f>
        <v>1.55</v>
      </c>
      <c r="F142" s="49">
        <f>VLOOKUP($A142,'Data shares'!$C:$FA,129)</f>
        <v>17714000</v>
      </c>
      <c r="G142" s="17"/>
    </row>
    <row r="143" spans="1:7" x14ac:dyDescent="0.25">
      <c r="A143" s="101" t="s">
        <v>486</v>
      </c>
      <c r="B143" s="17">
        <v>32559242</v>
      </c>
      <c r="C143" s="17">
        <v>4156800</v>
      </c>
      <c r="D143" s="17">
        <f t="shared" si="2"/>
        <v>4156800</v>
      </c>
      <c r="E143" s="49">
        <f>VLOOKUP($A143,'Data shares'!$C:$FA,128)*100</f>
        <v>1.7000000000000002</v>
      </c>
      <c r="F143" s="49">
        <f>VLOOKUP($A143,'Data shares'!$C:$FA,129)</f>
        <v>3744400</v>
      </c>
      <c r="G143" s="17"/>
    </row>
    <row r="144" spans="1:7" x14ac:dyDescent="0.25">
      <c r="A144" s="101" t="s">
        <v>190</v>
      </c>
      <c r="B144" s="17">
        <v>256482590</v>
      </c>
      <c r="C144" s="17">
        <v>208761000</v>
      </c>
      <c r="D144" s="17">
        <f t="shared" si="2"/>
        <v>208761000</v>
      </c>
      <c r="E144" s="49">
        <f>VLOOKUP($A144,'Data shares'!$C:$FA,128)*100</f>
        <v>2.5499999999999998</v>
      </c>
      <c r="F144" s="49">
        <f>VLOOKUP($A144,'Data shares'!$C:$FA,129)</f>
        <v>77490000</v>
      </c>
      <c r="G144" s="17"/>
    </row>
    <row r="145" spans="1:7" x14ac:dyDescent="0.25">
      <c r="A145" s="101" t="s">
        <v>303</v>
      </c>
      <c r="B145" s="17">
        <v>109653438</v>
      </c>
      <c r="C145" s="17">
        <v>37709100</v>
      </c>
      <c r="D145" s="17">
        <f t="shared" si="2"/>
        <v>37709100</v>
      </c>
      <c r="E145" s="49">
        <f>VLOOKUP($A145,'Data shares'!$C:$FA,128)*100</f>
        <v>1.1299999999999999</v>
      </c>
      <c r="F145" s="49">
        <f>VLOOKUP($A145,'Data shares'!$C:$FA,129)</f>
        <v>33116200</v>
      </c>
      <c r="G145" s="17"/>
    </row>
    <row r="146" spans="1:7" x14ac:dyDescent="0.25">
      <c r="A146" s="101" t="s">
        <v>255</v>
      </c>
      <c r="B146" s="17">
        <v>26359259</v>
      </c>
      <c r="C146" s="17">
        <v>6916100</v>
      </c>
      <c r="D146" s="17">
        <f t="shared" si="2"/>
        <v>6916100</v>
      </c>
      <c r="E146" s="49">
        <f>VLOOKUP($A146,'Data shares'!$C:$FA,128)*100</f>
        <v>5.13</v>
      </c>
      <c r="F146" s="49">
        <f>VLOOKUP($A146,'Data shares'!$C:$FA,129)</f>
        <v>3082700</v>
      </c>
      <c r="G146" s="17"/>
    </row>
    <row r="147" spans="1:7" x14ac:dyDescent="0.25">
      <c r="A147" s="101" t="s">
        <v>180</v>
      </c>
      <c r="B147" s="17">
        <v>372635498</v>
      </c>
      <c r="C147" s="17">
        <v>233426700</v>
      </c>
      <c r="D147" s="17">
        <f t="shared" si="2"/>
        <v>233426700</v>
      </c>
      <c r="E147" s="49">
        <f>VLOOKUP($A147,'Data shares'!$C:$FA,128)*100</f>
        <v>1.82</v>
      </c>
      <c r="F147" s="49">
        <f>VLOOKUP($A147,'Data shares'!$C:$FA,129)</f>
        <v>83459025</v>
      </c>
      <c r="G147" s="17"/>
    </row>
    <row r="148" spans="1:7" x14ac:dyDescent="0.25">
      <c r="A148" s="101" t="s">
        <v>179</v>
      </c>
      <c r="B148" s="17">
        <v>193321473</v>
      </c>
      <c r="C148" s="17">
        <v>47098800</v>
      </c>
      <c r="D148" s="17">
        <f t="shared" si="2"/>
        <v>47098800</v>
      </c>
      <c r="E148" s="49">
        <f>VLOOKUP($A148,'Data shares'!$C:$FA,128)*100</f>
        <v>3.1199999999999997</v>
      </c>
      <c r="F148" s="49">
        <f>VLOOKUP($A148,'Data shares'!$C:$FA,129)</f>
        <v>105235200</v>
      </c>
    </row>
    <row r="149" spans="1:7" x14ac:dyDescent="0.25">
      <c r="A149" s="101" t="s">
        <v>253</v>
      </c>
      <c r="B149" s="17">
        <v>109926618</v>
      </c>
      <c r="C149" s="17">
        <v>54285000</v>
      </c>
      <c r="D149" s="17">
        <f t="shared" si="2"/>
        <v>54285000</v>
      </c>
      <c r="E149" s="49">
        <f>VLOOKUP($A149,'Data shares'!$C:$FA,128)*100</f>
        <v>0.8</v>
      </c>
      <c r="F149" s="49">
        <f>VLOOKUP($A149,'Data shares'!$C:$FA,129)</f>
        <v>42087000</v>
      </c>
    </row>
    <row r="150" spans="1:7" x14ac:dyDescent="0.25">
      <c r="A150" s="101" t="s">
        <v>261</v>
      </c>
      <c r="B150" s="17">
        <v>611563</v>
      </c>
      <c r="C150" s="17">
        <v>120180</v>
      </c>
      <c r="D150" s="17">
        <f t="shared" si="2"/>
        <v>120180</v>
      </c>
      <c r="E150" s="49">
        <f>VLOOKUP($A150,'Data shares'!$C:$FA,128)*100</f>
        <v>0.57999999999999996</v>
      </c>
      <c r="F150" s="49">
        <f>VLOOKUP($A150,'Data shares'!$C:$FA,129)</f>
        <v>4601300</v>
      </c>
    </row>
    <row r="151" spans="1:7" x14ac:dyDescent="0.25">
      <c r="A151" s="101" t="s">
        <v>164</v>
      </c>
      <c r="B151" s="17">
        <v>145854205</v>
      </c>
      <c r="C151" s="17">
        <v>46824000</v>
      </c>
      <c r="D151" s="17">
        <f t="shared" si="2"/>
        <v>46824000</v>
      </c>
      <c r="E151" s="49">
        <f>VLOOKUP($A151,'Data shares'!$C:$FA,128)*100</f>
        <v>1.4200000000000002</v>
      </c>
      <c r="F151" s="49">
        <f>VLOOKUP($A151,'Data shares'!$C:$FA,129)</f>
        <v>46406850</v>
      </c>
    </row>
    <row r="152" spans="1:7" x14ac:dyDescent="0.25">
      <c r="A152" s="101" t="s">
        <v>526</v>
      </c>
      <c r="B152" s="17">
        <v>44365911</v>
      </c>
      <c r="C152" s="17">
        <v>20668300</v>
      </c>
      <c r="D152" s="17">
        <f t="shared" si="2"/>
        <v>20668300</v>
      </c>
      <c r="E152" s="49">
        <f>VLOOKUP($A152,'Data shares'!$C:$FA,128)*100</f>
        <v>2.37</v>
      </c>
      <c r="F152" s="49">
        <f>VLOOKUP($A152,'Data shares'!$C:$FA,129)</f>
        <v>27355000</v>
      </c>
    </row>
    <row r="153" spans="1:7" x14ac:dyDescent="0.25">
      <c r="A153" s="101" t="s">
        <v>515</v>
      </c>
      <c r="B153" s="17">
        <v>3083179</v>
      </c>
      <c r="C153" s="17">
        <v>492075</v>
      </c>
      <c r="D153" s="17">
        <f t="shared" si="2"/>
        <v>492075</v>
      </c>
      <c r="E153" s="49">
        <f>VLOOKUP($A153,'Data shares'!$C:$FA,128)*100</f>
        <v>2.37</v>
      </c>
      <c r="F153" s="49">
        <f>VLOOKUP($A153,'Data shares'!$C:$FA,129)</f>
        <v>27355000</v>
      </c>
    </row>
    <row r="154" spans="1:7" x14ac:dyDescent="0.25">
      <c r="A154" s="101" t="s">
        <v>226</v>
      </c>
      <c r="B154" s="17">
        <v>26072630</v>
      </c>
      <c r="C154" s="17">
        <v>9897900</v>
      </c>
      <c r="D154" s="17">
        <f t="shared" si="2"/>
        <v>9897900</v>
      </c>
      <c r="E154" s="49">
        <f>VLOOKUP($A154,'Data shares'!$C:$FA,128)*100</f>
        <v>1.6</v>
      </c>
      <c r="F154" s="49">
        <f>VLOOKUP($A154,'Data shares'!$C:$FA,129)</f>
        <v>3528150</v>
      </c>
    </row>
    <row r="155" spans="1:7" x14ac:dyDescent="0.25">
      <c r="A155" s="101" t="s">
        <v>544</v>
      </c>
      <c r="B155" s="17">
        <v>139989683</v>
      </c>
      <c r="C155" s="17">
        <v>28415200</v>
      </c>
      <c r="D155" s="17">
        <f t="shared" si="2"/>
        <v>28415200</v>
      </c>
      <c r="E155" s="49">
        <f>VLOOKUP($A155,'Data shares'!$C:$FA,128)*100</f>
        <v>1.23</v>
      </c>
      <c r="F155" s="49">
        <f>VLOOKUP($A155,'Data shares'!$C:$FA,129)</f>
        <v>76114300</v>
      </c>
    </row>
    <row r="156" spans="1:7" x14ac:dyDescent="0.25">
      <c r="A156" s="101" t="s">
        <v>547</v>
      </c>
      <c r="B156" s="17">
        <v>65482129</v>
      </c>
      <c r="C156" s="17">
        <v>33944200</v>
      </c>
      <c r="D156" s="17">
        <f t="shared" si="2"/>
        <v>33944200</v>
      </c>
      <c r="E156" s="49">
        <f>VLOOKUP($A156,'Data shares'!$C:$FA,128)*100</f>
        <v>3.47</v>
      </c>
      <c r="F156" s="49">
        <f>VLOOKUP($A156,'Data shares'!$C:$FA,129)</f>
        <v>47133100</v>
      </c>
    </row>
    <row r="157" spans="1:7" x14ac:dyDescent="0.25">
      <c r="A157" s="101" t="s">
        <v>499</v>
      </c>
      <c r="B157" s="17">
        <v>66687240</v>
      </c>
      <c r="C157" s="17">
        <v>16125200</v>
      </c>
      <c r="D157" s="17">
        <f t="shared" si="2"/>
        <v>16125200</v>
      </c>
      <c r="E157" s="49">
        <f>VLOOKUP($A157,'Data shares'!$C:$FA,128)*100</f>
        <v>1.23</v>
      </c>
      <c r="F157" s="49">
        <f>VLOOKUP($A157,'Data shares'!$C:$FA,129)</f>
        <v>76114300</v>
      </c>
    </row>
    <row r="158" spans="1:7" x14ac:dyDescent="0.25">
      <c r="A158" s="101" t="s">
        <v>483</v>
      </c>
      <c r="B158" s="17">
        <v>16146181</v>
      </c>
      <c r="C158" s="17">
        <v>1914250</v>
      </c>
      <c r="D158" s="17">
        <f t="shared" si="2"/>
        <v>1914250</v>
      </c>
      <c r="E158" s="49">
        <f>VLOOKUP($A158,'Data shares'!$C:$FA,128)*100</f>
        <v>4.07</v>
      </c>
      <c r="F158" s="49">
        <f>VLOOKUP($A158,'Data shares'!$C:$FA,129)</f>
        <v>2705150</v>
      </c>
    </row>
    <row r="159" spans="1:7" x14ac:dyDescent="0.25">
      <c r="A159" s="101" t="s">
        <v>546</v>
      </c>
      <c r="B159" s="17">
        <v>18282414</v>
      </c>
      <c r="C159" s="17">
        <v>13742300</v>
      </c>
      <c r="D159" s="17">
        <f t="shared" si="2"/>
        <v>13742300</v>
      </c>
      <c r="E159" s="49">
        <f>VLOOKUP($A159,'Data shares'!$C:$FA,128)*100</f>
        <v>2.1</v>
      </c>
      <c r="F159" s="49">
        <f>VLOOKUP($A159,'Data shares'!$C:$FA,129)</f>
        <v>162998775</v>
      </c>
    </row>
    <row r="160" spans="1:7" x14ac:dyDescent="0.25">
      <c r="A160" s="101" t="s">
        <v>220</v>
      </c>
      <c r="B160" s="17">
        <v>50687734</v>
      </c>
      <c r="C160" s="17">
        <v>6783500</v>
      </c>
      <c r="D160" s="17">
        <f t="shared" si="2"/>
        <v>6783500</v>
      </c>
      <c r="E160" s="49">
        <f>VLOOKUP($A160,'Data shares'!$C:$FA,128)*100</f>
        <v>2.29</v>
      </c>
      <c r="F160" s="49">
        <f>VLOOKUP($A160,'Data shares'!$C:$FA,129)</f>
        <v>8857000</v>
      </c>
    </row>
    <row r="161" spans="1:6" x14ac:dyDescent="0.25">
      <c r="A161" s="101" t="s">
        <v>472</v>
      </c>
      <c r="B161" s="17">
        <v>50993734</v>
      </c>
      <c r="C161" s="17">
        <v>3803750</v>
      </c>
      <c r="D161" s="17">
        <f t="shared" si="2"/>
        <v>3803750</v>
      </c>
      <c r="E161" s="49">
        <f>VLOOKUP($A161,'Data shares'!$C:$FA,128)*100</f>
        <v>0.67999999999999994</v>
      </c>
      <c r="F161" s="49">
        <f>VLOOKUP($A161,'Data shares'!$C:$FA,129)</f>
        <v>5490550</v>
      </c>
    </row>
    <row r="162" spans="1:6" x14ac:dyDescent="0.25">
      <c r="A162" t="s">
        <v>535</v>
      </c>
      <c r="B162">
        <v>78168147</v>
      </c>
      <c r="C162">
        <v>9571500</v>
      </c>
      <c r="D162" s="17">
        <f t="shared" ref="D162:D204" si="3">C162</f>
        <v>9571500</v>
      </c>
      <c r="E162" s="49">
        <f>VLOOKUP($A162,'Data shares'!$C:$FA,128)*100</f>
        <v>1.51</v>
      </c>
      <c r="F162" s="49">
        <f>VLOOKUP($A162,'Data shares'!$C:$FA,129)</f>
        <v>18927800</v>
      </c>
    </row>
    <row r="163" spans="1:6" x14ac:dyDescent="0.25">
      <c r="A163" t="s">
        <v>492</v>
      </c>
      <c r="B163">
        <v>28779078</v>
      </c>
      <c r="C163">
        <v>14404150</v>
      </c>
      <c r="D163" s="17">
        <f t="shared" si="3"/>
        <v>14404150</v>
      </c>
      <c r="E163" s="49">
        <f>VLOOKUP($A163,'Data shares'!$C:$FA,128)*100</f>
        <v>2.56</v>
      </c>
      <c r="F163" s="49">
        <f>VLOOKUP($A163,'Data shares'!$C:$FA,129)</f>
        <v>12864775</v>
      </c>
    </row>
    <row r="164" spans="1:6" x14ac:dyDescent="0.25">
      <c r="A164" t="s">
        <v>298</v>
      </c>
      <c r="B164">
        <v>9731600</v>
      </c>
      <c r="C164">
        <v>863500</v>
      </c>
      <c r="D164" s="17">
        <f t="shared" si="3"/>
        <v>863500</v>
      </c>
      <c r="E164" s="49">
        <f>VLOOKUP($A164,'Data shares'!$C:$FA,128)*100</f>
        <v>0.44</v>
      </c>
      <c r="F164" s="49">
        <f>VLOOKUP($A164,'Data shares'!$C:$FA,129)</f>
        <v>2432000</v>
      </c>
    </row>
    <row r="165" spans="1:6" x14ac:dyDescent="0.25">
      <c r="A165" t="s">
        <v>548</v>
      </c>
      <c r="B165">
        <v>442076</v>
      </c>
      <c r="C165">
        <v>9615</v>
      </c>
      <c r="D165" s="17">
        <f t="shared" si="3"/>
        <v>9615</v>
      </c>
      <c r="E165" s="49">
        <f>VLOOKUP($A165,'Data shares'!$C:$FA,128)*100</f>
        <v>5.4899999999999993</v>
      </c>
      <c r="F165" s="49">
        <f>VLOOKUP($A165,'Data shares'!$C:$FA,129)</f>
        <v>33176675</v>
      </c>
    </row>
    <row r="166" spans="1:6" x14ac:dyDescent="0.25">
      <c r="A166" t="s">
        <v>530</v>
      </c>
      <c r="B166">
        <v>3258166</v>
      </c>
      <c r="C166">
        <v>219750</v>
      </c>
      <c r="D166" s="17">
        <f t="shared" si="3"/>
        <v>219750</v>
      </c>
      <c r="E166" s="49">
        <f>VLOOKUP($A166,'Data shares'!$C:$FA,128)*100</f>
        <v>1.81</v>
      </c>
      <c r="F166" s="49">
        <f>VLOOKUP($A166,'Data shares'!$C:$FA,129)</f>
        <v>7237750</v>
      </c>
    </row>
    <row r="167" spans="1:6" x14ac:dyDescent="0.25">
      <c r="A167" t="s">
        <v>249</v>
      </c>
      <c r="B167">
        <v>277168216</v>
      </c>
      <c r="C167">
        <v>21795375</v>
      </c>
      <c r="D167" s="17">
        <f t="shared" si="3"/>
        <v>21795375</v>
      </c>
      <c r="E167" s="49">
        <f>VLOOKUP($A167,'Data shares'!$C:$FA,128)*100</f>
        <v>7.17</v>
      </c>
      <c r="F167" s="49">
        <f>VLOOKUP($A167,'Data shares'!$C:$FA,129)</f>
        <v>15337700</v>
      </c>
    </row>
    <row r="168" spans="1:6" x14ac:dyDescent="0.25">
      <c r="A168" t="s">
        <v>216</v>
      </c>
      <c r="B168">
        <v>484955219</v>
      </c>
      <c r="C168">
        <v>230400000</v>
      </c>
      <c r="D168" s="17">
        <f t="shared" si="3"/>
        <v>230400000</v>
      </c>
      <c r="E168" s="49">
        <f>VLOOKUP($A168,'Data shares'!$C:$FA,128)*100</f>
        <v>2.1</v>
      </c>
      <c r="F168" s="49">
        <f>VLOOKUP($A168,'Data shares'!$C:$FA,129)</f>
        <v>162998775</v>
      </c>
    </row>
    <row r="169" spans="1:6" x14ac:dyDescent="0.25">
      <c r="A169" t="s">
        <v>252</v>
      </c>
      <c r="B169">
        <v>117640832</v>
      </c>
      <c r="C169">
        <v>52456000</v>
      </c>
      <c r="D169" s="17">
        <f t="shared" si="3"/>
        <v>52456000</v>
      </c>
      <c r="E169" s="49">
        <f>VLOOKUP($A169,'Data shares'!$C:$FA,128)*100</f>
        <v>8.7999999999999989</v>
      </c>
      <c r="F169" s="49">
        <f>VLOOKUP($A169,'Data shares'!$C:$FA,129)</f>
        <v>18171200</v>
      </c>
    </row>
    <row r="170" spans="1:6" x14ac:dyDescent="0.25">
      <c r="A170" t="s">
        <v>205</v>
      </c>
      <c r="B170">
        <v>25513876</v>
      </c>
      <c r="C170">
        <v>3302300</v>
      </c>
      <c r="D170" s="17">
        <f t="shared" si="3"/>
        <v>3302300</v>
      </c>
      <c r="E170" s="49">
        <f>VLOOKUP($A170,'Data shares'!$C:$FA,128)*100</f>
        <v>0.57000000000000006</v>
      </c>
      <c r="F170" s="49">
        <f>VLOOKUP($A170,'Data shares'!$C:$FA,129)</f>
        <v>3342900</v>
      </c>
    </row>
    <row r="171" spans="1:6" x14ac:dyDescent="0.25">
      <c r="A171" t="s">
        <v>194</v>
      </c>
      <c r="B171">
        <v>202646440</v>
      </c>
      <c r="C171">
        <v>52470000</v>
      </c>
      <c r="D171" s="17">
        <f t="shared" si="3"/>
        <v>52470000</v>
      </c>
      <c r="E171" s="49">
        <f>VLOOKUP($A171,'Data shares'!$C:$FA,128)*100</f>
        <v>1.17</v>
      </c>
      <c r="F171" s="49">
        <f>VLOOKUP($A171,'Data shares'!$C:$FA,129)</f>
        <v>31368925</v>
      </c>
    </row>
    <row r="172" spans="1:6" x14ac:dyDescent="0.25">
      <c r="A172" t="s">
        <v>263</v>
      </c>
      <c r="B172">
        <v>178967755</v>
      </c>
      <c r="C172">
        <v>142910500</v>
      </c>
      <c r="D172" s="17">
        <f t="shared" si="3"/>
        <v>142910500</v>
      </c>
      <c r="E172" s="49">
        <f>VLOOKUP($A172,'Data shares'!$C:$FA,128)*100</f>
        <v>3.82</v>
      </c>
      <c r="F172" s="49">
        <f>VLOOKUP($A172,'Data shares'!$C:$FA,129)</f>
        <v>48011250</v>
      </c>
    </row>
    <row r="173" spans="1:6" x14ac:dyDescent="0.25">
      <c r="A173" t="s">
        <v>476</v>
      </c>
      <c r="B173">
        <v>40446155</v>
      </c>
      <c r="C173">
        <v>4358800</v>
      </c>
      <c r="D173" s="17">
        <f t="shared" si="3"/>
        <v>4358800</v>
      </c>
      <c r="E173" s="49">
        <f>VLOOKUP($A173,'Data shares'!$C:$FA,128)*100</f>
        <v>1.03</v>
      </c>
      <c r="F173" s="49">
        <f>VLOOKUP($A173,'Data shares'!$C:$FA,129)</f>
        <v>3039000</v>
      </c>
    </row>
    <row r="174" spans="1:6" x14ac:dyDescent="0.25">
      <c r="A174" t="s">
        <v>187</v>
      </c>
      <c r="B174">
        <v>51436398</v>
      </c>
      <c r="C174">
        <v>7413750</v>
      </c>
      <c r="D174" s="17">
        <f t="shared" si="3"/>
        <v>7413750</v>
      </c>
      <c r="E174" s="49">
        <f>VLOOKUP($A174,'Data shares'!$C:$FA,128)*100</f>
        <v>0.98</v>
      </c>
      <c r="F174" s="49">
        <f>VLOOKUP($A174,'Data shares'!$C:$FA,129)</f>
        <v>6707000</v>
      </c>
    </row>
    <row r="175" spans="1:6" x14ac:dyDescent="0.25">
      <c r="A175" t="s">
        <v>493</v>
      </c>
      <c r="B175">
        <v>14814614</v>
      </c>
      <c r="C175">
        <v>3344250</v>
      </c>
      <c r="D175" s="17">
        <f t="shared" si="3"/>
        <v>3344250</v>
      </c>
      <c r="E175" s="49">
        <f>VLOOKUP($A175,'Data shares'!$C:$FA,128)*100</f>
        <v>0.96</v>
      </c>
      <c r="F175" s="49">
        <f>VLOOKUP($A175,'Data shares'!$C:$FA,129)</f>
        <v>2778750</v>
      </c>
    </row>
    <row r="176" spans="1:6" x14ac:dyDescent="0.25">
      <c r="A176" t="s">
        <v>525</v>
      </c>
      <c r="B176">
        <v>35635456</v>
      </c>
      <c r="C176">
        <v>28959300</v>
      </c>
      <c r="D176" s="17">
        <f t="shared" si="3"/>
        <v>28959300</v>
      </c>
      <c r="E176" s="49">
        <f>VLOOKUP($A176,'Data shares'!$C:$FA,128)*100</f>
        <v>1.0699999999999998</v>
      </c>
      <c r="F176" s="49">
        <f>VLOOKUP($A176,'Data shares'!$C:$FA,129)</f>
        <v>23783650</v>
      </c>
    </row>
    <row r="177" spans="1:6" x14ac:dyDescent="0.25">
      <c r="A177" t="s">
        <v>512</v>
      </c>
      <c r="B177">
        <v>7771646</v>
      </c>
      <c r="C177">
        <v>1119375</v>
      </c>
      <c r="D177" s="17">
        <f t="shared" si="3"/>
        <v>1119375</v>
      </c>
      <c r="E177" s="49">
        <f>VLOOKUP($A177,'Data shares'!$C:$FA,128)*100</f>
        <v>3.9800000000000004</v>
      </c>
      <c r="F177" s="49">
        <f>VLOOKUP($A177,'Data shares'!$C:$FA,129)</f>
        <v>2976600</v>
      </c>
    </row>
    <row r="178" spans="1:6" x14ac:dyDescent="0.25">
      <c r="A178" t="s">
        <v>233</v>
      </c>
      <c r="B178">
        <v>76432837</v>
      </c>
      <c r="C178">
        <v>9804000</v>
      </c>
      <c r="D178" s="17">
        <f t="shared" si="3"/>
        <v>9804000</v>
      </c>
      <c r="E178" s="49">
        <f>VLOOKUP($A178,'Data shares'!$C:$FA,128)*100</f>
        <v>0.28999999999999998</v>
      </c>
      <c r="F178" s="49">
        <f>VLOOKUP($A178,'Data shares'!$C:$FA,129)</f>
        <v>13312600</v>
      </c>
    </row>
    <row r="179" spans="1:6" x14ac:dyDescent="0.25">
      <c r="A179" t="s">
        <v>183</v>
      </c>
      <c r="B179">
        <v>12092405</v>
      </c>
      <c r="C179">
        <v>2606450</v>
      </c>
      <c r="D179" s="17">
        <f t="shared" si="3"/>
        <v>2606450</v>
      </c>
      <c r="E179" s="49">
        <f>VLOOKUP($A179,'Data shares'!$C:$FA,128)*100</f>
        <v>7.7299999999999995</v>
      </c>
      <c r="F179" s="49">
        <f>VLOOKUP($A179,'Data shares'!$C:$FA,129)</f>
        <v>1350090</v>
      </c>
    </row>
    <row r="180" spans="1:6" x14ac:dyDescent="0.25">
      <c r="A180" t="s">
        <v>280</v>
      </c>
      <c r="B180">
        <v>187084550</v>
      </c>
      <c r="C180">
        <v>50568000</v>
      </c>
      <c r="D180" s="17">
        <f t="shared" si="3"/>
        <v>50568000</v>
      </c>
      <c r="E180" s="49">
        <f>VLOOKUP($A180,'Data shares'!$C:$FA,128)*100</f>
        <v>4.7699999999999996</v>
      </c>
      <c r="F180" s="49">
        <f>VLOOKUP($A180,'Data shares'!$C:$FA,129)</f>
        <v>77285600</v>
      </c>
    </row>
    <row r="181" spans="1:6" x14ac:dyDescent="0.25">
      <c r="A181" t="s">
        <v>166</v>
      </c>
      <c r="B181">
        <v>79597108</v>
      </c>
      <c r="C181">
        <v>26630000</v>
      </c>
      <c r="D181" s="17">
        <f t="shared" si="3"/>
        <v>26630000</v>
      </c>
      <c r="E181" s="49">
        <f>VLOOKUP($A181,'Data shares'!$C:$FA,128)*100</f>
        <v>1.21</v>
      </c>
      <c r="F181" s="49">
        <f>VLOOKUP($A181,'Data shares'!$C:$FA,129)</f>
        <v>3873875</v>
      </c>
    </row>
    <row r="182" spans="1:6" x14ac:dyDescent="0.25">
      <c r="A182" t="s">
        <v>241</v>
      </c>
      <c r="B182">
        <v>913205148</v>
      </c>
      <c r="C182">
        <v>118527500</v>
      </c>
      <c r="D182" s="17">
        <f t="shared" si="3"/>
        <v>118527500</v>
      </c>
      <c r="E182" s="49">
        <f>VLOOKUP($A182,'Data shares'!$C:$FA,128)*100</f>
        <v>2.34</v>
      </c>
      <c r="F182" s="49">
        <f>VLOOKUP($A182,'Data shares'!$C:$FA,129)</f>
        <v>84854250</v>
      </c>
    </row>
    <row r="183" spans="1:6" x14ac:dyDescent="0.25">
      <c r="A183" t="s">
        <v>517</v>
      </c>
      <c r="B183">
        <v>10180563</v>
      </c>
      <c r="C183">
        <v>3926650</v>
      </c>
      <c r="D183" s="17">
        <f t="shared" si="3"/>
        <v>3926650</v>
      </c>
      <c r="E183" s="49">
        <f>VLOOKUP($A183,'Data shares'!$C:$FA,128)*100</f>
        <v>2.91</v>
      </c>
      <c r="F183" s="49">
        <f>VLOOKUP($A183,'Data shares'!$C:$FA,129)</f>
        <v>14710000</v>
      </c>
    </row>
    <row r="184" spans="1:6" x14ac:dyDescent="0.25">
      <c r="A184" t="s">
        <v>211</v>
      </c>
      <c r="B184">
        <v>91809066</v>
      </c>
      <c r="C184">
        <v>33516000</v>
      </c>
      <c r="D184" s="17">
        <f t="shared" si="3"/>
        <v>33516000</v>
      </c>
      <c r="E184" s="49">
        <f>VLOOKUP($A184,'Data shares'!$C:$FA,128)*100</f>
        <v>4.05</v>
      </c>
      <c r="F184" s="49">
        <f>VLOOKUP($A184,'Data shares'!$C:$FA,129)</f>
        <v>31075200</v>
      </c>
    </row>
    <row r="185" spans="1:6" x14ac:dyDescent="0.25">
      <c r="A185" t="s">
        <v>518</v>
      </c>
      <c r="B185">
        <v>4636018</v>
      </c>
      <c r="C185">
        <v>608375</v>
      </c>
      <c r="D185" s="17">
        <f t="shared" si="3"/>
        <v>608375</v>
      </c>
      <c r="E185" s="49">
        <f>VLOOKUP($A185,'Data shares'!$C:$FA,128)*100</f>
        <v>1.51</v>
      </c>
      <c r="F185" s="49">
        <f>VLOOKUP($A185,'Data shares'!$C:$FA,129)</f>
        <v>1125525</v>
      </c>
    </row>
    <row r="186" spans="1:6" x14ac:dyDescent="0.25">
      <c r="A186" t="s">
        <v>511</v>
      </c>
      <c r="B186">
        <v>18644752</v>
      </c>
      <c r="C186">
        <v>4227600</v>
      </c>
      <c r="D186" s="17">
        <f t="shared" si="3"/>
        <v>4227600</v>
      </c>
      <c r="E186" s="49">
        <f>VLOOKUP($A186,'Data shares'!$C:$FA,128)*100</f>
        <v>3.2300000000000004</v>
      </c>
      <c r="F186" s="49">
        <f>VLOOKUP($A186,'Data shares'!$C:$FA,129)</f>
        <v>140906250</v>
      </c>
    </row>
    <row r="187" spans="1:6" x14ac:dyDescent="0.25">
      <c r="A187" t="s">
        <v>186</v>
      </c>
      <c r="B187">
        <v>48589957</v>
      </c>
      <c r="C187">
        <v>5942200</v>
      </c>
      <c r="D187" s="17">
        <f t="shared" si="3"/>
        <v>5942200</v>
      </c>
      <c r="E187" s="49">
        <f>VLOOKUP($A187,'Data shares'!$C:$FA,128)*100</f>
        <v>4.34</v>
      </c>
      <c r="F187" s="49">
        <f>VLOOKUP($A187,'Data shares'!$C:$FA,129)</f>
        <v>115295325</v>
      </c>
    </row>
    <row r="188" spans="1:6" x14ac:dyDescent="0.25">
      <c r="A188" t="s">
        <v>522</v>
      </c>
      <c r="B188">
        <v>1063050</v>
      </c>
      <c r="C188">
        <v>54050</v>
      </c>
      <c r="D188" s="17">
        <f t="shared" si="3"/>
        <v>54050</v>
      </c>
      <c r="E188" s="49">
        <f>VLOOKUP($A188,'Data shares'!$C:$FA,128)*100</f>
        <v>2.56</v>
      </c>
      <c r="F188" s="49">
        <f>VLOOKUP($A188,'Data shares'!$C:$FA,129)</f>
        <v>2184250</v>
      </c>
    </row>
    <row r="189" spans="1:6" x14ac:dyDescent="0.25">
      <c r="A189" t="s">
        <v>300</v>
      </c>
      <c r="B189">
        <v>45360865</v>
      </c>
      <c r="C189">
        <v>14277200</v>
      </c>
      <c r="D189" s="17">
        <f t="shared" si="3"/>
        <v>14277200</v>
      </c>
      <c r="E189" s="49">
        <f>VLOOKUP($A189,'Data shares'!$C:$FA,128)*100</f>
        <v>0.70000000000000007</v>
      </c>
      <c r="F189" s="49">
        <f>VLOOKUP($A189,'Data shares'!$C:$FA,129)</f>
        <v>8105300</v>
      </c>
    </row>
    <row r="190" spans="1:6" x14ac:dyDescent="0.25">
      <c r="A190" t="s">
        <v>520</v>
      </c>
      <c r="B190">
        <v>23139622</v>
      </c>
      <c r="C190">
        <v>1555500</v>
      </c>
      <c r="D190" s="17">
        <f t="shared" si="3"/>
        <v>1555500</v>
      </c>
      <c r="E190" s="49">
        <f>VLOOKUP($A190,'Data shares'!$C:$FA,128)*100</f>
        <v>6.370000000000001</v>
      </c>
      <c r="F190" s="49">
        <f>VLOOKUP($A190,'Data shares'!$C:$FA,129)</f>
        <v>7634000</v>
      </c>
    </row>
    <row r="191" spans="1:6" x14ac:dyDescent="0.25">
      <c r="A191" t="s">
        <v>294</v>
      </c>
      <c r="B191">
        <v>161436977</v>
      </c>
      <c r="C191">
        <v>59382700</v>
      </c>
      <c r="D191" s="17">
        <f t="shared" si="3"/>
        <v>59382700</v>
      </c>
      <c r="E191" s="49">
        <f>VLOOKUP($A191,'Data shares'!$C:$FA,128)*100</f>
        <v>6.4799999999999995</v>
      </c>
      <c r="F191" s="49">
        <f>VLOOKUP($A191,'Data shares'!$C:$FA,129)</f>
        <v>263516000</v>
      </c>
    </row>
    <row r="192" spans="1:6" x14ac:dyDescent="0.25">
      <c r="A192" t="s">
        <v>244</v>
      </c>
      <c r="B192">
        <v>265685393</v>
      </c>
      <c r="C192">
        <v>44023500</v>
      </c>
      <c r="D192" s="17">
        <f t="shared" si="3"/>
        <v>44023500</v>
      </c>
      <c r="E192" s="49">
        <f>VLOOKUP($A192,'Data shares'!$C:$FA,128)*100</f>
        <v>0.61</v>
      </c>
      <c r="F192" s="49">
        <f>VLOOKUP($A192,'Data shares'!$C:$FA,129)</f>
        <v>50766750</v>
      </c>
    </row>
    <row r="193" spans="1:6" x14ac:dyDescent="0.25">
      <c r="A193" t="s">
        <v>160</v>
      </c>
      <c r="B193">
        <v>145684825</v>
      </c>
      <c r="C193">
        <v>110820000</v>
      </c>
      <c r="D193" s="17">
        <f t="shared" si="3"/>
        <v>110820000</v>
      </c>
      <c r="E193" s="49">
        <f>VLOOKUP($A193,'Data shares'!$C:$FA,128)*100</f>
        <v>2.93</v>
      </c>
      <c r="F193" s="49">
        <f>VLOOKUP($A193,'Data shares'!$C:$FA,129)</f>
        <v>25401575</v>
      </c>
    </row>
    <row r="194" spans="1:6" x14ac:dyDescent="0.25">
      <c r="A194" t="s">
        <v>496</v>
      </c>
      <c r="B194">
        <v>11999202</v>
      </c>
      <c r="C194">
        <v>2345700</v>
      </c>
      <c r="D194" s="17">
        <f t="shared" si="3"/>
        <v>2345700</v>
      </c>
      <c r="E194" s="49">
        <f>VLOOKUP($A194,'Data shares'!$C:$FA,128)*100</f>
        <v>0.47000000000000003</v>
      </c>
      <c r="F194" s="49">
        <f>VLOOKUP($A194,'Data shares'!$C:$FA,129)</f>
        <v>10278800</v>
      </c>
    </row>
    <row r="195" spans="1:6" x14ac:dyDescent="0.25">
      <c r="A195" t="s">
        <v>230</v>
      </c>
      <c r="B195">
        <v>179034270</v>
      </c>
      <c r="C195">
        <v>24257400</v>
      </c>
      <c r="D195" s="17">
        <f t="shared" si="3"/>
        <v>24257400</v>
      </c>
      <c r="E195" s="49">
        <f>VLOOKUP($A195,'Data shares'!$C:$FA,128)*100</f>
        <v>1.5599999999999998</v>
      </c>
      <c r="F195" s="49">
        <f>VLOOKUP($A195,'Data shares'!$C:$FA,129)</f>
        <v>13632300</v>
      </c>
    </row>
    <row r="196" spans="1:6" x14ac:dyDescent="0.25">
      <c r="A196" t="s">
        <v>203</v>
      </c>
      <c r="B196">
        <v>27165463</v>
      </c>
      <c r="C196">
        <v>3318000</v>
      </c>
      <c r="D196" s="17">
        <f t="shared" si="3"/>
        <v>3318000</v>
      </c>
      <c r="E196" s="49">
        <f>VLOOKUP($A196,'Data shares'!$C:$FA,128)*100</f>
        <v>0.92999999999999994</v>
      </c>
      <c r="F196" s="49">
        <f>VLOOKUP($A196,'Data shares'!$C:$FA,129)</f>
        <v>3460200</v>
      </c>
    </row>
    <row r="197" spans="1:6" x14ac:dyDescent="0.25">
      <c r="A197" t="s">
        <v>251</v>
      </c>
      <c r="B197">
        <v>184464522</v>
      </c>
      <c r="C197">
        <v>32566800</v>
      </c>
      <c r="D197" s="17">
        <f t="shared" si="3"/>
        <v>32566800</v>
      </c>
      <c r="E197" s="49">
        <f>VLOOKUP($A197,'Data shares'!$C:$FA,128)*100</f>
        <v>8.7999999999999989</v>
      </c>
      <c r="F197" s="49">
        <f>VLOOKUP($A197,'Data shares'!$C:$FA,129)</f>
        <v>18171200</v>
      </c>
    </row>
    <row r="198" spans="1:6" x14ac:dyDescent="0.25">
      <c r="A198" t="s">
        <v>254</v>
      </c>
      <c r="B198">
        <v>104419539</v>
      </c>
      <c r="C198">
        <v>12741000</v>
      </c>
      <c r="D198" s="17">
        <f t="shared" si="3"/>
        <v>12741000</v>
      </c>
      <c r="E198" s="49">
        <f>VLOOKUP($A198,'Data shares'!$C:$FA,128)*100</f>
        <v>0.33999999999999997</v>
      </c>
      <c r="F198" s="49">
        <f>VLOOKUP($A198,'Data shares'!$C:$FA,129)</f>
        <v>29211600</v>
      </c>
    </row>
    <row r="199" spans="1:6" x14ac:dyDescent="0.25">
      <c r="A199" t="s">
        <v>159</v>
      </c>
      <c r="B199">
        <v>55169320</v>
      </c>
      <c r="C199">
        <v>29565500</v>
      </c>
      <c r="D199" s="17">
        <f t="shared" si="3"/>
        <v>29565500</v>
      </c>
      <c r="E199" s="49">
        <f>VLOOKUP($A199,'Data shares'!$C:$FA,128)*100</f>
        <v>3.19</v>
      </c>
      <c r="F199" s="49">
        <f>VLOOKUP($A199,'Data shares'!$C:$FA,129)</f>
        <v>20078511</v>
      </c>
    </row>
    <row r="200" spans="1:6" x14ac:dyDescent="0.25">
      <c r="A200" t="s">
        <v>201</v>
      </c>
      <c r="B200">
        <v>26654592</v>
      </c>
      <c r="C200">
        <v>3469200</v>
      </c>
      <c r="D200" s="17">
        <f t="shared" si="3"/>
        <v>3469200</v>
      </c>
      <c r="E200" s="49">
        <f>VLOOKUP($A200,'Data shares'!$C:$FA,128)*100</f>
        <v>2.41</v>
      </c>
      <c r="F200" s="49">
        <f>VLOOKUP($A200,'Data shares'!$C:$FA,129)</f>
        <v>5134500</v>
      </c>
    </row>
    <row r="201" spans="1:6" x14ac:dyDescent="0.25">
      <c r="A201" t="s">
        <v>199</v>
      </c>
      <c r="B201">
        <v>102562642</v>
      </c>
      <c r="C201">
        <v>20641400</v>
      </c>
      <c r="D201" s="17">
        <f t="shared" si="3"/>
        <v>20641400</v>
      </c>
      <c r="E201" s="49">
        <f>VLOOKUP($A201,'Data shares'!$C:$FA,128)*100</f>
        <v>2.2999999999999998</v>
      </c>
      <c r="F201" s="49">
        <f>VLOOKUP($A201,'Data shares'!$C:$FA,129)</f>
        <v>15061875</v>
      </c>
    </row>
    <row r="202" spans="1:6" x14ac:dyDescent="0.25">
      <c r="A202" t="s">
        <v>296</v>
      </c>
      <c r="B202">
        <v>124861039</v>
      </c>
      <c r="C202">
        <v>20543400</v>
      </c>
      <c r="D202" s="17">
        <f t="shared" si="3"/>
        <v>20543400</v>
      </c>
      <c r="E202" s="49">
        <f>VLOOKUP($A202,'Data shares'!$C:$FA,128)*100</f>
        <v>1.28</v>
      </c>
      <c r="F202" s="49">
        <f>VLOOKUP($A202,'Data shares'!$C:$FA,129)</f>
        <v>19132800</v>
      </c>
    </row>
    <row r="203" spans="1:6" x14ac:dyDescent="0.25">
      <c r="A203" t="s">
        <v>229</v>
      </c>
      <c r="B203">
        <v>127940594</v>
      </c>
      <c r="C203">
        <v>33552900</v>
      </c>
      <c r="D203" s="17">
        <f t="shared" si="3"/>
        <v>33552900</v>
      </c>
      <c r="E203" s="49">
        <f>VLOOKUP($A203,'Data shares'!$C:$FA,128)*100</f>
        <v>1.1599999999999999</v>
      </c>
      <c r="F203" s="49">
        <f>VLOOKUP($A203,'Data shares'!$C:$FA,129)</f>
        <v>36150300</v>
      </c>
    </row>
    <row r="204" spans="1:6" x14ac:dyDescent="0.25">
      <c r="A204" t="s">
        <v>497</v>
      </c>
      <c r="B204">
        <v>10251929</v>
      </c>
      <c r="C204">
        <v>266200</v>
      </c>
      <c r="D204" s="17">
        <f t="shared" si="3"/>
        <v>266200</v>
      </c>
      <c r="E204" s="49">
        <f>VLOOKUP($A204,'Data shares'!$C:$FA,128)*100</f>
        <v>0.22</v>
      </c>
      <c r="F204" s="49">
        <f>VLOOKUP($A204,'Data shares'!$C:$FA,129)</f>
        <v>1260125</v>
      </c>
    </row>
  </sheetData>
  <mergeCells count="2">
    <mergeCell ref="A3:G3"/>
    <mergeCell ref="B4:G4"/>
  </mergeCell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zoomScaleNormal="100" zoomScaleSheetLayoutView="100" workbookViewId="0">
      <selection activeCell="D10" sqref="D10"/>
    </sheetView>
  </sheetViews>
  <sheetFormatPr defaultRowHeight="9" x14ac:dyDescent="0.15"/>
  <cols>
    <col min="1" max="1" width="124.28515625" style="55" customWidth="1"/>
    <col min="2" max="16384" width="9.140625" style="56"/>
  </cols>
  <sheetData>
    <row r="1" spans="1:1" ht="24" customHeight="1" x14ac:dyDescent="0.15"/>
    <row r="2" spans="1:1" ht="14.25" customHeight="1" x14ac:dyDescent="0.15"/>
    <row r="3" spans="1:1" ht="15" customHeight="1" x14ac:dyDescent="0.15">
      <c r="A3" s="57" t="s">
        <v>428</v>
      </c>
    </row>
    <row r="4" spans="1:1" ht="36" customHeight="1" x14ac:dyDescent="0.15">
      <c r="A4" s="109" t="s">
        <v>429</v>
      </c>
    </row>
    <row r="5" spans="1:1" s="58" customFormat="1" ht="12" customHeight="1" x14ac:dyDescent="0.15">
      <c r="A5" s="109"/>
    </row>
    <row r="6" spans="1:1" ht="86.25" customHeight="1" x14ac:dyDescent="0.15">
      <c r="A6" s="110" t="s">
        <v>430</v>
      </c>
    </row>
    <row r="7" spans="1:1" s="58" customFormat="1" ht="5.25" customHeight="1" x14ac:dyDescent="0.15">
      <c r="A7" s="109"/>
    </row>
    <row r="8" spans="1:1" ht="90" x14ac:dyDescent="0.15">
      <c r="A8" s="109" t="s">
        <v>431</v>
      </c>
    </row>
    <row r="9" spans="1:1" s="58" customFormat="1" ht="11.25" x14ac:dyDescent="0.15">
      <c r="A9" s="109"/>
    </row>
    <row r="10" spans="1:1" ht="107.25" customHeight="1" x14ac:dyDescent="0.15">
      <c r="A10" s="109" t="s">
        <v>432</v>
      </c>
    </row>
    <row r="11" spans="1:1" s="58" customFormat="1" ht="7.5" customHeight="1" x14ac:dyDescent="0.15">
      <c r="A11" s="109"/>
    </row>
    <row r="12" spans="1:1" ht="56.25" customHeight="1" x14ac:dyDescent="0.15">
      <c r="A12" s="109" t="s">
        <v>433</v>
      </c>
    </row>
    <row r="13" spans="1:1" s="58" customFormat="1" ht="11.25" x14ac:dyDescent="0.15">
      <c r="A13" s="109"/>
    </row>
    <row r="14" spans="1:1" ht="64.5" customHeight="1" x14ac:dyDescent="0.15">
      <c r="A14" s="109" t="s">
        <v>434</v>
      </c>
    </row>
    <row r="15" spans="1:1" s="58" customFormat="1" ht="11.25" x14ac:dyDescent="0.15">
      <c r="A15" s="109"/>
    </row>
    <row r="16" spans="1:1" ht="77.25" customHeight="1" x14ac:dyDescent="0.15">
      <c r="A16" s="109" t="s">
        <v>435</v>
      </c>
    </row>
    <row r="17" spans="1:1" s="58" customFormat="1" ht="11.25" x14ac:dyDescent="0.15">
      <c r="A17" s="109"/>
    </row>
    <row r="18" spans="1:1" ht="37.5" customHeight="1" x14ac:dyDescent="0.15">
      <c r="A18" s="109" t="s">
        <v>436</v>
      </c>
    </row>
    <row r="19" spans="1:1" s="58" customFormat="1" ht="11.25" x14ac:dyDescent="0.15">
      <c r="A19" s="109"/>
    </row>
    <row r="20" spans="1:1" ht="26.25" customHeight="1" x14ac:dyDescent="0.15">
      <c r="A20" s="111" t="s">
        <v>437</v>
      </c>
    </row>
    <row r="21" spans="1:1" ht="11.25" x14ac:dyDescent="0.15">
      <c r="A21" s="88"/>
    </row>
    <row r="22" spans="1:1" ht="11.25" x14ac:dyDescent="0.15">
      <c r="A22" s="88"/>
    </row>
    <row r="23" spans="1:1" ht="11.25" x14ac:dyDescent="0.15">
      <c r="A23" s="112"/>
    </row>
    <row r="24" spans="1:1" ht="67.5" x14ac:dyDescent="0.15">
      <c r="A24" s="168" t="s">
        <v>481</v>
      </c>
    </row>
    <row r="25" spans="1:1" ht="9.75" x14ac:dyDescent="0.15">
      <c r="A25" s="59"/>
    </row>
  </sheetData>
  <pageMargins left="0.7" right="0.7" top="0.75" bottom="0.75" header="0.3" footer="0.3"/>
  <pageSetup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Y51"/>
  <sheetViews>
    <sheetView topLeftCell="A31" zoomScale="87" zoomScaleNormal="87" workbookViewId="0">
      <selection activeCell="F53" sqref="F53"/>
    </sheetView>
  </sheetViews>
  <sheetFormatPr defaultRowHeight="15" x14ac:dyDescent="0.25"/>
  <cols>
    <col min="1" max="1" width="11.85546875" bestFit="1" customWidth="1"/>
    <col min="2" max="2" width="16.42578125" bestFit="1" customWidth="1"/>
    <col min="3" max="3" width="16.7109375" bestFit="1" customWidth="1"/>
    <col min="4" max="4" width="14.140625" bestFit="1" customWidth="1"/>
    <col min="5" max="5" width="20" bestFit="1" customWidth="1"/>
    <col min="6" max="6" width="18.85546875" bestFit="1" customWidth="1"/>
    <col min="7" max="7" width="16.7109375" bestFit="1" customWidth="1"/>
    <col min="8" max="8" width="11.42578125" bestFit="1" customWidth="1"/>
    <col min="9" max="9" width="11.5703125" bestFit="1" customWidth="1"/>
    <col min="10" max="10" width="10.5703125" bestFit="1" customWidth="1"/>
    <col min="11" max="11" width="9" bestFit="1" customWidth="1"/>
    <col min="12" max="12" width="19.85546875" bestFit="1" customWidth="1"/>
    <col min="13" max="13" width="19.140625" bestFit="1" customWidth="1"/>
    <col min="14" max="14" width="18.28515625" bestFit="1" customWidth="1"/>
    <col min="15" max="15" width="16.140625" bestFit="1" customWidth="1"/>
    <col min="16" max="16" width="19.7109375" bestFit="1" customWidth="1"/>
    <col min="17" max="17" width="19.140625" bestFit="1" customWidth="1"/>
    <col min="18" max="18" width="18.28515625" bestFit="1" customWidth="1"/>
    <col min="19" max="19" width="16.140625" bestFit="1" customWidth="1"/>
    <col min="20" max="20" width="17.85546875" bestFit="1" customWidth="1"/>
    <col min="21" max="21" width="17.42578125" bestFit="1" customWidth="1"/>
    <col min="22" max="22" width="16.28515625" bestFit="1" customWidth="1"/>
    <col min="23" max="23" width="14.28515625" bestFit="1" customWidth="1"/>
    <col min="24" max="24" width="7.85546875" bestFit="1" customWidth="1"/>
    <col min="25" max="25" width="12.28515625" bestFit="1" customWidth="1"/>
    <col min="26" max="26" width="11.28515625" bestFit="1" customWidth="1"/>
    <col min="27" max="27" width="9.28515625" bestFit="1" customWidth="1"/>
    <col min="28" max="28" width="10.42578125" bestFit="1" customWidth="1"/>
    <col min="29" max="29" width="16.42578125" bestFit="1" customWidth="1"/>
    <col min="30" max="30" width="15.28515625" bestFit="1" customWidth="1"/>
    <col min="31" max="31" width="13.140625" bestFit="1" customWidth="1"/>
    <col min="32" max="32" width="10.42578125" bestFit="1" customWidth="1"/>
    <col min="33" max="33" width="16.28515625" bestFit="1" customWidth="1"/>
    <col min="34" max="34" width="15.140625" bestFit="1" customWidth="1"/>
    <col min="35" max="35" width="13" bestFit="1" customWidth="1"/>
    <col min="36" max="36" width="8.7109375" bestFit="1" customWidth="1"/>
    <col min="37" max="37" width="14.42578125" bestFit="1" customWidth="1"/>
    <col min="38" max="38" width="13.28515625" bestFit="1" customWidth="1"/>
    <col min="39" max="39" width="11.28515625" bestFit="1" customWidth="1"/>
    <col min="40" max="40" width="11.42578125" bestFit="1" customWidth="1"/>
    <col min="41" max="41" width="12.5703125" bestFit="1" customWidth="1"/>
    <col min="42" max="42" width="12.42578125" bestFit="1" customWidth="1"/>
    <col min="43" max="43" width="17" bestFit="1" customWidth="1"/>
    <col min="44" max="44" width="22.7109375" bestFit="1" customWidth="1"/>
    <col min="45" max="45" width="21.85546875" bestFit="1" customWidth="1"/>
    <col min="46" max="46" width="19.7109375" bestFit="1" customWidth="1"/>
    <col min="47" max="47" width="15.140625" bestFit="1" customWidth="1"/>
    <col min="48" max="48" width="21" bestFit="1" customWidth="1"/>
    <col min="49" max="49" width="19.85546875" bestFit="1" customWidth="1"/>
    <col min="50" max="50" width="17.85546875" bestFit="1" customWidth="1"/>
    <col min="51" max="51" width="15.140625" bestFit="1" customWidth="1"/>
    <col min="52" max="52" width="20.85546875" bestFit="1" customWidth="1"/>
    <col min="53" max="53" width="19.85546875" bestFit="1" customWidth="1"/>
    <col min="54" max="54" width="17.85546875" bestFit="1" customWidth="1"/>
    <col min="55" max="55" width="13.140625" bestFit="1" customWidth="1"/>
    <col min="56" max="56" width="19" bestFit="1" customWidth="1"/>
    <col min="57" max="57" width="18" bestFit="1" customWidth="1"/>
    <col min="58" max="58" width="15.85546875" bestFit="1" customWidth="1"/>
    <col min="59" max="59" width="14.140625" bestFit="1" customWidth="1"/>
    <col min="60" max="60" width="19.85546875" bestFit="1" customWidth="1"/>
    <col min="61" max="61" width="18.85546875" bestFit="1" customWidth="1"/>
    <col min="62" max="62" width="16.7109375" bestFit="1" customWidth="1"/>
    <col min="63" max="63" width="14" bestFit="1" customWidth="1"/>
    <col min="64" max="64" width="19.5703125" bestFit="1" customWidth="1"/>
    <col min="65" max="65" width="18.7109375" bestFit="1" customWidth="1"/>
    <col min="66" max="66" width="16.5703125" bestFit="1" customWidth="1"/>
    <col min="67" max="67" width="15.42578125" bestFit="1" customWidth="1"/>
    <col min="68" max="68" width="21.140625" bestFit="1" customWidth="1"/>
    <col min="69" max="69" width="20.140625" bestFit="1" customWidth="1"/>
    <col min="70" max="70" width="18.140625" bestFit="1" customWidth="1"/>
    <col min="71" max="71" width="15" bestFit="1" customWidth="1"/>
    <col min="72" max="72" width="20.85546875" bestFit="1" customWidth="1"/>
    <col min="73" max="73" width="19.7109375" bestFit="1" customWidth="1"/>
    <col min="74" max="74" width="17.7109375" bestFit="1" customWidth="1"/>
    <col min="75" max="75" width="14.28515625" bestFit="1" customWidth="1"/>
    <col min="76" max="76" width="16.42578125" bestFit="1" customWidth="1"/>
    <col min="77" max="77" width="15.42578125" bestFit="1" customWidth="1"/>
    <col min="78" max="78" width="13.42578125" bestFit="1" customWidth="1"/>
    <col min="79" max="79" width="14.28515625" bestFit="1" customWidth="1"/>
    <col min="80" max="80" width="14.5703125" bestFit="1" customWidth="1"/>
    <col min="81" max="81" width="14.28515625" bestFit="1" customWidth="1"/>
    <col min="82" max="82" width="11.5703125" bestFit="1" customWidth="1"/>
    <col min="83" max="83" width="13.140625" bestFit="1" customWidth="1"/>
    <col min="84" max="84" width="14.42578125" bestFit="1" customWidth="1"/>
    <col min="85" max="85" width="15.28515625" bestFit="1" customWidth="1"/>
    <col min="86" max="86" width="11.42578125" bestFit="1" customWidth="1"/>
    <col min="87" max="87" width="10.28515625" bestFit="1" customWidth="1"/>
    <col min="88" max="88" width="13.140625" bestFit="1" customWidth="1"/>
    <col min="89" max="89" width="14" bestFit="1" customWidth="1"/>
    <col min="90" max="90" width="10.140625" bestFit="1" customWidth="1"/>
    <col min="91" max="91" width="13.140625" bestFit="1" customWidth="1"/>
    <col min="92" max="92" width="13.42578125" bestFit="1" customWidth="1"/>
    <col min="93" max="93" width="13.140625" bestFit="1" customWidth="1"/>
    <col min="94" max="94" width="10.42578125" bestFit="1" customWidth="1"/>
    <col min="95" max="95" width="13.140625" bestFit="1" customWidth="1"/>
    <col min="96" max="96" width="13.28515625" bestFit="1" customWidth="1"/>
    <col min="97" max="97" width="13.140625" bestFit="1" customWidth="1"/>
    <col min="98" max="98" width="10.42578125" bestFit="1" customWidth="1"/>
    <col min="99" max="99" width="14.28515625" bestFit="1" customWidth="1"/>
    <col min="100" max="100" width="14.7109375" bestFit="1" customWidth="1"/>
    <col min="101" max="101" width="13.85546875" bestFit="1" customWidth="1"/>
    <col min="102" max="102" width="11.7109375" bestFit="1" customWidth="1"/>
    <col min="103" max="103" width="8.140625" bestFit="1" customWidth="1"/>
    <col min="104" max="104" width="8.85546875" bestFit="1" customWidth="1"/>
    <col min="105" max="106" width="7.85546875" bestFit="1" customWidth="1"/>
    <col min="107" max="107" width="8.140625" bestFit="1" customWidth="1"/>
    <col min="108" max="108" width="9.5703125" bestFit="1" customWidth="1"/>
    <col min="109" max="109" width="11.85546875" bestFit="1" customWidth="1"/>
    <col min="110" max="110" width="7.85546875" bestFit="1" customWidth="1"/>
    <col min="111" max="111" width="8.140625" bestFit="1" customWidth="1"/>
    <col min="112" max="112" width="13.28515625" bestFit="1" customWidth="1"/>
    <col min="113" max="113" width="12.28515625" bestFit="1" customWidth="1"/>
    <col min="114" max="114" width="10.28515625" bestFit="1" customWidth="1"/>
    <col min="115" max="115" width="8.140625" bestFit="1" customWidth="1"/>
    <col min="116" max="116" width="13.140625" bestFit="1" customWidth="1"/>
    <col min="117" max="117" width="12.140625" bestFit="1" customWidth="1"/>
    <col min="118" max="118" width="10.140625" bestFit="1" customWidth="1"/>
    <col min="119" max="119" width="7.5703125" bestFit="1" customWidth="1"/>
    <col min="120" max="120" width="13.28515625" bestFit="1" customWidth="1"/>
    <col min="121" max="121" width="12.140625" bestFit="1" customWidth="1"/>
    <col min="122" max="122" width="10.140625" bestFit="1" customWidth="1"/>
    <col min="123" max="124" width="11.42578125" bestFit="1" customWidth="1"/>
    <col min="125" max="125" width="8.85546875" bestFit="1" customWidth="1"/>
    <col min="126" max="126" width="14.5703125" bestFit="1" customWidth="1"/>
    <col min="127" max="127" width="13.42578125" bestFit="1" customWidth="1"/>
    <col min="128" max="128" width="11.42578125" bestFit="1" customWidth="1"/>
    <col min="129" max="129" width="10" bestFit="1" customWidth="1"/>
    <col min="130" max="130" width="15.85546875" bestFit="1" customWidth="1"/>
    <col min="131" max="131" width="15.28515625" bestFit="1" customWidth="1"/>
    <col min="132" max="132" width="12.5703125" bestFit="1" customWidth="1"/>
    <col min="133" max="133" width="11.42578125" bestFit="1" customWidth="1"/>
    <col min="134" max="134" width="13.5703125" bestFit="1" customWidth="1"/>
    <col min="135" max="135" width="13.140625" bestFit="1" customWidth="1"/>
    <col min="136" max="136" width="16" bestFit="1" customWidth="1"/>
    <col min="137" max="137" width="11.28515625" bestFit="1" customWidth="1"/>
    <col min="138" max="138" width="12.85546875" bestFit="1" customWidth="1"/>
    <col min="139" max="139" width="20.85546875" bestFit="1" customWidth="1"/>
    <col min="140" max="140" width="20.7109375" bestFit="1" customWidth="1"/>
    <col min="141" max="141" width="23.85546875" bestFit="1" customWidth="1"/>
    <col min="142" max="142" width="15" bestFit="1" customWidth="1"/>
    <col min="143" max="143" width="22.28515625" bestFit="1" customWidth="1"/>
    <col min="144" max="144" width="22" bestFit="1" customWidth="1"/>
    <col min="145" max="145" width="21" bestFit="1" customWidth="1"/>
    <col min="146" max="146" width="19" bestFit="1" customWidth="1"/>
    <col min="147" max="147" width="14.5703125" bestFit="1" customWidth="1"/>
    <col min="148" max="148" width="14.42578125" bestFit="1" customWidth="1"/>
    <col min="149" max="149" width="17.5703125" bestFit="1" customWidth="1"/>
    <col min="150" max="150" width="18.85546875" bestFit="1" customWidth="1"/>
    <col min="151" max="151" width="15.85546875" bestFit="1" customWidth="1"/>
    <col min="152" max="152" width="15.7109375" bestFit="1" customWidth="1"/>
    <col min="153" max="153" width="14.7109375" bestFit="1" customWidth="1"/>
    <col min="154" max="154" width="12.5703125" bestFit="1" customWidth="1"/>
    <col min="155" max="155" width="14.140625" bestFit="1" customWidth="1"/>
  </cols>
  <sheetData>
    <row r="1" spans="1:155" ht="18" thickBot="1" x14ac:dyDescent="0.3">
      <c r="A1" s="164" t="s">
        <v>0</v>
      </c>
      <c r="B1" s="164" t="s">
        <v>1</v>
      </c>
      <c r="C1" s="164" t="s">
        <v>2</v>
      </c>
      <c r="D1" s="164" t="s">
        <v>344</v>
      </c>
      <c r="E1" s="164" t="s">
        <v>345</v>
      </c>
      <c r="F1" s="164" t="s">
        <v>346</v>
      </c>
      <c r="G1" s="164" t="s">
        <v>347</v>
      </c>
      <c r="H1" s="164" t="s">
        <v>9</v>
      </c>
      <c r="I1" s="164" t="s">
        <v>10</v>
      </c>
      <c r="J1" s="164" t="s">
        <v>11</v>
      </c>
      <c r="K1" s="164" t="s">
        <v>12</v>
      </c>
      <c r="L1" s="164" t="s">
        <v>13</v>
      </c>
      <c r="M1" s="164" t="s">
        <v>14</v>
      </c>
      <c r="N1" s="164" t="s">
        <v>15</v>
      </c>
      <c r="O1" s="164" t="s">
        <v>16</v>
      </c>
      <c r="P1" s="164" t="s">
        <v>17</v>
      </c>
      <c r="Q1" s="164" t="s">
        <v>18</v>
      </c>
      <c r="R1" s="164" t="s">
        <v>19</v>
      </c>
      <c r="S1" s="164" t="s">
        <v>20</v>
      </c>
      <c r="T1" s="164" t="s">
        <v>21</v>
      </c>
      <c r="U1" s="164" t="s">
        <v>22</v>
      </c>
      <c r="V1" s="164" t="s">
        <v>23</v>
      </c>
      <c r="W1" s="164" t="s">
        <v>24</v>
      </c>
      <c r="X1" s="164" t="s">
        <v>25</v>
      </c>
      <c r="Y1" s="164" t="s">
        <v>26</v>
      </c>
      <c r="Z1" s="164" t="s">
        <v>27</v>
      </c>
      <c r="AA1" s="164" t="s">
        <v>28</v>
      </c>
      <c r="AB1" s="164" t="s">
        <v>29</v>
      </c>
      <c r="AC1" s="164" t="s">
        <v>30</v>
      </c>
      <c r="AD1" s="164" t="s">
        <v>31</v>
      </c>
      <c r="AE1" s="164" t="s">
        <v>32</v>
      </c>
      <c r="AF1" s="164" t="s">
        <v>33</v>
      </c>
      <c r="AG1" s="164" t="s">
        <v>34</v>
      </c>
      <c r="AH1" s="164" t="s">
        <v>35</v>
      </c>
      <c r="AI1" s="164" t="s">
        <v>36</v>
      </c>
      <c r="AJ1" s="164" t="s">
        <v>37</v>
      </c>
      <c r="AK1" s="164" t="s">
        <v>38</v>
      </c>
      <c r="AL1" s="164" t="s">
        <v>39</v>
      </c>
      <c r="AM1" s="164" t="s">
        <v>40</v>
      </c>
      <c r="AN1" s="164" t="s">
        <v>41</v>
      </c>
      <c r="AO1" s="164" t="s">
        <v>42</v>
      </c>
      <c r="AP1" s="164" t="s">
        <v>43</v>
      </c>
      <c r="AQ1" s="164" t="s">
        <v>348</v>
      </c>
      <c r="AR1" s="164" t="s">
        <v>349</v>
      </c>
      <c r="AS1" s="164" t="s">
        <v>350</v>
      </c>
      <c r="AT1" s="164" t="s">
        <v>351</v>
      </c>
      <c r="AU1" s="164" t="s">
        <v>48</v>
      </c>
      <c r="AV1" s="164" t="s">
        <v>49</v>
      </c>
      <c r="AW1" s="164" t="s">
        <v>50</v>
      </c>
      <c r="AX1" s="164" t="s">
        <v>51</v>
      </c>
      <c r="AY1" s="164" t="s">
        <v>52</v>
      </c>
      <c r="AZ1" s="164" t="s">
        <v>53</v>
      </c>
      <c r="BA1" s="164" t="s">
        <v>54</v>
      </c>
      <c r="BB1" s="164" t="s">
        <v>55</v>
      </c>
      <c r="BC1" s="164" t="s">
        <v>56</v>
      </c>
      <c r="BD1" s="164" t="s">
        <v>57</v>
      </c>
      <c r="BE1" s="164" t="s">
        <v>58</v>
      </c>
      <c r="BF1" s="164" t="s">
        <v>59</v>
      </c>
      <c r="BG1" s="164" t="s">
        <v>60</v>
      </c>
      <c r="BH1" s="164" t="s">
        <v>61</v>
      </c>
      <c r="BI1" s="164" t="s">
        <v>62</v>
      </c>
      <c r="BJ1" s="164" t="s">
        <v>63</v>
      </c>
      <c r="BK1" s="164" t="s">
        <v>64</v>
      </c>
      <c r="BL1" s="164" t="s">
        <v>65</v>
      </c>
      <c r="BM1" s="164" t="s">
        <v>66</v>
      </c>
      <c r="BN1" s="164" t="s">
        <v>67</v>
      </c>
      <c r="BO1" s="164" t="s">
        <v>68</v>
      </c>
      <c r="BP1" s="164" t="s">
        <v>69</v>
      </c>
      <c r="BQ1" s="164" t="s">
        <v>70</v>
      </c>
      <c r="BR1" s="164" t="s">
        <v>71</v>
      </c>
      <c r="BS1" s="164" t="s">
        <v>72</v>
      </c>
      <c r="BT1" s="164" t="s">
        <v>73</v>
      </c>
      <c r="BU1" s="164" t="s">
        <v>74</v>
      </c>
      <c r="BV1" s="164" t="s">
        <v>75</v>
      </c>
      <c r="BW1" s="164" t="s">
        <v>352</v>
      </c>
      <c r="BX1" s="164" t="s">
        <v>353</v>
      </c>
      <c r="BY1" s="164" t="s">
        <v>354</v>
      </c>
      <c r="BZ1" s="164" t="s">
        <v>355</v>
      </c>
      <c r="CA1" s="164" t="s">
        <v>80</v>
      </c>
      <c r="CB1" s="164" t="s">
        <v>81</v>
      </c>
      <c r="CC1" s="164" t="s">
        <v>82</v>
      </c>
      <c r="CD1" s="164" t="s">
        <v>83</v>
      </c>
      <c r="CE1" s="164" t="s">
        <v>84</v>
      </c>
      <c r="CF1" s="164" t="s">
        <v>85</v>
      </c>
      <c r="CG1" s="164" t="s">
        <v>86</v>
      </c>
      <c r="CH1" s="164" t="s">
        <v>87</v>
      </c>
      <c r="CI1" s="164" t="s">
        <v>88</v>
      </c>
      <c r="CJ1" s="164" t="s">
        <v>89</v>
      </c>
      <c r="CK1" s="164" t="s">
        <v>90</v>
      </c>
      <c r="CL1" s="164" t="s">
        <v>91</v>
      </c>
      <c r="CM1" s="164" t="s">
        <v>92</v>
      </c>
      <c r="CN1" s="164" t="s">
        <v>93</v>
      </c>
      <c r="CO1" s="164" t="s">
        <v>94</v>
      </c>
      <c r="CP1" s="164" t="s">
        <v>95</v>
      </c>
      <c r="CQ1" s="164" t="s">
        <v>96</v>
      </c>
      <c r="CR1" s="164" t="s">
        <v>97</v>
      </c>
      <c r="CS1" s="164" t="s">
        <v>98</v>
      </c>
      <c r="CT1" s="164" t="s">
        <v>99</v>
      </c>
      <c r="CU1" s="164" t="s">
        <v>100</v>
      </c>
      <c r="CV1" s="164" t="s">
        <v>101</v>
      </c>
      <c r="CW1" s="164" t="s">
        <v>102</v>
      </c>
      <c r="CX1" s="164" t="s">
        <v>103</v>
      </c>
      <c r="CY1" s="164" t="s">
        <v>104</v>
      </c>
      <c r="CZ1" s="164" t="s">
        <v>105</v>
      </c>
      <c r="DA1" s="164" t="s">
        <v>106</v>
      </c>
      <c r="DB1" s="164" t="s">
        <v>107</v>
      </c>
      <c r="DC1" s="164" t="s">
        <v>108</v>
      </c>
      <c r="DD1" s="164" t="s">
        <v>109</v>
      </c>
      <c r="DE1" s="164" t="s">
        <v>110</v>
      </c>
      <c r="DF1" s="164" t="s">
        <v>111</v>
      </c>
      <c r="DG1" s="164" t="s">
        <v>112</v>
      </c>
      <c r="DH1" s="164" t="s">
        <v>113</v>
      </c>
      <c r="DI1" s="164" t="s">
        <v>114</v>
      </c>
      <c r="DJ1" s="164" t="s">
        <v>115</v>
      </c>
      <c r="DK1" s="164" t="s">
        <v>116</v>
      </c>
      <c r="DL1" s="164" t="s">
        <v>117</v>
      </c>
      <c r="DM1" s="164" t="s">
        <v>118</v>
      </c>
      <c r="DN1" s="164" t="s">
        <v>119</v>
      </c>
      <c r="DO1" s="164" t="s">
        <v>120</v>
      </c>
      <c r="DP1" s="164" t="s">
        <v>121</v>
      </c>
      <c r="DQ1" s="164" t="s">
        <v>122</v>
      </c>
      <c r="DR1" s="164" t="s">
        <v>123</v>
      </c>
      <c r="DS1" s="164" t="s">
        <v>124</v>
      </c>
      <c r="DT1" s="164" t="s">
        <v>125</v>
      </c>
      <c r="DU1" s="164" t="s">
        <v>126</v>
      </c>
      <c r="DV1" s="164" t="s">
        <v>127</v>
      </c>
      <c r="DW1" s="164" t="s">
        <v>128</v>
      </c>
      <c r="DX1" s="164" t="s">
        <v>129</v>
      </c>
      <c r="DY1" s="164" t="s">
        <v>130</v>
      </c>
      <c r="DZ1" s="164" t="s">
        <v>131</v>
      </c>
      <c r="EA1" s="164" t="s">
        <v>132</v>
      </c>
      <c r="EB1" s="164" t="s">
        <v>133</v>
      </c>
      <c r="EC1" s="164" t="s">
        <v>134</v>
      </c>
      <c r="ED1" s="164" t="s">
        <v>135</v>
      </c>
      <c r="EE1" s="164" t="s">
        <v>136</v>
      </c>
      <c r="EF1" s="164" t="s">
        <v>137</v>
      </c>
      <c r="EG1" s="164" t="s">
        <v>138</v>
      </c>
      <c r="EH1" s="164" t="s">
        <v>139</v>
      </c>
      <c r="EI1" s="164" t="s">
        <v>140</v>
      </c>
      <c r="EJ1" s="164" t="s">
        <v>141</v>
      </c>
      <c r="EK1" s="164" t="s">
        <v>142</v>
      </c>
      <c r="EL1" s="164" t="s">
        <v>72</v>
      </c>
      <c r="EM1" s="164" t="s">
        <v>143</v>
      </c>
      <c r="EN1" s="164" t="s">
        <v>144</v>
      </c>
      <c r="EO1" s="164" t="s">
        <v>145</v>
      </c>
      <c r="EP1" s="164" t="s">
        <v>146</v>
      </c>
      <c r="EQ1" s="164" t="s">
        <v>147</v>
      </c>
      <c r="ER1" s="164" t="s">
        <v>148</v>
      </c>
      <c r="ES1" s="164" t="s">
        <v>149</v>
      </c>
      <c r="ET1" s="164" t="s">
        <v>150</v>
      </c>
      <c r="EU1" s="164" t="s">
        <v>151</v>
      </c>
      <c r="EV1" s="164" t="s">
        <v>152</v>
      </c>
      <c r="EW1" s="164" t="s">
        <v>153</v>
      </c>
      <c r="EX1" s="164" t="s">
        <v>154</v>
      </c>
      <c r="EY1" s="164" t="s">
        <v>155</v>
      </c>
    </row>
    <row r="2" spans="1:155" ht="17.25" thickBot="1" x14ac:dyDescent="0.3">
      <c r="A2" s="226">
        <v>46050</v>
      </c>
      <c r="B2" s="227" t="s">
        <v>215</v>
      </c>
      <c r="C2" s="227" t="s">
        <v>159</v>
      </c>
      <c r="D2" s="231">
        <v>2004.4</v>
      </c>
      <c r="E2" s="231">
        <v>1969.6</v>
      </c>
      <c r="F2" s="228">
        <v>34.799999999999997</v>
      </c>
      <c r="G2" s="229">
        <v>1.77E-2</v>
      </c>
      <c r="H2" s="231">
        <v>1994.7</v>
      </c>
      <c r="I2" s="231">
        <v>1959.5</v>
      </c>
      <c r="J2" s="228">
        <v>35.200000000000003</v>
      </c>
      <c r="K2" s="229">
        <v>1.7999999999999999E-2</v>
      </c>
      <c r="L2" s="231">
        <v>2004.4</v>
      </c>
      <c r="M2" s="231">
        <v>1956.3</v>
      </c>
      <c r="N2" s="228">
        <v>48.1</v>
      </c>
      <c r="O2" s="229">
        <v>2.46E-2</v>
      </c>
      <c r="P2" s="231">
        <v>2009.4</v>
      </c>
      <c r="Q2" s="231">
        <v>1969.6</v>
      </c>
      <c r="R2" s="228">
        <v>39.799999999999997</v>
      </c>
      <c r="S2" s="229">
        <v>2.0199999999999999E-2</v>
      </c>
      <c r="T2" s="231">
        <v>2018.6</v>
      </c>
      <c r="U2" s="231">
        <v>1974.6</v>
      </c>
      <c r="V2" s="228">
        <v>44</v>
      </c>
      <c r="W2" s="229">
        <v>2.23E-2</v>
      </c>
      <c r="X2" s="228">
        <v>9.6999999999999993</v>
      </c>
      <c r="Y2" s="228">
        <v>10.1</v>
      </c>
      <c r="Z2" s="228">
        <v>-0.4</v>
      </c>
      <c r="AA2" s="229">
        <v>4.8999999999999998E-3</v>
      </c>
      <c r="AB2" s="228">
        <v>9.6999999999999993</v>
      </c>
      <c r="AC2" s="228">
        <v>-3.2</v>
      </c>
      <c r="AD2" s="228">
        <v>12.9</v>
      </c>
      <c r="AE2" s="229">
        <v>4.8999999999999998E-3</v>
      </c>
      <c r="AF2" s="228">
        <v>14.7</v>
      </c>
      <c r="AG2" s="228">
        <v>10.1</v>
      </c>
      <c r="AH2" s="228">
        <v>4.5999999999999996</v>
      </c>
      <c r="AI2" s="229">
        <v>7.4000000000000003E-3</v>
      </c>
      <c r="AJ2" s="228">
        <v>23.9</v>
      </c>
      <c r="AK2" s="228">
        <v>15.1</v>
      </c>
      <c r="AL2" s="228">
        <v>8.8000000000000007</v>
      </c>
      <c r="AM2" s="229">
        <v>1.2E-2</v>
      </c>
      <c r="AN2" s="231">
        <v>1993.15</v>
      </c>
      <c r="AO2" s="231">
        <v>1992.59</v>
      </c>
      <c r="AP2" s="228">
        <v>0</v>
      </c>
      <c r="AQ2" s="230">
        <v>9634</v>
      </c>
      <c r="AR2" s="230">
        <v>64257</v>
      </c>
      <c r="AS2" s="230">
        <v>-54623</v>
      </c>
      <c r="AT2" s="229">
        <v>-0.85009999999999997</v>
      </c>
      <c r="AU2" s="230">
        <v>8974</v>
      </c>
      <c r="AV2" s="230">
        <v>27963</v>
      </c>
      <c r="AW2" s="230">
        <v>-18989</v>
      </c>
      <c r="AX2" s="229">
        <v>-0.67910000000000004</v>
      </c>
      <c r="AY2" s="228">
        <v>569</v>
      </c>
      <c r="AZ2" s="230">
        <v>35253</v>
      </c>
      <c r="BA2" s="230">
        <v>-34684</v>
      </c>
      <c r="BB2" s="229">
        <v>-0.9839</v>
      </c>
      <c r="BC2" s="228">
        <v>91</v>
      </c>
      <c r="BD2" s="230">
        <v>1041</v>
      </c>
      <c r="BE2" s="228">
        <v>-950</v>
      </c>
      <c r="BF2" s="229">
        <v>-0.91259999999999997</v>
      </c>
      <c r="BG2" s="230">
        <v>28828</v>
      </c>
      <c r="BH2" s="230">
        <v>125544</v>
      </c>
      <c r="BI2" s="230">
        <v>-96716</v>
      </c>
      <c r="BJ2" s="229">
        <v>-0.77039999999999997</v>
      </c>
      <c r="BK2" s="230">
        <v>19647</v>
      </c>
      <c r="BL2" s="230">
        <v>67946</v>
      </c>
      <c r="BM2" s="230">
        <v>-48299</v>
      </c>
      <c r="BN2" s="229">
        <v>-0.71079999999999999</v>
      </c>
      <c r="BO2" s="230">
        <v>58109</v>
      </c>
      <c r="BP2" s="230">
        <v>257747</v>
      </c>
      <c r="BQ2" s="230">
        <v>-199638</v>
      </c>
      <c r="BR2" s="229">
        <v>-0.77459999999999996</v>
      </c>
      <c r="BS2" s="230">
        <v>2215349</v>
      </c>
      <c r="BT2" s="230">
        <v>5762975</v>
      </c>
      <c r="BU2" s="230">
        <v>-3547626</v>
      </c>
      <c r="BV2" s="229">
        <v>-0.61560000000000004</v>
      </c>
      <c r="BW2" s="230">
        <v>20121462</v>
      </c>
      <c r="BX2" s="230">
        <v>20078511</v>
      </c>
      <c r="BY2" s="230">
        <v>42951</v>
      </c>
      <c r="BZ2" s="229">
        <v>2.0999999999999999E-3</v>
      </c>
      <c r="CA2" s="230">
        <v>19480287</v>
      </c>
      <c r="CB2" s="230">
        <v>1803015</v>
      </c>
      <c r="CC2" s="230">
        <v>17677272</v>
      </c>
      <c r="CD2" s="229">
        <v>9.8042999999999996</v>
      </c>
      <c r="CE2" s="230">
        <v>617382</v>
      </c>
      <c r="CF2" s="230">
        <v>19470399</v>
      </c>
      <c r="CG2" s="230">
        <v>-18853017</v>
      </c>
      <c r="CH2" s="229">
        <v>-0.96830000000000005</v>
      </c>
      <c r="CI2" s="230">
        <v>23793</v>
      </c>
      <c r="CJ2" s="230">
        <v>608112</v>
      </c>
      <c r="CK2" s="230">
        <v>-584319</v>
      </c>
      <c r="CL2" s="229">
        <v>-0.96089999999999998</v>
      </c>
      <c r="CM2" s="230">
        <v>5297805</v>
      </c>
      <c r="CN2" s="230">
        <v>4939056</v>
      </c>
      <c r="CO2" s="230">
        <v>358749</v>
      </c>
      <c r="CP2" s="229">
        <v>7.2599999999999998E-2</v>
      </c>
      <c r="CQ2" s="230">
        <v>5744928</v>
      </c>
      <c r="CR2" s="230">
        <v>5021559</v>
      </c>
      <c r="CS2" s="230">
        <v>723369</v>
      </c>
      <c r="CT2" s="229">
        <v>0.14410000000000001</v>
      </c>
      <c r="CU2" s="230">
        <v>31164195</v>
      </c>
      <c r="CV2" s="230">
        <v>30039126</v>
      </c>
      <c r="CW2" s="230">
        <v>1125069</v>
      </c>
      <c r="CX2" s="229">
        <v>3.7499999999999999E-2</v>
      </c>
      <c r="CY2" s="228">
        <v>43.61</v>
      </c>
      <c r="CZ2" s="228">
        <v>49.76</v>
      </c>
      <c r="DA2" s="228">
        <v>-6.15</v>
      </c>
      <c r="DB2" s="228">
        <v>-6.15</v>
      </c>
      <c r="DC2" s="228">
        <v>48.03</v>
      </c>
      <c r="DD2" s="228">
        <v>48.09</v>
      </c>
      <c r="DE2" s="228">
        <v>-4.42</v>
      </c>
      <c r="DF2" s="228">
        <v>-0.06</v>
      </c>
      <c r="DG2" s="228">
        <v>42.02</v>
      </c>
      <c r="DH2" s="228">
        <v>48.2</v>
      </c>
      <c r="DI2" s="228">
        <v>-6.18</v>
      </c>
      <c r="DJ2" s="228">
        <v>-6.18</v>
      </c>
      <c r="DK2" s="228">
        <v>45.94</v>
      </c>
      <c r="DL2" s="228">
        <v>52.22</v>
      </c>
      <c r="DM2" s="228">
        <v>-6.28</v>
      </c>
      <c r="DN2" s="228">
        <v>-6.28</v>
      </c>
      <c r="DO2" s="228">
        <v>1.08</v>
      </c>
      <c r="DP2" s="228">
        <v>1.02</v>
      </c>
      <c r="DQ2" s="228">
        <v>0.06</v>
      </c>
      <c r="DR2" s="229">
        <v>5.8799999999999998E-2</v>
      </c>
      <c r="DS2" s="231">
        <v>2200</v>
      </c>
      <c r="DT2" s="231">
        <v>2200</v>
      </c>
      <c r="DU2" s="228">
        <v>0.68</v>
      </c>
      <c r="DV2" s="228">
        <v>0.54</v>
      </c>
      <c r="DW2" s="228">
        <v>0.14000000000000001</v>
      </c>
      <c r="DX2" s="229">
        <v>0.25929999999999997</v>
      </c>
      <c r="DY2" s="229">
        <v>3.1899999999999998E-2</v>
      </c>
      <c r="DZ2" s="230">
        <v>20078511</v>
      </c>
      <c r="EA2" s="229">
        <v>2.5000000000000001E-3</v>
      </c>
      <c r="EB2" s="229">
        <v>3.1899999999999998E-2</v>
      </c>
      <c r="EC2" s="228">
        <v>-0.56000000000000005</v>
      </c>
      <c r="ED2" s="229">
        <v>-2.9999999999999997E-4</v>
      </c>
      <c r="EE2" s="230">
        <v>649441</v>
      </c>
      <c r="EF2" s="230">
        <v>878100</v>
      </c>
      <c r="EG2" s="229">
        <v>-0.26040000000000002</v>
      </c>
      <c r="EH2" s="229">
        <v>0.29320000000000002</v>
      </c>
      <c r="EI2" s="231">
        <v>191510.64</v>
      </c>
      <c r="EJ2" s="231">
        <v>120176.02</v>
      </c>
      <c r="EK2" s="231">
        <v>59337.41</v>
      </c>
      <c r="EL2" s="231">
        <v>54569</v>
      </c>
      <c r="EM2" s="231">
        <v>371024.07</v>
      </c>
      <c r="EN2" s="231">
        <v>1615622.82</v>
      </c>
      <c r="EO2" s="231">
        <v>-1244598.75</v>
      </c>
      <c r="EP2" s="229">
        <v>-0.77039999999999997</v>
      </c>
      <c r="EQ2" s="231">
        <v>112954</v>
      </c>
      <c r="ER2" s="231">
        <v>115585</v>
      </c>
      <c r="ES2" s="231">
        <v>403349</v>
      </c>
      <c r="ET2" s="231">
        <v>49117354</v>
      </c>
      <c r="EU2" s="231">
        <v>631888</v>
      </c>
      <c r="EV2" s="231">
        <v>602408</v>
      </c>
      <c r="EW2" s="231">
        <v>29480</v>
      </c>
      <c r="EX2" s="229">
        <v>4.8899999999999999E-2</v>
      </c>
      <c r="EY2" s="229">
        <v>0.63449999999999995</v>
      </c>
    </row>
    <row r="3" spans="1:155" ht="17.25" thickBot="1" x14ac:dyDescent="0.3">
      <c r="A3" s="226">
        <v>46050</v>
      </c>
      <c r="B3" s="227" t="s">
        <v>215</v>
      </c>
      <c r="C3" s="227" t="s">
        <v>160</v>
      </c>
      <c r="D3" s="231">
        <v>1386.9</v>
      </c>
      <c r="E3" s="231">
        <v>1371.3</v>
      </c>
      <c r="F3" s="228">
        <v>15.6</v>
      </c>
      <c r="G3" s="229">
        <v>1.14E-2</v>
      </c>
      <c r="H3" s="231">
        <v>1381.9</v>
      </c>
      <c r="I3" s="231">
        <v>1363.9</v>
      </c>
      <c r="J3" s="228">
        <v>18</v>
      </c>
      <c r="K3" s="229">
        <v>1.32E-2</v>
      </c>
      <c r="L3" s="231">
        <v>1386.9</v>
      </c>
      <c r="M3" s="231">
        <v>1362.5</v>
      </c>
      <c r="N3" s="228">
        <v>24.4</v>
      </c>
      <c r="O3" s="229">
        <v>1.7899999999999999E-2</v>
      </c>
      <c r="P3" s="231">
        <v>1396.1</v>
      </c>
      <c r="Q3" s="231">
        <v>1371.3</v>
      </c>
      <c r="R3" s="228">
        <v>24.8</v>
      </c>
      <c r="S3" s="229">
        <v>1.8100000000000002E-2</v>
      </c>
      <c r="T3" s="231">
        <v>1407.2</v>
      </c>
      <c r="U3" s="231">
        <v>1380.5</v>
      </c>
      <c r="V3" s="228">
        <v>26.7</v>
      </c>
      <c r="W3" s="229">
        <v>1.9300000000000001E-2</v>
      </c>
      <c r="X3" s="228">
        <v>5</v>
      </c>
      <c r="Y3" s="228">
        <v>7.4</v>
      </c>
      <c r="Z3" s="228">
        <v>-2.4</v>
      </c>
      <c r="AA3" s="229">
        <v>3.5999999999999999E-3</v>
      </c>
      <c r="AB3" s="228">
        <v>5</v>
      </c>
      <c r="AC3" s="228">
        <v>-1.4</v>
      </c>
      <c r="AD3" s="228">
        <v>6.4</v>
      </c>
      <c r="AE3" s="229">
        <v>3.5999999999999999E-3</v>
      </c>
      <c r="AF3" s="228">
        <v>14.2</v>
      </c>
      <c r="AG3" s="228">
        <v>7.4</v>
      </c>
      <c r="AH3" s="228">
        <v>6.8</v>
      </c>
      <c r="AI3" s="229">
        <v>1.03E-2</v>
      </c>
      <c r="AJ3" s="228">
        <v>25.3</v>
      </c>
      <c r="AK3" s="228">
        <v>16.600000000000001</v>
      </c>
      <c r="AL3" s="228">
        <v>8.6999999999999993</v>
      </c>
      <c r="AM3" s="229">
        <v>1.83E-2</v>
      </c>
      <c r="AN3" s="231">
        <v>1382.62</v>
      </c>
      <c r="AO3" s="231">
        <v>1390.58</v>
      </c>
      <c r="AP3" s="228">
        <v>0</v>
      </c>
      <c r="AQ3" s="230">
        <v>7542</v>
      </c>
      <c r="AR3" s="230">
        <v>34538</v>
      </c>
      <c r="AS3" s="230">
        <v>-26996</v>
      </c>
      <c r="AT3" s="229">
        <v>-0.78159999999999996</v>
      </c>
      <c r="AU3" s="230">
        <v>7252</v>
      </c>
      <c r="AV3" s="230">
        <v>14060</v>
      </c>
      <c r="AW3" s="230">
        <v>-6808</v>
      </c>
      <c r="AX3" s="229">
        <v>-0.48420000000000002</v>
      </c>
      <c r="AY3" s="228">
        <v>260</v>
      </c>
      <c r="AZ3" s="230">
        <v>19994</v>
      </c>
      <c r="BA3" s="230">
        <v>-19734</v>
      </c>
      <c r="BB3" s="229">
        <v>-0.98699999999999999</v>
      </c>
      <c r="BC3" s="228">
        <v>30</v>
      </c>
      <c r="BD3" s="228">
        <v>484</v>
      </c>
      <c r="BE3" s="228">
        <v>-454</v>
      </c>
      <c r="BF3" s="229">
        <v>-0.93799999999999994</v>
      </c>
      <c r="BG3" s="230">
        <v>15804</v>
      </c>
      <c r="BH3" s="230">
        <v>49802</v>
      </c>
      <c r="BI3" s="230">
        <v>-33998</v>
      </c>
      <c r="BJ3" s="229">
        <v>-0.68269999999999997</v>
      </c>
      <c r="BK3" s="230">
        <v>9808</v>
      </c>
      <c r="BL3" s="230">
        <v>37773</v>
      </c>
      <c r="BM3" s="230">
        <v>-27965</v>
      </c>
      <c r="BN3" s="229">
        <v>-0.74029999999999996</v>
      </c>
      <c r="BO3" s="230">
        <v>33154</v>
      </c>
      <c r="BP3" s="230">
        <v>122113</v>
      </c>
      <c r="BQ3" s="230">
        <v>-88959</v>
      </c>
      <c r="BR3" s="229">
        <v>-0.72850000000000004</v>
      </c>
      <c r="BS3" s="230">
        <v>3888581</v>
      </c>
      <c r="BT3" s="230">
        <v>4006173</v>
      </c>
      <c r="BU3" s="230">
        <v>-117592</v>
      </c>
      <c r="BV3" s="229">
        <v>-2.9399999999999999E-2</v>
      </c>
      <c r="BW3" s="230">
        <v>24829675</v>
      </c>
      <c r="BX3" s="230">
        <v>25401575</v>
      </c>
      <c r="BY3" s="230">
        <v>-571900</v>
      </c>
      <c r="BZ3" s="229">
        <v>-2.2499999999999999E-2</v>
      </c>
      <c r="CA3" s="230">
        <v>24102450</v>
      </c>
      <c r="CB3" s="230">
        <v>1813075</v>
      </c>
      <c r="CC3" s="230">
        <v>22289375</v>
      </c>
      <c r="CD3" s="229">
        <v>12.293699999999999</v>
      </c>
      <c r="CE3" s="230">
        <v>714400</v>
      </c>
      <c r="CF3" s="230">
        <v>24686225</v>
      </c>
      <c r="CG3" s="230">
        <v>-23971825</v>
      </c>
      <c r="CH3" s="229">
        <v>-0.97109999999999996</v>
      </c>
      <c r="CI3" s="230">
        <v>12825</v>
      </c>
      <c r="CJ3" s="230">
        <v>715350</v>
      </c>
      <c r="CK3" s="230">
        <v>-702525</v>
      </c>
      <c r="CL3" s="229">
        <v>-0.98209999999999997</v>
      </c>
      <c r="CM3" s="230">
        <v>4731950</v>
      </c>
      <c r="CN3" s="230">
        <v>3822325</v>
      </c>
      <c r="CO3" s="230">
        <v>909625</v>
      </c>
      <c r="CP3" s="229">
        <v>0.23799999999999999</v>
      </c>
      <c r="CQ3" s="230">
        <v>4473550</v>
      </c>
      <c r="CR3" s="230">
        <v>3995700</v>
      </c>
      <c r="CS3" s="230">
        <v>477850</v>
      </c>
      <c r="CT3" s="229">
        <v>0.1196</v>
      </c>
      <c r="CU3" s="230">
        <v>34035175</v>
      </c>
      <c r="CV3" s="230">
        <v>33219600</v>
      </c>
      <c r="CW3" s="230">
        <v>815575</v>
      </c>
      <c r="CX3" s="229">
        <v>2.46E-2</v>
      </c>
      <c r="CY3" s="228">
        <v>32.409999999999997</v>
      </c>
      <c r="CZ3" s="228">
        <v>36.08</v>
      </c>
      <c r="DA3" s="228">
        <v>-3.67</v>
      </c>
      <c r="DB3" s="228">
        <v>-3.67</v>
      </c>
      <c r="DC3" s="228">
        <v>36.58</v>
      </c>
      <c r="DD3" s="228">
        <v>36.64</v>
      </c>
      <c r="DE3" s="228">
        <v>-4.17</v>
      </c>
      <c r="DF3" s="228">
        <v>-0.06</v>
      </c>
      <c r="DG3" s="228">
        <v>31.27</v>
      </c>
      <c r="DH3" s="228">
        <v>34.770000000000003</v>
      </c>
      <c r="DI3" s="228">
        <v>-3.5</v>
      </c>
      <c r="DJ3" s="228">
        <v>-3.5</v>
      </c>
      <c r="DK3" s="228">
        <v>34.229999999999997</v>
      </c>
      <c r="DL3" s="228">
        <v>38.25</v>
      </c>
      <c r="DM3" s="228">
        <v>-4.0199999999999996</v>
      </c>
      <c r="DN3" s="228">
        <v>-4.0199999999999996</v>
      </c>
      <c r="DO3" s="228">
        <v>0.95</v>
      </c>
      <c r="DP3" s="228">
        <v>1.05</v>
      </c>
      <c r="DQ3" s="228">
        <v>-0.1</v>
      </c>
      <c r="DR3" s="229">
        <v>-9.5200000000000007E-2</v>
      </c>
      <c r="DS3" s="231">
        <v>1500</v>
      </c>
      <c r="DT3" s="231">
        <v>1400</v>
      </c>
      <c r="DU3" s="228">
        <v>0.62</v>
      </c>
      <c r="DV3" s="228">
        <v>0.76</v>
      </c>
      <c r="DW3" s="228">
        <v>-0.14000000000000001</v>
      </c>
      <c r="DX3" s="229">
        <v>-0.1842</v>
      </c>
      <c r="DY3" s="229">
        <v>2.93E-2</v>
      </c>
      <c r="DZ3" s="230">
        <v>25401575</v>
      </c>
      <c r="EA3" s="229">
        <v>6.6E-3</v>
      </c>
      <c r="EB3" s="229">
        <v>2.93E-2</v>
      </c>
      <c r="EC3" s="228">
        <v>7.96</v>
      </c>
      <c r="ED3" s="229">
        <v>5.7999999999999996E-3</v>
      </c>
      <c r="EE3" s="230">
        <v>2392464</v>
      </c>
      <c r="EF3" s="230">
        <v>1316287</v>
      </c>
      <c r="EG3" s="229">
        <v>0.81759999999999999</v>
      </c>
      <c r="EH3" s="229">
        <v>0.61529999999999996</v>
      </c>
      <c r="EI3" s="231">
        <v>110054.48</v>
      </c>
      <c r="EJ3" s="231">
        <v>63507.25</v>
      </c>
      <c r="EK3" s="231">
        <v>49544.26</v>
      </c>
      <c r="EL3" s="231">
        <v>40499</v>
      </c>
      <c r="EM3" s="231">
        <v>223105.99</v>
      </c>
      <c r="EN3" s="231">
        <v>798354.58</v>
      </c>
      <c r="EO3" s="231">
        <v>-575248.59</v>
      </c>
      <c r="EP3" s="229">
        <v>-0.72050000000000003</v>
      </c>
      <c r="EQ3" s="231">
        <v>68302</v>
      </c>
      <c r="ER3" s="231">
        <v>60176</v>
      </c>
      <c r="ES3" s="231">
        <v>344431</v>
      </c>
      <c r="ET3" s="231">
        <v>84394936</v>
      </c>
      <c r="EU3" s="231">
        <v>472909</v>
      </c>
      <c r="EV3" s="231">
        <v>457062</v>
      </c>
      <c r="EW3" s="231">
        <v>15847</v>
      </c>
      <c r="EX3" s="229">
        <v>3.4700000000000002E-2</v>
      </c>
      <c r="EY3" s="229">
        <v>0.40329999999999999</v>
      </c>
    </row>
    <row r="4" spans="1:155" ht="17.25" thickBot="1" x14ac:dyDescent="0.3">
      <c r="A4" s="226">
        <v>46050</v>
      </c>
      <c r="B4" s="227" t="s">
        <v>170</v>
      </c>
      <c r="C4" s="227" t="s">
        <v>165</v>
      </c>
      <c r="D4" s="231">
        <v>6892</v>
      </c>
      <c r="E4" s="231">
        <v>6831.5</v>
      </c>
      <c r="F4" s="228">
        <v>60.5</v>
      </c>
      <c r="G4" s="229">
        <v>8.8999999999999999E-3</v>
      </c>
      <c r="H4" s="231">
        <v>6877.5</v>
      </c>
      <c r="I4" s="231">
        <v>6793.5</v>
      </c>
      <c r="J4" s="228">
        <v>84</v>
      </c>
      <c r="K4" s="229">
        <v>1.24E-2</v>
      </c>
      <c r="L4" s="231">
        <v>6892</v>
      </c>
      <c r="M4" s="231">
        <v>6804</v>
      </c>
      <c r="N4" s="228">
        <v>88</v>
      </c>
      <c r="O4" s="229">
        <v>1.29E-2</v>
      </c>
      <c r="P4" s="231">
        <v>6935.5</v>
      </c>
      <c r="Q4" s="231">
        <v>6831.5</v>
      </c>
      <c r="R4" s="228">
        <v>104</v>
      </c>
      <c r="S4" s="229">
        <v>1.52E-2</v>
      </c>
      <c r="T4" s="231">
        <v>6979</v>
      </c>
      <c r="U4" s="231">
        <v>6883</v>
      </c>
      <c r="V4" s="228">
        <v>96</v>
      </c>
      <c r="W4" s="229">
        <v>1.3899999999999999E-2</v>
      </c>
      <c r="X4" s="228">
        <v>14.5</v>
      </c>
      <c r="Y4" s="228">
        <v>38</v>
      </c>
      <c r="Z4" s="228">
        <v>-23.5</v>
      </c>
      <c r="AA4" s="229">
        <v>2.0999999999999999E-3</v>
      </c>
      <c r="AB4" s="228">
        <v>14.5</v>
      </c>
      <c r="AC4" s="228">
        <v>10.5</v>
      </c>
      <c r="AD4" s="228">
        <v>4</v>
      </c>
      <c r="AE4" s="229">
        <v>2.0999999999999999E-3</v>
      </c>
      <c r="AF4" s="228">
        <v>58</v>
      </c>
      <c r="AG4" s="228">
        <v>38</v>
      </c>
      <c r="AH4" s="228">
        <v>20</v>
      </c>
      <c r="AI4" s="229">
        <v>8.3999999999999995E-3</v>
      </c>
      <c r="AJ4" s="228">
        <v>101.5</v>
      </c>
      <c r="AK4" s="228">
        <v>89.5</v>
      </c>
      <c r="AL4" s="228">
        <v>12</v>
      </c>
      <c r="AM4" s="229">
        <v>1.4800000000000001E-2</v>
      </c>
      <c r="AN4" s="231">
        <v>6878.77</v>
      </c>
      <c r="AO4" s="231">
        <v>6914.38</v>
      </c>
      <c r="AP4" s="228">
        <v>0</v>
      </c>
      <c r="AQ4" s="230">
        <v>3365</v>
      </c>
      <c r="AR4" s="230">
        <v>15542</v>
      </c>
      <c r="AS4" s="230">
        <v>-12177</v>
      </c>
      <c r="AT4" s="229">
        <v>-0.78349999999999997</v>
      </c>
      <c r="AU4" s="230">
        <v>3269</v>
      </c>
      <c r="AV4" s="230">
        <v>7102</v>
      </c>
      <c r="AW4" s="230">
        <v>-3833</v>
      </c>
      <c r="AX4" s="229">
        <v>-0.53969999999999996</v>
      </c>
      <c r="AY4" s="228">
        <v>74</v>
      </c>
      <c r="AZ4" s="230">
        <v>8301</v>
      </c>
      <c r="BA4" s="230">
        <v>-8227</v>
      </c>
      <c r="BB4" s="229">
        <v>-0.99109999999999998</v>
      </c>
      <c r="BC4" s="228">
        <v>22</v>
      </c>
      <c r="BD4" s="228">
        <v>139</v>
      </c>
      <c r="BE4" s="228">
        <v>-117</v>
      </c>
      <c r="BF4" s="229">
        <v>-0.8417</v>
      </c>
      <c r="BG4" s="230">
        <v>12945</v>
      </c>
      <c r="BH4" s="230">
        <v>17699</v>
      </c>
      <c r="BI4" s="230">
        <v>-4754</v>
      </c>
      <c r="BJ4" s="229">
        <v>-0.26860000000000001</v>
      </c>
      <c r="BK4" s="230">
        <v>4017</v>
      </c>
      <c r="BL4" s="230">
        <v>9028</v>
      </c>
      <c r="BM4" s="230">
        <v>-5011</v>
      </c>
      <c r="BN4" s="229">
        <v>-0.55510000000000004</v>
      </c>
      <c r="BO4" s="230">
        <v>20327</v>
      </c>
      <c r="BP4" s="230">
        <v>42269</v>
      </c>
      <c r="BQ4" s="230">
        <v>-21942</v>
      </c>
      <c r="BR4" s="229">
        <v>-0.51910000000000001</v>
      </c>
      <c r="BS4" s="230">
        <v>404947</v>
      </c>
      <c r="BT4" s="230">
        <v>519541</v>
      </c>
      <c r="BU4" s="230">
        <v>-114594</v>
      </c>
      <c r="BV4" s="229">
        <v>-0.22059999999999999</v>
      </c>
      <c r="BW4" s="230">
        <v>3771625</v>
      </c>
      <c r="BX4" s="230">
        <v>3873875</v>
      </c>
      <c r="BY4" s="230">
        <v>-102250</v>
      </c>
      <c r="BZ4" s="229">
        <v>-2.64E-2</v>
      </c>
      <c r="CA4" s="230">
        <v>3726125</v>
      </c>
      <c r="CB4" s="230">
        <v>468625</v>
      </c>
      <c r="CC4" s="230">
        <v>3257500</v>
      </c>
      <c r="CD4" s="229">
        <v>6.9512</v>
      </c>
      <c r="CE4" s="230">
        <v>44000</v>
      </c>
      <c r="CF4" s="230">
        <v>3829375</v>
      </c>
      <c r="CG4" s="230">
        <v>-3785375</v>
      </c>
      <c r="CH4" s="229">
        <v>-0.98850000000000005</v>
      </c>
      <c r="CI4" s="230">
        <v>1500</v>
      </c>
      <c r="CJ4" s="230">
        <v>44500</v>
      </c>
      <c r="CK4" s="230">
        <v>-43000</v>
      </c>
      <c r="CL4" s="229">
        <v>-0.96630000000000005</v>
      </c>
      <c r="CM4" s="230">
        <v>641875</v>
      </c>
      <c r="CN4" s="230">
        <v>427250</v>
      </c>
      <c r="CO4" s="230">
        <v>214625</v>
      </c>
      <c r="CP4" s="229">
        <v>0.50229999999999997</v>
      </c>
      <c r="CQ4" s="230">
        <v>487625</v>
      </c>
      <c r="CR4" s="230">
        <v>342375</v>
      </c>
      <c r="CS4" s="230">
        <v>145250</v>
      </c>
      <c r="CT4" s="229">
        <v>0.42420000000000002</v>
      </c>
      <c r="CU4" s="230">
        <v>4901125</v>
      </c>
      <c r="CV4" s="230">
        <v>4643500</v>
      </c>
      <c r="CW4" s="230">
        <v>257625</v>
      </c>
      <c r="CX4" s="229">
        <v>5.5500000000000001E-2</v>
      </c>
      <c r="CY4" s="228">
        <v>26.2</v>
      </c>
      <c r="CZ4" s="228">
        <v>25.63</v>
      </c>
      <c r="DA4" s="228">
        <v>0.56999999999999995</v>
      </c>
      <c r="DB4" s="228">
        <v>0.56999999999999995</v>
      </c>
      <c r="DC4" s="228">
        <v>24.9</v>
      </c>
      <c r="DD4" s="228">
        <v>24.91</v>
      </c>
      <c r="DE4" s="228">
        <v>1.3</v>
      </c>
      <c r="DF4" s="228">
        <v>-0.01</v>
      </c>
      <c r="DG4" s="228">
        <v>26.02</v>
      </c>
      <c r="DH4" s="228">
        <v>25.75</v>
      </c>
      <c r="DI4" s="228">
        <v>0.27</v>
      </c>
      <c r="DJ4" s="228">
        <v>0.27</v>
      </c>
      <c r="DK4" s="228">
        <v>26.78</v>
      </c>
      <c r="DL4" s="228">
        <v>25.44</v>
      </c>
      <c r="DM4" s="228">
        <v>1.34</v>
      </c>
      <c r="DN4" s="228">
        <v>1.34</v>
      </c>
      <c r="DO4" s="228">
        <v>0.76</v>
      </c>
      <c r="DP4" s="228">
        <v>0.8</v>
      </c>
      <c r="DQ4" s="228">
        <v>-0.04</v>
      </c>
      <c r="DR4" s="229">
        <v>-0.05</v>
      </c>
      <c r="DS4" s="231">
        <v>7000</v>
      </c>
      <c r="DT4" s="231">
        <v>6800</v>
      </c>
      <c r="DU4" s="228">
        <v>0.31</v>
      </c>
      <c r="DV4" s="228">
        <v>0.51</v>
      </c>
      <c r="DW4" s="228">
        <v>-0.2</v>
      </c>
      <c r="DX4" s="229">
        <v>-0.39219999999999999</v>
      </c>
      <c r="DY4" s="229">
        <v>1.21E-2</v>
      </c>
      <c r="DZ4" s="230">
        <v>3873875</v>
      </c>
      <c r="EA4" s="229">
        <v>6.3E-3</v>
      </c>
      <c r="EB4" s="229">
        <v>1.21E-2</v>
      </c>
      <c r="EC4" s="228">
        <v>35.61</v>
      </c>
      <c r="ED4" s="229">
        <v>5.1999999999999998E-3</v>
      </c>
      <c r="EE4" s="230">
        <v>273255</v>
      </c>
      <c r="EF4" s="230">
        <v>306357</v>
      </c>
      <c r="EG4" s="229">
        <v>-0.1081</v>
      </c>
      <c r="EH4" s="229">
        <v>0.67479999999999996</v>
      </c>
      <c r="EI4" s="231">
        <v>116573.81</v>
      </c>
      <c r="EJ4" s="231">
        <v>34179.39</v>
      </c>
      <c r="EK4" s="231">
        <v>28939.64</v>
      </c>
      <c r="EL4" s="231">
        <v>18503</v>
      </c>
      <c r="EM4" s="231">
        <v>179692.84</v>
      </c>
      <c r="EN4" s="231">
        <v>367197.53</v>
      </c>
      <c r="EO4" s="231">
        <v>-187504.69</v>
      </c>
      <c r="EP4" s="229">
        <v>-0.51060000000000005</v>
      </c>
      <c r="EQ4" s="231">
        <v>46059</v>
      </c>
      <c r="ER4" s="231">
        <v>33070</v>
      </c>
      <c r="ES4" s="231">
        <v>259961</v>
      </c>
      <c r="ET4" s="231">
        <v>15524629</v>
      </c>
      <c r="EU4" s="231">
        <v>339089</v>
      </c>
      <c r="EV4" s="231">
        <v>318725</v>
      </c>
      <c r="EW4" s="231">
        <v>20364</v>
      </c>
      <c r="EX4" s="229">
        <v>6.3899999999999998E-2</v>
      </c>
      <c r="EY4" s="229">
        <v>0.31569999999999998</v>
      </c>
    </row>
    <row r="5" spans="1:155" ht="17.25" thickBot="1" x14ac:dyDescent="0.3">
      <c r="A5" s="226">
        <v>46050</v>
      </c>
      <c r="B5" s="227" t="s">
        <v>168</v>
      </c>
      <c r="C5" s="227" t="s">
        <v>169</v>
      </c>
      <c r="D5" s="231">
        <v>2513.9</v>
      </c>
      <c r="E5" s="231">
        <v>2630</v>
      </c>
      <c r="F5" s="228">
        <v>-116.1</v>
      </c>
      <c r="G5" s="229">
        <v>-4.41E-2</v>
      </c>
      <c r="H5" s="231">
        <v>2511.8000000000002</v>
      </c>
      <c r="I5" s="231">
        <v>2622.8</v>
      </c>
      <c r="J5" s="228">
        <v>-111</v>
      </c>
      <c r="K5" s="229">
        <v>-4.2299999999999997E-2</v>
      </c>
      <c r="L5" s="231">
        <v>2513.9</v>
      </c>
      <c r="M5" s="231">
        <v>2617.1999999999998</v>
      </c>
      <c r="N5" s="228">
        <v>-103.3</v>
      </c>
      <c r="O5" s="229">
        <v>-3.95E-2</v>
      </c>
      <c r="P5" s="231">
        <v>2524.5</v>
      </c>
      <c r="Q5" s="231">
        <v>2630</v>
      </c>
      <c r="R5" s="228">
        <v>-105.5</v>
      </c>
      <c r="S5" s="229">
        <v>-4.0099999999999997E-2</v>
      </c>
      <c r="T5" s="231">
        <v>2539.1999999999998</v>
      </c>
      <c r="U5" s="231">
        <v>2642</v>
      </c>
      <c r="V5" s="228">
        <v>-102.8</v>
      </c>
      <c r="W5" s="229">
        <v>-3.8899999999999997E-2</v>
      </c>
      <c r="X5" s="228">
        <v>2.1</v>
      </c>
      <c r="Y5" s="228">
        <v>7.2</v>
      </c>
      <c r="Z5" s="228">
        <v>-5.0999999999999996</v>
      </c>
      <c r="AA5" s="229">
        <v>8.0000000000000004E-4</v>
      </c>
      <c r="AB5" s="228">
        <v>2.1</v>
      </c>
      <c r="AC5" s="228">
        <v>-5.6</v>
      </c>
      <c r="AD5" s="228">
        <v>7.7</v>
      </c>
      <c r="AE5" s="229">
        <v>8.0000000000000004E-4</v>
      </c>
      <c r="AF5" s="228">
        <v>12.7</v>
      </c>
      <c r="AG5" s="228">
        <v>7.2</v>
      </c>
      <c r="AH5" s="228">
        <v>5.5</v>
      </c>
      <c r="AI5" s="229">
        <v>5.1000000000000004E-3</v>
      </c>
      <c r="AJ5" s="228">
        <v>27.4</v>
      </c>
      <c r="AK5" s="228">
        <v>19.2</v>
      </c>
      <c r="AL5" s="228">
        <v>8.1999999999999993</v>
      </c>
      <c r="AM5" s="229">
        <v>1.09E-2</v>
      </c>
      <c r="AN5" s="231">
        <v>2496.25</v>
      </c>
      <c r="AO5" s="231">
        <v>2506.37</v>
      </c>
      <c r="AP5" s="228">
        <v>0</v>
      </c>
      <c r="AQ5" s="230">
        <v>23785</v>
      </c>
      <c r="AR5" s="230">
        <v>47404</v>
      </c>
      <c r="AS5" s="230">
        <v>-23619</v>
      </c>
      <c r="AT5" s="229">
        <v>-0.49819999999999998</v>
      </c>
      <c r="AU5" s="230">
        <v>22575</v>
      </c>
      <c r="AV5" s="230">
        <v>13045</v>
      </c>
      <c r="AW5" s="230">
        <v>9530</v>
      </c>
      <c r="AX5" s="229">
        <v>0.73050000000000004</v>
      </c>
      <c r="AY5" s="230">
        <v>1144</v>
      </c>
      <c r="AZ5" s="230">
        <v>33905</v>
      </c>
      <c r="BA5" s="230">
        <v>-32761</v>
      </c>
      <c r="BB5" s="229">
        <v>-0.96630000000000005</v>
      </c>
      <c r="BC5" s="228">
        <v>66</v>
      </c>
      <c r="BD5" s="228">
        <v>454</v>
      </c>
      <c r="BE5" s="228">
        <v>-388</v>
      </c>
      <c r="BF5" s="229">
        <v>-0.85460000000000003</v>
      </c>
      <c r="BG5" s="230">
        <v>102368</v>
      </c>
      <c r="BH5" s="230">
        <v>110660</v>
      </c>
      <c r="BI5" s="230">
        <v>-8292</v>
      </c>
      <c r="BJ5" s="229">
        <v>-7.4899999999999994E-2</v>
      </c>
      <c r="BK5" s="230">
        <v>71808</v>
      </c>
      <c r="BL5" s="230">
        <v>106791</v>
      </c>
      <c r="BM5" s="230">
        <v>-34983</v>
      </c>
      <c r="BN5" s="229">
        <v>-0.3276</v>
      </c>
      <c r="BO5" s="230">
        <v>197961</v>
      </c>
      <c r="BP5" s="230">
        <v>264855</v>
      </c>
      <c r="BQ5" s="230">
        <v>-66894</v>
      </c>
      <c r="BR5" s="229">
        <v>-0.25259999999999999</v>
      </c>
      <c r="BS5" s="230">
        <v>3591437</v>
      </c>
      <c r="BT5" s="230">
        <v>3944578</v>
      </c>
      <c r="BU5" s="230">
        <v>-353141</v>
      </c>
      <c r="BV5" s="229">
        <v>-8.9499999999999996E-2</v>
      </c>
      <c r="BW5" s="230">
        <v>14101250</v>
      </c>
      <c r="BX5" s="230">
        <v>13042750</v>
      </c>
      <c r="BY5" s="230">
        <v>1058500</v>
      </c>
      <c r="BZ5" s="229">
        <v>8.1199999999999994E-2</v>
      </c>
      <c r="CA5" s="230">
        <v>13817500</v>
      </c>
      <c r="CB5" s="230">
        <v>676500</v>
      </c>
      <c r="CC5" s="230">
        <v>13141000</v>
      </c>
      <c r="CD5" s="229">
        <v>19.425000000000001</v>
      </c>
      <c r="CE5" s="230">
        <v>273500</v>
      </c>
      <c r="CF5" s="230">
        <v>12903500</v>
      </c>
      <c r="CG5" s="230">
        <v>-12630000</v>
      </c>
      <c r="CH5" s="229">
        <v>-0.9788</v>
      </c>
      <c r="CI5" s="230">
        <v>10250</v>
      </c>
      <c r="CJ5" s="230">
        <v>139250</v>
      </c>
      <c r="CK5" s="230">
        <v>-129000</v>
      </c>
      <c r="CL5" s="229">
        <v>-0.9264</v>
      </c>
      <c r="CM5" s="230">
        <v>4972250</v>
      </c>
      <c r="CN5" s="230">
        <v>2915250</v>
      </c>
      <c r="CO5" s="230">
        <v>2057000</v>
      </c>
      <c r="CP5" s="229">
        <v>0.7056</v>
      </c>
      <c r="CQ5" s="230">
        <v>3173250</v>
      </c>
      <c r="CR5" s="230">
        <v>2652500</v>
      </c>
      <c r="CS5" s="230">
        <v>520750</v>
      </c>
      <c r="CT5" s="229">
        <v>0.1963</v>
      </c>
      <c r="CU5" s="230">
        <v>22246750</v>
      </c>
      <c r="CV5" s="230">
        <v>18610500</v>
      </c>
      <c r="CW5" s="230">
        <v>3636250</v>
      </c>
      <c r="CX5" s="229">
        <v>0.19539999999999999</v>
      </c>
      <c r="CY5" s="228">
        <v>25.33</v>
      </c>
      <c r="CZ5" s="228">
        <v>28.19</v>
      </c>
      <c r="DA5" s="228">
        <v>-2.86</v>
      </c>
      <c r="DB5" s="228">
        <v>-2.86</v>
      </c>
      <c r="DC5" s="228">
        <v>26.1</v>
      </c>
      <c r="DD5" s="228">
        <v>25.51</v>
      </c>
      <c r="DE5" s="228">
        <v>-0.77</v>
      </c>
      <c r="DF5" s="228">
        <v>0.59</v>
      </c>
      <c r="DG5" s="228">
        <v>25.1</v>
      </c>
      <c r="DH5" s="228">
        <v>27.08</v>
      </c>
      <c r="DI5" s="228">
        <v>-1.98</v>
      </c>
      <c r="DJ5" s="228">
        <v>-1.98</v>
      </c>
      <c r="DK5" s="228">
        <v>25.65</v>
      </c>
      <c r="DL5" s="228">
        <v>29.42</v>
      </c>
      <c r="DM5" s="228">
        <v>-3.77</v>
      </c>
      <c r="DN5" s="228">
        <v>-3.77</v>
      </c>
      <c r="DO5" s="228">
        <v>0.64</v>
      </c>
      <c r="DP5" s="228">
        <v>0.91</v>
      </c>
      <c r="DQ5" s="228">
        <v>-0.27</v>
      </c>
      <c r="DR5" s="229">
        <v>-0.29670000000000002</v>
      </c>
      <c r="DS5" s="231">
        <v>2800</v>
      </c>
      <c r="DT5" s="231">
        <v>2500</v>
      </c>
      <c r="DU5" s="228">
        <v>0.7</v>
      </c>
      <c r="DV5" s="228">
        <v>0.97</v>
      </c>
      <c r="DW5" s="228">
        <v>-0.27</v>
      </c>
      <c r="DX5" s="229">
        <v>-0.27839999999999998</v>
      </c>
      <c r="DY5" s="229">
        <v>2.01E-2</v>
      </c>
      <c r="DZ5" s="230">
        <v>13042750</v>
      </c>
      <c r="EA5" s="229">
        <v>4.1999999999999997E-3</v>
      </c>
      <c r="EB5" s="229">
        <v>2.01E-2</v>
      </c>
      <c r="EC5" s="228">
        <v>10.119999999999999</v>
      </c>
      <c r="ED5" s="229">
        <v>4.1000000000000003E-3</v>
      </c>
      <c r="EE5" s="230">
        <v>1378036</v>
      </c>
      <c r="EF5" s="230">
        <v>1382121</v>
      </c>
      <c r="EG5" s="229">
        <v>-3.0000000000000001E-3</v>
      </c>
      <c r="EH5" s="229">
        <v>0.38369999999999999</v>
      </c>
      <c r="EI5" s="231">
        <v>685954.25</v>
      </c>
      <c r="EJ5" s="231">
        <v>448667.65</v>
      </c>
      <c r="EK5" s="231">
        <v>148467.75</v>
      </c>
      <c r="EL5" s="231">
        <v>42166</v>
      </c>
      <c r="EM5" s="231">
        <v>1283089.6499999999</v>
      </c>
      <c r="EN5" s="231">
        <v>1788962.96</v>
      </c>
      <c r="EO5" s="231">
        <v>-505873.31</v>
      </c>
      <c r="EP5" s="229">
        <v>-0.2828</v>
      </c>
      <c r="EQ5" s="231">
        <v>136104</v>
      </c>
      <c r="ER5" s="231">
        <v>79329</v>
      </c>
      <c r="ES5" s="231">
        <v>354523</v>
      </c>
      <c r="ET5" s="231">
        <v>49389162</v>
      </c>
      <c r="EU5" s="231">
        <v>569956</v>
      </c>
      <c r="EV5" s="231">
        <v>493509</v>
      </c>
      <c r="EW5" s="231">
        <v>76447</v>
      </c>
      <c r="EX5" s="229">
        <v>0.15490000000000001</v>
      </c>
      <c r="EY5" s="229">
        <v>0.45040000000000002</v>
      </c>
    </row>
    <row r="6" spans="1:155" ht="17.25" thickBot="1" x14ac:dyDescent="0.3">
      <c r="A6" s="226">
        <v>46050</v>
      </c>
      <c r="B6" s="227" t="s">
        <v>172</v>
      </c>
      <c r="C6" s="227" t="s">
        <v>173</v>
      </c>
      <c r="D6" s="231">
        <v>1323.6</v>
      </c>
      <c r="E6" s="231">
        <v>1323</v>
      </c>
      <c r="F6" s="228">
        <v>0.6</v>
      </c>
      <c r="G6" s="229">
        <v>5.0000000000000001E-4</v>
      </c>
      <c r="H6" s="231">
        <v>1319.8</v>
      </c>
      <c r="I6" s="231">
        <v>1315.8</v>
      </c>
      <c r="J6" s="228">
        <v>4</v>
      </c>
      <c r="K6" s="229">
        <v>3.0000000000000001E-3</v>
      </c>
      <c r="L6" s="231">
        <v>1323.6</v>
      </c>
      <c r="M6" s="231">
        <v>1312.6</v>
      </c>
      <c r="N6" s="228">
        <v>11</v>
      </c>
      <c r="O6" s="229">
        <v>8.3999999999999995E-3</v>
      </c>
      <c r="P6" s="231">
        <v>1329</v>
      </c>
      <c r="Q6" s="231">
        <v>1323</v>
      </c>
      <c r="R6" s="228">
        <v>6</v>
      </c>
      <c r="S6" s="229">
        <v>4.4999999999999997E-3</v>
      </c>
      <c r="T6" s="231">
        <v>1341.6</v>
      </c>
      <c r="U6" s="231">
        <v>1333</v>
      </c>
      <c r="V6" s="228">
        <v>8.6</v>
      </c>
      <c r="W6" s="229">
        <v>6.4999999999999997E-3</v>
      </c>
      <c r="X6" s="228">
        <v>3.8</v>
      </c>
      <c r="Y6" s="228">
        <v>7.2</v>
      </c>
      <c r="Z6" s="228">
        <v>-3.4</v>
      </c>
      <c r="AA6" s="229">
        <v>2.8999999999999998E-3</v>
      </c>
      <c r="AB6" s="228">
        <v>3.8</v>
      </c>
      <c r="AC6" s="228">
        <v>-3.2</v>
      </c>
      <c r="AD6" s="228">
        <v>7</v>
      </c>
      <c r="AE6" s="229">
        <v>2.8999999999999998E-3</v>
      </c>
      <c r="AF6" s="228">
        <v>9.1999999999999993</v>
      </c>
      <c r="AG6" s="228">
        <v>7.2</v>
      </c>
      <c r="AH6" s="228">
        <v>2</v>
      </c>
      <c r="AI6" s="229">
        <v>7.0000000000000001E-3</v>
      </c>
      <c r="AJ6" s="228">
        <v>21.8</v>
      </c>
      <c r="AK6" s="228">
        <v>17.2</v>
      </c>
      <c r="AL6" s="228">
        <v>4.5999999999999996</v>
      </c>
      <c r="AM6" s="229">
        <v>1.6500000000000001E-2</v>
      </c>
      <c r="AN6" s="231">
        <v>1343.74</v>
      </c>
      <c r="AO6" s="231">
        <v>1343.79</v>
      </c>
      <c r="AP6" s="228">
        <v>0</v>
      </c>
      <c r="AQ6" s="230">
        <v>26903</v>
      </c>
      <c r="AR6" s="230">
        <v>110600</v>
      </c>
      <c r="AS6" s="230">
        <v>-83697</v>
      </c>
      <c r="AT6" s="229">
        <v>-0.75680000000000003</v>
      </c>
      <c r="AU6" s="230">
        <v>26015</v>
      </c>
      <c r="AV6" s="230">
        <v>48733</v>
      </c>
      <c r="AW6" s="230">
        <v>-22718</v>
      </c>
      <c r="AX6" s="229">
        <v>-0.4662</v>
      </c>
      <c r="AY6" s="228">
        <v>825</v>
      </c>
      <c r="AZ6" s="230">
        <v>61251</v>
      </c>
      <c r="BA6" s="230">
        <v>-60426</v>
      </c>
      <c r="BB6" s="229">
        <v>-0.98650000000000004</v>
      </c>
      <c r="BC6" s="228">
        <v>63</v>
      </c>
      <c r="BD6" s="228">
        <v>616</v>
      </c>
      <c r="BE6" s="228">
        <v>-553</v>
      </c>
      <c r="BF6" s="229">
        <v>-0.89770000000000005</v>
      </c>
      <c r="BG6" s="230">
        <v>86407</v>
      </c>
      <c r="BH6" s="230">
        <v>348207</v>
      </c>
      <c r="BI6" s="230">
        <v>-261800</v>
      </c>
      <c r="BJ6" s="229">
        <v>-0.75190000000000001</v>
      </c>
      <c r="BK6" s="230">
        <v>59425</v>
      </c>
      <c r="BL6" s="230">
        <v>164733</v>
      </c>
      <c r="BM6" s="230">
        <v>-105308</v>
      </c>
      <c r="BN6" s="229">
        <v>-0.63929999999999998</v>
      </c>
      <c r="BO6" s="230">
        <v>172735</v>
      </c>
      <c r="BP6" s="230">
        <v>623540</v>
      </c>
      <c r="BQ6" s="230">
        <v>-450805</v>
      </c>
      <c r="BR6" s="229">
        <v>-0.72299999999999998</v>
      </c>
      <c r="BS6" s="230">
        <v>16003571</v>
      </c>
      <c r="BT6" s="230">
        <v>28698217</v>
      </c>
      <c r="BU6" s="230">
        <v>-12694646</v>
      </c>
      <c r="BV6" s="229">
        <v>-0.44230000000000003</v>
      </c>
      <c r="BW6" s="230">
        <v>81479375</v>
      </c>
      <c r="BX6" s="230">
        <v>85845000</v>
      </c>
      <c r="BY6" s="230">
        <v>-4365625</v>
      </c>
      <c r="BZ6" s="229">
        <v>-5.0900000000000001E-2</v>
      </c>
      <c r="CA6" s="230">
        <v>78914375</v>
      </c>
      <c r="CB6" s="230">
        <v>12181250</v>
      </c>
      <c r="CC6" s="230">
        <v>66733125</v>
      </c>
      <c r="CD6" s="229">
        <v>5.4782999999999999</v>
      </c>
      <c r="CE6" s="230">
        <v>2538750</v>
      </c>
      <c r="CF6" s="230">
        <v>83531875</v>
      </c>
      <c r="CG6" s="230">
        <v>-80993125</v>
      </c>
      <c r="CH6" s="229">
        <v>-0.96960000000000002</v>
      </c>
      <c r="CI6" s="230">
        <v>26250</v>
      </c>
      <c r="CJ6" s="230">
        <v>2313125</v>
      </c>
      <c r="CK6" s="230">
        <v>-2286875</v>
      </c>
      <c r="CL6" s="229">
        <v>-0.98870000000000002</v>
      </c>
      <c r="CM6" s="230">
        <v>12759375</v>
      </c>
      <c r="CN6" s="230">
        <v>8644375</v>
      </c>
      <c r="CO6" s="230">
        <v>4115000</v>
      </c>
      <c r="CP6" s="229">
        <v>0.47599999999999998</v>
      </c>
      <c r="CQ6" s="230">
        <v>11201875</v>
      </c>
      <c r="CR6" s="230">
        <v>9972500</v>
      </c>
      <c r="CS6" s="230">
        <v>1229375</v>
      </c>
      <c r="CT6" s="229">
        <v>0.12330000000000001</v>
      </c>
      <c r="CU6" s="230">
        <v>105440625</v>
      </c>
      <c r="CV6" s="230">
        <v>104461875</v>
      </c>
      <c r="CW6" s="230">
        <v>978750</v>
      </c>
      <c r="CX6" s="229">
        <v>9.4000000000000004E-3</v>
      </c>
      <c r="CY6" s="228">
        <v>23.19</v>
      </c>
      <c r="CZ6" s="228">
        <v>24.06</v>
      </c>
      <c r="DA6" s="228">
        <v>-0.87</v>
      </c>
      <c r="DB6" s="228">
        <v>-0.87</v>
      </c>
      <c r="DC6" s="228">
        <v>26.29</v>
      </c>
      <c r="DD6" s="228">
        <v>26.35</v>
      </c>
      <c r="DE6" s="228">
        <v>-3.1</v>
      </c>
      <c r="DF6" s="228">
        <v>-0.06</v>
      </c>
      <c r="DG6" s="228">
        <v>22.88</v>
      </c>
      <c r="DH6" s="228">
        <v>23.69</v>
      </c>
      <c r="DI6" s="228">
        <v>-0.81</v>
      </c>
      <c r="DJ6" s="228">
        <v>-0.81</v>
      </c>
      <c r="DK6" s="228">
        <v>23.63</v>
      </c>
      <c r="DL6" s="228">
        <v>24.65</v>
      </c>
      <c r="DM6" s="228">
        <v>-1.02</v>
      </c>
      <c r="DN6" s="228">
        <v>-1.02</v>
      </c>
      <c r="DO6" s="228">
        <v>0.88</v>
      </c>
      <c r="DP6" s="228">
        <v>1.1499999999999999</v>
      </c>
      <c r="DQ6" s="228">
        <v>-0.27</v>
      </c>
      <c r="DR6" s="229">
        <v>-0.23480000000000001</v>
      </c>
      <c r="DS6" s="231">
        <v>1300</v>
      </c>
      <c r="DT6" s="231">
        <v>1250</v>
      </c>
      <c r="DU6" s="228">
        <v>0.69</v>
      </c>
      <c r="DV6" s="228">
        <v>0.47</v>
      </c>
      <c r="DW6" s="228">
        <v>0.22</v>
      </c>
      <c r="DX6" s="229">
        <v>0.46810000000000002</v>
      </c>
      <c r="DY6" s="229">
        <v>3.15E-2</v>
      </c>
      <c r="DZ6" s="230">
        <v>85845000</v>
      </c>
      <c r="EA6" s="229">
        <v>4.1000000000000003E-3</v>
      </c>
      <c r="EB6" s="229">
        <v>3.15E-2</v>
      </c>
      <c r="EC6" s="228">
        <v>0.05</v>
      </c>
      <c r="ED6" s="229">
        <v>0</v>
      </c>
      <c r="EE6" s="230">
        <v>9836558</v>
      </c>
      <c r="EF6" s="230">
        <v>15567070</v>
      </c>
      <c r="EG6" s="229">
        <v>-0.36809999999999998</v>
      </c>
      <c r="EH6" s="229">
        <v>0.61460000000000004</v>
      </c>
      <c r="EI6" s="231">
        <v>758135.71</v>
      </c>
      <c r="EJ6" s="231">
        <v>491248.67</v>
      </c>
      <c r="EK6" s="231">
        <v>225945.96</v>
      </c>
      <c r="EL6" s="231">
        <v>94297</v>
      </c>
      <c r="EM6" s="231">
        <v>1475330.34</v>
      </c>
      <c r="EN6" s="231">
        <v>5172489.55</v>
      </c>
      <c r="EO6" s="231">
        <v>-3697159.21</v>
      </c>
      <c r="EP6" s="229">
        <v>-0.71479999999999999</v>
      </c>
      <c r="EQ6" s="231">
        <v>174408</v>
      </c>
      <c r="ER6" s="231">
        <v>142746</v>
      </c>
      <c r="ES6" s="231">
        <v>1078603</v>
      </c>
      <c r="ET6" s="231">
        <v>296371456</v>
      </c>
      <c r="EU6" s="231">
        <v>1395756</v>
      </c>
      <c r="EV6" s="231">
        <v>1379501</v>
      </c>
      <c r="EW6" s="231">
        <v>16255</v>
      </c>
      <c r="EX6" s="229">
        <v>1.18E-2</v>
      </c>
      <c r="EY6" s="229">
        <v>0.35580000000000001</v>
      </c>
    </row>
    <row r="7" spans="1:155" ht="17.25" thickBot="1" x14ac:dyDescent="0.3">
      <c r="A7" s="226">
        <v>46050</v>
      </c>
      <c r="B7" s="227" t="s">
        <v>162</v>
      </c>
      <c r="C7" s="227" t="s">
        <v>174</v>
      </c>
      <c r="D7" s="231">
        <v>9459</v>
      </c>
      <c r="E7" s="231">
        <v>9531.5</v>
      </c>
      <c r="F7" s="228">
        <v>-72.5</v>
      </c>
      <c r="G7" s="229">
        <v>-7.6E-3</v>
      </c>
      <c r="H7" s="231">
        <v>9433.5</v>
      </c>
      <c r="I7" s="231">
        <v>9492</v>
      </c>
      <c r="J7" s="228">
        <v>-58.5</v>
      </c>
      <c r="K7" s="229">
        <v>-6.1999999999999998E-3</v>
      </c>
      <c r="L7" s="231">
        <v>9459</v>
      </c>
      <c r="M7" s="231">
        <v>9490.5</v>
      </c>
      <c r="N7" s="228">
        <v>-31.5</v>
      </c>
      <c r="O7" s="229">
        <v>-3.3E-3</v>
      </c>
      <c r="P7" s="231">
        <v>9497</v>
      </c>
      <c r="Q7" s="231">
        <v>9531.5</v>
      </c>
      <c r="R7" s="228">
        <v>-34.5</v>
      </c>
      <c r="S7" s="229">
        <v>-3.5999999999999999E-3</v>
      </c>
      <c r="T7" s="231">
        <v>9449</v>
      </c>
      <c r="U7" s="231">
        <v>9568</v>
      </c>
      <c r="V7" s="228">
        <v>-119</v>
      </c>
      <c r="W7" s="229">
        <v>-1.24E-2</v>
      </c>
      <c r="X7" s="228">
        <v>25.5</v>
      </c>
      <c r="Y7" s="228">
        <v>39.5</v>
      </c>
      <c r="Z7" s="228">
        <v>-14</v>
      </c>
      <c r="AA7" s="229">
        <v>2.7000000000000001E-3</v>
      </c>
      <c r="AB7" s="228">
        <v>25.5</v>
      </c>
      <c r="AC7" s="228">
        <v>-1.5</v>
      </c>
      <c r="AD7" s="228">
        <v>27</v>
      </c>
      <c r="AE7" s="229">
        <v>2.7000000000000001E-3</v>
      </c>
      <c r="AF7" s="228">
        <v>63.5</v>
      </c>
      <c r="AG7" s="228">
        <v>39.5</v>
      </c>
      <c r="AH7" s="228">
        <v>24</v>
      </c>
      <c r="AI7" s="229">
        <v>6.7000000000000002E-3</v>
      </c>
      <c r="AJ7" s="228">
        <v>15.5</v>
      </c>
      <c r="AK7" s="228">
        <v>76</v>
      </c>
      <c r="AL7" s="228">
        <v>-60.5</v>
      </c>
      <c r="AM7" s="229">
        <v>1.6000000000000001E-3</v>
      </c>
      <c r="AN7" s="231">
        <v>9376.32</v>
      </c>
      <c r="AO7" s="231">
        <v>9407.33</v>
      </c>
      <c r="AP7" s="228">
        <v>0</v>
      </c>
      <c r="AQ7" s="230">
        <v>8573</v>
      </c>
      <c r="AR7" s="230">
        <v>15859</v>
      </c>
      <c r="AS7" s="230">
        <v>-7286</v>
      </c>
      <c r="AT7" s="229">
        <v>-0.45939999999999998</v>
      </c>
      <c r="AU7" s="230">
        <v>8239</v>
      </c>
      <c r="AV7" s="230">
        <v>6450</v>
      </c>
      <c r="AW7" s="230">
        <v>1789</v>
      </c>
      <c r="AX7" s="229">
        <v>0.27739999999999998</v>
      </c>
      <c r="AY7" s="228">
        <v>324</v>
      </c>
      <c r="AZ7" s="230">
        <v>9220</v>
      </c>
      <c r="BA7" s="230">
        <v>-8896</v>
      </c>
      <c r="BB7" s="229">
        <v>-0.96489999999999998</v>
      </c>
      <c r="BC7" s="228">
        <v>10</v>
      </c>
      <c r="BD7" s="228">
        <v>189</v>
      </c>
      <c r="BE7" s="228">
        <v>-179</v>
      </c>
      <c r="BF7" s="229">
        <v>-0.94710000000000005</v>
      </c>
      <c r="BG7" s="230">
        <v>18348</v>
      </c>
      <c r="BH7" s="230">
        <v>28861</v>
      </c>
      <c r="BI7" s="230">
        <v>-10513</v>
      </c>
      <c r="BJ7" s="229">
        <v>-0.36430000000000001</v>
      </c>
      <c r="BK7" s="230">
        <v>20497</v>
      </c>
      <c r="BL7" s="230">
        <v>17881</v>
      </c>
      <c r="BM7" s="230">
        <v>2616</v>
      </c>
      <c r="BN7" s="229">
        <v>0.14630000000000001</v>
      </c>
      <c r="BO7" s="230">
        <v>47418</v>
      </c>
      <c r="BP7" s="230">
        <v>62601</v>
      </c>
      <c r="BQ7" s="230">
        <v>-15183</v>
      </c>
      <c r="BR7" s="229">
        <v>-0.24249999999999999</v>
      </c>
      <c r="BS7" s="230">
        <v>360252</v>
      </c>
      <c r="BT7" s="230">
        <v>307406</v>
      </c>
      <c r="BU7" s="230">
        <v>52846</v>
      </c>
      <c r="BV7" s="229">
        <v>0.1719</v>
      </c>
      <c r="BW7" s="230">
        <v>3292275</v>
      </c>
      <c r="BX7" s="230">
        <v>3305700</v>
      </c>
      <c r="BY7" s="230">
        <v>-13425</v>
      </c>
      <c r="BZ7" s="229">
        <v>-4.1000000000000003E-3</v>
      </c>
      <c r="CA7" s="230">
        <v>3236700</v>
      </c>
      <c r="CB7" s="230">
        <v>155550</v>
      </c>
      <c r="CC7" s="230">
        <v>3081150</v>
      </c>
      <c r="CD7" s="229">
        <v>19.8081</v>
      </c>
      <c r="CE7" s="230">
        <v>54825</v>
      </c>
      <c r="CF7" s="230">
        <v>3252750</v>
      </c>
      <c r="CG7" s="230">
        <v>-3197925</v>
      </c>
      <c r="CH7" s="229">
        <v>-0.98309999999999997</v>
      </c>
      <c r="CI7" s="228">
        <v>750</v>
      </c>
      <c r="CJ7" s="230">
        <v>52950</v>
      </c>
      <c r="CK7" s="230">
        <v>-52200</v>
      </c>
      <c r="CL7" s="229">
        <v>-0.98580000000000001</v>
      </c>
      <c r="CM7" s="230">
        <v>509025</v>
      </c>
      <c r="CN7" s="230">
        <v>411600</v>
      </c>
      <c r="CO7" s="230">
        <v>97425</v>
      </c>
      <c r="CP7" s="229">
        <v>0.23669999999999999</v>
      </c>
      <c r="CQ7" s="230">
        <v>440625</v>
      </c>
      <c r="CR7" s="230">
        <v>340350</v>
      </c>
      <c r="CS7" s="230">
        <v>100275</v>
      </c>
      <c r="CT7" s="229">
        <v>0.29459999999999997</v>
      </c>
      <c r="CU7" s="230">
        <v>4241925</v>
      </c>
      <c r="CV7" s="230">
        <v>4057650</v>
      </c>
      <c r="CW7" s="230">
        <v>184275</v>
      </c>
      <c r="CX7" s="229">
        <v>4.5400000000000003E-2</v>
      </c>
      <c r="CY7" s="228">
        <v>29.34</v>
      </c>
      <c r="CZ7" s="228">
        <v>28.9</v>
      </c>
      <c r="DA7" s="228">
        <v>0.44</v>
      </c>
      <c r="DB7" s="228">
        <v>0.44</v>
      </c>
      <c r="DC7" s="228">
        <v>27.8</v>
      </c>
      <c r="DD7" s="228">
        <v>27.86</v>
      </c>
      <c r="DE7" s="228">
        <v>1.54</v>
      </c>
      <c r="DF7" s="228">
        <v>-0.06</v>
      </c>
      <c r="DG7" s="228">
        <v>28.45</v>
      </c>
      <c r="DH7" s="228">
        <v>27.88</v>
      </c>
      <c r="DI7" s="228">
        <v>0.56999999999999995</v>
      </c>
      <c r="DJ7" s="228">
        <v>0.56999999999999995</v>
      </c>
      <c r="DK7" s="228">
        <v>30.13</v>
      </c>
      <c r="DL7" s="228">
        <v>30.04</v>
      </c>
      <c r="DM7" s="228">
        <v>0.09</v>
      </c>
      <c r="DN7" s="228">
        <v>0.09</v>
      </c>
      <c r="DO7" s="228">
        <v>0.87</v>
      </c>
      <c r="DP7" s="228">
        <v>0.83</v>
      </c>
      <c r="DQ7" s="228">
        <v>0.04</v>
      </c>
      <c r="DR7" s="229">
        <v>4.82E-2</v>
      </c>
      <c r="DS7" s="231">
        <v>10000</v>
      </c>
      <c r="DT7" s="231">
        <v>8800</v>
      </c>
      <c r="DU7" s="228">
        <v>1.1200000000000001</v>
      </c>
      <c r="DV7" s="228">
        <v>0.62</v>
      </c>
      <c r="DW7" s="228">
        <v>0.5</v>
      </c>
      <c r="DX7" s="229">
        <v>0.80649999999999999</v>
      </c>
      <c r="DY7" s="229">
        <v>1.6899999999999998E-2</v>
      </c>
      <c r="DZ7" s="230">
        <v>3305700</v>
      </c>
      <c r="EA7" s="229">
        <v>4.0000000000000001E-3</v>
      </c>
      <c r="EB7" s="229">
        <v>1.6899999999999998E-2</v>
      </c>
      <c r="EC7" s="228">
        <v>31.01</v>
      </c>
      <c r="ED7" s="229">
        <v>3.3E-3</v>
      </c>
      <c r="EE7" s="230">
        <v>159254</v>
      </c>
      <c r="EF7" s="230">
        <v>133114</v>
      </c>
      <c r="EG7" s="229">
        <v>0.19639999999999999</v>
      </c>
      <c r="EH7" s="229">
        <v>0.44209999999999999</v>
      </c>
      <c r="EI7" s="231">
        <v>138328.70000000001</v>
      </c>
      <c r="EJ7" s="231">
        <v>140738.60999999999</v>
      </c>
      <c r="EK7" s="231">
        <v>60295.44</v>
      </c>
      <c r="EL7" s="231">
        <v>34587</v>
      </c>
      <c r="EM7" s="231">
        <v>339362.75</v>
      </c>
      <c r="EN7" s="231">
        <v>447474.89</v>
      </c>
      <c r="EO7" s="231">
        <v>-108112.14</v>
      </c>
      <c r="EP7" s="229">
        <v>-0.24160000000000001</v>
      </c>
      <c r="EQ7" s="231">
        <v>50569</v>
      </c>
      <c r="ER7" s="231">
        <v>39433</v>
      </c>
      <c r="ES7" s="231">
        <v>311437</v>
      </c>
      <c r="ET7" s="231">
        <v>15906526</v>
      </c>
      <c r="EU7" s="231">
        <v>401439</v>
      </c>
      <c r="EV7" s="231">
        <v>386621</v>
      </c>
      <c r="EW7" s="231">
        <v>14818</v>
      </c>
      <c r="EX7" s="229">
        <v>3.8300000000000001E-2</v>
      </c>
      <c r="EY7" s="229">
        <v>0.26669999999999999</v>
      </c>
    </row>
    <row r="8" spans="1:155" ht="17.25" thickBot="1" x14ac:dyDescent="0.3">
      <c r="A8" s="226">
        <v>46050</v>
      </c>
      <c r="B8" s="227" t="s">
        <v>175</v>
      </c>
      <c r="C8" s="227" t="s">
        <v>176</v>
      </c>
      <c r="D8" s="231">
        <v>1951.2</v>
      </c>
      <c r="E8" s="231">
        <v>1927.7</v>
      </c>
      <c r="F8" s="228">
        <v>23.5</v>
      </c>
      <c r="G8" s="229">
        <v>1.2200000000000001E-2</v>
      </c>
      <c r="H8" s="231">
        <v>1940.3</v>
      </c>
      <c r="I8" s="231">
        <v>1917.7</v>
      </c>
      <c r="J8" s="228">
        <v>22.6</v>
      </c>
      <c r="K8" s="229">
        <v>1.18E-2</v>
      </c>
      <c r="L8" s="231">
        <v>1951.2</v>
      </c>
      <c r="M8" s="231">
        <v>1916.1</v>
      </c>
      <c r="N8" s="228">
        <v>35.1</v>
      </c>
      <c r="O8" s="229">
        <v>1.83E-2</v>
      </c>
      <c r="P8" s="231">
        <v>1963.9</v>
      </c>
      <c r="Q8" s="231">
        <v>1927.7</v>
      </c>
      <c r="R8" s="228">
        <v>36.200000000000003</v>
      </c>
      <c r="S8" s="229">
        <v>1.8800000000000001E-2</v>
      </c>
      <c r="T8" s="231">
        <v>1974.9</v>
      </c>
      <c r="U8" s="231">
        <v>1945.3</v>
      </c>
      <c r="V8" s="228">
        <v>29.6</v>
      </c>
      <c r="W8" s="229">
        <v>1.52E-2</v>
      </c>
      <c r="X8" s="228">
        <v>10.9</v>
      </c>
      <c r="Y8" s="228">
        <v>10</v>
      </c>
      <c r="Z8" s="228">
        <v>0.9</v>
      </c>
      <c r="AA8" s="229">
        <v>5.5999999999999999E-3</v>
      </c>
      <c r="AB8" s="228">
        <v>10.9</v>
      </c>
      <c r="AC8" s="228">
        <v>-1.6</v>
      </c>
      <c r="AD8" s="228">
        <v>12.5</v>
      </c>
      <c r="AE8" s="229">
        <v>5.5999999999999999E-3</v>
      </c>
      <c r="AF8" s="228">
        <v>23.6</v>
      </c>
      <c r="AG8" s="228">
        <v>10</v>
      </c>
      <c r="AH8" s="228">
        <v>13.6</v>
      </c>
      <c r="AI8" s="229">
        <v>1.2200000000000001E-2</v>
      </c>
      <c r="AJ8" s="228">
        <v>34.6</v>
      </c>
      <c r="AK8" s="228">
        <v>27.6</v>
      </c>
      <c r="AL8" s="228">
        <v>7</v>
      </c>
      <c r="AM8" s="229">
        <v>1.78E-2</v>
      </c>
      <c r="AN8" s="231">
        <v>1944.16</v>
      </c>
      <c r="AO8" s="231">
        <v>1956.53</v>
      </c>
      <c r="AP8" s="228">
        <v>0</v>
      </c>
      <c r="AQ8" s="230">
        <v>5409</v>
      </c>
      <c r="AR8" s="230">
        <v>40675</v>
      </c>
      <c r="AS8" s="230">
        <v>-35266</v>
      </c>
      <c r="AT8" s="229">
        <v>-0.86699999999999999</v>
      </c>
      <c r="AU8" s="230">
        <v>5130</v>
      </c>
      <c r="AV8" s="230">
        <v>18720</v>
      </c>
      <c r="AW8" s="230">
        <v>-13590</v>
      </c>
      <c r="AX8" s="229">
        <v>-0.72599999999999998</v>
      </c>
      <c r="AY8" s="228">
        <v>240</v>
      </c>
      <c r="AZ8" s="230">
        <v>21484</v>
      </c>
      <c r="BA8" s="230">
        <v>-21244</v>
      </c>
      <c r="BB8" s="229">
        <v>-0.98880000000000001</v>
      </c>
      <c r="BC8" s="228">
        <v>39</v>
      </c>
      <c r="BD8" s="228">
        <v>471</v>
      </c>
      <c r="BE8" s="228">
        <v>-432</v>
      </c>
      <c r="BF8" s="229">
        <v>-0.91720000000000002</v>
      </c>
      <c r="BG8" s="230">
        <v>7263</v>
      </c>
      <c r="BH8" s="230">
        <v>19422</v>
      </c>
      <c r="BI8" s="230">
        <v>-12159</v>
      </c>
      <c r="BJ8" s="229">
        <v>-0.626</v>
      </c>
      <c r="BK8" s="230">
        <v>4129</v>
      </c>
      <c r="BL8" s="230">
        <v>17960</v>
      </c>
      <c r="BM8" s="230">
        <v>-13831</v>
      </c>
      <c r="BN8" s="229">
        <v>-0.77010000000000001</v>
      </c>
      <c r="BO8" s="230">
        <v>16801</v>
      </c>
      <c r="BP8" s="230">
        <v>78057</v>
      </c>
      <c r="BQ8" s="230">
        <v>-61256</v>
      </c>
      <c r="BR8" s="229">
        <v>-0.78480000000000005</v>
      </c>
      <c r="BS8" s="230">
        <v>3730150</v>
      </c>
      <c r="BT8" s="230">
        <v>4763923</v>
      </c>
      <c r="BU8" s="230">
        <v>-1033773</v>
      </c>
      <c r="BV8" s="229">
        <v>-0.217</v>
      </c>
      <c r="BW8" s="230">
        <v>14877250</v>
      </c>
      <c r="BX8" s="230">
        <v>14950000</v>
      </c>
      <c r="BY8" s="230">
        <v>-72750</v>
      </c>
      <c r="BZ8" s="229">
        <v>-4.8999999999999998E-3</v>
      </c>
      <c r="CA8" s="230">
        <v>14592250</v>
      </c>
      <c r="CB8" s="230">
        <v>1911500</v>
      </c>
      <c r="CC8" s="230">
        <v>12680750</v>
      </c>
      <c r="CD8" s="229">
        <v>6.6338999999999997</v>
      </c>
      <c r="CE8" s="230">
        <v>278000</v>
      </c>
      <c r="CF8" s="230">
        <v>14690500</v>
      </c>
      <c r="CG8" s="230">
        <v>-14412500</v>
      </c>
      <c r="CH8" s="229">
        <v>-0.98109999999999997</v>
      </c>
      <c r="CI8" s="230">
        <v>7000</v>
      </c>
      <c r="CJ8" s="230">
        <v>259500</v>
      </c>
      <c r="CK8" s="230">
        <v>-252500</v>
      </c>
      <c r="CL8" s="229">
        <v>-0.97299999999999998</v>
      </c>
      <c r="CM8" s="230">
        <v>1799500</v>
      </c>
      <c r="CN8" s="230">
        <v>1588750</v>
      </c>
      <c r="CO8" s="230">
        <v>210750</v>
      </c>
      <c r="CP8" s="229">
        <v>0.13270000000000001</v>
      </c>
      <c r="CQ8" s="230">
        <v>1930500</v>
      </c>
      <c r="CR8" s="230">
        <v>1680750</v>
      </c>
      <c r="CS8" s="230">
        <v>249750</v>
      </c>
      <c r="CT8" s="229">
        <v>0.14860000000000001</v>
      </c>
      <c r="CU8" s="230">
        <v>18607250</v>
      </c>
      <c r="CV8" s="230">
        <v>18219500</v>
      </c>
      <c r="CW8" s="230">
        <v>387750</v>
      </c>
      <c r="CX8" s="229">
        <v>2.1299999999999999E-2</v>
      </c>
      <c r="CY8" s="228">
        <v>28.77</v>
      </c>
      <c r="CZ8" s="228">
        <v>29.6</v>
      </c>
      <c r="DA8" s="228">
        <v>-0.83</v>
      </c>
      <c r="DB8" s="228">
        <v>-0.83</v>
      </c>
      <c r="DC8" s="228">
        <v>27.82</v>
      </c>
      <c r="DD8" s="228">
        <v>27.84</v>
      </c>
      <c r="DE8" s="228">
        <v>0.95</v>
      </c>
      <c r="DF8" s="228">
        <v>-0.02</v>
      </c>
      <c r="DG8" s="228">
        <v>28.06</v>
      </c>
      <c r="DH8" s="228">
        <v>28.89</v>
      </c>
      <c r="DI8" s="228">
        <v>-0.83</v>
      </c>
      <c r="DJ8" s="228">
        <v>-0.83</v>
      </c>
      <c r="DK8" s="228">
        <v>30.01</v>
      </c>
      <c r="DL8" s="228">
        <v>30.55</v>
      </c>
      <c r="DM8" s="228">
        <v>-0.54</v>
      </c>
      <c r="DN8" s="228">
        <v>-0.54</v>
      </c>
      <c r="DO8" s="228">
        <v>1.07</v>
      </c>
      <c r="DP8" s="228">
        <v>1.06</v>
      </c>
      <c r="DQ8" s="228">
        <v>0.01</v>
      </c>
      <c r="DR8" s="229">
        <v>9.4000000000000004E-3</v>
      </c>
      <c r="DS8" s="231">
        <v>2000</v>
      </c>
      <c r="DT8" s="231">
        <v>1820</v>
      </c>
      <c r="DU8" s="228">
        <v>0.56999999999999995</v>
      </c>
      <c r="DV8" s="228">
        <v>0.92</v>
      </c>
      <c r="DW8" s="228">
        <v>-0.35</v>
      </c>
      <c r="DX8" s="229">
        <v>-0.38040000000000002</v>
      </c>
      <c r="DY8" s="229">
        <v>1.9199999999999998E-2</v>
      </c>
      <c r="DZ8" s="230">
        <v>14950000</v>
      </c>
      <c r="EA8" s="229">
        <v>6.4999999999999997E-3</v>
      </c>
      <c r="EB8" s="229">
        <v>1.9199999999999998E-2</v>
      </c>
      <c r="EC8" s="228">
        <v>12.37</v>
      </c>
      <c r="ED8" s="229">
        <v>6.4000000000000003E-3</v>
      </c>
      <c r="EE8" s="230">
        <v>3143617</v>
      </c>
      <c r="EF8" s="230">
        <v>2915475</v>
      </c>
      <c r="EG8" s="229">
        <v>7.8299999999999995E-2</v>
      </c>
      <c r="EH8" s="229">
        <v>0.84279999999999999</v>
      </c>
      <c r="EI8" s="231">
        <v>37564.9</v>
      </c>
      <c r="EJ8" s="231">
        <v>19781.900000000001</v>
      </c>
      <c r="EK8" s="231">
        <v>26299.72</v>
      </c>
      <c r="EL8" s="231">
        <v>39149</v>
      </c>
      <c r="EM8" s="231">
        <v>83646.52</v>
      </c>
      <c r="EN8" s="231">
        <v>382954.14</v>
      </c>
      <c r="EO8" s="231">
        <v>-299307.62</v>
      </c>
      <c r="EP8" s="229">
        <v>-0.78159999999999996</v>
      </c>
      <c r="EQ8" s="231">
        <v>36623</v>
      </c>
      <c r="ER8" s="231">
        <v>37102</v>
      </c>
      <c r="ES8" s="231">
        <v>290322</v>
      </c>
      <c r="ET8" s="231">
        <v>65701623</v>
      </c>
      <c r="EU8" s="231">
        <v>364047</v>
      </c>
      <c r="EV8" s="231">
        <v>353042</v>
      </c>
      <c r="EW8" s="231">
        <v>11005</v>
      </c>
      <c r="EX8" s="229">
        <v>3.1199999999999999E-2</v>
      </c>
      <c r="EY8" s="229">
        <v>0.28320000000000001</v>
      </c>
    </row>
    <row r="9" spans="1:155" ht="17.25" thickBot="1" x14ac:dyDescent="0.3">
      <c r="A9" s="226">
        <v>46050</v>
      </c>
      <c r="B9" s="227" t="s">
        <v>175</v>
      </c>
      <c r="C9" s="227" t="s">
        <v>177</v>
      </c>
      <c r="D9" s="228">
        <v>938.65</v>
      </c>
      <c r="E9" s="228">
        <v>921.25</v>
      </c>
      <c r="F9" s="228">
        <v>17.399999999999999</v>
      </c>
      <c r="G9" s="229">
        <v>1.89E-2</v>
      </c>
      <c r="H9" s="228">
        <v>935.15</v>
      </c>
      <c r="I9" s="228">
        <v>914.7</v>
      </c>
      <c r="J9" s="228">
        <v>20.45</v>
      </c>
      <c r="K9" s="229">
        <v>2.24E-2</v>
      </c>
      <c r="L9" s="228">
        <v>938.65</v>
      </c>
      <c r="M9" s="228">
        <v>914.7</v>
      </c>
      <c r="N9" s="228">
        <v>23.95</v>
      </c>
      <c r="O9" s="229">
        <v>2.6200000000000001E-2</v>
      </c>
      <c r="P9" s="228">
        <v>944.55</v>
      </c>
      <c r="Q9" s="228">
        <v>921.25</v>
      </c>
      <c r="R9" s="228">
        <v>23.3</v>
      </c>
      <c r="S9" s="229">
        <v>2.53E-2</v>
      </c>
      <c r="T9" s="228">
        <v>951</v>
      </c>
      <c r="U9" s="228">
        <v>927.5</v>
      </c>
      <c r="V9" s="228">
        <v>23.5</v>
      </c>
      <c r="W9" s="229">
        <v>2.53E-2</v>
      </c>
      <c r="X9" s="228">
        <v>3.5</v>
      </c>
      <c r="Y9" s="228">
        <v>6.55</v>
      </c>
      <c r="Z9" s="228">
        <v>-3.05</v>
      </c>
      <c r="AA9" s="229">
        <v>3.7000000000000002E-3</v>
      </c>
      <c r="AB9" s="228">
        <v>3.5</v>
      </c>
      <c r="AC9" s="228">
        <v>0</v>
      </c>
      <c r="AD9" s="228">
        <v>3.5</v>
      </c>
      <c r="AE9" s="229">
        <v>3.7000000000000002E-3</v>
      </c>
      <c r="AF9" s="228">
        <v>9.4</v>
      </c>
      <c r="AG9" s="228">
        <v>6.55</v>
      </c>
      <c r="AH9" s="228">
        <v>2.85</v>
      </c>
      <c r="AI9" s="229">
        <v>1.01E-2</v>
      </c>
      <c r="AJ9" s="228">
        <v>15.85</v>
      </c>
      <c r="AK9" s="228">
        <v>12.8</v>
      </c>
      <c r="AL9" s="228">
        <v>3.05</v>
      </c>
      <c r="AM9" s="229">
        <v>1.6899999999999998E-2</v>
      </c>
      <c r="AN9" s="228">
        <v>934.11</v>
      </c>
      <c r="AO9" s="228">
        <v>938.05</v>
      </c>
      <c r="AP9" s="228">
        <v>0</v>
      </c>
      <c r="AQ9" s="230">
        <v>8910</v>
      </c>
      <c r="AR9" s="230">
        <v>60286</v>
      </c>
      <c r="AS9" s="230">
        <v>-51376</v>
      </c>
      <c r="AT9" s="229">
        <v>-0.85219999999999996</v>
      </c>
      <c r="AU9" s="230">
        <v>8532</v>
      </c>
      <c r="AV9" s="230">
        <v>23942</v>
      </c>
      <c r="AW9" s="230">
        <v>-15410</v>
      </c>
      <c r="AX9" s="229">
        <v>-0.64359999999999995</v>
      </c>
      <c r="AY9" s="228">
        <v>332</v>
      </c>
      <c r="AZ9" s="230">
        <v>34972</v>
      </c>
      <c r="BA9" s="230">
        <v>-34640</v>
      </c>
      <c r="BB9" s="229">
        <v>-0.99050000000000005</v>
      </c>
      <c r="BC9" s="228">
        <v>46</v>
      </c>
      <c r="BD9" s="230">
        <v>1372</v>
      </c>
      <c r="BE9" s="230">
        <v>-1326</v>
      </c>
      <c r="BF9" s="229">
        <v>-0.96650000000000003</v>
      </c>
      <c r="BG9" s="230">
        <v>23247</v>
      </c>
      <c r="BH9" s="230">
        <v>38069</v>
      </c>
      <c r="BI9" s="230">
        <v>-14822</v>
      </c>
      <c r="BJ9" s="229">
        <v>-0.38929999999999998</v>
      </c>
      <c r="BK9" s="230">
        <v>10565</v>
      </c>
      <c r="BL9" s="230">
        <v>29920</v>
      </c>
      <c r="BM9" s="230">
        <v>-19355</v>
      </c>
      <c r="BN9" s="229">
        <v>-0.64690000000000003</v>
      </c>
      <c r="BO9" s="230">
        <v>42722</v>
      </c>
      <c r="BP9" s="230">
        <v>128275</v>
      </c>
      <c r="BQ9" s="230">
        <v>-85553</v>
      </c>
      <c r="BR9" s="229">
        <v>-0.66690000000000005</v>
      </c>
      <c r="BS9" s="230">
        <v>6479718</v>
      </c>
      <c r="BT9" s="230">
        <v>15853119</v>
      </c>
      <c r="BU9" s="230">
        <v>-9373401</v>
      </c>
      <c r="BV9" s="229">
        <v>-0.59130000000000005</v>
      </c>
      <c r="BW9" s="230">
        <v>92005500</v>
      </c>
      <c r="BX9" s="230">
        <v>93801750</v>
      </c>
      <c r="BY9" s="230">
        <v>-1796250</v>
      </c>
      <c r="BZ9" s="229">
        <v>-1.9099999999999999E-2</v>
      </c>
      <c r="CA9" s="230">
        <v>88494000</v>
      </c>
      <c r="CB9" s="230">
        <v>9519000</v>
      </c>
      <c r="CC9" s="230">
        <v>78975000</v>
      </c>
      <c r="CD9" s="229">
        <v>8.2965999999999998</v>
      </c>
      <c r="CE9" s="230">
        <v>3490500</v>
      </c>
      <c r="CF9" s="230">
        <v>90333750</v>
      </c>
      <c r="CG9" s="230">
        <v>-86843250</v>
      </c>
      <c r="CH9" s="229">
        <v>-0.96140000000000003</v>
      </c>
      <c r="CI9" s="230">
        <v>21000</v>
      </c>
      <c r="CJ9" s="230">
        <v>3468000</v>
      </c>
      <c r="CK9" s="230">
        <v>-3447000</v>
      </c>
      <c r="CL9" s="229">
        <v>-0.99390000000000001</v>
      </c>
      <c r="CM9" s="230">
        <v>10672500</v>
      </c>
      <c r="CN9" s="230">
        <v>9326250</v>
      </c>
      <c r="CO9" s="230">
        <v>1346250</v>
      </c>
      <c r="CP9" s="229">
        <v>0.1444</v>
      </c>
      <c r="CQ9" s="230">
        <v>12360750</v>
      </c>
      <c r="CR9" s="230">
        <v>11468250</v>
      </c>
      <c r="CS9" s="230">
        <v>892500</v>
      </c>
      <c r="CT9" s="229">
        <v>7.7799999999999994E-2</v>
      </c>
      <c r="CU9" s="230">
        <v>115038750</v>
      </c>
      <c r="CV9" s="230">
        <v>114596250</v>
      </c>
      <c r="CW9" s="230">
        <v>442500</v>
      </c>
      <c r="CX9" s="229">
        <v>3.8999999999999998E-3</v>
      </c>
      <c r="CY9" s="228">
        <v>32.14</v>
      </c>
      <c r="CZ9" s="228">
        <v>33.28</v>
      </c>
      <c r="DA9" s="228">
        <v>-1.1399999999999999</v>
      </c>
      <c r="DB9" s="228">
        <v>-1.1399999999999999</v>
      </c>
      <c r="DC9" s="228">
        <v>30.75</v>
      </c>
      <c r="DD9" s="228">
        <v>30.68</v>
      </c>
      <c r="DE9" s="228">
        <v>1.39</v>
      </c>
      <c r="DF9" s="228">
        <v>7.0000000000000007E-2</v>
      </c>
      <c r="DG9" s="228">
        <v>31.43</v>
      </c>
      <c r="DH9" s="228">
        <v>32.549999999999997</v>
      </c>
      <c r="DI9" s="228">
        <v>-1.1200000000000001</v>
      </c>
      <c r="DJ9" s="228">
        <v>-1.1200000000000001</v>
      </c>
      <c r="DK9" s="228">
        <v>33.68</v>
      </c>
      <c r="DL9" s="228">
        <v>34.06</v>
      </c>
      <c r="DM9" s="228">
        <v>-0.38</v>
      </c>
      <c r="DN9" s="228">
        <v>-0.38</v>
      </c>
      <c r="DO9" s="228">
        <v>1.1599999999999999</v>
      </c>
      <c r="DP9" s="228">
        <v>1.23</v>
      </c>
      <c r="DQ9" s="228">
        <v>-7.0000000000000007E-2</v>
      </c>
      <c r="DR9" s="229">
        <v>-5.6899999999999999E-2</v>
      </c>
      <c r="DS9" s="228">
        <v>950</v>
      </c>
      <c r="DT9" s="228">
        <v>900</v>
      </c>
      <c r="DU9" s="228">
        <v>0.45</v>
      </c>
      <c r="DV9" s="228">
        <v>0.79</v>
      </c>
      <c r="DW9" s="228">
        <v>-0.34</v>
      </c>
      <c r="DX9" s="229">
        <v>-0.4304</v>
      </c>
      <c r="DY9" s="229">
        <v>3.8199999999999998E-2</v>
      </c>
      <c r="DZ9" s="230">
        <v>93801750</v>
      </c>
      <c r="EA9" s="229">
        <v>6.3E-3</v>
      </c>
      <c r="EB9" s="229">
        <v>3.8199999999999998E-2</v>
      </c>
      <c r="EC9" s="228">
        <v>3.94</v>
      </c>
      <c r="ED9" s="229">
        <v>4.1999999999999997E-3</v>
      </c>
      <c r="EE9" s="230">
        <v>4152851</v>
      </c>
      <c r="EF9" s="230">
        <v>10818025</v>
      </c>
      <c r="EG9" s="229">
        <v>-0.61609999999999998</v>
      </c>
      <c r="EH9" s="229">
        <v>0.64090000000000003</v>
      </c>
      <c r="EI9" s="231">
        <v>178406.31</v>
      </c>
      <c r="EJ9" s="231">
        <v>73377.36</v>
      </c>
      <c r="EK9" s="231">
        <v>62434.95</v>
      </c>
      <c r="EL9" s="231">
        <v>68610</v>
      </c>
      <c r="EM9" s="231">
        <v>314218.62</v>
      </c>
      <c r="EN9" s="231">
        <v>913825.14</v>
      </c>
      <c r="EO9" s="231">
        <v>-599606.52</v>
      </c>
      <c r="EP9" s="229">
        <v>-0.65620000000000001</v>
      </c>
      <c r="EQ9" s="231">
        <v>105380</v>
      </c>
      <c r="ER9" s="231">
        <v>115706</v>
      </c>
      <c r="ES9" s="231">
        <v>863818</v>
      </c>
      <c r="ET9" s="231">
        <v>317526833</v>
      </c>
      <c r="EU9" s="231">
        <v>1084903</v>
      </c>
      <c r="EV9" s="231">
        <v>1063984</v>
      </c>
      <c r="EW9" s="231">
        <v>20919</v>
      </c>
      <c r="EX9" s="229">
        <v>1.9699999999999999E-2</v>
      </c>
      <c r="EY9" s="229">
        <v>0.36230000000000001</v>
      </c>
    </row>
    <row r="10" spans="1:155" ht="17.25" thickBot="1" x14ac:dyDescent="0.3">
      <c r="A10" s="226">
        <v>46050</v>
      </c>
      <c r="B10" s="227" t="s">
        <v>184</v>
      </c>
      <c r="C10" s="227" t="s">
        <v>185</v>
      </c>
      <c r="D10" s="228">
        <v>455.95</v>
      </c>
      <c r="E10" s="228">
        <v>417.4</v>
      </c>
      <c r="F10" s="228">
        <v>38.549999999999997</v>
      </c>
      <c r="G10" s="229">
        <v>9.2399999999999996E-2</v>
      </c>
      <c r="H10" s="228">
        <v>453</v>
      </c>
      <c r="I10" s="228">
        <v>415.95</v>
      </c>
      <c r="J10" s="228">
        <v>37.049999999999997</v>
      </c>
      <c r="K10" s="229">
        <v>8.9099999999999999E-2</v>
      </c>
      <c r="L10" s="228">
        <v>455.95</v>
      </c>
      <c r="M10" s="228">
        <v>414.8</v>
      </c>
      <c r="N10" s="228">
        <v>41.15</v>
      </c>
      <c r="O10" s="229">
        <v>9.9199999999999997E-2</v>
      </c>
      <c r="P10" s="228">
        <v>457.45</v>
      </c>
      <c r="Q10" s="228">
        <v>417.4</v>
      </c>
      <c r="R10" s="228">
        <v>40.049999999999997</v>
      </c>
      <c r="S10" s="229">
        <v>9.6000000000000002E-2</v>
      </c>
      <c r="T10" s="228">
        <v>460.3</v>
      </c>
      <c r="U10" s="228">
        <v>419.65</v>
      </c>
      <c r="V10" s="228">
        <v>40.65</v>
      </c>
      <c r="W10" s="229">
        <v>9.69E-2</v>
      </c>
      <c r="X10" s="228">
        <v>2.95</v>
      </c>
      <c r="Y10" s="228">
        <v>1.45</v>
      </c>
      <c r="Z10" s="228">
        <v>1.5</v>
      </c>
      <c r="AA10" s="229">
        <v>6.4999999999999997E-3</v>
      </c>
      <c r="AB10" s="228">
        <v>2.95</v>
      </c>
      <c r="AC10" s="228">
        <v>-1.1499999999999999</v>
      </c>
      <c r="AD10" s="228">
        <v>4.0999999999999996</v>
      </c>
      <c r="AE10" s="229">
        <v>6.4999999999999997E-3</v>
      </c>
      <c r="AF10" s="228">
        <v>4.45</v>
      </c>
      <c r="AG10" s="228">
        <v>1.45</v>
      </c>
      <c r="AH10" s="228">
        <v>3</v>
      </c>
      <c r="AI10" s="229">
        <v>9.7999999999999997E-3</v>
      </c>
      <c r="AJ10" s="228">
        <v>7.3</v>
      </c>
      <c r="AK10" s="228">
        <v>3.7</v>
      </c>
      <c r="AL10" s="228">
        <v>3.6</v>
      </c>
      <c r="AM10" s="229">
        <v>1.61E-2</v>
      </c>
      <c r="AN10" s="228">
        <v>443.62</v>
      </c>
      <c r="AO10" s="228">
        <v>443.54</v>
      </c>
      <c r="AP10" s="228">
        <v>0</v>
      </c>
      <c r="AQ10" s="230">
        <v>65989</v>
      </c>
      <c r="AR10" s="230">
        <v>49605</v>
      </c>
      <c r="AS10" s="230">
        <v>16384</v>
      </c>
      <c r="AT10" s="229">
        <v>0.33029999999999998</v>
      </c>
      <c r="AU10" s="230">
        <v>60627</v>
      </c>
      <c r="AV10" s="230">
        <v>21264</v>
      </c>
      <c r="AW10" s="230">
        <v>39363</v>
      </c>
      <c r="AX10" s="229">
        <v>1.8512</v>
      </c>
      <c r="AY10" s="230">
        <v>4625</v>
      </c>
      <c r="AZ10" s="230">
        <v>27000</v>
      </c>
      <c r="BA10" s="230">
        <v>-22375</v>
      </c>
      <c r="BB10" s="229">
        <v>-0.82869999999999999</v>
      </c>
      <c r="BC10" s="228">
        <v>737</v>
      </c>
      <c r="BD10" s="230">
        <v>1341</v>
      </c>
      <c r="BE10" s="228">
        <v>-604</v>
      </c>
      <c r="BF10" s="229">
        <v>-0.45040000000000002</v>
      </c>
      <c r="BG10" s="230">
        <v>274822</v>
      </c>
      <c r="BH10" s="230">
        <v>54735</v>
      </c>
      <c r="BI10" s="230">
        <v>220087</v>
      </c>
      <c r="BJ10" s="229">
        <v>4.0209999999999999</v>
      </c>
      <c r="BK10" s="230">
        <v>103609</v>
      </c>
      <c r="BL10" s="230">
        <v>25513</v>
      </c>
      <c r="BM10" s="230">
        <v>78096</v>
      </c>
      <c r="BN10" s="229">
        <v>3.0609999999999999</v>
      </c>
      <c r="BO10" s="230">
        <v>444420</v>
      </c>
      <c r="BP10" s="230">
        <v>129853</v>
      </c>
      <c r="BQ10" s="230">
        <v>314567</v>
      </c>
      <c r="BR10" s="229">
        <v>2.4224999999999999</v>
      </c>
      <c r="BS10" s="230">
        <v>78707632</v>
      </c>
      <c r="BT10" s="230">
        <v>15939786</v>
      </c>
      <c r="BU10" s="230">
        <v>62767846</v>
      </c>
      <c r="BV10" s="229">
        <v>3.9378000000000002</v>
      </c>
      <c r="BW10" s="230">
        <v>125400000</v>
      </c>
      <c r="BX10" s="230">
        <v>115295325</v>
      </c>
      <c r="BY10" s="230">
        <v>10104675</v>
      </c>
      <c r="BZ10" s="229">
        <v>8.7599999999999997E-2</v>
      </c>
      <c r="CA10" s="230">
        <v>119953650</v>
      </c>
      <c r="CB10" s="230">
        <v>4074075</v>
      </c>
      <c r="CC10" s="230">
        <v>115879575</v>
      </c>
      <c r="CD10" s="229">
        <v>28.443200000000001</v>
      </c>
      <c r="CE10" s="230">
        <v>5177025</v>
      </c>
      <c r="CF10" s="230">
        <v>110863575</v>
      </c>
      <c r="CG10" s="230">
        <v>-105686550</v>
      </c>
      <c r="CH10" s="229">
        <v>-0.95330000000000004</v>
      </c>
      <c r="CI10" s="230">
        <v>269325</v>
      </c>
      <c r="CJ10" s="230">
        <v>4431750</v>
      </c>
      <c r="CK10" s="230">
        <v>-4162425</v>
      </c>
      <c r="CL10" s="229">
        <v>-0.93920000000000003</v>
      </c>
      <c r="CM10" s="230">
        <v>47962650</v>
      </c>
      <c r="CN10" s="230">
        <v>26616150</v>
      </c>
      <c r="CO10" s="230">
        <v>21346500</v>
      </c>
      <c r="CP10" s="229">
        <v>0.80200000000000005</v>
      </c>
      <c r="CQ10" s="230">
        <v>32138025</v>
      </c>
      <c r="CR10" s="230">
        <v>18971025</v>
      </c>
      <c r="CS10" s="230">
        <v>13167000</v>
      </c>
      <c r="CT10" s="229">
        <v>0.69410000000000005</v>
      </c>
      <c r="CU10" s="230">
        <v>205500675</v>
      </c>
      <c r="CV10" s="230">
        <v>160882500</v>
      </c>
      <c r="CW10" s="230">
        <v>44618175</v>
      </c>
      <c r="CX10" s="229">
        <v>0.27729999999999999</v>
      </c>
      <c r="CY10" s="228">
        <v>37.72</v>
      </c>
      <c r="CZ10" s="228">
        <v>38.76</v>
      </c>
      <c r="DA10" s="228">
        <v>-1.04</v>
      </c>
      <c r="DB10" s="228">
        <v>-1.04</v>
      </c>
      <c r="DC10" s="228">
        <v>36.869999999999997</v>
      </c>
      <c r="DD10" s="228">
        <v>35.11</v>
      </c>
      <c r="DE10" s="228">
        <v>0.85</v>
      </c>
      <c r="DF10" s="228">
        <v>1.76</v>
      </c>
      <c r="DG10" s="228">
        <v>37.54</v>
      </c>
      <c r="DH10" s="228">
        <v>38.83</v>
      </c>
      <c r="DI10" s="228">
        <v>-1.29</v>
      </c>
      <c r="DJ10" s="228">
        <v>-1.29</v>
      </c>
      <c r="DK10" s="228">
        <v>38.19</v>
      </c>
      <c r="DL10" s="228">
        <v>38.61</v>
      </c>
      <c r="DM10" s="228">
        <v>-0.42</v>
      </c>
      <c r="DN10" s="228">
        <v>-0.42</v>
      </c>
      <c r="DO10" s="228">
        <v>0.67</v>
      </c>
      <c r="DP10" s="228">
        <v>0.71</v>
      </c>
      <c r="DQ10" s="228">
        <v>-0.04</v>
      </c>
      <c r="DR10" s="229">
        <v>-5.6300000000000003E-2</v>
      </c>
      <c r="DS10" s="228">
        <v>460</v>
      </c>
      <c r="DT10" s="228">
        <v>420</v>
      </c>
      <c r="DU10" s="228">
        <v>0.38</v>
      </c>
      <c r="DV10" s="228">
        <v>0.47</v>
      </c>
      <c r="DW10" s="228">
        <v>-0.09</v>
      </c>
      <c r="DX10" s="229">
        <v>-0.1915</v>
      </c>
      <c r="DY10" s="229">
        <v>4.3400000000000001E-2</v>
      </c>
      <c r="DZ10" s="230">
        <v>115295325</v>
      </c>
      <c r="EA10" s="229">
        <v>3.3E-3</v>
      </c>
      <c r="EB10" s="229">
        <v>4.3400000000000001E-2</v>
      </c>
      <c r="EC10" s="228">
        <v>-0.08</v>
      </c>
      <c r="ED10" s="229">
        <v>-2.0000000000000001E-4</v>
      </c>
      <c r="EE10" s="230">
        <v>34881412</v>
      </c>
      <c r="EF10" s="230">
        <v>8206883</v>
      </c>
      <c r="EG10" s="229">
        <v>3.2503000000000002</v>
      </c>
      <c r="EH10" s="229">
        <v>0.44319999999999998</v>
      </c>
      <c r="EI10" s="231">
        <v>1826529.95</v>
      </c>
      <c r="EJ10" s="231">
        <v>626067.66</v>
      </c>
      <c r="EK10" s="231">
        <v>417176.75</v>
      </c>
      <c r="EL10" s="231">
        <v>50464</v>
      </c>
      <c r="EM10" s="231">
        <v>2869774.36</v>
      </c>
      <c r="EN10" s="231">
        <v>780877.06</v>
      </c>
      <c r="EO10" s="231">
        <v>2088897.3</v>
      </c>
      <c r="EP10" s="229">
        <v>2.6751</v>
      </c>
      <c r="EQ10" s="231">
        <v>215938</v>
      </c>
      <c r="ER10" s="231">
        <v>133069</v>
      </c>
      <c r="ES10" s="231">
        <v>571851</v>
      </c>
      <c r="ET10" s="231">
        <v>535778534</v>
      </c>
      <c r="EU10" s="231">
        <v>920857</v>
      </c>
      <c r="EV10" s="231">
        <v>671303</v>
      </c>
      <c r="EW10" s="231">
        <v>249554</v>
      </c>
      <c r="EX10" s="229">
        <v>0.37169999999999997</v>
      </c>
      <c r="EY10" s="229">
        <v>0.3836</v>
      </c>
    </row>
    <row r="11" spans="1:155" ht="17.25" thickBot="1" x14ac:dyDescent="0.3">
      <c r="A11" s="226">
        <v>46050</v>
      </c>
      <c r="B11" s="227" t="s">
        <v>188</v>
      </c>
      <c r="C11" s="227" t="s">
        <v>189</v>
      </c>
      <c r="D11" s="231">
        <v>1968.8</v>
      </c>
      <c r="E11" s="231">
        <v>1987.3</v>
      </c>
      <c r="F11" s="228">
        <v>-18.5</v>
      </c>
      <c r="G11" s="229">
        <v>-9.2999999999999992E-3</v>
      </c>
      <c r="H11" s="231">
        <v>1957.7</v>
      </c>
      <c r="I11" s="231">
        <v>1973.4</v>
      </c>
      <c r="J11" s="228">
        <v>-15.7</v>
      </c>
      <c r="K11" s="229">
        <v>-8.0000000000000002E-3</v>
      </c>
      <c r="L11" s="231">
        <v>1968.8</v>
      </c>
      <c r="M11" s="231">
        <v>1973</v>
      </c>
      <c r="N11" s="228">
        <v>-4.2</v>
      </c>
      <c r="O11" s="229">
        <v>-2.0999999999999999E-3</v>
      </c>
      <c r="P11" s="231">
        <v>1980.3</v>
      </c>
      <c r="Q11" s="231">
        <v>1987.3</v>
      </c>
      <c r="R11" s="228">
        <v>-7</v>
      </c>
      <c r="S11" s="229">
        <v>-3.5000000000000001E-3</v>
      </c>
      <c r="T11" s="231">
        <v>1988.3</v>
      </c>
      <c r="U11" s="231">
        <v>1999</v>
      </c>
      <c r="V11" s="228">
        <v>-10.7</v>
      </c>
      <c r="W11" s="229">
        <v>-5.4000000000000003E-3</v>
      </c>
      <c r="X11" s="228">
        <v>11.1</v>
      </c>
      <c r="Y11" s="228">
        <v>13.9</v>
      </c>
      <c r="Z11" s="228">
        <v>-2.8</v>
      </c>
      <c r="AA11" s="229">
        <v>5.7000000000000002E-3</v>
      </c>
      <c r="AB11" s="228">
        <v>11.1</v>
      </c>
      <c r="AC11" s="228">
        <v>-0.4</v>
      </c>
      <c r="AD11" s="228">
        <v>11.5</v>
      </c>
      <c r="AE11" s="229">
        <v>5.7000000000000002E-3</v>
      </c>
      <c r="AF11" s="228">
        <v>22.6</v>
      </c>
      <c r="AG11" s="228">
        <v>13.9</v>
      </c>
      <c r="AH11" s="228">
        <v>8.6999999999999993</v>
      </c>
      <c r="AI11" s="229">
        <v>1.15E-2</v>
      </c>
      <c r="AJ11" s="228">
        <v>30.6</v>
      </c>
      <c r="AK11" s="228">
        <v>25.6</v>
      </c>
      <c r="AL11" s="228">
        <v>5</v>
      </c>
      <c r="AM11" s="229">
        <v>1.5599999999999999E-2</v>
      </c>
      <c r="AN11" s="231">
        <v>1969.05</v>
      </c>
      <c r="AO11" s="231">
        <v>1979.9</v>
      </c>
      <c r="AP11" s="228">
        <v>0</v>
      </c>
      <c r="AQ11" s="230">
        <v>14987</v>
      </c>
      <c r="AR11" s="230">
        <v>53835</v>
      </c>
      <c r="AS11" s="230">
        <v>-38848</v>
      </c>
      <c r="AT11" s="229">
        <v>-0.72160000000000002</v>
      </c>
      <c r="AU11" s="230">
        <v>13696</v>
      </c>
      <c r="AV11" s="230">
        <v>20987</v>
      </c>
      <c r="AW11" s="230">
        <v>-7291</v>
      </c>
      <c r="AX11" s="229">
        <v>-0.34739999999999999</v>
      </c>
      <c r="AY11" s="230">
        <v>1245</v>
      </c>
      <c r="AZ11" s="230">
        <v>32093</v>
      </c>
      <c r="BA11" s="230">
        <v>-30848</v>
      </c>
      <c r="BB11" s="229">
        <v>-0.96120000000000005</v>
      </c>
      <c r="BC11" s="228">
        <v>46</v>
      </c>
      <c r="BD11" s="228">
        <v>755</v>
      </c>
      <c r="BE11" s="228">
        <v>-709</v>
      </c>
      <c r="BF11" s="229">
        <v>-0.93910000000000005</v>
      </c>
      <c r="BG11" s="230">
        <v>25055</v>
      </c>
      <c r="BH11" s="230">
        <v>27961</v>
      </c>
      <c r="BI11" s="230">
        <v>-2906</v>
      </c>
      <c r="BJ11" s="229">
        <v>-0.10390000000000001</v>
      </c>
      <c r="BK11" s="230">
        <v>11951</v>
      </c>
      <c r="BL11" s="230">
        <v>15095</v>
      </c>
      <c r="BM11" s="230">
        <v>-3144</v>
      </c>
      <c r="BN11" s="229">
        <v>-0.20830000000000001</v>
      </c>
      <c r="BO11" s="230">
        <v>51993</v>
      </c>
      <c r="BP11" s="230">
        <v>96891</v>
      </c>
      <c r="BQ11" s="230">
        <v>-44898</v>
      </c>
      <c r="BR11" s="229">
        <v>-0.46339999999999998</v>
      </c>
      <c r="BS11" s="230">
        <v>10258228</v>
      </c>
      <c r="BT11" s="230">
        <v>12038549</v>
      </c>
      <c r="BU11" s="230">
        <v>-1780321</v>
      </c>
      <c r="BV11" s="229">
        <v>-0.1479</v>
      </c>
      <c r="BW11" s="230">
        <v>55832925</v>
      </c>
      <c r="BX11" s="230">
        <v>54486300</v>
      </c>
      <c r="BY11" s="230">
        <v>1346625</v>
      </c>
      <c r="BZ11" s="229">
        <v>2.47E-2</v>
      </c>
      <c r="CA11" s="230">
        <v>53422775</v>
      </c>
      <c r="CB11" s="230">
        <v>6002100</v>
      </c>
      <c r="CC11" s="230">
        <v>47420675</v>
      </c>
      <c r="CD11" s="229">
        <v>7.9006999999999996</v>
      </c>
      <c r="CE11" s="230">
        <v>2392575</v>
      </c>
      <c r="CF11" s="230">
        <v>52471350</v>
      </c>
      <c r="CG11" s="230">
        <v>-50078775</v>
      </c>
      <c r="CH11" s="229">
        <v>-0.95440000000000003</v>
      </c>
      <c r="CI11" s="230">
        <v>17575</v>
      </c>
      <c r="CJ11" s="230">
        <v>2014950</v>
      </c>
      <c r="CK11" s="230">
        <v>-1997375</v>
      </c>
      <c r="CL11" s="229">
        <v>-0.99129999999999996</v>
      </c>
      <c r="CM11" s="230">
        <v>5147100</v>
      </c>
      <c r="CN11" s="230">
        <v>3077050</v>
      </c>
      <c r="CO11" s="230">
        <v>2070050</v>
      </c>
      <c r="CP11" s="229">
        <v>0.67269999999999996</v>
      </c>
      <c r="CQ11" s="230">
        <v>3752500</v>
      </c>
      <c r="CR11" s="230">
        <v>2347925</v>
      </c>
      <c r="CS11" s="230">
        <v>1404575</v>
      </c>
      <c r="CT11" s="229">
        <v>0.59819999999999995</v>
      </c>
      <c r="CU11" s="230">
        <v>64732525</v>
      </c>
      <c r="CV11" s="230">
        <v>59911275</v>
      </c>
      <c r="CW11" s="230">
        <v>4821250</v>
      </c>
      <c r="CX11" s="229">
        <v>8.0500000000000002E-2</v>
      </c>
      <c r="CY11" s="228">
        <v>24.27</v>
      </c>
      <c r="CZ11" s="228">
        <v>23.76</v>
      </c>
      <c r="DA11" s="228">
        <v>0.51</v>
      </c>
      <c r="DB11" s="228">
        <v>0.51</v>
      </c>
      <c r="DC11" s="228">
        <v>23.7</v>
      </c>
      <c r="DD11" s="228">
        <v>23.73</v>
      </c>
      <c r="DE11" s="228">
        <v>0.56999999999999995</v>
      </c>
      <c r="DF11" s="228">
        <v>-0.03</v>
      </c>
      <c r="DG11" s="228">
        <v>24.18</v>
      </c>
      <c r="DH11" s="228">
        <v>23.63</v>
      </c>
      <c r="DI11" s="228">
        <v>0.55000000000000004</v>
      </c>
      <c r="DJ11" s="228">
        <v>0.55000000000000004</v>
      </c>
      <c r="DK11" s="228">
        <v>24.47</v>
      </c>
      <c r="DL11" s="228">
        <v>23.96</v>
      </c>
      <c r="DM11" s="228">
        <v>0.51</v>
      </c>
      <c r="DN11" s="228">
        <v>0.51</v>
      </c>
      <c r="DO11" s="228">
        <v>0.73</v>
      </c>
      <c r="DP11" s="228">
        <v>0.76</v>
      </c>
      <c r="DQ11" s="228">
        <v>-0.03</v>
      </c>
      <c r="DR11" s="229">
        <v>-3.95E-2</v>
      </c>
      <c r="DS11" s="231">
        <v>2000</v>
      </c>
      <c r="DT11" s="231">
        <v>2000</v>
      </c>
      <c r="DU11" s="228">
        <v>0.48</v>
      </c>
      <c r="DV11" s="228">
        <v>0.54</v>
      </c>
      <c r="DW11" s="228">
        <v>-0.06</v>
      </c>
      <c r="DX11" s="229">
        <v>-0.1111</v>
      </c>
      <c r="DY11" s="229">
        <v>4.3200000000000002E-2</v>
      </c>
      <c r="DZ11" s="230">
        <v>54486300</v>
      </c>
      <c r="EA11" s="229">
        <v>5.7999999999999996E-3</v>
      </c>
      <c r="EB11" s="229">
        <v>4.3200000000000002E-2</v>
      </c>
      <c r="EC11" s="228">
        <v>10.85</v>
      </c>
      <c r="ED11" s="229">
        <v>5.4999999999999997E-3</v>
      </c>
      <c r="EE11" s="230">
        <v>7640722</v>
      </c>
      <c r="EF11" s="230">
        <v>7956646</v>
      </c>
      <c r="EG11" s="229">
        <v>-3.9699999999999999E-2</v>
      </c>
      <c r="EH11" s="229">
        <v>0.74480000000000002</v>
      </c>
      <c r="EI11" s="231">
        <v>248264.07</v>
      </c>
      <c r="EJ11" s="231">
        <v>110489.46</v>
      </c>
      <c r="EK11" s="231">
        <v>140240.88</v>
      </c>
      <c r="EL11" s="231">
        <v>61133</v>
      </c>
      <c r="EM11" s="231">
        <v>498994.41</v>
      </c>
      <c r="EN11" s="231">
        <v>924851.28</v>
      </c>
      <c r="EO11" s="231">
        <v>-425856.87</v>
      </c>
      <c r="EP11" s="229">
        <v>-0.46050000000000002</v>
      </c>
      <c r="EQ11" s="231">
        <v>106335</v>
      </c>
      <c r="ER11" s="231">
        <v>72966</v>
      </c>
      <c r="ES11" s="231">
        <v>1099517</v>
      </c>
      <c r="ET11" s="231">
        <v>367085962</v>
      </c>
      <c r="EU11" s="231">
        <v>1278819</v>
      </c>
      <c r="EV11" s="231">
        <v>1193582</v>
      </c>
      <c r="EW11" s="231">
        <v>85237</v>
      </c>
      <c r="EX11" s="229">
        <v>7.1400000000000005E-2</v>
      </c>
      <c r="EY11" s="229">
        <v>0.17630000000000001</v>
      </c>
    </row>
    <row r="12" spans="1:155" ht="17.25" thickBot="1" x14ac:dyDescent="0.3">
      <c r="A12" s="226">
        <v>46050</v>
      </c>
      <c r="B12" s="227" t="s">
        <v>170</v>
      </c>
      <c r="C12" s="227" t="s">
        <v>199</v>
      </c>
      <c r="D12" s="231">
        <v>1334.3</v>
      </c>
      <c r="E12" s="231">
        <v>1320.6</v>
      </c>
      <c r="F12" s="228">
        <v>13.7</v>
      </c>
      <c r="G12" s="229">
        <v>1.04E-2</v>
      </c>
      <c r="H12" s="231">
        <v>1328.4</v>
      </c>
      <c r="I12" s="231">
        <v>1313</v>
      </c>
      <c r="J12" s="228">
        <v>15.4</v>
      </c>
      <c r="K12" s="229">
        <v>1.17E-2</v>
      </c>
      <c r="L12" s="231">
        <v>1334.3</v>
      </c>
      <c r="M12" s="231">
        <v>1311.2</v>
      </c>
      <c r="N12" s="228">
        <v>23.1</v>
      </c>
      <c r="O12" s="229">
        <v>1.7600000000000001E-2</v>
      </c>
      <c r="P12" s="231">
        <v>1343.8</v>
      </c>
      <c r="Q12" s="231">
        <v>1320.6</v>
      </c>
      <c r="R12" s="228">
        <v>23.2</v>
      </c>
      <c r="S12" s="229">
        <v>1.7600000000000001E-2</v>
      </c>
      <c r="T12" s="231">
        <v>1348.1</v>
      </c>
      <c r="U12" s="231">
        <v>1330.1</v>
      </c>
      <c r="V12" s="228">
        <v>18</v>
      </c>
      <c r="W12" s="229">
        <v>1.35E-2</v>
      </c>
      <c r="X12" s="228">
        <v>5.9</v>
      </c>
      <c r="Y12" s="228">
        <v>7.6</v>
      </c>
      <c r="Z12" s="228">
        <v>-1.7</v>
      </c>
      <c r="AA12" s="229">
        <v>4.4000000000000003E-3</v>
      </c>
      <c r="AB12" s="228">
        <v>5.9</v>
      </c>
      <c r="AC12" s="228">
        <v>-1.8</v>
      </c>
      <c r="AD12" s="228">
        <v>7.7</v>
      </c>
      <c r="AE12" s="229">
        <v>4.4000000000000003E-3</v>
      </c>
      <c r="AF12" s="228">
        <v>15.4</v>
      </c>
      <c r="AG12" s="228">
        <v>7.6</v>
      </c>
      <c r="AH12" s="228">
        <v>7.8</v>
      </c>
      <c r="AI12" s="229">
        <v>1.1599999999999999E-2</v>
      </c>
      <c r="AJ12" s="228">
        <v>19.7</v>
      </c>
      <c r="AK12" s="228">
        <v>17.100000000000001</v>
      </c>
      <c r="AL12" s="228">
        <v>2.6</v>
      </c>
      <c r="AM12" s="229">
        <v>1.4800000000000001E-2</v>
      </c>
      <c r="AN12" s="231">
        <v>1327.69</v>
      </c>
      <c r="AO12" s="231">
        <v>1337.02</v>
      </c>
      <c r="AP12" s="228">
        <v>0</v>
      </c>
      <c r="AQ12" s="230">
        <v>4679</v>
      </c>
      <c r="AR12" s="230">
        <v>23722</v>
      </c>
      <c r="AS12" s="230">
        <v>-19043</v>
      </c>
      <c r="AT12" s="229">
        <v>-0.80279999999999996</v>
      </c>
      <c r="AU12" s="230">
        <v>4563</v>
      </c>
      <c r="AV12" s="230">
        <v>9934</v>
      </c>
      <c r="AW12" s="230">
        <v>-5371</v>
      </c>
      <c r="AX12" s="229">
        <v>-0.54069999999999996</v>
      </c>
      <c r="AY12" s="228">
        <v>99</v>
      </c>
      <c r="AZ12" s="230">
        <v>13433</v>
      </c>
      <c r="BA12" s="230">
        <v>-13334</v>
      </c>
      <c r="BB12" s="229">
        <v>-0.99260000000000004</v>
      </c>
      <c r="BC12" s="228">
        <v>17</v>
      </c>
      <c r="BD12" s="228">
        <v>355</v>
      </c>
      <c r="BE12" s="228">
        <v>-338</v>
      </c>
      <c r="BF12" s="229">
        <v>-0.95209999999999995</v>
      </c>
      <c r="BG12" s="230">
        <v>10319</v>
      </c>
      <c r="BH12" s="230">
        <v>26021</v>
      </c>
      <c r="BI12" s="230">
        <v>-15702</v>
      </c>
      <c r="BJ12" s="229">
        <v>-0.60340000000000005</v>
      </c>
      <c r="BK12" s="230">
        <v>5431</v>
      </c>
      <c r="BL12" s="230">
        <v>23649</v>
      </c>
      <c r="BM12" s="230">
        <v>-18218</v>
      </c>
      <c r="BN12" s="229">
        <v>-0.77029999999999998</v>
      </c>
      <c r="BO12" s="230">
        <v>20429</v>
      </c>
      <c r="BP12" s="230">
        <v>73392</v>
      </c>
      <c r="BQ12" s="230">
        <v>-52963</v>
      </c>
      <c r="BR12" s="229">
        <v>-0.72160000000000002</v>
      </c>
      <c r="BS12" s="230">
        <v>1561847</v>
      </c>
      <c r="BT12" s="230">
        <v>4487531</v>
      </c>
      <c r="BU12" s="230">
        <v>-2925684</v>
      </c>
      <c r="BV12" s="229">
        <v>-0.65200000000000002</v>
      </c>
      <c r="BW12" s="230">
        <v>14610750</v>
      </c>
      <c r="BX12" s="230">
        <v>15061875</v>
      </c>
      <c r="BY12" s="230">
        <v>-451125</v>
      </c>
      <c r="BZ12" s="229">
        <v>-0.03</v>
      </c>
      <c r="CA12" s="230">
        <v>14274000</v>
      </c>
      <c r="CB12" s="230">
        <v>1875375</v>
      </c>
      <c r="CC12" s="230">
        <v>12398625</v>
      </c>
      <c r="CD12" s="229">
        <v>6.6113</v>
      </c>
      <c r="CE12" s="230">
        <v>333000</v>
      </c>
      <c r="CF12" s="230">
        <v>14733750</v>
      </c>
      <c r="CG12" s="230">
        <v>-14400750</v>
      </c>
      <c r="CH12" s="229">
        <v>-0.97740000000000005</v>
      </c>
      <c r="CI12" s="230">
        <v>3750</v>
      </c>
      <c r="CJ12" s="230">
        <v>328125</v>
      </c>
      <c r="CK12" s="230">
        <v>-324375</v>
      </c>
      <c r="CL12" s="229">
        <v>-0.98860000000000003</v>
      </c>
      <c r="CM12" s="230">
        <v>3496125</v>
      </c>
      <c r="CN12" s="230">
        <v>2935125</v>
      </c>
      <c r="CO12" s="230">
        <v>561000</v>
      </c>
      <c r="CP12" s="229">
        <v>0.19109999999999999</v>
      </c>
      <c r="CQ12" s="230">
        <v>2908125</v>
      </c>
      <c r="CR12" s="230">
        <v>2666625</v>
      </c>
      <c r="CS12" s="230">
        <v>241500</v>
      </c>
      <c r="CT12" s="229">
        <v>9.06E-2</v>
      </c>
      <c r="CU12" s="230">
        <v>21015000</v>
      </c>
      <c r="CV12" s="230">
        <v>20663625</v>
      </c>
      <c r="CW12" s="230">
        <v>351375</v>
      </c>
      <c r="CX12" s="229">
        <v>1.7000000000000001E-2</v>
      </c>
      <c r="CY12" s="228">
        <v>22.68</v>
      </c>
      <c r="CZ12" s="228">
        <v>24.15</v>
      </c>
      <c r="DA12" s="228">
        <v>-1.47</v>
      </c>
      <c r="DB12" s="228">
        <v>-1.47</v>
      </c>
      <c r="DC12" s="228">
        <v>25.99</v>
      </c>
      <c r="DD12" s="228">
        <v>26.02</v>
      </c>
      <c r="DE12" s="228">
        <v>-3.31</v>
      </c>
      <c r="DF12" s="228">
        <v>-0.03</v>
      </c>
      <c r="DG12" s="228">
        <v>22.29</v>
      </c>
      <c r="DH12" s="228">
        <v>23.98</v>
      </c>
      <c r="DI12" s="228">
        <v>-1.69</v>
      </c>
      <c r="DJ12" s="228">
        <v>-1.69</v>
      </c>
      <c r="DK12" s="228">
        <v>23.41</v>
      </c>
      <c r="DL12" s="228">
        <v>24.36</v>
      </c>
      <c r="DM12" s="228">
        <v>-0.95</v>
      </c>
      <c r="DN12" s="228">
        <v>-0.95</v>
      </c>
      <c r="DO12" s="228">
        <v>0.83</v>
      </c>
      <c r="DP12" s="228">
        <v>0.91</v>
      </c>
      <c r="DQ12" s="228">
        <v>-0.08</v>
      </c>
      <c r="DR12" s="229">
        <v>-8.7900000000000006E-2</v>
      </c>
      <c r="DS12" s="231">
        <v>1500</v>
      </c>
      <c r="DT12" s="231">
        <v>1300</v>
      </c>
      <c r="DU12" s="228">
        <v>0.53</v>
      </c>
      <c r="DV12" s="228">
        <v>0.91</v>
      </c>
      <c r="DW12" s="228">
        <v>-0.38</v>
      </c>
      <c r="DX12" s="229">
        <v>-0.41760000000000003</v>
      </c>
      <c r="DY12" s="229">
        <v>2.3E-2</v>
      </c>
      <c r="DZ12" s="230">
        <v>15061875</v>
      </c>
      <c r="EA12" s="229">
        <v>7.1000000000000004E-3</v>
      </c>
      <c r="EB12" s="229">
        <v>2.3E-2</v>
      </c>
      <c r="EC12" s="228">
        <v>9.33</v>
      </c>
      <c r="ED12" s="229">
        <v>7.0000000000000001E-3</v>
      </c>
      <c r="EE12" s="230">
        <v>849910</v>
      </c>
      <c r="EF12" s="230">
        <v>2559846</v>
      </c>
      <c r="EG12" s="229">
        <v>-0.66800000000000004</v>
      </c>
      <c r="EH12" s="229">
        <v>0.54420000000000002</v>
      </c>
      <c r="EI12" s="231">
        <v>54776.29</v>
      </c>
      <c r="EJ12" s="231">
        <v>26592.49</v>
      </c>
      <c r="EK12" s="231">
        <v>23300.48</v>
      </c>
      <c r="EL12" s="231">
        <v>31479</v>
      </c>
      <c r="EM12" s="231">
        <v>104669.26</v>
      </c>
      <c r="EN12" s="231">
        <v>371931.28</v>
      </c>
      <c r="EO12" s="231">
        <v>-267262.02</v>
      </c>
      <c r="EP12" s="229">
        <v>-0.71860000000000002</v>
      </c>
      <c r="EQ12" s="231">
        <v>49758</v>
      </c>
      <c r="ER12" s="231">
        <v>38463</v>
      </c>
      <c r="ES12" s="231">
        <v>194983</v>
      </c>
      <c r="ET12" s="231">
        <v>59297360</v>
      </c>
      <c r="EU12" s="231">
        <v>283205</v>
      </c>
      <c r="EV12" s="231">
        <v>276032</v>
      </c>
      <c r="EW12" s="231">
        <v>7173</v>
      </c>
      <c r="EX12" s="229">
        <v>2.5999999999999999E-2</v>
      </c>
      <c r="EY12" s="229">
        <v>0.35439999999999999</v>
      </c>
    </row>
    <row r="13" spans="1:155" ht="17.25" thickBot="1" x14ac:dyDescent="0.3">
      <c r="A13" s="226">
        <v>46050</v>
      </c>
      <c r="B13" s="227" t="s">
        <v>227</v>
      </c>
      <c r="C13" s="227" t="s">
        <v>200</v>
      </c>
      <c r="D13" s="228">
        <v>440.55</v>
      </c>
      <c r="E13" s="228">
        <v>420.4</v>
      </c>
      <c r="F13" s="228">
        <v>20.149999999999999</v>
      </c>
      <c r="G13" s="229">
        <v>4.7899999999999998E-2</v>
      </c>
      <c r="H13" s="228">
        <v>444.05</v>
      </c>
      <c r="I13" s="228">
        <v>422.9</v>
      </c>
      <c r="J13" s="228">
        <v>21.15</v>
      </c>
      <c r="K13" s="229">
        <v>0.05</v>
      </c>
      <c r="L13" s="228">
        <v>440.55</v>
      </c>
      <c r="M13" s="228">
        <v>423.9</v>
      </c>
      <c r="N13" s="228">
        <v>16.649999999999999</v>
      </c>
      <c r="O13" s="229">
        <v>3.9300000000000002E-2</v>
      </c>
      <c r="P13" s="228">
        <v>443.45</v>
      </c>
      <c r="Q13" s="228">
        <v>420.4</v>
      </c>
      <c r="R13" s="228">
        <v>23.05</v>
      </c>
      <c r="S13" s="229">
        <v>5.4800000000000001E-2</v>
      </c>
      <c r="T13" s="228">
        <v>445.55</v>
      </c>
      <c r="U13" s="228">
        <v>423</v>
      </c>
      <c r="V13" s="228">
        <v>22.55</v>
      </c>
      <c r="W13" s="229">
        <v>5.33E-2</v>
      </c>
      <c r="X13" s="228">
        <v>-3.5</v>
      </c>
      <c r="Y13" s="228">
        <v>-2.5</v>
      </c>
      <c r="Z13" s="228">
        <v>-1</v>
      </c>
      <c r="AA13" s="229">
        <v>-7.9000000000000008E-3</v>
      </c>
      <c r="AB13" s="228">
        <v>-3.5</v>
      </c>
      <c r="AC13" s="228">
        <v>1</v>
      </c>
      <c r="AD13" s="228">
        <v>-4.5</v>
      </c>
      <c r="AE13" s="229">
        <v>-7.9000000000000008E-3</v>
      </c>
      <c r="AF13" s="228">
        <v>-0.6</v>
      </c>
      <c r="AG13" s="228">
        <v>-2.5</v>
      </c>
      <c r="AH13" s="228">
        <v>1.9</v>
      </c>
      <c r="AI13" s="229">
        <v>-1.4E-3</v>
      </c>
      <c r="AJ13" s="228">
        <v>1.5</v>
      </c>
      <c r="AK13" s="228">
        <v>0.1</v>
      </c>
      <c r="AL13" s="228">
        <v>1.4</v>
      </c>
      <c r="AM13" s="229">
        <v>3.3999999999999998E-3</v>
      </c>
      <c r="AN13" s="228">
        <v>435.08</v>
      </c>
      <c r="AO13" s="228">
        <v>436.99</v>
      </c>
      <c r="AP13" s="228">
        <v>0</v>
      </c>
      <c r="AQ13" s="230">
        <v>15702</v>
      </c>
      <c r="AR13" s="230">
        <v>23483</v>
      </c>
      <c r="AS13" s="230">
        <v>-7781</v>
      </c>
      <c r="AT13" s="229">
        <v>-0.33129999999999998</v>
      </c>
      <c r="AU13" s="230">
        <v>14867</v>
      </c>
      <c r="AV13" s="230">
        <v>10015</v>
      </c>
      <c r="AW13" s="230">
        <v>4852</v>
      </c>
      <c r="AX13" s="229">
        <v>0.48449999999999999</v>
      </c>
      <c r="AY13" s="228">
        <v>765</v>
      </c>
      <c r="AZ13" s="230">
        <v>12952</v>
      </c>
      <c r="BA13" s="230">
        <v>-12187</v>
      </c>
      <c r="BB13" s="229">
        <v>-0.94089999999999996</v>
      </c>
      <c r="BC13" s="228">
        <v>70</v>
      </c>
      <c r="BD13" s="228">
        <v>516</v>
      </c>
      <c r="BE13" s="228">
        <v>-446</v>
      </c>
      <c r="BF13" s="229">
        <v>-0.86429999999999996</v>
      </c>
      <c r="BG13" s="230">
        <v>67644</v>
      </c>
      <c r="BH13" s="230">
        <v>28355</v>
      </c>
      <c r="BI13" s="230">
        <v>39289</v>
      </c>
      <c r="BJ13" s="229">
        <v>1.3855999999999999</v>
      </c>
      <c r="BK13" s="230">
        <v>20287</v>
      </c>
      <c r="BL13" s="230">
        <v>14622</v>
      </c>
      <c r="BM13" s="230">
        <v>5665</v>
      </c>
      <c r="BN13" s="229">
        <v>0.38740000000000002</v>
      </c>
      <c r="BO13" s="230">
        <v>103633</v>
      </c>
      <c r="BP13" s="230">
        <v>66460</v>
      </c>
      <c r="BQ13" s="230">
        <v>37173</v>
      </c>
      <c r="BR13" s="229">
        <v>0.55930000000000002</v>
      </c>
      <c r="BS13" s="230">
        <v>18523213</v>
      </c>
      <c r="BT13" s="230">
        <v>9403866</v>
      </c>
      <c r="BU13" s="230">
        <v>9119347</v>
      </c>
      <c r="BV13" s="229">
        <v>0.96970000000000001</v>
      </c>
      <c r="BW13" s="230">
        <v>38950200</v>
      </c>
      <c r="BX13" s="230">
        <v>39017700</v>
      </c>
      <c r="BY13" s="230">
        <v>-67500</v>
      </c>
      <c r="BZ13" s="229">
        <v>-1.6999999999999999E-3</v>
      </c>
      <c r="CA13" s="230">
        <v>37755450</v>
      </c>
      <c r="CB13" s="230">
        <v>14104800</v>
      </c>
      <c r="CC13" s="230">
        <v>23650650</v>
      </c>
      <c r="CD13" s="229">
        <v>1.6768000000000001</v>
      </c>
      <c r="CE13" s="230">
        <v>1123200</v>
      </c>
      <c r="CF13" s="230">
        <v>38067300</v>
      </c>
      <c r="CG13" s="230">
        <v>-36944100</v>
      </c>
      <c r="CH13" s="229">
        <v>-0.97050000000000003</v>
      </c>
      <c r="CI13" s="230">
        <v>71550</v>
      </c>
      <c r="CJ13" s="230">
        <v>950400</v>
      </c>
      <c r="CK13" s="230">
        <v>-878850</v>
      </c>
      <c r="CL13" s="229">
        <v>-0.92469999999999997</v>
      </c>
      <c r="CM13" s="230">
        <v>20425500</v>
      </c>
      <c r="CN13" s="230">
        <v>15276600</v>
      </c>
      <c r="CO13" s="230">
        <v>5148900</v>
      </c>
      <c r="CP13" s="229">
        <v>0.33700000000000002</v>
      </c>
      <c r="CQ13" s="230">
        <v>12424050</v>
      </c>
      <c r="CR13" s="230">
        <v>9101700</v>
      </c>
      <c r="CS13" s="230">
        <v>3322350</v>
      </c>
      <c r="CT13" s="229">
        <v>0.36499999999999999</v>
      </c>
      <c r="CU13" s="230">
        <v>71799750</v>
      </c>
      <c r="CV13" s="230">
        <v>63396000</v>
      </c>
      <c r="CW13" s="230">
        <v>8403750</v>
      </c>
      <c r="CX13" s="229">
        <v>0.1326</v>
      </c>
      <c r="CY13" s="228">
        <v>27.98</v>
      </c>
      <c r="CZ13" s="228">
        <v>26.61</v>
      </c>
      <c r="DA13" s="228">
        <v>1.37</v>
      </c>
      <c r="DB13" s="228">
        <v>1.37</v>
      </c>
      <c r="DC13" s="228">
        <v>28.91</v>
      </c>
      <c r="DD13" s="228">
        <v>28.28</v>
      </c>
      <c r="DE13" s="228">
        <v>-0.93</v>
      </c>
      <c r="DF13" s="228">
        <v>0.63</v>
      </c>
      <c r="DG13" s="228">
        <v>27.72</v>
      </c>
      <c r="DH13" s="228">
        <v>26.46</v>
      </c>
      <c r="DI13" s="228">
        <v>1.26</v>
      </c>
      <c r="DJ13" s="228">
        <v>1.26</v>
      </c>
      <c r="DK13" s="228">
        <v>28.85</v>
      </c>
      <c r="DL13" s="228">
        <v>26.96</v>
      </c>
      <c r="DM13" s="228">
        <v>1.89</v>
      </c>
      <c r="DN13" s="228">
        <v>1.89</v>
      </c>
      <c r="DO13" s="228">
        <v>0.61</v>
      </c>
      <c r="DP13" s="228">
        <v>0.6</v>
      </c>
      <c r="DQ13" s="228">
        <v>0.01</v>
      </c>
      <c r="DR13" s="229">
        <v>1.67E-2</v>
      </c>
      <c r="DS13" s="228">
        <v>460</v>
      </c>
      <c r="DT13" s="228">
        <v>420</v>
      </c>
      <c r="DU13" s="228">
        <v>0.3</v>
      </c>
      <c r="DV13" s="228">
        <v>0.52</v>
      </c>
      <c r="DW13" s="228">
        <v>-0.22</v>
      </c>
      <c r="DX13" s="229">
        <v>-0.42309999999999998</v>
      </c>
      <c r="DY13" s="229">
        <v>3.0700000000000002E-2</v>
      </c>
      <c r="DZ13" s="230">
        <v>39017700</v>
      </c>
      <c r="EA13" s="229">
        <v>6.6E-3</v>
      </c>
      <c r="EB13" s="229">
        <v>3.0700000000000002E-2</v>
      </c>
      <c r="EC13" s="228">
        <v>1.91</v>
      </c>
      <c r="ED13" s="229">
        <v>4.4000000000000003E-3</v>
      </c>
      <c r="EE13" s="230">
        <v>9877651</v>
      </c>
      <c r="EF13" s="230">
        <v>4548702</v>
      </c>
      <c r="EG13" s="229">
        <v>1.1715</v>
      </c>
      <c r="EH13" s="229">
        <v>0.5333</v>
      </c>
      <c r="EI13" s="231">
        <v>416051.02</v>
      </c>
      <c r="EJ13" s="231">
        <v>117216.15</v>
      </c>
      <c r="EK13" s="231">
        <v>92253.01</v>
      </c>
      <c r="EL13" s="231">
        <v>25122</v>
      </c>
      <c r="EM13" s="231">
        <v>625520.18000000005</v>
      </c>
      <c r="EN13" s="231">
        <v>383207.31</v>
      </c>
      <c r="EO13" s="231">
        <v>242312.87</v>
      </c>
      <c r="EP13" s="229">
        <v>0.63229999999999997</v>
      </c>
      <c r="EQ13" s="231">
        <v>91615</v>
      </c>
      <c r="ER13" s="231">
        <v>51442</v>
      </c>
      <c r="ES13" s="231">
        <v>171631</v>
      </c>
      <c r="ET13" s="231">
        <v>278206904</v>
      </c>
      <c r="EU13" s="231">
        <v>314688</v>
      </c>
      <c r="EV13" s="231">
        <v>268933</v>
      </c>
      <c r="EW13" s="231">
        <v>45755</v>
      </c>
      <c r="EX13" s="229">
        <v>0.1701</v>
      </c>
      <c r="EY13" s="229">
        <v>0.2581</v>
      </c>
    </row>
    <row r="14" spans="1:155" ht="17.25" thickBot="1" x14ac:dyDescent="0.3">
      <c r="A14" s="226">
        <v>46050</v>
      </c>
      <c r="B14" s="227" t="s">
        <v>170</v>
      </c>
      <c r="C14" s="227" t="s">
        <v>208</v>
      </c>
      <c r="D14" s="231">
        <v>1230.4000000000001</v>
      </c>
      <c r="E14" s="231">
        <v>1248.3</v>
      </c>
      <c r="F14" s="228">
        <v>-17.899999999999999</v>
      </c>
      <c r="G14" s="229">
        <v>-1.43E-2</v>
      </c>
      <c r="H14" s="231">
        <v>1222.5</v>
      </c>
      <c r="I14" s="231">
        <v>1239.8</v>
      </c>
      <c r="J14" s="228">
        <v>-17.3</v>
      </c>
      <c r="K14" s="229">
        <v>-1.4E-2</v>
      </c>
      <c r="L14" s="231">
        <v>1230.4000000000001</v>
      </c>
      <c r="M14" s="231">
        <v>1240.8</v>
      </c>
      <c r="N14" s="228">
        <v>-10.4</v>
      </c>
      <c r="O14" s="229">
        <v>-8.3999999999999995E-3</v>
      </c>
      <c r="P14" s="231">
        <v>1235.8</v>
      </c>
      <c r="Q14" s="231">
        <v>1248.3</v>
      </c>
      <c r="R14" s="228">
        <v>-12.5</v>
      </c>
      <c r="S14" s="229">
        <v>-0.01</v>
      </c>
      <c r="T14" s="231">
        <v>1242</v>
      </c>
      <c r="U14" s="231">
        <v>1254.7</v>
      </c>
      <c r="V14" s="228">
        <v>-12.7</v>
      </c>
      <c r="W14" s="229">
        <v>-1.01E-2</v>
      </c>
      <c r="X14" s="228">
        <v>7.9</v>
      </c>
      <c r="Y14" s="228">
        <v>8.5</v>
      </c>
      <c r="Z14" s="228">
        <v>-0.6</v>
      </c>
      <c r="AA14" s="229">
        <v>6.4999999999999997E-3</v>
      </c>
      <c r="AB14" s="228">
        <v>7.9</v>
      </c>
      <c r="AC14" s="228">
        <v>1</v>
      </c>
      <c r="AD14" s="228">
        <v>6.9</v>
      </c>
      <c r="AE14" s="229">
        <v>6.4999999999999997E-3</v>
      </c>
      <c r="AF14" s="228">
        <v>13.3</v>
      </c>
      <c r="AG14" s="228">
        <v>8.5</v>
      </c>
      <c r="AH14" s="228">
        <v>4.8</v>
      </c>
      <c r="AI14" s="229">
        <v>1.09E-2</v>
      </c>
      <c r="AJ14" s="228">
        <v>19.5</v>
      </c>
      <c r="AK14" s="228">
        <v>14.9</v>
      </c>
      <c r="AL14" s="228">
        <v>4.5999999999999996</v>
      </c>
      <c r="AM14" s="229">
        <v>1.6E-2</v>
      </c>
      <c r="AN14" s="231">
        <v>1233.82</v>
      </c>
      <c r="AO14" s="231">
        <v>1244.71</v>
      </c>
      <c r="AP14" s="228">
        <v>0</v>
      </c>
      <c r="AQ14" s="230">
        <v>3810</v>
      </c>
      <c r="AR14" s="230">
        <v>12849</v>
      </c>
      <c r="AS14" s="230">
        <v>-9039</v>
      </c>
      <c r="AT14" s="229">
        <v>-0.70350000000000001</v>
      </c>
      <c r="AU14" s="230">
        <v>3747</v>
      </c>
      <c r="AV14" s="230">
        <v>5413</v>
      </c>
      <c r="AW14" s="230">
        <v>-1666</v>
      </c>
      <c r="AX14" s="229">
        <v>-0.30780000000000002</v>
      </c>
      <c r="AY14" s="228">
        <v>55</v>
      </c>
      <c r="AZ14" s="230">
        <v>7318</v>
      </c>
      <c r="BA14" s="230">
        <v>-7263</v>
      </c>
      <c r="BB14" s="229">
        <v>-0.99250000000000005</v>
      </c>
      <c r="BC14" s="228">
        <v>8</v>
      </c>
      <c r="BD14" s="228">
        <v>118</v>
      </c>
      <c r="BE14" s="228">
        <v>-110</v>
      </c>
      <c r="BF14" s="229">
        <v>-0.93220000000000003</v>
      </c>
      <c r="BG14" s="230">
        <v>6620</v>
      </c>
      <c r="BH14" s="230">
        <v>15047</v>
      </c>
      <c r="BI14" s="230">
        <v>-8427</v>
      </c>
      <c r="BJ14" s="229">
        <v>-0.56000000000000005</v>
      </c>
      <c r="BK14" s="230">
        <v>6612</v>
      </c>
      <c r="BL14" s="230">
        <v>12186</v>
      </c>
      <c r="BM14" s="230">
        <v>-5574</v>
      </c>
      <c r="BN14" s="229">
        <v>-0.45739999999999997</v>
      </c>
      <c r="BO14" s="230">
        <v>17042</v>
      </c>
      <c r="BP14" s="230">
        <v>40082</v>
      </c>
      <c r="BQ14" s="230">
        <v>-23040</v>
      </c>
      <c r="BR14" s="229">
        <v>-0.57479999999999998</v>
      </c>
      <c r="BS14" s="230">
        <v>1812298</v>
      </c>
      <c r="BT14" s="230">
        <v>2367212</v>
      </c>
      <c r="BU14" s="230">
        <v>-554914</v>
      </c>
      <c r="BV14" s="229">
        <v>-0.2344</v>
      </c>
      <c r="BW14" s="230">
        <v>14824375</v>
      </c>
      <c r="BX14" s="230">
        <v>14570625</v>
      </c>
      <c r="BY14" s="230">
        <v>253750</v>
      </c>
      <c r="BZ14" s="229">
        <v>1.7399999999999999E-2</v>
      </c>
      <c r="CA14" s="230">
        <v>14627500</v>
      </c>
      <c r="CB14" s="230">
        <v>1305625</v>
      </c>
      <c r="CC14" s="230">
        <v>13321875</v>
      </c>
      <c r="CD14" s="229">
        <v>10.2034</v>
      </c>
      <c r="CE14" s="230">
        <v>191875</v>
      </c>
      <c r="CF14" s="230">
        <v>14384375</v>
      </c>
      <c r="CG14" s="230">
        <v>-14192500</v>
      </c>
      <c r="CH14" s="229">
        <v>-0.98670000000000002</v>
      </c>
      <c r="CI14" s="230">
        <v>5000</v>
      </c>
      <c r="CJ14" s="230">
        <v>186250</v>
      </c>
      <c r="CK14" s="230">
        <v>-181250</v>
      </c>
      <c r="CL14" s="229">
        <v>-0.97319999999999995</v>
      </c>
      <c r="CM14" s="230">
        <v>2485625</v>
      </c>
      <c r="CN14" s="230">
        <v>2020625</v>
      </c>
      <c r="CO14" s="230">
        <v>465000</v>
      </c>
      <c r="CP14" s="229">
        <v>0.2301</v>
      </c>
      <c r="CQ14" s="230">
        <v>2207500</v>
      </c>
      <c r="CR14" s="230">
        <v>1817500</v>
      </c>
      <c r="CS14" s="230">
        <v>390000</v>
      </c>
      <c r="CT14" s="229">
        <v>0.21460000000000001</v>
      </c>
      <c r="CU14" s="230">
        <v>19517500</v>
      </c>
      <c r="CV14" s="230">
        <v>18408750</v>
      </c>
      <c r="CW14" s="230">
        <v>1108750</v>
      </c>
      <c r="CX14" s="229">
        <v>6.0199999999999997E-2</v>
      </c>
      <c r="CY14" s="228">
        <v>23.01</v>
      </c>
      <c r="CZ14" s="228">
        <v>24.43</v>
      </c>
      <c r="DA14" s="228">
        <v>-1.42</v>
      </c>
      <c r="DB14" s="228">
        <v>-1.42</v>
      </c>
      <c r="DC14" s="228">
        <v>24.49</v>
      </c>
      <c r="DD14" s="228">
        <v>24.48</v>
      </c>
      <c r="DE14" s="228">
        <v>-1.48</v>
      </c>
      <c r="DF14" s="228">
        <v>0.01</v>
      </c>
      <c r="DG14" s="228">
        <v>22.62</v>
      </c>
      <c r="DH14" s="228">
        <v>23.88</v>
      </c>
      <c r="DI14" s="228">
        <v>-1.26</v>
      </c>
      <c r="DJ14" s="228">
        <v>-1.26</v>
      </c>
      <c r="DK14" s="228">
        <v>23.41</v>
      </c>
      <c r="DL14" s="228">
        <v>25.14</v>
      </c>
      <c r="DM14" s="228">
        <v>-1.73</v>
      </c>
      <c r="DN14" s="228">
        <v>-1.73</v>
      </c>
      <c r="DO14" s="228">
        <v>0.89</v>
      </c>
      <c r="DP14" s="228">
        <v>0.9</v>
      </c>
      <c r="DQ14" s="228">
        <v>-0.01</v>
      </c>
      <c r="DR14" s="229">
        <v>-1.11E-2</v>
      </c>
      <c r="DS14" s="231">
        <v>1300</v>
      </c>
      <c r="DT14" s="231">
        <v>1200</v>
      </c>
      <c r="DU14" s="228">
        <v>1</v>
      </c>
      <c r="DV14" s="228">
        <v>0.81</v>
      </c>
      <c r="DW14" s="228">
        <v>0.19</v>
      </c>
      <c r="DX14" s="229">
        <v>0.2346</v>
      </c>
      <c r="DY14" s="229">
        <v>1.3299999999999999E-2</v>
      </c>
      <c r="DZ14" s="230">
        <v>14570625</v>
      </c>
      <c r="EA14" s="229">
        <v>4.4000000000000003E-3</v>
      </c>
      <c r="EB14" s="229">
        <v>1.3299999999999999E-2</v>
      </c>
      <c r="EC14" s="228">
        <v>10.89</v>
      </c>
      <c r="ED14" s="229">
        <v>8.8000000000000005E-3</v>
      </c>
      <c r="EE14" s="230">
        <v>1161361</v>
      </c>
      <c r="EF14" s="230">
        <v>1374101</v>
      </c>
      <c r="EG14" s="229">
        <v>-0.15479999999999999</v>
      </c>
      <c r="EH14" s="229">
        <v>0.64080000000000004</v>
      </c>
      <c r="EI14" s="231">
        <v>53612.2</v>
      </c>
      <c r="EJ14" s="231">
        <v>50732.46</v>
      </c>
      <c r="EK14" s="231">
        <v>29384.560000000001</v>
      </c>
      <c r="EL14" s="231">
        <v>21445</v>
      </c>
      <c r="EM14" s="231">
        <v>133729.22</v>
      </c>
      <c r="EN14" s="231">
        <v>312153.88</v>
      </c>
      <c r="EO14" s="231">
        <v>-178424.66</v>
      </c>
      <c r="EP14" s="229">
        <v>-0.5716</v>
      </c>
      <c r="EQ14" s="231">
        <v>32024</v>
      </c>
      <c r="ER14" s="231">
        <v>26139</v>
      </c>
      <c r="ES14" s="231">
        <v>182410</v>
      </c>
      <c r="ET14" s="231">
        <v>91531454</v>
      </c>
      <c r="EU14" s="231">
        <v>240573</v>
      </c>
      <c r="EV14" s="231">
        <v>229470</v>
      </c>
      <c r="EW14" s="231">
        <v>11103</v>
      </c>
      <c r="EX14" s="229">
        <v>4.8399999999999999E-2</v>
      </c>
      <c r="EY14" s="229">
        <v>0.2132</v>
      </c>
    </row>
    <row r="15" spans="1:155" ht="17.25" thickBot="1" x14ac:dyDescent="0.3">
      <c r="A15" s="226">
        <v>46050</v>
      </c>
      <c r="B15" s="227" t="s">
        <v>162</v>
      </c>
      <c r="C15" s="227" t="s">
        <v>209</v>
      </c>
      <c r="D15" s="231">
        <v>7115.5</v>
      </c>
      <c r="E15" s="231">
        <v>7189.5</v>
      </c>
      <c r="F15" s="228">
        <v>-74</v>
      </c>
      <c r="G15" s="229">
        <v>-1.03E-2</v>
      </c>
      <c r="H15" s="231">
        <v>7071</v>
      </c>
      <c r="I15" s="231">
        <v>7164.5</v>
      </c>
      <c r="J15" s="228">
        <v>-93.5</v>
      </c>
      <c r="K15" s="229">
        <v>-1.3100000000000001E-2</v>
      </c>
      <c r="L15" s="231">
        <v>7115.5</v>
      </c>
      <c r="M15" s="231">
        <v>7148</v>
      </c>
      <c r="N15" s="228">
        <v>-32.5</v>
      </c>
      <c r="O15" s="229">
        <v>-4.4999999999999997E-3</v>
      </c>
      <c r="P15" s="231">
        <v>7163</v>
      </c>
      <c r="Q15" s="231">
        <v>7189.5</v>
      </c>
      <c r="R15" s="228">
        <v>-26.5</v>
      </c>
      <c r="S15" s="229">
        <v>-3.7000000000000002E-3</v>
      </c>
      <c r="T15" s="231">
        <v>7197</v>
      </c>
      <c r="U15" s="231">
        <v>7227.5</v>
      </c>
      <c r="V15" s="228">
        <v>-30.5</v>
      </c>
      <c r="W15" s="229">
        <v>-4.1999999999999997E-3</v>
      </c>
      <c r="X15" s="228">
        <v>44.5</v>
      </c>
      <c r="Y15" s="228">
        <v>25</v>
      </c>
      <c r="Z15" s="228">
        <v>19.5</v>
      </c>
      <c r="AA15" s="229">
        <v>6.3E-3</v>
      </c>
      <c r="AB15" s="228">
        <v>44.5</v>
      </c>
      <c r="AC15" s="228">
        <v>-16.5</v>
      </c>
      <c r="AD15" s="228">
        <v>61</v>
      </c>
      <c r="AE15" s="229">
        <v>6.3E-3</v>
      </c>
      <c r="AF15" s="228">
        <v>92</v>
      </c>
      <c r="AG15" s="228">
        <v>25</v>
      </c>
      <c r="AH15" s="228">
        <v>67</v>
      </c>
      <c r="AI15" s="229">
        <v>1.2999999999999999E-2</v>
      </c>
      <c r="AJ15" s="228">
        <v>126</v>
      </c>
      <c r="AK15" s="228">
        <v>63</v>
      </c>
      <c r="AL15" s="228">
        <v>63</v>
      </c>
      <c r="AM15" s="229">
        <v>1.78E-2</v>
      </c>
      <c r="AN15" s="231">
        <v>7013.22</v>
      </c>
      <c r="AO15" s="231">
        <v>7059.38</v>
      </c>
      <c r="AP15" s="228">
        <v>0</v>
      </c>
      <c r="AQ15" s="230">
        <v>11676</v>
      </c>
      <c r="AR15" s="230">
        <v>13344</v>
      </c>
      <c r="AS15" s="230">
        <v>-1668</v>
      </c>
      <c r="AT15" s="229">
        <v>-0.125</v>
      </c>
      <c r="AU15" s="230">
        <v>11161</v>
      </c>
      <c r="AV15" s="230">
        <v>5406</v>
      </c>
      <c r="AW15" s="230">
        <v>5755</v>
      </c>
      <c r="AX15" s="229">
        <v>1.0646</v>
      </c>
      <c r="AY15" s="228">
        <v>483</v>
      </c>
      <c r="AZ15" s="230">
        <v>7743</v>
      </c>
      <c r="BA15" s="230">
        <v>-7260</v>
      </c>
      <c r="BB15" s="229">
        <v>-0.93759999999999999</v>
      </c>
      <c r="BC15" s="228">
        <v>32</v>
      </c>
      <c r="BD15" s="228">
        <v>195</v>
      </c>
      <c r="BE15" s="228">
        <v>-163</v>
      </c>
      <c r="BF15" s="229">
        <v>-0.83589999999999998</v>
      </c>
      <c r="BG15" s="230">
        <v>25007</v>
      </c>
      <c r="BH15" s="230">
        <v>25583</v>
      </c>
      <c r="BI15" s="228">
        <v>-576</v>
      </c>
      <c r="BJ15" s="229">
        <v>-2.2499999999999999E-2</v>
      </c>
      <c r="BK15" s="230">
        <v>32066</v>
      </c>
      <c r="BL15" s="230">
        <v>9826</v>
      </c>
      <c r="BM15" s="230">
        <v>22240</v>
      </c>
      <c r="BN15" s="229">
        <v>2.2633999999999999</v>
      </c>
      <c r="BO15" s="230">
        <v>68749</v>
      </c>
      <c r="BP15" s="230">
        <v>48753</v>
      </c>
      <c r="BQ15" s="230">
        <v>19996</v>
      </c>
      <c r="BR15" s="229">
        <v>0.41010000000000002</v>
      </c>
      <c r="BS15" s="230">
        <v>893828</v>
      </c>
      <c r="BT15" s="230">
        <v>505656</v>
      </c>
      <c r="BU15" s="230">
        <v>388172</v>
      </c>
      <c r="BV15" s="229">
        <v>0.76770000000000005</v>
      </c>
      <c r="BW15" s="230">
        <v>3063400</v>
      </c>
      <c r="BX15" s="230">
        <v>2901200</v>
      </c>
      <c r="BY15" s="230">
        <v>162200</v>
      </c>
      <c r="BZ15" s="229">
        <v>5.5899999999999998E-2</v>
      </c>
      <c r="CA15" s="230">
        <v>2989300</v>
      </c>
      <c r="CB15" s="230">
        <v>332600</v>
      </c>
      <c r="CC15" s="230">
        <v>2656700</v>
      </c>
      <c r="CD15" s="229">
        <v>7.9877000000000002</v>
      </c>
      <c r="CE15" s="230">
        <v>71900</v>
      </c>
      <c r="CF15" s="230">
        <v>2837700</v>
      </c>
      <c r="CG15" s="230">
        <v>-2765800</v>
      </c>
      <c r="CH15" s="229">
        <v>-0.97470000000000001</v>
      </c>
      <c r="CI15" s="230">
        <v>2200</v>
      </c>
      <c r="CJ15" s="230">
        <v>63500</v>
      </c>
      <c r="CK15" s="230">
        <v>-61300</v>
      </c>
      <c r="CL15" s="229">
        <v>-0.96540000000000004</v>
      </c>
      <c r="CM15" s="230">
        <v>721800</v>
      </c>
      <c r="CN15" s="230">
        <v>573600</v>
      </c>
      <c r="CO15" s="230">
        <v>148200</v>
      </c>
      <c r="CP15" s="229">
        <v>0.25840000000000002</v>
      </c>
      <c r="CQ15" s="230">
        <v>742700</v>
      </c>
      <c r="CR15" s="230">
        <v>594200</v>
      </c>
      <c r="CS15" s="230">
        <v>148500</v>
      </c>
      <c r="CT15" s="229">
        <v>0.24990000000000001</v>
      </c>
      <c r="CU15" s="230">
        <v>4527900</v>
      </c>
      <c r="CV15" s="230">
        <v>4069000</v>
      </c>
      <c r="CW15" s="230">
        <v>458900</v>
      </c>
      <c r="CX15" s="229">
        <v>0.1128</v>
      </c>
      <c r="CY15" s="228">
        <v>31.68</v>
      </c>
      <c r="CZ15" s="228">
        <v>29.7</v>
      </c>
      <c r="DA15" s="228">
        <v>1.98</v>
      </c>
      <c r="DB15" s="228">
        <v>1.98</v>
      </c>
      <c r="DC15" s="228">
        <v>26.45</v>
      </c>
      <c r="DD15" s="228">
        <v>26.45</v>
      </c>
      <c r="DE15" s="228">
        <v>5.23</v>
      </c>
      <c r="DF15" s="228">
        <v>0</v>
      </c>
      <c r="DG15" s="228">
        <v>30.23</v>
      </c>
      <c r="DH15" s="228">
        <v>28.73</v>
      </c>
      <c r="DI15" s="228">
        <v>1.5</v>
      </c>
      <c r="DJ15" s="228">
        <v>1.5</v>
      </c>
      <c r="DK15" s="228">
        <v>32.81</v>
      </c>
      <c r="DL15" s="228">
        <v>31.33</v>
      </c>
      <c r="DM15" s="228">
        <v>1.48</v>
      </c>
      <c r="DN15" s="228">
        <v>1.48</v>
      </c>
      <c r="DO15" s="228">
        <v>1.03</v>
      </c>
      <c r="DP15" s="228">
        <v>1.04</v>
      </c>
      <c r="DQ15" s="228">
        <v>-0.01</v>
      </c>
      <c r="DR15" s="229">
        <v>-9.5999999999999992E-3</v>
      </c>
      <c r="DS15" s="231">
        <v>8000</v>
      </c>
      <c r="DT15" s="231">
        <v>6800</v>
      </c>
      <c r="DU15" s="228">
        <v>1.28</v>
      </c>
      <c r="DV15" s="228">
        <v>0.38</v>
      </c>
      <c r="DW15" s="228">
        <v>0.9</v>
      </c>
      <c r="DX15" s="229">
        <v>2.3683999999999998</v>
      </c>
      <c r="DY15" s="229">
        <v>2.4199999999999999E-2</v>
      </c>
      <c r="DZ15" s="230">
        <v>2901200</v>
      </c>
      <c r="EA15" s="229">
        <v>6.7000000000000002E-3</v>
      </c>
      <c r="EB15" s="229">
        <v>2.4199999999999999E-2</v>
      </c>
      <c r="EC15" s="228">
        <v>46.16</v>
      </c>
      <c r="ED15" s="229">
        <v>6.6E-3</v>
      </c>
      <c r="EE15" s="230">
        <v>437730</v>
      </c>
      <c r="EF15" s="230">
        <v>304845</v>
      </c>
      <c r="EG15" s="229">
        <v>0.43590000000000001</v>
      </c>
      <c r="EH15" s="229">
        <v>0.48970000000000002</v>
      </c>
      <c r="EI15" s="231">
        <v>187828.59</v>
      </c>
      <c r="EJ15" s="231">
        <v>220129.5</v>
      </c>
      <c r="EK15" s="231">
        <v>81910.66</v>
      </c>
      <c r="EL15" s="231">
        <v>21608</v>
      </c>
      <c r="EM15" s="231">
        <v>489868.75</v>
      </c>
      <c r="EN15" s="231">
        <v>354025.43</v>
      </c>
      <c r="EO15" s="231">
        <v>135843.32</v>
      </c>
      <c r="EP15" s="229">
        <v>0.38369999999999999</v>
      </c>
      <c r="EQ15" s="231">
        <v>54425</v>
      </c>
      <c r="ER15" s="231">
        <v>51259</v>
      </c>
      <c r="ES15" s="231">
        <v>218012</v>
      </c>
      <c r="ET15" s="231">
        <v>19199175</v>
      </c>
      <c r="EU15" s="231">
        <v>323697</v>
      </c>
      <c r="EV15" s="231">
        <v>293627</v>
      </c>
      <c r="EW15" s="231">
        <v>30070</v>
      </c>
      <c r="EX15" s="229">
        <v>0.1024</v>
      </c>
      <c r="EY15" s="229">
        <v>0.23580000000000001</v>
      </c>
    </row>
    <row r="16" spans="1:155" ht="17.25" thickBot="1" x14ac:dyDescent="0.3">
      <c r="A16" s="226">
        <v>46050</v>
      </c>
      <c r="B16" s="227" t="s">
        <v>615</v>
      </c>
      <c r="C16" s="227" t="s">
        <v>666</v>
      </c>
      <c r="D16" s="228">
        <v>267.35000000000002</v>
      </c>
      <c r="E16" s="228">
        <v>255.8</v>
      </c>
      <c r="F16" s="228">
        <v>11.55</v>
      </c>
      <c r="G16" s="229">
        <v>4.5199999999999997E-2</v>
      </c>
      <c r="H16" s="228">
        <v>266.3</v>
      </c>
      <c r="I16" s="228">
        <v>253.85</v>
      </c>
      <c r="J16" s="228">
        <v>12.45</v>
      </c>
      <c r="K16" s="229">
        <v>4.9000000000000002E-2</v>
      </c>
      <c r="L16" s="228">
        <v>267.35000000000002</v>
      </c>
      <c r="M16" s="228">
        <v>254.3</v>
      </c>
      <c r="N16" s="228">
        <v>13.05</v>
      </c>
      <c r="O16" s="229">
        <v>5.1299999999999998E-2</v>
      </c>
      <c r="P16" s="228">
        <v>268.7</v>
      </c>
      <c r="Q16" s="228">
        <v>255.8</v>
      </c>
      <c r="R16" s="228">
        <v>12.9</v>
      </c>
      <c r="S16" s="229">
        <v>5.04E-2</v>
      </c>
      <c r="T16" s="228">
        <v>270.14999999999998</v>
      </c>
      <c r="U16" s="228">
        <v>257.35000000000002</v>
      </c>
      <c r="V16" s="228">
        <v>12.8</v>
      </c>
      <c r="W16" s="229">
        <v>4.9700000000000001E-2</v>
      </c>
      <c r="X16" s="228">
        <v>1.05</v>
      </c>
      <c r="Y16" s="228">
        <v>1.95</v>
      </c>
      <c r="Z16" s="228">
        <v>-0.9</v>
      </c>
      <c r="AA16" s="229">
        <v>3.8999999999999998E-3</v>
      </c>
      <c r="AB16" s="228">
        <v>1.05</v>
      </c>
      <c r="AC16" s="228">
        <v>0.45</v>
      </c>
      <c r="AD16" s="228">
        <v>0.6</v>
      </c>
      <c r="AE16" s="229">
        <v>3.8999999999999998E-3</v>
      </c>
      <c r="AF16" s="228">
        <v>2.4</v>
      </c>
      <c r="AG16" s="228">
        <v>1.95</v>
      </c>
      <c r="AH16" s="228">
        <v>0.45</v>
      </c>
      <c r="AI16" s="229">
        <v>8.9999999999999993E-3</v>
      </c>
      <c r="AJ16" s="228">
        <v>3.85</v>
      </c>
      <c r="AK16" s="228">
        <v>3.5</v>
      </c>
      <c r="AL16" s="228">
        <v>0.35</v>
      </c>
      <c r="AM16" s="229">
        <v>1.4500000000000001E-2</v>
      </c>
      <c r="AN16" s="228">
        <v>262.91000000000003</v>
      </c>
      <c r="AO16" s="228">
        <v>263.99</v>
      </c>
      <c r="AP16" s="228">
        <v>0</v>
      </c>
      <c r="AQ16" s="230">
        <v>29365</v>
      </c>
      <c r="AR16" s="230">
        <v>67814</v>
      </c>
      <c r="AS16" s="230">
        <v>-38449</v>
      </c>
      <c r="AT16" s="229">
        <v>-0.56699999999999995</v>
      </c>
      <c r="AU16" s="230">
        <v>27299</v>
      </c>
      <c r="AV16" s="230">
        <v>24852</v>
      </c>
      <c r="AW16" s="230">
        <v>2447</v>
      </c>
      <c r="AX16" s="229">
        <v>9.8500000000000004E-2</v>
      </c>
      <c r="AY16" s="230">
        <v>1851</v>
      </c>
      <c r="AZ16" s="230">
        <v>41587</v>
      </c>
      <c r="BA16" s="230">
        <v>-39736</v>
      </c>
      <c r="BB16" s="229">
        <v>-0.95550000000000002</v>
      </c>
      <c r="BC16" s="228">
        <v>215</v>
      </c>
      <c r="BD16" s="230">
        <v>1375</v>
      </c>
      <c r="BE16" s="230">
        <v>-1160</v>
      </c>
      <c r="BF16" s="229">
        <v>-0.84360000000000002</v>
      </c>
      <c r="BG16" s="230">
        <v>58311</v>
      </c>
      <c r="BH16" s="230">
        <v>83813</v>
      </c>
      <c r="BI16" s="230">
        <v>-25502</v>
      </c>
      <c r="BJ16" s="229">
        <v>-0.30430000000000001</v>
      </c>
      <c r="BK16" s="230">
        <v>32463</v>
      </c>
      <c r="BL16" s="230">
        <v>52672</v>
      </c>
      <c r="BM16" s="230">
        <v>-20209</v>
      </c>
      <c r="BN16" s="229">
        <v>-0.38369999999999999</v>
      </c>
      <c r="BO16" s="230">
        <v>120139</v>
      </c>
      <c r="BP16" s="230">
        <v>204299</v>
      </c>
      <c r="BQ16" s="230">
        <v>-84160</v>
      </c>
      <c r="BR16" s="229">
        <v>-0.41189999999999999</v>
      </c>
      <c r="BS16" s="230">
        <v>88534573</v>
      </c>
      <c r="BT16" s="230">
        <v>109251104</v>
      </c>
      <c r="BU16" s="230">
        <v>-20716531</v>
      </c>
      <c r="BV16" s="229">
        <v>-0.18959999999999999</v>
      </c>
      <c r="BW16" s="230">
        <v>333350200</v>
      </c>
      <c r="BX16" s="230">
        <v>344653125</v>
      </c>
      <c r="BY16" s="230">
        <v>-11302925</v>
      </c>
      <c r="BZ16" s="229">
        <v>-3.2800000000000003E-2</v>
      </c>
      <c r="CA16" s="230">
        <v>323987275</v>
      </c>
      <c r="CB16" s="230">
        <v>6404425</v>
      </c>
      <c r="CC16" s="230">
        <v>317582850</v>
      </c>
      <c r="CD16" s="229">
        <v>49.588000000000001</v>
      </c>
      <c r="CE16" s="230">
        <v>9030700</v>
      </c>
      <c r="CF16" s="230">
        <v>336999825</v>
      </c>
      <c r="CG16" s="230">
        <v>-327969125</v>
      </c>
      <c r="CH16" s="229">
        <v>-0.97319999999999995</v>
      </c>
      <c r="CI16" s="230">
        <v>332225</v>
      </c>
      <c r="CJ16" s="230">
        <v>7653300</v>
      </c>
      <c r="CK16" s="230">
        <v>-7321075</v>
      </c>
      <c r="CL16" s="229">
        <v>-0.95660000000000001</v>
      </c>
      <c r="CM16" s="230">
        <v>56878375</v>
      </c>
      <c r="CN16" s="230">
        <v>52607950</v>
      </c>
      <c r="CO16" s="230">
        <v>4270425</v>
      </c>
      <c r="CP16" s="229">
        <v>8.1199999999999994E-2</v>
      </c>
      <c r="CQ16" s="230">
        <v>40279250</v>
      </c>
      <c r="CR16" s="230">
        <v>36166450</v>
      </c>
      <c r="CS16" s="230">
        <v>4112800</v>
      </c>
      <c r="CT16" s="229">
        <v>0.1137</v>
      </c>
      <c r="CU16" s="230">
        <v>430507825</v>
      </c>
      <c r="CV16" s="230">
        <v>433427525</v>
      </c>
      <c r="CW16" s="230">
        <v>-2919700</v>
      </c>
      <c r="CX16" s="229">
        <v>-6.7000000000000002E-3</v>
      </c>
      <c r="CY16" s="228">
        <v>38.94</v>
      </c>
      <c r="CZ16" s="228">
        <v>42.48</v>
      </c>
      <c r="DA16" s="228">
        <v>-3.54</v>
      </c>
      <c r="DB16" s="228">
        <v>-3.54</v>
      </c>
      <c r="DC16" s="228">
        <v>44.52</v>
      </c>
      <c r="DD16" s="228">
        <v>44.16</v>
      </c>
      <c r="DE16" s="228">
        <v>-5.58</v>
      </c>
      <c r="DF16" s="228">
        <v>0.36</v>
      </c>
      <c r="DG16" s="228">
        <v>38.33</v>
      </c>
      <c r="DH16" s="228">
        <v>42.52</v>
      </c>
      <c r="DI16" s="228">
        <v>-4.1900000000000004</v>
      </c>
      <c r="DJ16" s="228">
        <v>-4.1900000000000004</v>
      </c>
      <c r="DK16" s="228">
        <v>40.04</v>
      </c>
      <c r="DL16" s="228">
        <v>42.43</v>
      </c>
      <c r="DM16" s="228">
        <v>-2.39</v>
      </c>
      <c r="DN16" s="228">
        <v>-2.39</v>
      </c>
      <c r="DO16" s="228">
        <v>0.71</v>
      </c>
      <c r="DP16" s="228">
        <v>0.69</v>
      </c>
      <c r="DQ16" s="228">
        <v>0.02</v>
      </c>
      <c r="DR16" s="229">
        <v>2.9000000000000001E-2</v>
      </c>
      <c r="DS16" s="228">
        <v>300</v>
      </c>
      <c r="DT16" s="228">
        <v>240</v>
      </c>
      <c r="DU16" s="228">
        <v>0.56000000000000005</v>
      </c>
      <c r="DV16" s="228">
        <v>0.63</v>
      </c>
      <c r="DW16" s="228">
        <v>-7.0000000000000007E-2</v>
      </c>
      <c r="DX16" s="229">
        <v>-0.1111</v>
      </c>
      <c r="DY16" s="229">
        <v>2.81E-2</v>
      </c>
      <c r="DZ16" s="230">
        <v>344653125</v>
      </c>
      <c r="EA16" s="229">
        <v>5.0000000000000001E-3</v>
      </c>
      <c r="EB16" s="229">
        <v>2.81E-2</v>
      </c>
      <c r="EC16" s="228">
        <v>1.08</v>
      </c>
      <c r="ED16" s="229">
        <v>4.1000000000000003E-3</v>
      </c>
      <c r="EE16" s="230">
        <v>55415628</v>
      </c>
      <c r="EF16" s="230">
        <v>62911406</v>
      </c>
      <c r="EG16" s="229">
        <v>-0.1191</v>
      </c>
      <c r="EH16" s="229">
        <v>0.62590000000000001</v>
      </c>
      <c r="EI16" s="231">
        <v>402331.42</v>
      </c>
      <c r="EJ16" s="231">
        <v>202304.63</v>
      </c>
      <c r="EK16" s="231">
        <v>187286.17</v>
      </c>
      <c r="EL16" s="231">
        <v>105095</v>
      </c>
      <c r="EM16" s="231">
        <v>791922.22</v>
      </c>
      <c r="EN16" s="231">
        <v>1312450.95</v>
      </c>
      <c r="EO16" s="231">
        <v>-520528.73</v>
      </c>
      <c r="EP16" s="229">
        <v>-0.39660000000000001</v>
      </c>
      <c r="EQ16" s="231">
        <v>164950</v>
      </c>
      <c r="ER16" s="231">
        <v>104638</v>
      </c>
      <c r="ES16" s="231">
        <v>891343</v>
      </c>
      <c r="ET16" s="231">
        <v>1251309857</v>
      </c>
      <c r="EU16" s="231">
        <v>1160931</v>
      </c>
      <c r="EV16" s="231">
        <v>1128355</v>
      </c>
      <c r="EW16" s="231">
        <v>32576</v>
      </c>
      <c r="EX16" s="229">
        <v>2.8899999999999999E-2</v>
      </c>
      <c r="EY16" s="229">
        <v>0.34399999999999997</v>
      </c>
    </row>
    <row r="17" spans="1:155" ht="17.25" thickBot="1" x14ac:dyDescent="0.3">
      <c r="A17" s="226">
        <v>46050</v>
      </c>
      <c r="B17" s="227" t="s">
        <v>157</v>
      </c>
      <c r="C17" s="227" t="s">
        <v>219</v>
      </c>
      <c r="D17" s="231">
        <v>2856.2</v>
      </c>
      <c r="E17" s="231">
        <v>2876.5</v>
      </c>
      <c r="F17" s="228">
        <v>-20.3</v>
      </c>
      <c r="G17" s="229">
        <v>-7.1000000000000004E-3</v>
      </c>
      <c r="H17" s="231">
        <v>2839.1</v>
      </c>
      <c r="I17" s="231">
        <v>2856.2</v>
      </c>
      <c r="J17" s="228">
        <v>-17.100000000000001</v>
      </c>
      <c r="K17" s="229">
        <v>-6.0000000000000001E-3</v>
      </c>
      <c r="L17" s="231">
        <v>2856.2</v>
      </c>
      <c r="M17" s="231">
        <v>2861</v>
      </c>
      <c r="N17" s="228">
        <v>-4.8</v>
      </c>
      <c r="O17" s="229">
        <v>-1.6999999999999999E-3</v>
      </c>
      <c r="P17" s="231">
        <v>2873.4</v>
      </c>
      <c r="Q17" s="231">
        <v>2876.5</v>
      </c>
      <c r="R17" s="228">
        <v>-3.1</v>
      </c>
      <c r="S17" s="229">
        <v>-1.1000000000000001E-3</v>
      </c>
      <c r="T17" s="231">
        <v>2887.9</v>
      </c>
      <c r="U17" s="231">
        <v>2896</v>
      </c>
      <c r="V17" s="228">
        <v>-8.1</v>
      </c>
      <c r="W17" s="229">
        <v>-2.8E-3</v>
      </c>
      <c r="X17" s="228">
        <v>17.100000000000001</v>
      </c>
      <c r="Y17" s="228">
        <v>20.3</v>
      </c>
      <c r="Z17" s="228">
        <v>-3.2</v>
      </c>
      <c r="AA17" s="229">
        <v>6.0000000000000001E-3</v>
      </c>
      <c r="AB17" s="228">
        <v>17.100000000000001</v>
      </c>
      <c r="AC17" s="228">
        <v>4.8</v>
      </c>
      <c r="AD17" s="228">
        <v>12.3</v>
      </c>
      <c r="AE17" s="229">
        <v>6.0000000000000001E-3</v>
      </c>
      <c r="AF17" s="228">
        <v>34.299999999999997</v>
      </c>
      <c r="AG17" s="228">
        <v>20.3</v>
      </c>
      <c r="AH17" s="228">
        <v>14</v>
      </c>
      <c r="AI17" s="229">
        <v>1.21E-2</v>
      </c>
      <c r="AJ17" s="228">
        <v>48.8</v>
      </c>
      <c r="AK17" s="228">
        <v>39.799999999999997</v>
      </c>
      <c r="AL17" s="228">
        <v>9</v>
      </c>
      <c r="AM17" s="229">
        <v>1.72E-2</v>
      </c>
      <c r="AN17" s="231">
        <v>2872.46</v>
      </c>
      <c r="AO17" s="231">
        <v>2893.4</v>
      </c>
      <c r="AP17" s="228">
        <v>0</v>
      </c>
      <c r="AQ17" s="230">
        <v>4004</v>
      </c>
      <c r="AR17" s="230">
        <v>26162</v>
      </c>
      <c r="AS17" s="230">
        <v>-22158</v>
      </c>
      <c r="AT17" s="229">
        <v>-0.84699999999999998</v>
      </c>
      <c r="AU17" s="230">
        <v>3931</v>
      </c>
      <c r="AV17" s="230">
        <v>10915</v>
      </c>
      <c r="AW17" s="230">
        <v>-6984</v>
      </c>
      <c r="AX17" s="229">
        <v>-0.63990000000000002</v>
      </c>
      <c r="AY17" s="228">
        <v>63</v>
      </c>
      <c r="AZ17" s="230">
        <v>15175</v>
      </c>
      <c r="BA17" s="230">
        <v>-15112</v>
      </c>
      <c r="BB17" s="229">
        <v>-0.99580000000000002</v>
      </c>
      <c r="BC17" s="228">
        <v>10</v>
      </c>
      <c r="BD17" s="228">
        <v>72</v>
      </c>
      <c r="BE17" s="228">
        <v>-62</v>
      </c>
      <c r="BF17" s="229">
        <v>-0.86109999999999998</v>
      </c>
      <c r="BG17" s="230">
        <v>5482</v>
      </c>
      <c r="BH17" s="230">
        <v>17043</v>
      </c>
      <c r="BI17" s="230">
        <v>-11561</v>
      </c>
      <c r="BJ17" s="229">
        <v>-0.67830000000000001</v>
      </c>
      <c r="BK17" s="230">
        <v>3401</v>
      </c>
      <c r="BL17" s="230">
        <v>11935</v>
      </c>
      <c r="BM17" s="230">
        <v>-8534</v>
      </c>
      <c r="BN17" s="229">
        <v>-0.71499999999999997</v>
      </c>
      <c r="BO17" s="230">
        <v>12887</v>
      </c>
      <c r="BP17" s="230">
        <v>55140</v>
      </c>
      <c r="BQ17" s="230">
        <v>-42253</v>
      </c>
      <c r="BR17" s="229">
        <v>-0.76629999999999998</v>
      </c>
      <c r="BS17" s="230">
        <v>523371</v>
      </c>
      <c r="BT17" s="230">
        <v>1539629</v>
      </c>
      <c r="BU17" s="230">
        <v>-1016258</v>
      </c>
      <c r="BV17" s="229">
        <v>-0.66010000000000002</v>
      </c>
      <c r="BW17" s="230">
        <v>16039250</v>
      </c>
      <c r="BX17" s="230">
        <v>15952250</v>
      </c>
      <c r="BY17" s="230">
        <v>87000</v>
      </c>
      <c r="BZ17" s="229">
        <v>5.4999999999999997E-3</v>
      </c>
      <c r="CA17" s="230">
        <v>15960750</v>
      </c>
      <c r="CB17" s="230">
        <v>608250</v>
      </c>
      <c r="CC17" s="230">
        <v>15352500</v>
      </c>
      <c r="CD17" s="229">
        <v>25.240400000000001</v>
      </c>
      <c r="CE17" s="230">
        <v>76500</v>
      </c>
      <c r="CF17" s="230">
        <v>15879750</v>
      </c>
      <c r="CG17" s="230">
        <v>-15803250</v>
      </c>
      <c r="CH17" s="229">
        <v>-0.99519999999999997</v>
      </c>
      <c r="CI17" s="230">
        <v>2000</v>
      </c>
      <c r="CJ17" s="230">
        <v>72500</v>
      </c>
      <c r="CK17" s="230">
        <v>-70500</v>
      </c>
      <c r="CL17" s="229">
        <v>-0.97240000000000004</v>
      </c>
      <c r="CM17" s="230">
        <v>643250</v>
      </c>
      <c r="CN17" s="230">
        <v>463250</v>
      </c>
      <c r="CO17" s="230">
        <v>180000</v>
      </c>
      <c r="CP17" s="229">
        <v>0.3886</v>
      </c>
      <c r="CQ17" s="230">
        <v>635250</v>
      </c>
      <c r="CR17" s="230">
        <v>443250</v>
      </c>
      <c r="CS17" s="230">
        <v>192000</v>
      </c>
      <c r="CT17" s="229">
        <v>0.43319999999999997</v>
      </c>
      <c r="CU17" s="230">
        <v>17317750</v>
      </c>
      <c r="CV17" s="230">
        <v>16858750</v>
      </c>
      <c r="CW17" s="230">
        <v>459000</v>
      </c>
      <c r="CX17" s="229">
        <v>2.7199999999999998E-2</v>
      </c>
      <c r="CY17" s="228">
        <v>24.4</v>
      </c>
      <c r="CZ17" s="228">
        <v>24.74</v>
      </c>
      <c r="DA17" s="228">
        <v>-0.34</v>
      </c>
      <c r="DB17" s="228">
        <v>-0.34</v>
      </c>
      <c r="DC17" s="228">
        <v>25.23</v>
      </c>
      <c r="DD17" s="228">
        <v>25.28</v>
      </c>
      <c r="DE17" s="228">
        <v>-0.83</v>
      </c>
      <c r="DF17" s="228">
        <v>-0.05</v>
      </c>
      <c r="DG17" s="228">
        <v>24.24</v>
      </c>
      <c r="DH17" s="228">
        <v>24.39</v>
      </c>
      <c r="DI17" s="228">
        <v>-0.15</v>
      </c>
      <c r="DJ17" s="228">
        <v>-0.15</v>
      </c>
      <c r="DK17" s="228">
        <v>24.67</v>
      </c>
      <c r="DL17" s="228">
        <v>25.62</v>
      </c>
      <c r="DM17" s="228">
        <v>-0.95</v>
      </c>
      <c r="DN17" s="228">
        <v>-0.95</v>
      </c>
      <c r="DO17" s="228">
        <v>0.99</v>
      </c>
      <c r="DP17" s="228">
        <v>0.96</v>
      </c>
      <c r="DQ17" s="228">
        <v>0.03</v>
      </c>
      <c r="DR17" s="229">
        <v>3.1300000000000001E-2</v>
      </c>
      <c r="DS17" s="231">
        <v>2900</v>
      </c>
      <c r="DT17" s="231">
        <v>2800</v>
      </c>
      <c r="DU17" s="228">
        <v>0.62</v>
      </c>
      <c r="DV17" s="228">
        <v>0.7</v>
      </c>
      <c r="DW17" s="228">
        <v>-0.08</v>
      </c>
      <c r="DX17" s="229">
        <v>-0.1143</v>
      </c>
      <c r="DY17" s="229">
        <v>4.8999999999999998E-3</v>
      </c>
      <c r="DZ17" s="230">
        <v>15952250</v>
      </c>
      <c r="EA17" s="229">
        <v>6.0000000000000001E-3</v>
      </c>
      <c r="EB17" s="229">
        <v>4.8999999999999998E-3</v>
      </c>
      <c r="EC17" s="228">
        <v>20.94</v>
      </c>
      <c r="ED17" s="229">
        <v>7.3000000000000001E-3</v>
      </c>
      <c r="EE17" s="230">
        <v>275546</v>
      </c>
      <c r="EF17" s="230">
        <v>791960</v>
      </c>
      <c r="EG17" s="229">
        <v>-0.65210000000000001</v>
      </c>
      <c r="EH17" s="229">
        <v>0.52649999999999997</v>
      </c>
      <c r="EI17" s="231">
        <v>41108.07</v>
      </c>
      <c r="EJ17" s="231">
        <v>24116.02</v>
      </c>
      <c r="EK17" s="231">
        <v>28757.29</v>
      </c>
      <c r="EL17" s="231">
        <v>33283</v>
      </c>
      <c r="EM17" s="231">
        <v>93981.38</v>
      </c>
      <c r="EN17" s="231">
        <v>394007.96</v>
      </c>
      <c r="EO17" s="231">
        <v>-300026.58</v>
      </c>
      <c r="EP17" s="229">
        <v>-0.76149999999999995</v>
      </c>
      <c r="EQ17" s="231">
        <v>19143</v>
      </c>
      <c r="ER17" s="231">
        <v>17507</v>
      </c>
      <c r="ES17" s="231">
        <v>458127</v>
      </c>
      <c r="ET17" s="231">
        <v>38505832</v>
      </c>
      <c r="EU17" s="231">
        <v>494777</v>
      </c>
      <c r="EV17" s="231">
        <v>484750</v>
      </c>
      <c r="EW17" s="231">
        <v>10027</v>
      </c>
      <c r="EX17" s="229">
        <v>2.07E-2</v>
      </c>
      <c r="EY17" s="229">
        <v>0.44969999999999999</v>
      </c>
    </row>
    <row r="18" spans="1:155" ht="17.25" thickBot="1" x14ac:dyDescent="0.3">
      <c r="A18" s="226">
        <v>46050</v>
      </c>
      <c r="B18" s="227" t="s">
        <v>221</v>
      </c>
      <c r="C18" s="227" t="s">
        <v>222</v>
      </c>
      <c r="D18" s="231">
        <v>1735.8</v>
      </c>
      <c r="E18" s="231">
        <v>1728.2</v>
      </c>
      <c r="F18" s="228">
        <v>7.6</v>
      </c>
      <c r="G18" s="229">
        <v>4.4000000000000003E-3</v>
      </c>
      <c r="H18" s="231">
        <v>1729.6</v>
      </c>
      <c r="I18" s="231">
        <v>1720.2</v>
      </c>
      <c r="J18" s="228">
        <v>9.4</v>
      </c>
      <c r="K18" s="229">
        <v>5.4999999999999997E-3</v>
      </c>
      <c r="L18" s="231">
        <v>1735.8</v>
      </c>
      <c r="M18" s="231">
        <v>1715.7</v>
      </c>
      <c r="N18" s="228">
        <v>20.100000000000001</v>
      </c>
      <c r="O18" s="229">
        <v>1.17E-2</v>
      </c>
      <c r="P18" s="231">
        <v>1747.5</v>
      </c>
      <c r="Q18" s="231">
        <v>1728.2</v>
      </c>
      <c r="R18" s="228">
        <v>19.3</v>
      </c>
      <c r="S18" s="229">
        <v>1.12E-2</v>
      </c>
      <c r="T18" s="231">
        <v>1750.6</v>
      </c>
      <c r="U18" s="231">
        <v>1740.1</v>
      </c>
      <c r="V18" s="228">
        <v>10.5</v>
      </c>
      <c r="W18" s="229">
        <v>6.0000000000000001E-3</v>
      </c>
      <c r="X18" s="228">
        <v>6.2</v>
      </c>
      <c r="Y18" s="228">
        <v>8</v>
      </c>
      <c r="Z18" s="228">
        <v>-1.8</v>
      </c>
      <c r="AA18" s="229">
        <v>3.5999999999999999E-3</v>
      </c>
      <c r="AB18" s="228">
        <v>6.2</v>
      </c>
      <c r="AC18" s="228">
        <v>-4.5</v>
      </c>
      <c r="AD18" s="228">
        <v>10.7</v>
      </c>
      <c r="AE18" s="229">
        <v>3.5999999999999999E-3</v>
      </c>
      <c r="AF18" s="228">
        <v>17.899999999999999</v>
      </c>
      <c r="AG18" s="228">
        <v>8</v>
      </c>
      <c r="AH18" s="228">
        <v>9.9</v>
      </c>
      <c r="AI18" s="229">
        <v>1.03E-2</v>
      </c>
      <c r="AJ18" s="228">
        <v>21</v>
      </c>
      <c r="AK18" s="228">
        <v>19.899999999999999</v>
      </c>
      <c r="AL18" s="228">
        <v>1.1000000000000001</v>
      </c>
      <c r="AM18" s="229">
        <v>1.21E-2</v>
      </c>
      <c r="AN18" s="231">
        <v>1725.2</v>
      </c>
      <c r="AO18" s="231">
        <v>1734.9</v>
      </c>
      <c r="AP18" s="228">
        <v>0</v>
      </c>
      <c r="AQ18" s="230">
        <v>6610</v>
      </c>
      <c r="AR18" s="230">
        <v>18534</v>
      </c>
      <c r="AS18" s="230">
        <v>-11924</v>
      </c>
      <c r="AT18" s="229">
        <v>-0.64339999999999997</v>
      </c>
      <c r="AU18" s="230">
        <v>6462</v>
      </c>
      <c r="AV18" s="230">
        <v>7914</v>
      </c>
      <c r="AW18" s="230">
        <v>-1452</v>
      </c>
      <c r="AX18" s="229">
        <v>-0.1835</v>
      </c>
      <c r="AY18" s="228">
        <v>111</v>
      </c>
      <c r="AZ18" s="230">
        <v>10413</v>
      </c>
      <c r="BA18" s="230">
        <v>-10302</v>
      </c>
      <c r="BB18" s="229">
        <v>-0.98929999999999996</v>
      </c>
      <c r="BC18" s="228">
        <v>37</v>
      </c>
      <c r="BD18" s="228">
        <v>207</v>
      </c>
      <c r="BE18" s="228">
        <v>-170</v>
      </c>
      <c r="BF18" s="229">
        <v>-0.82130000000000003</v>
      </c>
      <c r="BG18" s="230">
        <v>15548</v>
      </c>
      <c r="BH18" s="230">
        <v>23947</v>
      </c>
      <c r="BI18" s="230">
        <v>-8399</v>
      </c>
      <c r="BJ18" s="229">
        <v>-0.35070000000000001</v>
      </c>
      <c r="BK18" s="230">
        <v>8668</v>
      </c>
      <c r="BL18" s="230">
        <v>14604</v>
      </c>
      <c r="BM18" s="230">
        <v>-5936</v>
      </c>
      <c r="BN18" s="229">
        <v>-0.40649999999999997</v>
      </c>
      <c r="BO18" s="230">
        <v>30826</v>
      </c>
      <c r="BP18" s="230">
        <v>57085</v>
      </c>
      <c r="BQ18" s="230">
        <v>-26259</v>
      </c>
      <c r="BR18" s="229">
        <v>-0.46</v>
      </c>
      <c r="BS18" s="230">
        <v>2781066</v>
      </c>
      <c r="BT18" s="230">
        <v>2697143</v>
      </c>
      <c r="BU18" s="230">
        <v>83923</v>
      </c>
      <c r="BV18" s="229">
        <v>3.1099999999999999E-2</v>
      </c>
      <c r="BW18" s="230">
        <v>17467450</v>
      </c>
      <c r="BX18" s="230">
        <v>17423350</v>
      </c>
      <c r="BY18" s="230">
        <v>44100</v>
      </c>
      <c r="BZ18" s="229">
        <v>2.5000000000000001E-3</v>
      </c>
      <c r="CA18" s="230">
        <v>17050600</v>
      </c>
      <c r="CB18" s="230">
        <v>2059750</v>
      </c>
      <c r="CC18" s="230">
        <v>14990850</v>
      </c>
      <c r="CD18" s="229">
        <v>7.2779999999999996</v>
      </c>
      <c r="CE18" s="230">
        <v>406700</v>
      </c>
      <c r="CF18" s="230">
        <v>17023300</v>
      </c>
      <c r="CG18" s="230">
        <v>-16616600</v>
      </c>
      <c r="CH18" s="229">
        <v>-0.97609999999999997</v>
      </c>
      <c r="CI18" s="230">
        <v>10150</v>
      </c>
      <c r="CJ18" s="230">
        <v>400050</v>
      </c>
      <c r="CK18" s="230">
        <v>-389900</v>
      </c>
      <c r="CL18" s="229">
        <v>-0.97460000000000002</v>
      </c>
      <c r="CM18" s="230">
        <v>1983450</v>
      </c>
      <c r="CN18" s="230">
        <v>1625400</v>
      </c>
      <c r="CO18" s="230">
        <v>358050</v>
      </c>
      <c r="CP18" s="229">
        <v>0.2203</v>
      </c>
      <c r="CQ18" s="230">
        <v>1652350</v>
      </c>
      <c r="CR18" s="230">
        <v>1255800</v>
      </c>
      <c r="CS18" s="230">
        <v>396550</v>
      </c>
      <c r="CT18" s="229">
        <v>0.31580000000000003</v>
      </c>
      <c r="CU18" s="230">
        <v>21103250</v>
      </c>
      <c r="CV18" s="230">
        <v>20304550</v>
      </c>
      <c r="CW18" s="230">
        <v>798700</v>
      </c>
      <c r="CX18" s="229">
        <v>3.9300000000000002E-2</v>
      </c>
      <c r="CY18" s="228">
        <v>22.11</v>
      </c>
      <c r="CZ18" s="228">
        <v>23</v>
      </c>
      <c r="DA18" s="228">
        <v>-0.89</v>
      </c>
      <c r="DB18" s="228">
        <v>-0.89</v>
      </c>
      <c r="DC18" s="228">
        <v>27.25</v>
      </c>
      <c r="DD18" s="228">
        <v>27.3</v>
      </c>
      <c r="DE18" s="228">
        <v>-5.14</v>
      </c>
      <c r="DF18" s="228">
        <v>-0.05</v>
      </c>
      <c r="DG18" s="228">
        <v>21.27</v>
      </c>
      <c r="DH18" s="228">
        <v>22.2</v>
      </c>
      <c r="DI18" s="228">
        <v>-0.93</v>
      </c>
      <c r="DJ18" s="228">
        <v>-0.93</v>
      </c>
      <c r="DK18" s="228">
        <v>23.63</v>
      </c>
      <c r="DL18" s="228">
        <v>24.24</v>
      </c>
      <c r="DM18" s="228">
        <v>-0.61</v>
      </c>
      <c r="DN18" s="228">
        <v>-0.61</v>
      </c>
      <c r="DO18" s="228">
        <v>0.83</v>
      </c>
      <c r="DP18" s="228">
        <v>0.77</v>
      </c>
      <c r="DQ18" s="228">
        <v>0.06</v>
      </c>
      <c r="DR18" s="229">
        <v>7.7899999999999997E-2</v>
      </c>
      <c r="DS18" s="231">
        <v>1760</v>
      </c>
      <c r="DT18" s="231">
        <v>1620</v>
      </c>
      <c r="DU18" s="228">
        <v>0.56000000000000005</v>
      </c>
      <c r="DV18" s="228">
        <v>0.61</v>
      </c>
      <c r="DW18" s="228">
        <v>-0.05</v>
      </c>
      <c r="DX18" s="229">
        <v>-8.2000000000000003E-2</v>
      </c>
      <c r="DY18" s="229">
        <v>2.3900000000000001E-2</v>
      </c>
      <c r="DZ18" s="230">
        <v>17423350</v>
      </c>
      <c r="EA18" s="229">
        <v>6.7000000000000002E-3</v>
      </c>
      <c r="EB18" s="229">
        <v>2.3900000000000001E-2</v>
      </c>
      <c r="EC18" s="228">
        <v>9.6999999999999993</v>
      </c>
      <c r="ED18" s="229">
        <v>5.5999999999999999E-3</v>
      </c>
      <c r="EE18" s="230">
        <v>1799184</v>
      </c>
      <c r="EF18" s="230">
        <v>1545670</v>
      </c>
      <c r="EG18" s="229">
        <v>0.16400000000000001</v>
      </c>
      <c r="EH18" s="229">
        <v>0.64690000000000003</v>
      </c>
      <c r="EI18" s="231">
        <v>97259.4</v>
      </c>
      <c r="EJ18" s="231">
        <v>51515.64</v>
      </c>
      <c r="EK18" s="231">
        <v>39917.97</v>
      </c>
      <c r="EL18" s="231">
        <v>30394</v>
      </c>
      <c r="EM18" s="231">
        <v>188693.01</v>
      </c>
      <c r="EN18" s="231">
        <v>344591.16</v>
      </c>
      <c r="EO18" s="231">
        <v>-155898.15</v>
      </c>
      <c r="EP18" s="229">
        <v>-0.45240000000000002</v>
      </c>
      <c r="EQ18" s="231">
        <v>35027</v>
      </c>
      <c r="ER18" s="231">
        <v>27213</v>
      </c>
      <c r="ES18" s="231">
        <v>303249</v>
      </c>
      <c r="ET18" s="231">
        <v>106857976</v>
      </c>
      <c r="EU18" s="231">
        <v>365489</v>
      </c>
      <c r="EV18" s="231">
        <v>350422</v>
      </c>
      <c r="EW18" s="231">
        <v>15067</v>
      </c>
      <c r="EX18" s="229">
        <v>4.2999999999999997E-2</v>
      </c>
      <c r="EY18" s="229">
        <v>0.19750000000000001</v>
      </c>
    </row>
    <row r="19" spans="1:155" ht="17.25" thickBot="1" x14ac:dyDescent="0.3">
      <c r="A19" s="226">
        <v>46050</v>
      </c>
      <c r="B19" s="227" t="s">
        <v>172</v>
      </c>
      <c r="C19" s="227" t="s">
        <v>224</v>
      </c>
      <c r="D19" s="228">
        <v>936.2</v>
      </c>
      <c r="E19" s="228">
        <v>932.8</v>
      </c>
      <c r="F19" s="228">
        <v>3.4</v>
      </c>
      <c r="G19" s="229">
        <v>3.5999999999999999E-3</v>
      </c>
      <c r="H19" s="228">
        <v>932.7</v>
      </c>
      <c r="I19" s="228">
        <v>926.4</v>
      </c>
      <c r="J19" s="228">
        <v>6.3</v>
      </c>
      <c r="K19" s="229">
        <v>6.7999999999999996E-3</v>
      </c>
      <c r="L19" s="228">
        <v>936.2</v>
      </c>
      <c r="M19" s="228">
        <v>925.2</v>
      </c>
      <c r="N19" s="228">
        <v>11</v>
      </c>
      <c r="O19" s="229">
        <v>1.1900000000000001E-2</v>
      </c>
      <c r="P19" s="228">
        <v>942.25</v>
      </c>
      <c r="Q19" s="228">
        <v>932.8</v>
      </c>
      <c r="R19" s="228">
        <v>9.4499999999999993</v>
      </c>
      <c r="S19" s="229">
        <v>1.01E-2</v>
      </c>
      <c r="T19" s="228">
        <v>947.75</v>
      </c>
      <c r="U19" s="228">
        <v>938.6</v>
      </c>
      <c r="V19" s="228">
        <v>9.15</v>
      </c>
      <c r="W19" s="229">
        <v>9.7000000000000003E-3</v>
      </c>
      <c r="X19" s="228">
        <v>3.5</v>
      </c>
      <c r="Y19" s="228">
        <v>6.4</v>
      </c>
      <c r="Z19" s="228">
        <v>-2.9</v>
      </c>
      <c r="AA19" s="229">
        <v>3.8E-3</v>
      </c>
      <c r="AB19" s="228">
        <v>3.5</v>
      </c>
      <c r="AC19" s="228">
        <v>-1.2</v>
      </c>
      <c r="AD19" s="228">
        <v>4.7</v>
      </c>
      <c r="AE19" s="229">
        <v>3.8E-3</v>
      </c>
      <c r="AF19" s="228">
        <v>9.5500000000000007</v>
      </c>
      <c r="AG19" s="228">
        <v>6.4</v>
      </c>
      <c r="AH19" s="228">
        <v>3.15</v>
      </c>
      <c r="AI19" s="229">
        <v>1.0200000000000001E-2</v>
      </c>
      <c r="AJ19" s="228">
        <v>15.05</v>
      </c>
      <c r="AK19" s="228">
        <v>12.2</v>
      </c>
      <c r="AL19" s="228">
        <v>2.85</v>
      </c>
      <c r="AM19" s="229">
        <v>1.61E-2</v>
      </c>
      <c r="AN19" s="228">
        <v>938.58</v>
      </c>
      <c r="AO19" s="228">
        <v>943.93</v>
      </c>
      <c r="AP19" s="228">
        <v>0</v>
      </c>
      <c r="AQ19" s="230">
        <v>53824</v>
      </c>
      <c r="AR19" s="230">
        <v>187809</v>
      </c>
      <c r="AS19" s="230">
        <v>-133985</v>
      </c>
      <c r="AT19" s="229">
        <v>-0.71340000000000003</v>
      </c>
      <c r="AU19" s="230">
        <v>51608</v>
      </c>
      <c r="AV19" s="230">
        <v>76878</v>
      </c>
      <c r="AW19" s="230">
        <v>-25270</v>
      </c>
      <c r="AX19" s="229">
        <v>-0.32869999999999999</v>
      </c>
      <c r="AY19" s="230">
        <v>1881</v>
      </c>
      <c r="AZ19" s="230">
        <v>108228</v>
      </c>
      <c r="BA19" s="230">
        <v>-106347</v>
      </c>
      <c r="BB19" s="229">
        <v>-0.98260000000000003</v>
      </c>
      <c r="BC19" s="228">
        <v>335</v>
      </c>
      <c r="BD19" s="230">
        <v>2703</v>
      </c>
      <c r="BE19" s="230">
        <v>-2368</v>
      </c>
      <c r="BF19" s="229">
        <v>-0.87609999999999999</v>
      </c>
      <c r="BG19" s="230">
        <v>120329</v>
      </c>
      <c r="BH19" s="230">
        <v>151206</v>
      </c>
      <c r="BI19" s="230">
        <v>-30877</v>
      </c>
      <c r="BJ19" s="229">
        <v>-0.20419999999999999</v>
      </c>
      <c r="BK19" s="230">
        <v>71696</v>
      </c>
      <c r="BL19" s="230">
        <v>97803</v>
      </c>
      <c r="BM19" s="230">
        <v>-26107</v>
      </c>
      <c r="BN19" s="229">
        <v>-0.26690000000000003</v>
      </c>
      <c r="BO19" s="230">
        <v>245849</v>
      </c>
      <c r="BP19" s="230">
        <v>436818</v>
      </c>
      <c r="BQ19" s="230">
        <v>-190969</v>
      </c>
      <c r="BR19" s="229">
        <v>-0.43719999999999998</v>
      </c>
      <c r="BS19" s="230">
        <v>36672247</v>
      </c>
      <c r="BT19" s="230">
        <v>45836965</v>
      </c>
      <c r="BU19" s="230">
        <v>-9164718</v>
      </c>
      <c r="BV19" s="229">
        <v>-0.19989999999999999</v>
      </c>
      <c r="BW19" s="230">
        <v>258325100</v>
      </c>
      <c r="BX19" s="230">
        <v>261030550</v>
      </c>
      <c r="BY19" s="230">
        <v>-2705450</v>
      </c>
      <c r="BZ19" s="229">
        <v>-1.04E-2</v>
      </c>
      <c r="CA19" s="230">
        <v>233356750</v>
      </c>
      <c r="CB19" s="230">
        <v>15528700</v>
      </c>
      <c r="CC19" s="230">
        <v>217828050</v>
      </c>
      <c r="CD19" s="229">
        <v>14.0274</v>
      </c>
      <c r="CE19" s="230">
        <v>24825900</v>
      </c>
      <c r="CF19" s="230">
        <v>236524200</v>
      </c>
      <c r="CG19" s="230">
        <v>-211698300</v>
      </c>
      <c r="CH19" s="229">
        <v>-0.89500000000000002</v>
      </c>
      <c r="CI19" s="230">
        <v>142450</v>
      </c>
      <c r="CJ19" s="230">
        <v>24506350</v>
      </c>
      <c r="CK19" s="230">
        <v>-24363900</v>
      </c>
      <c r="CL19" s="229">
        <v>-0.99419999999999997</v>
      </c>
      <c r="CM19" s="230">
        <v>36298900</v>
      </c>
      <c r="CN19" s="230">
        <v>35664200</v>
      </c>
      <c r="CO19" s="230">
        <v>634700</v>
      </c>
      <c r="CP19" s="229">
        <v>1.78E-2</v>
      </c>
      <c r="CQ19" s="230">
        <v>25674000</v>
      </c>
      <c r="CR19" s="230">
        <v>24447500</v>
      </c>
      <c r="CS19" s="230">
        <v>1226500</v>
      </c>
      <c r="CT19" s="229">
        <v>5.0200000000000002E-2</v>
      </c>
      <c r="CU19" s="230">
        <v>320298000</v>
      </c>
      <c r="CV19" s="230">
        <v>321142250</v>
      </c>
      <c r="CW19" s="230">
        <v>-844250</v>
      </c>
      <c r="CX19" s="229">
        <v>-2.5999999999999999E-3</v>
      </c>
      <c r="CY19" s="228">
        <v>19.63</v>
      </c>
      <c r="CZ19" s="228">
        <v>20.82</v>
      </c>
      <c r="DA19" s="228">
        <v>-1.19</v>
      </c>
      <c r="DB19" s="228">
        <v>-1.19</v>
      </c>
      <c r="DC19" s="228">
        <v>19.559999999999999</v>
      </c>
      <c r="DD19" s="228">
        <v>19.59</v>
      </c>
      <c r="DE19" s="228">
        <v>7.0000000000000007E-2</v>
      </c>
      <c r="DF19" s="228">
        <v>-0.03</v>
      </c>
      <c r="DG19" s="228">
        <v>19.43</v>
      </c>
      <c r="DH19" s="228">
        <v>20.36</v>
      </c>
      <c r="DI19" s="228">
        <v>-0.93</v>
      </c>
      <c r="DJ19" s="228">
        <v>-0.93</v>
      </c>
      <c r="DK19" s="228">
        <v>19.96</v>
      </c>
      <c r="DL19" s="228">
        <v>21.59</v>
      </c>
      <c r="DM19" s="228">
        <v>-1.63</v>
      </c>
      <c r="DN19" s="228">
        <v>-1.63</v>
      </c>
      <c r="DO19" s="228">
        <v>0.71</v>
      </c>
      <c r="DP19" s="228">
        <v>0.69</v>
      </c>
      <c r="DQ19" s="228">
        <v>0.02</v>
      </c>
      <c r="DR19" s="229">
        <v>2.9000000000000001E-2</v>
      </c>
      <c r="DS19" s="231">
        <v>1000</v>
      </c>
      <c r="DT19" s="231">
        <v>1000</v>
      </c>
      <c r="DU19" s="228">
        <v>0.6</v>
      </c>
      <c r="DV19" s="228">
        <v>0.65</v>
      </c>
      <c r="DW19" s="228">
        <v>-0.05</v>
      </c>
      <c r="DX19" s="229">
        <v>-7.6899999999999996E-2</v>
      </c>
      <c r="DY19" s="229">
        <v>9.6699999999999994E-2</v>
      </c>
      <c r="DZ19" s="230">
        <v>261030550</v>
      </c>
      <c r="EA19" s="229">
        <v>6.4999999999999997E-3</v>
      </c>
      <c r="EB19" s="229">
        <v>9.6699999999999994E-2</v>
      </c>
      <c r="EC19" s="228">
        <v>5.35</v>
      </c>
      <c r="ED19" s="229">
        <v>5.7000000000000002E-3</v>
      </c>
      <c r="EE19" s="230">
        <v>26602847</v>
      </c>
      <c r="EF19" s="230">
        <v>25563338</v>
      </c>
      <c r="EG19" s="229">
        <v>4.07E-2</v>
      </c>
      <c r="EH19" s="229">
        <v>0.72540000000000004</v>
      </c>
      <c r="EI19" s="231">
        <v>641816.9</v>
      </c>
      <c r="EJ19" s="231">
        <v>369726.45</v>
      </c>
      <c r="EK19" s="231">
        <v>277921.73</v>
      </c>
      <c r="EL19" s="231">
        <v>230195</v>
      </c>
      <c r="EM19" s="231">
        <v>1289465.08</v>
      </c>
      <c r="EN19" s="231">
        <v>2242863.29</v>
      </c>
      <c r="EO19" s="231">
        <v>-953398.21</v>
      </c>
      <c r="EP19" s="229">
        <v>-0.42509999999999998</v>
      </c>
      <c r="EQ19" s="231">
        <v>348036</v>
      </c>
      <c r="ER19" s="231">
        <v>237632</v>
      </c>
      <c r="ES19" s="231">
        <v>2419958</v>
      </c>
      <c r="ET19" s="231">
        <v>1330694977</v>
      </c>
      <c r="EU19" s="231">
        <v>3005626</v>
      </c>
      <c r="EV19" s="231">
        <v>3003066</v>
      </c>
      <c r="EW19" s="231">
        <v>2560</v>
      </c>
      <c r="EX19" s="229">
        <v>8.9999999999999998E-4</v>
      </c>
      <c r="EY19" s="229">
        <v>0.2407</v>
      </c>
    </row>
    <row r="20" spans="1:155" ht="17.25" thickBot="1" x14ac:dyDescent="0.3">
      <c r="A20" s="226">
        <v>46050</v>
      </c>
      <c r="B20" s="227" t="s">
        <v>175</v>
      </c>
      <c r="C20" s="227" t="s">
        <v>225</v>
      </c>
      <c r="D20" s="228">
        <v>730.5</v>
      </c>
      <c r="E20" s="228">
        <v>724.4</v>
      </c>
      <c r="F20" s="228">
        <v>6.1</v>
      </c>
      <c r="G20" s="229">
        <v>8.3999999999999995E-3</v>
      </c>
      <c r="H20" s="228">
        <v>728.6</v>
      </c>
      <c r="I20" s="228">
        <v>720.05</v>
      </c>
      <c r="J20" s="228">
        <v>8.5500000000000007</v>
      </c>
      <c r="K20" s="229">
        <v>1.1900000000000001E-2</v>
      </c>
      <c r="L20" s="228">
        <v>730.5</v>
      </c>
      <c r="M20" s="228">
        <v>721.8</v>
      </c>
      <c r="N20" s="228">
        <v>8.6999999999999993</v>
      </c>
      <c r="O20" s="229">
        <v>1.21E-2</v>
      </c>
      <c r="P20" s="228">
        <v>735.4</v>
      </c>
      <c r="Q20" s="228">
        <v>724.4</v>
      </c>
      <c r="R20" s="228">
        <v>11</v>
      </c>
      <c r="S20" s="229">
        <v>1.52E-2</v>
      </c>
      <c r="T20" s="228">
        <v>737.05</v>
      </c>
      <c r="U20" s="228">
        <v>728.9</v>
      </c>
      <c r="V20" s="228">
        <v>8.15</v>
      </c>
      <c r="W20" s="229">
        <v>1.12E-2</v>
      </c>
      <c r="X20" s="228">
        <v>1.9</v>
      </c>
      <c r="Y20" s="228">
        <v>4.3499999999999996</v>
      </c>
      <c r="Z20" s="228">
        <v>-2.4500000000000002</v>
      </c>
      <c r="AA20" s="229">
        <v>2.5999999999999999E-3</v>
      </c>
      <c r="AB20" s="228">
        <v>1.9</v>
      </c>
      <c r="AC20" s="228">
        <v>1.75</v>
      </c>
      <c r="AD20" s="228">
        <v>0.15</v>
      </c>
      <c r="AE20" s="229">
        <v>2.5999999999999999E-3</v>
      </c>
      <c r="AF20" s="228">
        <v>6.8</v>
      </c>
      <c r="AG20" s="228">
        <v>4.3499999999999996</v>
      </c>
      <c r="AH20" s="228">
        <v>2.4500000000000002</v>
      </c>
      <c r="AI20" s="229">
        <v>9.2999999999999992E-3</v>
      </c>
      <c r="AJ20" s="228">
        <v>8.4499999999999993</v>
      </c>
      <c r="AK20" s="228">
        <v>8.85</v>
      </c>
      <c r="AL20" s="228">
        <v>-0.4</v>
      </c>
      <c r="AM20" s="229">
        <v>1.1599999999999999E-2</v>
      </c>
      <c r="AN20" s="228">
        <v>727.52</v>
      </c>
      <c r="AO20" s="228">
        <v>732.21</v>
      </c>
      <c r="AP20" s="228">
        <v>0</v>
      </c>
      <c r="AQ20" s="230">
        <v>2790</v>
      </c>
      <c r="AR20" s="230">
        <v>13497</v>
      </c>
      <c r="AS20" s="230">
        <v>-10707</v>
      </c>
      <c r="AT20" s="229">
        <v>-0.79330000000000001</v>
      </c>
      <c r="AU20" s="230">
        <v>2706</v>
      </c>
      <c r="AV20" s="230">
        <v>6282</v>
      </c>
      <c r="AW20" s="230">
        <v>-3576</v>
      </c>
      <c r="AX20" s="229">
        <v>-0.56920000000000004</v>
      </c>
      <c r="AY20" s="228">
        <v>75</v>
      </c>
      <c r="AZ20" s="230">
        <v>7102</v>
      </c>
      <c r="BA20" s="230">
        <v>-7027</v>
      </c>
      <c r="BB20" s="229">
        <v>-0.98939999999999995</v>
      </c>
      <c r="BC20" s="228">
        <v>9</v>
      </c>
      <c r="BD20" s="228">
        <v>113</v>
      </c>
      <c r="BE20" s="228">
        <v>-104</v>
      </c>
      <c r="BF20" s="229">
        <v>-0.9204</v>
      </c>
      <c r="BG20" s="230">
        <v>9208</v>
      </c>
      <c r="BH20" s="230">
        <v>7588</v>
      </c>
      <c r="BI20" s="230">
        <v>1620</v>
      </c>
      <c r="BJ20" s="229">
        <v>0.2135</v>
      </c>
      <c r="BK20" s="230">
        <v>2869</v>
      </c>
      <c r="BL20" s="230">
        <v>4953</v>
      </c>
      <c r="BM20" s="230">
        <v>-2084</v>
      </c>
      <c r="BN20" s="229">
        <v>-0.42080000000000001</v>
      </c>
      <c r="BO20" s="230">
        <v>14867</v>
      </c>
      <c r="BP20" s="230">
        <v>26038</v>
      </c>
      <c r="BQ20" s="230">
        <v>-11171</v>
      </c>
      <c r="BR20" s="229">
        <v>-0.42899999999999999</v>
      </c>
      <c r="BS20" s="230">
        <v>1828349</v>
      </c>
      <c r="BT20" s="230">
        <v>3378298</v>
      </c>
      <c r="BU20" s="230">
        <v>-1549949</v>
      </c>
      <c r="BV20" s="229">
        <v>-0.45879999999999999</v>
      </c>
      <c r="BW20" s="230">
        <v>32654600</v>
      </c>
      <c r="BX20" s="230">
        <v>33836000</v>
      </c>
      <c r="BY20" s="230">
        <v>-1181400</v>
      </c>
      <c r="BZ20" s="229">
        <v>-3.49E-2</v>
      </c>
      <c r="CA20" s="230">
        <v>32193700</v>
      </c>
      <c r="CB20" s="230">
        <v>5294300</v>
      </c>
      <c r="CC20" s="230">
        <v>26899400</v>
      </c>
      <c r="CD20" s="229">
        <v>5.0808</v>
      </c>
      <c r="CE20" s="230">
        <v>452100</v>
      </c>
      <c r="CF20" s="230">
        <v>33419100</v>
      </c>
      <c r="CG20" s="230">
        <v>-32967000</v>
      </c>
      <c r="CH20" s="229">
        <v>-0.98650000000000004</v>
      </c>
      <c r="CI20" s="230">
        <v>8800</v>
      </c>
      <c r="CJ20" s="230">
        <v>416900</v>
      </c>
      <c r="CK20" s="230">
        <v>-408100</v>
      </c>
      <c r="CL20" s="229">
        <v>-0.97889999999999999</v>
      </c>
      <c r="CM20" s="230">
        <v>5750800</v>
      </c>
      <c r="CN20" s="230">
        <v>3319800</v>
      </c>
      <c r="CO20" s="230">
        <v>2431000</v>
      </c>
      <c r="CP20" s="229">
        <v>0.73229999999999995</v>
      </c>
      <c r="CQ20" s="230">
        <v>3374800</v>
      </c>
      <c r="CR20" s="230">
        <v>2867700</v>
      </c>
      <c r="CS20" s="230">
        <v>507100</v>
      </c>
      <c r="CT20" s="229">
        <v>0.17680000000000001</v>
      </c>
      <c r="CU20" s="230">
        <v>41780200</v>
      </c>
      <c r="CV20" s="230">
        <v>40023500</v>
      </c>
      <c r="CW20" s="230">
        <v>1756700</v>
      </c>
      <c r="CX20" s="229">
        <v>4.3900000000000002E-2</v>
      </c>
      <c r="CY20" s="228">
        <v>21.21</v>
      </c>
      <c r="CZ20" s="228">
        <v>23.12</v>
      </c>
      <c r="DA20" s="228">
        <v>-1.91</v>
      </c>
      <c r="DB20" s="228">
        <v>-1.91</v>
      </c>
      <c r="DC20" s="228">
        <v>24.69</v>
      </c>
      <c r="DD20" s="228">
        <v>24.7</v>
      </c>
      <c r="DE20" s="228">
        <v>-3.48</v>
      </c>
      <c r="DF20" s="228">
        <v>-0.01</v>
      </c>
      <c r="DG20" s="228">
        <v>20.74</v>
      </c>
      <c r="DH20" s="228">
        <v>22.76</v>
      </c>
      <c r="DI20" s="228">
        <v>-2.02</v>
      </c>
      <c r="DJ20" s="228">
        <v>-2.02</v>
      </c>
      <c r="DK20" s="228">
        <v>22.74</v>
      </c>
      <c r="DL20" s="228">
        <v>23.84</v>
      </c>
      <c r="DM20" s="228">
        <v>-1.1000000000000001</v>
      </c>
      <c r="DN20" s="228">
        <v>-1.1000000000000001</v>
      </c>
      <c r="DO20" s="228">
        <v>0.59</v>
      </c>
      <c r="DP20" s="228">
        <v>0.86</v>
      </c>
      <c r="DQ20" s="228">
        <v>-0.27</v>
      </c>
      <c r="DR20" s="229">
        <v>-0.314</v>
      </c>
      <c r="DS20" s="228">
        <v>740</v>
      </c>
      <c r="DT20" s="228">
        <v>720</v>
      </c>
      <c r="DU20" s="228">
        <v>0.31</v>
      </c>
      <c r="DV20" s="228">
        <v>0.65</v>
      </c>
      <c r="DW20" s="228">
        <v>-0.34</v>
      </c>
      <c r="DX20" s="229">
        <v>-0.52310000000000001</v>
      </c>
      <c r="DY20" s="229">
        <v>1.41E-2</v>
      </c>
      <c r="DZ20" s="230">
        <v>33836000</v>
      </c>
      <c r="EA20" s="229">
        <v>6.7000000000000002E-3</v>
      </c>
      <c r="EB20" s="229">
        <v>1.41E-2</v>
      </c>
      <c r="EC20" s="228">
        <v>4.6900000000000004</v>
      </c>
      <c r="ED20" s="229">
        <v>6.4000000000000003E-3</v>
      </c>
      <c r="EE20" s="230">
        <v>1214770</v>
      </c>
      <c r="EF20" s="230">
        <v>1920016</v>
      </c>
      <c r="EG20" s="229">
        <v>-0.36730000000000002</v>
      </c>
      <c r="EH20" s="229">
        <v>0.66439999999999999</v>
      </c>
      <c r="EI20" s="231">
        <v>77428.100000000006</v>
      </c>
      <c r="EJ20" s="231">
        <v>22636.400000000001</v>
      </c>
      <c r="EK20" s="231">
        <v>22332.28</v>
      </c>
      <c r="EL20" s="231">
        <v>20645</v>
      </c>
      <c r="EM20" s="231">
        <v>122396.78</v>
      </c>
      <c r="EN20" s="231">
        <v>208799.89</v>
      </c>
      <c r="EO20" s="231">
        <v>-86403.11</v>
      </c>
      <c r="EP20" s="229">
        <v>-0.4138</v>
      </c>
      <c r="EQ20" s="231">
        <v>43687</v>
      </c>
      <c r="ER20" s="231">
        <v>24017</v>
      </c>
      <c r="ES20" s="231">
        <v>238565</v>
      </c>
      <c r="ET20" s="231">
        <v>128849634</v>
      </c>
      <c r="EU20" s="231">
        <v>306268</v>
      </c>
      <c r="EV20" s="231">
        <v>290844</v>
      </c>
      <c r="EW20" s="231">
        <v>15424</v>
      </c>
      <c r="EX20" s="229">
        <v>5.2999999999999999E-2</v>
      </c>
      <c r="EY20" s="229">
        <v>0.32429999999999998</v>
      </c>
    </row>
    <row r="21" spans="1:155" ht="17.25" thickBot="1" x14ac:dyDescent="0.3">
      <c r="A21" s="226">
        <v>46050</v>
      </c>
      <c r="B21" s="227" t="s">
        <v>227</v>
      </c>
      <c r="C21" s="227" t="s">
        <v>228</v>
      </c>
      <c r="D21" s="228">
        <v>998.85</v>
      </c>
      <c r="E21" s="228">
        <v>963.65</v>
      </c>
      <c r="F21" s="228">
        <v>35.200000000000003</v>
      </c>
      <c r="G21" s="229">
        <v>3.6499999999999998E-2</v>
      </c>
      <c r="H21" s="228">
        <v>998.2</v>
      </c>
      <c r="I21" s="228">
        <v>961.85</v>
      </c>
      <c r="J21" s="228">
        <v>36.35</v>
      </c>
      <c r="K21" s="229">
        <v>3.78E-2</v>
      </c>
      <c r="L21" s="228">
        <v>998.85</v>
      </c>
      <c r="M21" s="228">
        <v>960.1</v>
      </c>
      <c r="N21" s="228">
        <v>38.75</v>
      </c>
      <c r="O21" s="229">
        <v>4.0399999999999998E-2</v>
      </c>
      <c r="P21" s="231">
        <v>1006.2</v>
      </c>
      <c r="Q21" s="228">
        <v>963.65</v>
      </c>
      <c r="R21" s="228">
        <v>42.55</v>
      </c>
      <c r="S21" s="229">
        <v>4.4200000000000003E-2</v>
      </c>
      <c r="T21" s="231">
        <v>1014.1</v>
      </c>
      <c r="U21" s="228">
        <v>969.4</v>
      </c>
      <c r="V21" s="228">
        <v>44.7</v>
      </c>
      <c r="W21" s="229">
        <v>4.6100000000000002E-2</v>
      </c>
      <c r="X21" s="228">
        <v>0.65</v>
      </c>
      <c r="Y21" s="228">
        <v>1.8</v>
      </c>
      <c r="Z21" s="228">
        <v>-1.1499999999999999</v>
      </c>
      <c r="AA21" s="229">
        <v>6.9999999999999999E-4</v>
      </c>
      <c r="AB21" s="228">
        <v>0.65</v>
      </c>
      <c r="AC21" s="228">
        <v>-1.75</v>
      </c>
      <c r="AD21" s="228">
        <v>2.4</v>
      </c>
      <c r="AE21" s="229">
        <v>6.9999999999999999E-4</v>
      </c>
      <c r="AF21" s="228">
        <v>8</v>
      </c>
      <c r="AG21" s="228">
        <v>1.8</v>
      </c>
      <c r="AH21" s="228">
        <v>6.2</v>
      </c>
      <c r="AI21" s="229">
        <v>8.0000000000000002E-3</v>
      </c>
      <c r="AJ21" s="228">
        <v>15.9</v>
      </c>
      <c r="AK21" s="228">
        <v>7.55</v>
      </c>
      <c r="AL21" s="228">
        <v>8.35</v>
      </c>
      <c r="AM21" s="229">
        <v>1.5900000000000001E-2</v>
      </c>
      <c r="AN21" s="228">
        <v>993.16</v>
      </c>
      <c r="AO21" s="228">
        <v>999.74</v>
      </c>
      <c r="AP21" s="228">
        <v>0</v>
      </c>
      <c r="AQ21" s="230">
        <v>26368</v>
      </c>
      <c r="AR21" s="230">
        <v>44126</v>
      </c>
      <c r="AS21" s="230">
        <v>-17758</v>
      </c>
      <c r="AT21" s="229">
        <v>-0.40239999999999998</v>
      </c>
      <c r="AU21" s="230">
        <v>25101</v>
      </c>
      <c r="AV21" s="230">
        <v>17489</v>
      </c>
      <c r="AW21" s="230">
        <v>7612</v>
      </c>
      <c r="AX21" s="229">
        <v>0.43519999999999998</v>
      </c>
      <c r="AY21" s="230">
        <v>1150</v>
      </c>
      <c r="AZ21" s="230">
        <v>26195</v>
      </c>
      <c r="BA21" s="230">
        <v>-25045</v>
      </c>
      <c r="BB21" s="229">
        <v>-0.95609999999999995</v>
      </c>
      <c r="BC21" s="228">
        <v>117</v>
      </c>
      <c r="BD21" s="228">
        <v>442</v>
      </c>
      <c r="BE21" s="228">
        <v>-325</v>
      </c>
      <c r="BF21" s="229">
        <v>-0.73529999999999995</v>
      </c>
      <c r="BG21" s="230">
        <v>55913</v>
      </c>
      <c r="BH21" s="230">
        <v>35490</v>
      </c>
      <c r="BI21" s="230">
        <v>20423</v>
      </c>
      <c r="BJ21" s="229">
        <v>0.57550000000000001</v>
      </c>
      <c r="BK21" s="230">
        <v>24198</v>
      </c>
      <c r="BL21" s="230">
        <v>19366</v>
      </c>
      <c r="BM21" s="230">
        <v>4832</v>
      </c>
      <c r="BN21" s="229">
        <v>0.2495</v>
      </c>
      <c r="BO21" s="230">
        <v>106479</v>
      </c>
      <c r="BP21" s="230">
        <v>98982</v>
      </c>
      <c r="BQ21" s="230">
        <v>7497</v>
      </c>
      <c r="BR21" s="229">
        <v>7.5700000000000003E-2</v>
      </c>
      <c r="BS21" s="230">
        <v>13237196</v>
      </c>
      <c r="BT21" s="230">
        <v>10223319</v>
      </c>
      <c r="BU21" s="230">
        <v>3013877</v>
      </c>
      <c r="BV21" s="229">
        <v>0.29480000000000001</v>
      </c>
      <c r="BW21" s="230">
        <v>46566800</v>
      </c>
      <c r="BX21" s="230">
        <v>47133100</v>
      </c>
      <c r="BY21" s="230">
        <v>-566300</v>
      </c>
      <c r="BZ21" s="229">
        <v>-1.2E-2</v>
      </c>
      <c r="CA21" s="230">
        <v>44949800</v>
      </c>
      <c r="CB21" s="230">
        <v>2684500</v>
      </c>
      <c r="CC21" s="230">
        <v>42265300</v>
      </c>
      <c r="CD21" s="229">
        <v>15.744199999999999</v>
      </c>
      <c r="CE21" s="230">
        <v>1568700</v>
      </c>
      <c r="CF21" s="230">
        <v>45857700</v>
      </c>
      <c r="CG21" s="230">
        <v>-44289000</v>
      </c>
      <c r="CH21" s="229">
        <v>-0.96579999999999999</v>
      </c>
      <c r="CI21" s="230">
        <v>48300</v>
      </c>
      <c r="CJ21" s="230">
        <v>1275400</v>
      </c>
      <c r="CK21" s="230">
        <v>-1227100</v>
      </c>
      <c r="CL21" s="229">
        <v>-0.96209999999999996</v>
      </c>
      <c r="CM21" s="230">
        <v>5546100</v>
      </c>
      <c r="CN21" s="230">
        <v>4519900</v>
      </c>
      <c r="CO21" s="230">
        <v>1026200</v>
      </c>
      <c r="CP21" s="229">
        <v>0.22700000000000001</v>
      </c>
      <c r="CQ21" s="230">
        <v>4935700</v>
      </c>
      <c r="CR21" s="230">
        <v>3656800</v>
      </c>
      <c r="CS21" s="230">
        <v>1278900</v>
      </c>
      <c r="CT21" s="229">
        <v>0.34970000000000001</v>
      </c>
      <c r="CU21" s="230">
        <v>57048600</v>
      </c>
      <c r="CV21" s="230">
        <v>55309800</v>
      </c>
      <c r="CW21" s="230">
        <v>1738800</v>
      </c>
      <c r="CX21" s="229">
        <v>3.1399999999999997E-2</v>
      </c>
      <c r="CY21" s="228">
        <v>33.619999999999997</v>
      </c>
      <c r="CZ21" s="228">
        <v>32.799999999999997</v>
      </c>
      <c r="DA21" s="228">
        <v>0.82</v>
      </c>
      <c r="DB21" s="228">
        <v>0.82</v>
      </c>
      <c r="DC21" s="228">
        <v>32.49</v>
      </c>
      <c r="DD21" s="228">
        <v>32.18</v>
      </c>
      <c r="DE21" s="228">
        <v>1.1299999999999999</v>
      </c>
      <c r="DF21" s="228">
        <v>0.31</v>
      </c>
      <c r="DG21" s="228">
        <v>33.450000000000003</v>
      </c>
      <c r="DH21" s="228">
        <v>32.79</v>
      </c>
      <c r="DI21" s="228">
        <v>0.66</v>
      </c>
      <c r="DJ21" s="228">
        <v>0.66</v>
      </c>
      <c r="DK21" s="228">
        <v>33.99</v>
      </c>
      <c r="DL21" s="228">
        <v>32.82</v>
      </c>
      <c r="DM21" s="228">
        <v>1.17</v>
      </c>
      <c r="DN21" s="228">
        <v>1.17</v>
      </c>
      <c r="DO21" s="228">
        <v>0.89</v>
      </c>
      <c r="DP21" s="228">
        <v>0.81</v>
      </c>
      <c r="DQ21" s="228">
        <v>0.08</v>
      </c>
      <c r="DR21" s="229">
        <v>9.8799999999999999E-2</v>
      </c>
      <c r="DS21" s="231">
        <v>1000</v>
      </c>
      <c r="DT21" s="228">
        <v>900</v>
      </c>
      <c r="DU21" s="228">
        <v>0.43</v>
      </c>
      <c r="DV21" s="228">
        <v>0.55000000000000004</v>
      </c>
      <c r="DW21" s="228">
        <v>-0.12</v>
      </c>
      <c r="DX21" s="229">
        <v>-0.21820000000000001</v>
      </c>
      <c r="DY21" s="229">
        <v>3.4700000000000002E-2</v>
      </c>
      <c r="DZ21" s="230">
        <v>47133100</v>
      </c>
      <c r="EA21" s="229">
        <v>7.4000000000000003E-3</v>
      </c>
      <c r="EB21" s="229">
        <v>3.4700000000000002E-2</v>
      </c>
      <c r="EC21" s="228">
        <v>6.58</v>
      </c>
      <c r="ED21" s="229">
        <v>6.6E-3</v>
      </c>
      <c r="EE21" s="230">
        <v>7762344</v>
      </c>
      <c r="EF21" s="230">
        <v>5412667</v>
      </c>
      <c r="EG21" s="229">
        <v>0.43409999999999999</v>
      </c>
      <c r="EH21" s="229">
        <v>0.58640000000000003</v>
      </c>
      <c r="EI21" s="231">
        <v>406770.47</v>
      </c>
      <c r="EJ21" s="231">
        <v>165736.76</v>
      </c>
      <c r="EK21" s="231">
        <v>183379.68</v>
      </c>
      <c r="EL21" s="231">
        <v>46280</v>
      </c>
      <c r="EM21" s="231">
        <v>755886.91</v>
      </c>
      <c r="EN21" s="231">
        <v>671444.02</v>
      </c>
      <c r="EO21" s="231">
        <v>84442.89</v>
      </c>
      <c r="EP21" s="229">
        <v>0.1258</v>
      </c>
      <c r="EQ21" s="231">
        <v>55056</v>
      </c>
      <c r="ER21" s="231">
        <v>45953</v>
      </c>
      <c r="ES21" s="231">
        <v>465255</v>
      </c>
      <c r="ET21" s="231">
        <v>212176873</v>
      </c>
      <c r="EU21" s="231">
        <v>566264</v>
      </c>
      <c r="EV21" s="231">
        <v>531872</v>
      </c>
      <c r="EW21" s="231">
        <v>34392</v>
      </c>
      <c r="EX21" s="229">
        <v>6.4699999999999994E-2</v>
      </c>
      <c r="EY21" s="229">
        <v>0.26889999999999997</v>
      </c>
    </row>
    <row r="22" spans="1:155" ht="17.25" thickBot="1" x14ac:dyDescent="0.3">
      <c r="A22" s="226">
        <v>46050</v>
      </c>
      <c r="B22" s="227" t="s">
        <v>168</v>
      </c>
      <c r="C22" s="227" t="s">
        <v>230</v>
      </c>
      <c r="D22" s="231">
        <v>2382.4</v>
      </c>
      <c r="E22" s="231">
        <v>2417.6999999999998</v>
      </c>
      <c r="F22" s="228">
        <v>-35.299999999999997</v>
      </c>
      <c r="G22" s="229">
        <v>-1.46E-2</v>
      </c>
      <c r="H22" s="231">
        <v>2378.4</v>
      </c>
      <c r="I22" s="231">
        <v>2400.9</v>
      </c>
      <c r="J22" s="228">
        <v>-22.5</v>
      </c>
      <c r="K22" s="229">
        <v>-9.4000000000000004E-3</v>
      </c>
      <c r="L22" s="231">
        <v>2382.4</v>
      </c>
      <c r="M22" s="231">
        <v>2402.9</v>
      </c>
      <c r="N22" s="228">
        <v>-20.5</v>
      </c>
      <c r="O22" s="229">
        <v>-8.5000000000000006E-3</v>
      </c>
      <c r="P22" s="231">
        <v>2396.9</v>
      </c>
      <c r="Q22" s="231">
        <v>2417.6999999999998</v>
      </c>
      <c r="R22" s="228">
        <v>-20.8</v>
      </c>
      <c r="S22" s="229">
        <v>-8.6E-3</v>
      </c>
      <c r="T22" s="231">
        <v>2405</v>
      </c>
      <c r="U22" s="231">
        <v>2431.3000000000002</v>
      </c>
      <c r="V22" s="228">
        <v>-26.3</v>
      </c>
      <c r="W22" s="229">
        <v>-1.0800000000000001E-2</v>
      </c>
      <c r="X22" s="228">
        <v>4</v>
      </c>
      <c r="Y22" s="228">
        <v>16.8</v>
      </c>
      <c r="Z22" s="228">
        <v>-12.8</v>
      </c>
      <c r="AA22" s="229">
        <v>1.6999999999999999E-3</v>
      </c>
      <c r="AB22" s="228">
        <v>4</v>
      </c>
      <c r="AC22" s="228">
        <v>2</v>
      </c>
      <c r="AD22" s="228">
        <v>2</v>
      </c>
      <c r="AE22" s="229">
        <v>1.6999999999999999E-3</v>
      </c>
      <c r="AF22" s="228">
        <v>18.5</v>
      </c>
      <c r="AG22" s="228">
        <v>16.8</v>
      </c>
      <c r="AH22" s="228">
        <v>1.7</v>
      </c>
      <c r="AI22" s="229">
        <v>7.7999999999999996E-3</v>
      </c>
      <c r="AJ22" s="228">
        <v>26.6</v>
      </c>
      <c r="AK22" s="228">
        <v>30.4</v>
      </c>
      <c r="AL22" s="228">
        <v>-3.8</v>
      </c>
      <c r="AM22" s="229">
        <v>1.12E-2</v>
      </c>
      <c r="AN22" s="231">
        <v>2375.0100000000002</v>
      </c>
      <c r="AO22" s="231">
        <v>2385.89</v>
      </c>
      <c r="AP22" s="228">
        <v>0</v>
      </c>
      <c r="AQ22" s="230">
        <v>9273</v>
      </c>
      <c r="AR22" s="230">
        <v>20694</v>
      </c>
      <c r="AS22" s="230">
        <v>-11421</v>
      </c>
      <c r="AT22" s="229">
        <v>-0.55189999999999995</v>
      </c>
      <c r="AU22" s="230">
        <v>8955</v>
      </c>
      <c r="AV22" s="230">
        <v>8620</v>
      </c>
      <c r="AW22" s="228">
        <v>335</v>
      </c>
      <c r="AX22" s="229">
        <v>3.8899999999999997E-2</v>
      </c>
      <c r="AY22" s="228">
        <v>275</v>
      </c>
      <c r="AZ22" s="230">
        <v>11832</v>
      </c>
      <c r="BA22" s="230">
        <v>-11557</v>
      </c>
      <c r="BB22" s="229">
        <v>-0.9768</v>
      </c>
      <c r="BC22" s="228">
        <v>43</v>
      </c>
      <c r="BD22" s="228">
        <v>242</v>
      </c>
      <c r="BE22" s="228">
        <v>-199</v>
      </c>
      <c r="BF22" s="229">
        <v>-0.82230000000000003</v>
      </c>
      <c r="BG22" s="230">
        <v>15387</v>
      </c>
      <c r="BH22" s="230">
        <v>24000</v>
      </c>
      <c r="BI22" s="230">
        <v>-8613</v>
      </c>
      <c r="BJ22" s="229">
        <v>-0.3589</v>
      </c>
      <c r="BK22" s="230">
        <v>12323</v>
      </c>
      <c r="BL22" s="230">
        <v>13701</v>
      </c>
      <c r="BM22" s="230">
        <v>-1378</v>
      </c>
      <c r="BN22" s="229">
        <v>-0.10059999999999999</v>
      </c>
      <c r="BO22" s="230">
        <v>36983</v>
      </c>
      <c r="BP22" s="230">
        <v>58395</v>
      </c>
      <c r="BQ22" s="230">
        <v>-21412</v>
      </c>
      <c r="BR22" s="229">
        <v>-0.36670000000000003</v>
      </c>
      <c r="BS22" s="230">
        <v>1869497</v>
      </c>
      <c r="BT22" s="230">
        <v>2113932</v>
      </c>
      <c r="BU22" s="230">
        <v>-244435</v>
      </c>
      <c r="BV22" s="229">
        <v>-0.11559999999999999</v>
      </c>
      <c r="BW22" s="230">
        <v>13987200</v>
      </c>
      <c r="BX22" s="230">
        <v>13632300</v>
      </c>
      <c r="BY22" s="230">
        <v>354900</v>
      </c>
      <c r="BZ22" s="229">
        <v>2.5999999999999999E-2</v>
      </c>
      <c r="CA22" s="230">
        <v>13768500</v>
      </c>
      <c r="CB22" s="230">
        <v>1327200</v>
      </c>
      <c r="CC22" s="230">
        <v>12441300</v>
      </c>
      <c r="CD22" s="229">
        <v>9.3741000000000003</v>
      </c>
      <c r="CE22" s="230">
        <v>210600</v>
      </c>
      <c r="CF22" s="230">
        <v>13420500</v>
      </c>
      <c r="CG22" s="230">
        <v>-13209900</v>
      </c>
      <c r="CH22" s="229">
        <v>-0.98429999999999995</v>
      </c>
      <c r="CI22" s="230">
        <v>8100</v>
      </c>
      <c r="CJ22" s="230">
        <v>211800</v>
      </c>
      <c r="CK22" s="230">
        <v>-203700</v>
      </c>
      <c r="CL22" s="229">
        <v>-0.96179999999999999</v>
      </c>
      <c r="CM22" s="230">
        <v>2114700</v>
      </c>
      <c r="CN22" s="230">
        <v>1623600</v>
      </c>
      <c r="CO22" s="230">
        <v>491100</v>
      </c>
      <c r="CP22" s="229">
        <v>0.30249999999999999</v>
      </c>
      <c r="CQ22" s="230">
        <v>2148000</v>
      </c>
      <c r="CR22" s="230">
        <v>1398300</v>
      </c>
      <c r="CS22" s="230">
        <v>749700</v>
      </c>
      <c r="CT22" s="229">
        <v>0.53620000000000001</v>
      </c>
      <c r="CU22" s="230">
        <v>18249900</v>
      </c>
      <c r="CV22" s="230">
        <v>16654200</v>
      </c>
      <c r="CW22" s="230">
        <v>1595700</v>
      </c>
      <c r="CX22" s="229">
        <v>9.5799999999999996E-2</v>
      </c>
      <c r="CY22" s="228">
        <v>26.04</v>
      </c>
      <c r="CZ22" s="228">
        <v>24.64</v>
      </c>
      <c r="DA22" s="228">
        <v>1.4</v>
      </c>
      <c r="DB22" s="228">
        <v>1.4</v>
      </c>
      <c r="DC22" s="228">
        <v>21.77</v>
      </c>
      <c r="DD22" s="228">
        <v>21.79</v>
      </c>
      <c r="DE22" s="228">
        <v>4.2699999999999996</v>
      </c>
      <c r="DF22" s="228">
        <v>-0.02</v>
      </c>
      <c r="DG22" s="228">
        <v>25.59</v>
      </c>
      <c r="DH22" s="228">
        <v>24.35</v>
      </c>
      <c r="DI22" s="228">
        <v>1.24</v>
      </c>
      <c r="DJ22" s="228">
        <v>1.24</v>
      </c>
      <c r="DK22" s="228">
        <v>26.61</v>
      </c>
      <c r="DL22" s="228">
        <v>25.12</v>
      </c>
      <c r="DM22" s="228">
        <v>1.49</v>
      </c>
      <c r="DN22" s="228">
        <v>1.49</v>
      </c>
      <c r="DO22" s="228">
        <v>1.02</v>
      </c>
      <c r="DP22" s="228">
        <v>0.86</v>
      </c>
      <c r="DQ22" s="228">
        <v>0.16</v>
      </c>
      <c r="DR22" s="229">
        <v>0.186</v>
      </c>
      <c r="DS22" s="231">
        <v>2500</v>
      </c>
      <c r="DT22" s="231">
        <v>2340</v>
      </c>
      <c r="DU22" s="228">
        <v>0.8</v>
      </c>
      <c r="DV22" s="228">
        <v>0.56999999999999995</v>
      </c>
      <c r="DW22" s="228">
        <v>0.23</v>
      </c>
      <c r="DX22" s="229">
        <v>0.40350000000000003</v>
      </c>
      <c r="DY22" s="229">
        <v>1.5599999999999999E-2</v>
      </c>
      <c r="DZ22" s="230">
        <v>13632300</v>
      </c>
      <c r="EA22" s="229">
        <v>6.1000000000000004E-3</v>
      </c>
      <c r="EB22" s="229">
        <v>1.5599999999999999E-2</v>
      </c>
      <c r="EC22" s="228">
        <v>10.88</v>
      </c>
      <c r="ED22" s="229">
        <v>4.5999999999999999E-3</v>
      </c>
      <c r="EE22" s="230">
        <v>1162976</v>
      </c>
      <c r="EF22" s="230">
        <v>1151249</v>
      </c>
      <c r="EG22" s="229">
        <v>1.0200000000000001E-2</v>
      </c>
      <c r="EH22" s="229">
        <v>0.62209999999999999</v>
      </c>
      <c r="EI22" s="231">
        <v>115653.5</v>
      </c>
      <c r="EJ22" s="231">
        <v>86683.32</v>
      </c>
      <c r="EK22" s="231">
        <v>66081.7</v>
      </c>
      <c r="EL22" s="231">
        <v>33591</v>
      </c>
      <c r="EM22" s="231">
        <v>268418.52</v>
      </c>
      <c r="EN22" s="231">
        <v>424741.21</v>
      </c>
      <c r="EO22" s="231">
        <v>-156322.69</v>
      </c>
      <c r="EP22" s="229">
        <v>-0.36799999999999999</v>
      </c>
      <c r="EQ22" s="231">
        <v>53214</v>
      </c>
      <c r="ER22" s="231">
        <v>49418</v>
      </c>
      <c r="ES22" s="231">
        <v>333263</v>
      </c>
      <c r="ET22" s="231">
        <v>91001773</v>
      </c>
      <c r="EU22" s="231">
        <v>435895</v>
      </c>
      <c r="EV22" s="231">
        <v>403150</v>
      </c>
      <c r="EW22" s="231">
        <v>32745</v>
      </c>
      <c r="EX22" s="229">
        <v>8.1199999999999994E-2</v>
      </c>
      <c r="EY22" s="229">
        <v>0.20050000000000001</v>
      </c>
    </row>
    <row r="23" spans="1:155" ht="17.25" thickBot="1" x14ac:dyDescent="0.3">
      <c r="A23" s="226">
        <v>46050</v>
      </c>
      <c r="B23" s="227" t="s">
        <v>172</v>
      </c>
      <c r="C23" s="227" t="s">
        <v>232</v>
      </c>
      <c r="D23" s="231">
        <v>1373.2</v>
      </c>
      <c r="E23" s="231">
        <v>1371.1</v>
      </c>
      <c r="F23" s="228">
        <v>2.1</v>
      </c>
      <c r="G23" s="229">
        <v>1.5E-3</v>
      </c>
      <c r="H23" s="231">
        <v>1367.7</v>
      </c>
      <c r="I23" s="231">
        <v>1361.4</v>
      </c>
      <c r="J23" s="228">
        <v>6.3</v>
      </c>
      <c r="K23" s="229">
        <v>4.5999999999999999E-3</v>
      </c>
      <c r="L23" s="231">
        <v>1373.2</v>
      </c>
      <c r="M23" s="231">
        <v>1363.6</v>
      </c>
      <c r="N23" s="228">
        <v>9.6</v>
      </c>
      <c r="O23" s="229">
        <v>7.0000000000000001E-3</v>
      </c>
      <c r="P23" s="231">
        <v>1382.1</v>
      </c>
      <c r="Q23" s="231">
        <v>1371.1</v>
      </c>
      <c r="R23" s="228">
        <v>11</v>
      </c>
      <c r="S23" s="229">
        <v>8.0000000000000002E-3</v>
      </c>
      <c r="T23" s="231">
        <v>1390.4</v>
      </c>
      <c r="U23" s="231">
        <v>1379.3</v>
      </c>
      <c r="V23" s="228">
        <v>11.1</v>
      </c>
      <c r="W23" s="229">
        <v>8.0000000000000002E-3</v>
      </c>
      <c r="X23" s="228">
        <v>5.5</v>
      </c>
      <c r="Y23" s="228">
        <v>9.6999999999999993</v>
      </c>
      <c r="Z23" s="228">
        <v>-4.2</v>
      </c>
      <c r="AA23" s="229">
        <v>4.0000000000000001E-3</v>
      </c>
      <c r="AB23" s="228">
        <v>5.5</v>
      </c>
      <c r="AC23" s="228">
        <v>2.2000000000000002</v>
      </c>
      <c r="AD23" s="228">
        <v>3.3</v>
      </c>
      <c r="AE23" s="229">
        <v>4.0000000000000001E-3</v>
      </c>
      <c r="AF23" s="228">
        <v>14.4</v>
      </c>
      <c r="AG23" s="228">
        <v>9.6999999999999993</v>
      </c>
      <c r="AH23" s="228">
        <v>4.7</v>
      </c>
      <c r="AI23" s="229">
        <v>1.0500000000000001E-2</v>
      </c>
      <c r="AJ23" s="228">
        <v>22.7</v>
      </c>
      <c r="AK23" s="228">
        <v>17.899999999999999</v>
      </c>
      <c r="AL23" s="228">
        <v>4.8</v>
      </c>
      <c r="AM23" s="229">
        <v>1.66E-2</v>
      </c>
      <c r="AN23" s="231">
        <v>1376.14</v>
      </c>
      <c r="AO23" s="231">
        <v>1383.75</v>
      </c>
      <c r="AP23" s="228">
        <v>0</v>
      </c>
      <c r="AQ23" s="230">
        <v>19653</v>
      </c>
      <c r="AR23" s="230">
        <v>78691</v>
      </c>
      <c r="AS23" s="230">
        <v>-59038</v>
      </c>
      <c r="AT23" s="229">
        <v>-0.75029999999999997</v>
      </c>
      <c r="AU23" s="230">
        <v>18945</v>
      </c>
      <c r="AV23" s="230">
        <v>29989</v>
      </c>
      <c r="AW23" s="230">
        <v>-11044</v>
      </c>
      <c r="AX23" s="229">
        <v>-0.36830000000000002</v>
      </c>
      <c r="AY23" s="228">
        <v>632</v>
      </c>
      <c r="AZ23" s="230">
        <v>47792</v>
      </c>
      <c r="BA23" s="230">
        <v>-47160</v>
      </c>
      <c r="BB23" s="229">
        <v>-0.98680000000000001</v>
      </c>
      <c r="BC23" s="228">
        <v>76</v>
      </c>
      <c r="BD23" s="228">
        <v>910</v>
      </c>
      <c r="BE23" s="228">
        <v>-834</v>
      </c>
      <c r="BF23" s="229">
        <v>-0.91649999999999998</v>
      </c>
      <c r="BG23" s="230">
        <v>43723</v>
      </c>
      <c r="BH23" s="230">
        <v>94983</v>
      </c>
      <c r="BI23" s="230">
        <v>-51260</v>
      </c>
      <c r="BJ23" s="229">
        <v>-0.53969999999999996</v>
      </c>
      <c r="BK23" s="230">
        <v>29898</v>
      </c>
      <c r="BL23" s="230">
        <v>56902</v>
      </c>
      <c r="BM23" s="230">
        <v>-27004</v>
      </c>
      <c r="BN23" s="229">
        <v>-0.47460000000000002</v>
      </c>
      <c r="BO23" s="230">
        <v>93274</v>
      </c>
      <c r="BP23" s="230">
        <v>230576</v>
      </c>
      <c r="BQ23" s="230">
        <v>-137302</v>
      </c>
      <c r="BR23" s="229">
        <v>-0.59550000000000003</v>
      </c>
      <c r="BS23" s="230">
        <v>14097123</v>
      </c>
      <c r="BT23" s="230">
        <v>25459516</v>
      </c>
      <c r="BU23" s="230">
        <v>-11362393</v>
      </c>
      <c r="BV23" s="229">
        <v>-0.44629999999999997</v>
      </c>
      <c r="BW23" s="230">
        <v>126835800</v>
      </c>
      <c r="BX23" s="230">
        <v>128141300</v>
      </c>
      <c r="BY23" s="230">
        <v>-1305500</v>
      </c>
      <c r="BZ23" s="229">
        <v>-1.0200000000000001E-2</v>
      </c>
      <c r="CA23" s="230">
        <v>114639700</v>
      </c>
      <c r="CB23" s="230">
        <v>7996800</v>
      </c>
      <c r="CC23" s="230">
        <v>106642900</v>
      </c>
      <c r="CD23" s="229">
        <v>13.335699999999999</v>
      </c>
      <c r="CE23" s="230">
        <v>12145700</v>
      </c>
      <c r="CF23" s="230">
        <v>116222400</v>
      </c>
      <c r="CG23" s="230">
        <v>-104076700</v>
      </c>
      <c r="CH23" s="229">
        <v>-0.89549999999999996</v>
      </c>
      <c r="CI23" s="230">
        <v>50400</v>
      </c>
      <c r="CJ23" s="230">
        <v>11918900</v>
      </c>
      <c r="CK23" s="230">
        <v>-11868500</v>
      </c>
      <c r="CL23" s="229">
        <v>-0.99580000000000002</v>
      </c>
      <c r="CM23" s="230">
        <v>16459800</v>
      </c>
      <c r="CN23" s="230">
        <v>15206800</v>
      </c>
      <c r="CO23" s="230">
        <v>1253000</v>
      </c>
      <c r="CP23" s="229">
        <v>8.2400000000000001E-2</v>
      </c>
      <c r="CQ23" s="230">
        <v>16323300</v>
      </c>
      <c r="CR23" s="230">
        <v>14679000</v>
      </c>
      <c r="CS23" s="230">
        <v>1644300</v>
      </c>
      <c r="CT23" s="229">
        <v>0.112</v>
      </c>
      <c r="CU23" s="230">
        <v>159618900</v>
      </c>
      <c r="CV23" s="230">
        <v>158027100</v>
      </c>
      <c r="CW23" s="230">
        <v>1591800</v>
      </c>
      <c r="CX23" s="229">
        <v>1.01E-2</v>
      </c>
      <c r="CY23" s="228">
        <v>17.77</v>
      </c>
      <c r="CZ23" s="228">
        <v>18.100000000000001</v>
      </c>
      <c r="DA23" s="228">
        <v>-0.33</v>
      </c>
      <c r="DB23" s="228">
        <v>-0.33</v>
      </c>
      <c r="DC23" s="228">
        <v>20.71</v>
      </c>
      <c r="DD23" s="228">
        <v>20.76</v>
      </c>
      <c r="DE23" s="228">
        <v>-2.94</v>
      </c>
      <c r="DF23" s="228">
        <v>-0.05</v>
      </c>
      <c r="DG23" s="228">
        <v>17.59</v>
      </c>
      <c r="DH23" s="228">
        <v>17.61</v>
      </c>
      <c r="DI23" s="228">
        <v>-0.02</v>
      </c>
      <c r="DJ23" s="228">
        <v>-0.02</v>
      </c>
      <c r="DK23" s="228">
        <v>18.02</v>
      </c>
      <c r="DL23" s="228">
        <v>18.73</v>
      </c>
      <c r="DM23" s="228">
        <v>-0.71</v>
      </c>
      <c r="DN23" s="228">
        <v>-0.71</v>
      </c>
      <c r="DO23" s="228">
        <v>0.99</v>
      </c>
      <c r="DP23" s="228">
        <v>0.97</v>
      </c>
      <c r="DQ23" s="228">
        <v>0.02</v>
      </c>
      <c r="DR23" s="229">
        <v>2.06E-2</v>
      </c>
      <c r="DS23" s="231">
        <v>1400</v>
      </c>
      <c r="DT23" s="231">
        <v>1400</v>
      </c>
      <c r="DU23" s="228">
        <v>0.68</v>
      </c>
      <c r="DV23" s="228">
        <v>0.6</v>
      </c>
      <c r="DW23" s="228">
        <v>0.08</v>
      </c>
      <c r="DX23" s="229">
        <v>0.1333</v>
      </c>
      <c r="DY23" s="229">
        <v>9.6199999999999994E-2</v>
      </c>
      <c r="DZ23" s="230">
        <v>128141300</v>
      </c>
      <c r="EA23" s="229">
        <v>6.4999999999999997E-3</v>
      </c>
      <c r="EB23" s="229">
        <v>9.6199999999999994E-2</v>
      </c>
      <c r="EC23" s="228">
        <v>7.61</v>
      </c>
      <c r="ED23" s="229">
        <v>5.4999999999999997E-3</v>
      </c>
      <c r="EE23" s="230">
        <v>10632094</v>
      </c>
      <c r="EF23" s="230">
        <v>14780781</v>
      </c>
      <c r="EG23" s="229">
        <v>-0.28070000000000001</v>
      </c>
      <c r="EH23" s="229">
        <v>0.75419999999999998</v>
      </c>
      <c r="EI23" s="231">
        <v>435744.81</v>
      </c>
      <c r="EJ23" s="231">
        <v>284974.2</v>
      </c>
      <c r="EK23" s="231">
        <v>189358.95</v>
      </c>
      <c r="EL23" s="231">
        <v>91411</v>
      </c>
      <c r="EM23" s="231">
        <v>910077.96</v>
      </c>
      <c r="EN23" s="231">
        <v>2213717.17</v>
      </c>
      <c r="EO23" s="231">
        <v>-1303639.21</v>
      </c>
      <c r="EP23" s="229">
        <v>-0.58889999999999998</v>
      </c>
      <c r="EQ23" s="231">
        <v>231955</v>
      </c>
      <c r="ER23" s="231">
        <v>219882</v>
      </c>
      <c r="ES23" s="231">
        <v>1742799</v>
      </c>
      <c r="ET23" s="231">
        <v>580601807</v>
      </c>
      <c r="EU23" s="231">
        <v>2194636</v>
      </c>
      <c r="EV23" s="231">
        <v>2168451</v>
      </c>
      <c r="EW23" s="231">
        <v>26185</v>
      </c>
      <c r="EX23" s="229">
        <v>1.21E-2</v>
      </c>
      <c r="EY23" s="229">
        <v>0.27489999999999998</v>
      </c>
    </row>
    <row r="24" spans="1:155" ht="17.25" thickBot="1" x14ac:dyDescent="0.3">
      <c r="A24" s="226">
        <v>46050</v>
      </c>
      <c r="B24" s="227" t="s">
        <v>215</v>
      </c>
      <c r="C24" s="227" t="s">
        <v>238</v>
      </c>
      <c r="D24" s="231">
        <v>4780</v>
      </c>
      <c r="E24" s="231">
        <v>4803</v>
      </c>
      <c r="F24" s="228">
        <v>-23</v>
      </c>
      <c r="G24" s="229">
        <v>-4.7999999999999996E-3</v>
      </c>
      <c r="H24" s="231">
        <v>4749</v>
      </c>
      <c r="I24" s="231">
        <v>4769</v>
      </c>
      <c r="J24" s="228">
        <v>-20</v>
      </c>
      <c r="K24" s="229">
        <v>-4.1999999999999997E-3</v>
      </c>
      <c r="L24" s="231">
        <v>4780</v>
      </c>
      <c r="M24" s="231">
        <v>4766.5</v>
      </c>
      <c r="N24" s="228">
        <v>13.5</v>
      </c>
      <c r="O24" s="229">
        <v>2.8E-3</v>
      </c>
      <c r="P24" s="231">
        <v>4806</v>
      </c>
      <c r="Q24" s="231">
        <v>4803</v>
      </c>
      <c r="R24" s="228">
        <v>3</v>
      </c>
      <c r="S24" s="229">
        <v>5.9999999999999995E-4</v>
      </c>
      <c r="T24" s="231">
        <v>4835</v>
      </c>
      <c r="U24" s="231">
        <v>4832</v>
      </c>
      <c r="V24" s="228">
        <v>3</v>
      </c>
      <c r="W24" s="229">
        <v>5.9999999999999995E-4</v>
      </c>
      <c r="X24" s="228">
        <v>31</v>
      </c>
      <c r="Y24" s="228">
        <v>34</v>
      </c>
      <c r="Z24" s="228">
        <v>-3</v>
      </c>
      <c r="AA24" s="229">
        <v>6.4999999999999997E-3</v>
      </c>
      <c r="AB24" s="228">
        <v>31</v>
      </c>
      <c r="AC24" s="228">
        <v>-2.5</v>
      </c>
      <c r="AD24" s="228">
        <v>33.5</v>
      </c>
      <c r="AE24" s="229">
        <v>6.4999999999999997E-3</v>
      </c>
      <c r="AF24" s="228">
        <v>57</v>
      </c>
      <c r="AG24" s="228">
        <v>34</v>
      </c>
      <c r="AH24" s="228">
        <v>23</v>
      </c>
      <c r="AI24" s="229">
        <v>1.2E-2</v>
      </c>
      <c r="AJ24" s="228">
        <v>86</v>
      </c>
      <c r="AK24" s="228">
        <v>63</v>
      </c>
      <c r="AL24" s="228">
        <v>23</v>
      </c>
      <c r="AM24" s="229">
        <v>1.8100000000000002E-2</v>
      </c>
      <c r="AN24" s="231">
        <v>4784.9799999999996</v>
      </c>
      <c r="AO24" s="231">
        <v>4811.68</v>
      </c>
      <c r="AP24" s="228">
        <v>0</v>
      </c>
      <c r="AQ24" s="230">
        <v>9209</v>
      </c>
      <c r="AR24" s="230">
        <v>43705</v>
      </c>
      <c r="AS24" s="230">
        <v>-34496</v>
      </c>
      <c r="AT24" s="229">
        <v>-0.7893</v>
      </c>
      <c r="AU24" s="230">
        <v>8876</v>
      </c>
      <c r="AV24" s="230">
        <v>20522</v>
      </c>
      <c r="AW24" s="230">
        <v>-11646</v>
      </c>
      <c r="AX24" s="229">
        <v>-0.5675</v>
      </c>
      <c r="AY24" s="228">
        <v>303</v>
      </c>
      <c r="AZ24" s="230">
        <v>22748</v>
      </c>
      <c r="BA24" s="230">
        <v>-22445</v>
      </c>
      <c r="BB24" s="229">
        <v>-0.98670000000000002</v>
      </c>
      <c r="BC24" s="228">
        <v>30</v>
      </c>
      <c r="BD24" s="228">
        <v>435</v>
      </c>
      <c r="BE24" s="228">
        <v>-405</v>
      </c>
      <c r="BF24" s="229">
        <v>-0.93100000000000005</v>
      </c>
      <c r="BG24" s="230">
        <v>16389</v>
      </c>
      <c r="BH24" s="230">
        <v>38666</v>
      </c>
      <c r="BI24" s="230">
        <v>-22277</v>
      </c>
      <c r="BJ24" s="229">
        <v>-0.57609999999999995</v>
      </c>
      <c r="BK24" s="230">
        <v>13525</v>
      </c>
      <c r="BL24" s="230">
        <v>31322</v>
      </c>
      <c r="BM24" s="230">
        <v>-17797</v>
      </c>
      <c r="BN24" s="229">
        <v>-0.56820000000000004</v>
      </c>
      <c r="BO24" s="230">
        <v>39123</v>
      </c>
      <c r="BP24" s="230">
        <v>113693</v>
      </c>
      <c r="BQ24" s="230">
        <v>-74570</v>
      </c>
      <c r="BR24" s="229">
        <v>-0.65590000000000004</v>
      </c>
      <c r="BS24" s="230">
        <v>1131962</v>
      </c>
      <c r="BT24" s="230">
        <v>1276436</v>
      </c>
      <c r="BU24" s="230">
        <v>-144474</v>
      </c>
      <c r="BV24" s="229">
        <v>-0.1132</v>
      </c>
      <c r="BW24" s="230">
        <v>8551650</v>
      </c>
      <c r="BX24" s="230">
        <v>8117700</v>
      </c>
      <c r="BY24" s="230">
        <v>433950</v>
      </c>
      <c r="BZ24" s="229">
        <v>5.3499999999999999E-2</v>
      </c>
      <c r="CA24" s="230">
        <v>8400000</v>
      </c>
      <c r="CB24" s="230">
        <v>717600</v>
      </c>
      <c r="CC24" s="230">
        <v>7682400</v>
      </c>
      <c r="CD24" s="229">
        <v>10.7057</v>
      </c>
      <c r="CE24" s="230">
        <v>149100</v>
      </c>
      <c r="CF24" s="230">
        <v>7972800</v>
      </c>
      <c r="CG24" s="230">
        <v>-7823700</v>
      </c>
      <c r="CH24" s="229">
        <v>-0.98129999999999995</v>
      </c>
      <c r="CI24" s="230">
        <v>2550</v>
      </c>
      <c r="CJ24" s="230">
        <v>144900</v>
      </c>
      <c r="CK24" s="230">
        <v>-142350</v>
      </c>
      <c r="CL24" s="229">
        <v>-0.98240000000000005</v>
      </c>
      <c r="CM24" s="230">
        <v>2066700</v>
      </c>
      <c r="CN24" s="230">
        <v>1822050</v>
      </c>
      <c r="CO24" s="230">
        <v>244650</v>
      </c>
      <c r="CP24" s="229">
        <v>0.1343</v>
      </c>
      <c r="CQ24" s="230">
        <v>1855650</v>
      </c>
      <c r="CR24" s="230">
        <v>1622400</v>
      </c>
      <c r="CS24" s="230">
        <v>233250</v>
      </c>
      <c r="CT24" s="229">
        <v>0.14380000000000001</v>
      </c>
      <c r="CU24" s="230">
        <v>12474000</v>
      </c>
      <c r="CV24" s="230">
        <v>11562150</v>
      </c>
      <c r="CW24" s="230">
        <v>911850</v>
      </c>
      <c r="CX24" s="229">
        <v>7.8899999999999998E-2</v>
      </c>
      <c r="CY24" s="228">
        <v>27.62</v>
      </c>
      <c r="CZ24" s="228">
        <v>28.88</v>
      </c>
      <c r="DA24" s="228">
        <v>-1.26</v>
      </c>
      <c r="DB24" s="228">
        <v>-1.26</v>
      </c>
      <c r="DC24" s="228">
        <v>33.6</v>
      </c>
      <c r="DD24" s="228">
        <v>33.68</v>
      </c>
      <c r="DE24" s="228">
        <v>-5.98</v>
      </c>
      <c r="DF24" s="228">
        <v>-0.08</v>
      </c>
      <c r="DG24" s="228">
        <v>26.79</v>
      </c>
      <c r="DH24" s="228">
        <v>27.97</v>
      </c>
      <c r="DI24" s="228">
        <v>-1.18</v>
      </c>
      <c r="DJ24" s="228">
        <v>-1.18</v>
      </c>
      <c r="DK24" s="228">
        <v>28.63</v>
      </c>
      <c r="DL24" s="228">
        <v>29.86</v>
      </c>
      <c r="DM24" s="228">
        <v>-1.23</v>
      </c>
      <c r="DN24" s="228">
        <v>-1.23</v>
      </c>
      <c r="DO24" s="228">
        <v>0.9</v>
      </c>
      <c r="DP24" s="228">
        <v>0.89</v>
      </c>
      <c r="DQ24" s="228">
        <v>0.01</v>
      </c>
      <c r="DR24" s="229">
        <v>1.12E-2</v>
      </c>
      <c r="DS24" s="231">
        <v>4800</v>
      </c>
      <c r="DT24" s="231">
        <v>4700</v>
      </c>
      <c r="DU24" s="228">
        <v>0.83</v>
      </c>
      <c r="DV24" s="228">
        <v>0.81</v>
      </c>
      <c r="DW24" s="228">
        <v>0.02</v>
      </c>
      <c r="DX24" s="229">
        <v>2.47E-2</v>
      </c>
      <c r="DY24" s="229">
        <v>1.77E-2</v>
      </c>
      <c r="DZ24" s="230">
        <v>8117700</v>
      </c>
      <c r="EA24" s="229">
        <v>5.4000000000000003E-3</v>
      </c>
      <c r="EB24" s="229">
        <v>1.77E-2</v>
      </c>
      <c r="EC24" s="228">
        <v>26.7</v>
      </c>
      <c r="ED24" s="229">
        <v>5.5999999999999999E-3</v>
      </c>
      <c r="EE24" s="230">
        <v>773990</v>
      </c>
      <c r="EF24" s="230">
        <v>728811</v>
      </c>
      <c r="EG24" s="229">
        <v>6.2E-2</v>
      </c>
      <c r="EH24" s="229">
        <v>0.68379999999999996</v>
      </c>
      <c r="EI24" s="231">
        <v>124939.64</v>
      </c>
      <c r="EJ24" s="231">
        <v>96008.62</v>
      </c>
      <c r="EK24" s="231">
        <v>66111.91</v>
      </c>
      <c r="EL24" s="231">
        <v>45391</v>
      </c>
      <c r="EM24" s="231">
        <v>287060.17</v>
      </c>
      <c r="EN24" s="231">
        <v>826500.75</v>
      </c>
      <c r="EO24" s="231">
        <v>-539440.57999999996</v>
      </c>
      <c r="EP24" s="229">
        <v>-0.65269999999999995</v>
      </c>
      <c r="EQ24" s="231">
        <v>105337</v>
      </c>
      <c r="ER24" s="231">
        <v>88442</v>
      </c>
      <c r="ES24" s="231">
        <v>408809</v>
      </c>
      <c r="ET24" s="231">
        <v>33874835</v>
      </c>
      <c r="EU24" s="231">
        <v>602588</v>
      </c>
      <c r="EV24" s="231">
        <v>560885</v>
      </c>
      <c r="EW24" s="231">
        <v>41703</v>
      </c>
      <c r="EX24" s="229">
        <v>7.4399999999999994E-2</v>
      </c>
      <c r="EY24" s="229">
        <v>0.36820000000000003</v>
      </c>
    </row>
    <row r="25" spans="1:155" ht="17.25" thickBot="1" x14ac:dyDescent="0.3">
      <c r="A25" s="226">
        <v>46050</v>
      </c>
      <c r="B25" s="227" t="s">
        <v>221</v>
      </c>
      <c r="C25" s="227" t="s">
        <v>240</v>
      </c>
      <c r="D25" s="231">
        <v>1673.2</v>
      </c>
      <c r="E25" s="231">
        <v>1695.6</v>
      </c>
      <c r="F25" s="228">
        <v>-22.4</v>
      </c>
      <c r="G25" s="229">
        <v>-1.32E-2</v>
      </c>
      <c r="H25" s="231">
        <v>1666.5</v>
      </c>
      <c r="I25" s="231">
        <v>1682.7</v>
      </c>
      <c r="J25" s="228">
        <v>-16.2</v>
      </c>
      <c r="K25" s="229">
        <v>-9.5999999999999992E-3</v>
      </c>
      <c r="L25" s="231">
        <v>1673.2</v>
      </c>
      <c r="M25" s="231">
        <v>1684.7</v>
      </c>
      <c r="N25" s="228">
        <v>-11.5</v>
      </c>
      <c r="O25" s="229">
        <v>-6.7999999999999996E-3</v>
      </c>
      <c r="P25" s="231">
        <v>1683.8</v>
      </c>
      <c r="Q25" s="231">
        <v>1695.6</v>
      </c>
      <c r="R25" s="228">
        <v>-11.8</v>
      </c>
      <c r="S25" s="229">
        <v>-7.0000000000000001E-3</v>
      </c>
      <c r="T25" s="231">
        <v>1694.8</v>
      </c>
      <c r="U25" s="231">
        <v>1706</v>
      </c>
      <c r="V25" s="228">
        <v>-11.2</v>
      </c>
      <c r="W25" s="229">
        <v>-6.6E-3</v>
      </c>
      <c r="X25" s="228">
        <v>6.7</v>
      </c>
      <c r="Y25" s="228">
        <v>12.9</v>
      </c>
      <c r="Z25" s="228">
        <v>-6.2</v>
      </c>
      <c r="AA25" s="229">
        <v>4.0000000000000001E-3</v>
      </c>
      <c r="AB25" s="228">
        <v>6.7</v>
      </c>
      <c r="AC25" s="228">
        <v>2</v>
      </c>
      <c r="AD25" s="228">
        <v>4.7</v>
      </c>
      <c r="AE25" s="229">
        <v>4.0000000000000001E-3</v>
      </c>
      <c r="AF25" s="228">
        <v>17.3</v>
      </c>
      <c r="AG25" s="228">
        <v>12.9</v>
      </c>
      <c r="AH25" s="228">
        <v>4.4000000000000004</v>
      </c>
      <c r="AI25" s="229">
        <v>1.04E-2</v>
      </c>
      <c r="AJ25" s="228">
        <v>28.3</v>
      </c>
      <c r="AK25" s="228">
        <v>23.3</v>
      </c>
      <c r="AL25" s="228">
        <v>5</v>
      </c>
      <c r="AM25" s="229">
        <v>1.7000000000000001E-2</v>
      </c>
      <c r="AN25" s="231">
        <v>1672.61</v>
      </c>
      <c r="AO25" s="231">
        <v>1682.58</v>
      </c>
      <c r="AP25" s="228">
        <v>0</v>
      </c>
      <c r="AQ25" s="230">
        <v>19718</v>
      </c>
      <c r="AR25" s="230">
        <v>78074</v>
      </c>
      <c r="AS25" s="230">
        <v>-58356</v>
      </c>
      <c r="AT25" s="229">
        <v>-0.74739999999999995</v>
      </c>
      <c r="AU25" s="230">
        <v>18775</v>
      </c>
      <c r="AV25" s="230">
        <v>35649</v>
      </c>
      <c r="AW25" s="230">
        <v>-16874</v>
      </c>
      <c r="AX25" s="229">
        <v>-0.4733</v>
      </c>
      <c r="AY25" s="228">
        <v>873</v>
      </c>
      <c r="AZ25" s="230">
        <v>41768</v>
      </c>
      <c r="BA25" s="230">
        <v>-40895</v>
      </c>
      <c r="BB25" s="229">
        <v>-0.97909999999999997</v>
      </c>
      <c r="BC25" s="228">
        <v>70</v>
      </c>
      <c r="BD25" s="228">
        <v>657</v>
      </c>
      <c r="BE25" s="228">
        <v>-587</v>
      </c>
      <c r="BF25" s="229">
        <v>-0.89349999999999996</v>
      </c>
      <c r="BG25" s="230">
        <v>46046</v>
      </c>
      <c r="BH25" s="230">
        <v>86095</v>
      </c>
      <c r="BI25" s="230">
        <v>-40049</v>
      </c>
      <c r="BJ25" s="229">
        <v>-0.4652</v>
      </c>
      <c r="BK25" s="230">
        <v>29457</v>
      </c>
      <c r="BL25" s="230">
        <v>44339</v>
      </c>
      <c r="BM25" s="230">
        <v>-14882</v>
      </c>
      <c r="BN25" s="229">
        <v>-0.33560000000000001</v>
      </c>
      <c r="BO25" s="230">
        <v>95221</v>
      </c>
      <c r="BP25" s="230">
        <v>208508</v>
      </c>
      <c r="BQ25" s="230">
        <v>-113287</v>
      </c>
      <c r="BR25" s="229">
        <v>-0.54330000000000001</v>
      </c>
      <c r="BS25" s="230">
        <v>8962992</v>
      </c>
      <c r="BT25" s="230">
        <v>11165698</v>
      </c>
      <c r="BU25" s="230">
        <v>-2202706</v>
      </c>
      <c r="BV25" s="229">
        <v>-0.1973</v>
      </c>
      <c r="BW25" s="230">
        <v>65920000</v>
      </c>
      <c r="BX25" s="230">
        <v>66801600</v>
      </c>
      <c r="BY25" s="230">
        <v>-881600</v>
      </c>
      <c r="BZ25" s="229">
        <v>-1.32E-2</v>
      </c>
      <c r="CA25" s="230">
        <v>64912400</v>
      </c>
      <c r="CB25" s="230">
        <v>7936000</v>
      </c>
      <c r="CC25" s="230">
        <v>56976400</v>
      </c>
      <c r="CD25" s="229">
        <v>7.1795</v>
      </c>
      <c r="CE25" s="230">
        <v>986800</v>
      </c>
      <c r="CF25" s="230">
        <v>65852000</v>
      </c>
      <c r="CG25" s="230">
        <v>-64865200</v>
      </c>
      <c r="CH25" s="229">
        <v>-0.98499999999999999</v>
      </c>
      <c r="CI25" s="230">
        <v>20800</v>
      </c>
      <c r="CJ25" s="230">
        <v>949600</v>
      </c>
      <c r="CK25" s="230">
        <v>-928800</v>
      </c>
      <c r="CL25" s="229">
        <v>-0.97809999999999997</v>
      </c>
      <c r="CM25" s="230">
        <v>6992000</v>
      </c>
      <c r="CN25" s="230">
        <v>5037600</v>
      </c>
      <c r="CO25" s="230">
        <v>1954400</v>
      </c>
      <c r="CP25" s="229">
        <v>0.38800000000000001</v>
      </c>
      <c r="CQ25" s="230">
        <v>5302800</v>
      </c>
      <c r="CR25" s="230">
        <v>4253600</v>
      </c>
      <c r="CS25" s="230">
        <v>1049200</v>
      </c>
      <c r="CT25" s="229">
        <v>0.2467</v>
      </c>
      <c r="CU25" s="230">
        <v>78214800</v>
      </c>
      <c r="CV25" s="230">
        <v>76092800</v>
      </c>
      <c r="CW25" s="230">
        <v>2122000</v>
      </c>
      <c r="CX25" s="229">
        <v>2.7900000000000001E-2</v>
      </c>
      <c r="CY25" s="228">
        <v>22.1</v>
      </c>
      <c r="CZ25" s="228">
        <v>23.07</v>
      </c>
      <c r="DA25" s="228">
        <v>-0.97</v>
      </c>
      <c r="DB25" s="228">
        <v>-0.97</v>
      </c>
      <c r="DC25" s="228">
        <v>28.51</v>
      </c>
      <c r="DD25" s="228">
        <v>28.55</v>
      </c>
      <c r="DE25" s="228">
        <v>-6.41</v>
      </c>
      <c r="DF25" s="228">
        <v>-0.04</v>
      </c>
      <c r="DG25" s="228">
        <v>21.28</v>
      </c>
      <c r="DH25" s="228">
        <v>22.14</v>
      </c>
      <c r="DI25" s="228">
        <v>-0.86</v>
      </c>
      <c r="DJ25" s="228">
        <v>-0.86</v>
      </c>
      <c r="DK25" s="228">
        <v>23.4</v>
      </c>
      <c r="DL25" s="228">
        <v>24.76</v>
      </c>
      <c r="DM25" s="228">
        <v>-1.36</v>
      </c>
      <c r="DN25" s="228">
        <v>-1.36</v>
      </c>
      <c r="DO25" s="228">
        <v>0.76</v>
      </c>
      <c r="DP25" s="228">
        <v>0.84</v>
      </c>
      <c r="DQ25" s="228">
        <v>-0.08</v>
      </c>
      <c r="DR25" s="229">
        <v>-9.5200000000000007E-2</v>
      </c>
      <c r="DS25" s="231">
        <v>1700</v>
      </c>
      <c r="DT25" s="231">
        <v>1600</v>
      </c>
      <c r="DU25" s="228">
        <v>0.64</v>
      </c>
      <c r="DV25" s="228">
        <v>0.52</v>
      </c>
      <c r="DW25" s="228">
        <v>0.12</v>
      </c>
      <c r="DX25" s="229">
        <v>0.23080000000000001</v>
      </c>
      <c r="DY25" s="229">
        <v>1.5299999999999999E-2</v>
      </c>
      <c r="DZ25" s="230">
        <v>66801600</v>
      </c>
      <c r="EA25" s="229">
        <v>6.3E-3</v>
      </c>
      <c r="EB25" s="229">
        <v>1.5299999999999999E-2</v>
      </c>
      <c r="EC25" s="228">
        <v>9.9700000000000006</v>
      </c>
      <c r="ED25" s="229">
        <v>6.0000000000000001E-3</v>
      </c>
      <c r="EE25" s="230">
        <v>5400277</v>
      </c>
      <c r="EF25" s="230">
        <v>7671769</v>
      </c>
      <c r="EG25" s="229">
        <v>-0.29609999999999997</v>
      </c>
      <c r="EH25" s="229">
        <v>0.60250000000000004</v>
      </c>
      <c r="EI25" s="231">
        <v>322759.82</v>
      </c>
      <c r="EJ25" s="231">
        <v>193774.1</v>
      </c>
      <c r="EK25" s="231">
        <v>131960.63</v>
      </c>
      <c r="EL25" s="231">
        <v>103547</v>
      </c>
      <c r="EM25" s="231">
        <v>648494.55000000005</v>
      </c>
      <c r="EN25" s="231">
        <v>1407484.45</v>
      </c>
      <c r="EO25" s="231">
        <v>-758989.9</v>
      </c>
      <c r="EP25" s="229">
        <v>-0.5393</v>
      </c>
      <c r="EQ25" s="231">
        <v>120885</v>
      </c>
      <c r="ER25" s="231">
        <v>84481</v>
      </c>
      <c r="ES25" s="231">
        <v>1103083</v>
      </c>
      <c r="ET25" s="231">
        <v>368703409</v>
      </c>
      <c r="EU25" s="231">
        <v>1308448</v>
      </c>
      <c r="EV25" s="231">
        <v>1287832</v>
      </c>
      <c r="EW25" s="231">
        <v>20616</v>
      </c>
      <c r="EX25" s="229">
        <v>1.6E-2</v>
      </c>
      <c r="EY25" s="229">
        <v>0.21210000000000001</v>
      </c>
    </row>
    <row r="26" spans="1:155" ht="17.25" thickBot="1" x14ac:dyDescent="0.3">
      <c r="A26" s="226">
        <v>46050</v>
      </c>
      <c r="B26" s="227" t="s">
        <v>168</v>
      </c>
      <c r="C26" s="227" t="s">
        <v>242</v>
      </c>
      <c r="D26" s="228">
        <v>322.75</v>
      </c>
      <c r="E26" s="228">
        <v>320.45</v>
      </c>
      <c r="F26" s="228">
        <v>2.2999999999999998</v>
      </c>
      <c r="G26" s="229">
        <v>7.1999999999999998E-3</v>
      </c>
      <c r="H26" s="228">
        <v>321.14999999999998</v>
      </c>
      <c r="I26" s="228">
        <v>318.64999999999998</v>
      </c>
      <c r="J26" s="228">
        <v>2.5</v>
      </c>
      <c r="K26" s="229">
        <v>7.7999999999999996E-3</v>
      </c>
      <c r="L26" s="228">
        <v>322.75</v>
      </c>
      <c r="M26" s="228">
        <v>319.2</v>
      </c>
      <c r="N26" s="228">
        <v>3.55</v>
      </c>
      <c r="O26" s="229">
        <v>1.11E-2</v>
      </c>
      <c r="P26" s="228">
        <v>324.89999999999998</v>
      </c>
      <c r="Q26" s="228">
        <v>320.45</v>
      </c>
      <c r="R26" s="228">
        <v>4.45</v>
      </c>
      <c r="S26" s="229">
        <v>1.3899999999999999E-2</v>
      </c>
      <c r="T26" s="228">
        <v>326.7</v>
      </c>
      <c r="U26" s="228">
        <v>322.45</v>
      </c>
      <c r="V26" s="228">
        <v>4.25</v>
      </c>
      <c r="W26" s="229">
        <v>1.32E-2</v>
      </c>
      <c r="X26" s="228">
        <v>1.6</v>
      </c>
      <c r="Y26" s="228">
        <v>1.8</v>
      </c>
      <c r="Z26" s="228">
        <v>-0.2</v>
      </c>
      <c r="AA26" s="229">
        <v>5.0000000000000001E-3</v>
      </c>
      <c r="AB26" s="228">
        <v>1.6</v>
      </c>
      <c r="AC26" s="228">
        <v>0.55000000000000004</v>
      </c>
      <c r="AD26" s="228">
        <v>1.05</v>
      </c>
      <c r="AE26" s="229">
        <v>5.0000000000000001E-3</v>
      </c>
      <c r="AF26" s="228">
        <v>3.75</v>
      </c>
      <c r="AG26" s="228">
        <v>1.8</v>
      </c>
      <c r="AH26" s="228">
        <v>1.95</v>
      </c>
      <c r="AI26" s="229">
        <v>1.17E-2</v>
      </c>
      <c r="AJ26" s="228">
        <v>5.55</v>
      </c>
      <c r="AK26" s="228">
        <v>3.8</v>
      </c>
      <c r="AL26" s="228">
        <v>1.75</v>
      </c>
      <c r="AM26" s="229">
        <v>1.7299999999999999E-2</v>
      </c>
      <c r="AN26" s="228">
        <v>322.51</v>
      </c>
      <c r="AO26" s="228">
        <v>324.66000000000003</v>
      </c>
      <c r="AP26" s="228">
        <v>0</v>
      </c>
      <c r="AQ26" s="230">
        <v>13321</v>
      </c>
      <c r="AR26" s="230">
        <v>128298</v>
      </c>
      <c r="AS26" s="230">
        <v>-114977</v>
      </c>
      <c r="AT26" s="229">
        <v>-0.8962</v>
      </c>
      <c r="AU26" s="230">
        <v>12340</v>
      </c>
      <c r="AV26" s="230">
        <v>64747</v>
      </c>
      <c r="AW26" s="230">
        <v>-52407</v>
      </c>
      <c r="AX26" s="229">
        <v>-0.80940000000000001</v>
      </c>
      <c r="AY26" s="228">
        <v>841</v>
      </c>
      <c r="AZ26" s="230">
        <v>60875</v>
      </c>
      <c r="BA26" s="230">
        <v>-60034</v>
      </c>
      <c r="BB26" s="229">
        <v>-0.98619999999999997</v>
      </c>
      <c r="BC26" s="228">
        <v>140</v>
      </c>
      <c r="BD26" s="230">
        <v>2676</v>
      </c>
      <c r="BE26" s="230">
        <v>-2536</v>
      </c>
      <c r="BF26" s="229">
        <v>-0.94769999999999999</v>
      </c>
      <c r="BG26" s="230">
        <v>53888</v>
      </c>
      <c r="BH26" s="230">
        <v>72976</v>
      </c>
      <c r="BI26" s="230">
        <v>-19088</v>
      </c>
      <c r="BJ26" s="229">
        <v>-0.2616</v>
      </c>
      <c r="BK26" s="230">
        <v>27583</v>
      </c>
      <c r="BL26" s="230">
        <v>72134</v>
      </c>
      <c r="BM26" s="230">
        <v>-44551</v>
      </c>
      <c r="BN26" s="229">
        <v>-0.61760000000000004</v>
      </c>
      <c r="BO26" s="230">
        <v>94792</v>
      </c>
      <c r="BP26" s="230">
        <v>273408</v>
      </c>
      <c r="BQ26" s="230">
        <v>-178616</v>
      </c>
      <c r="BR26" s="229">
        <v>-0.65329999999999999</v>
      </c>
      <c r="BS26" s="230">
        <v>29743603</v>
      </c>
      <c r="BT26" s="230">
        <v>49501718</v>
      </c>
      <c r="BU26" s="230">
        <v>-19758115</v>
      </c>
      <c r="BV26" s="229">
        <v>-0.39910000000000001</v>
      </c>
      <c r="BW26" s="230">
        <v>190608000</v>
      </c>
      <c r="BX26" s="230">
        <v>189019200</v>
      </c>
      <c r="BY26" s="230">
        <v>1588800</v>
      </c>
      <c r="BZ26" s="229">
        <v>8.3999999999999995E-3</v>
      </c>
      <c r="CA26" s="230">
        <v>178304000</v>
      </c>
      <c r="CB26" s="230">
        <v>53534400</v>
      </c>
      <c r="CC26" s="230">
        <v>124769600</v>
      </c>
      <c r="CD26" s="229">
        <v>2.3306</v>
      </c>
      <c r="CE26" s="230">
        <v>12153600</v>
      </c>
      <c r="CF26" s="230">
        <v>177107200</v>
      </c>
      <c r="CG26" s="230">
        <v>-164953600</v>
      </c>
      <c r="CH26" s="229">
        <v>-0.93140000000000001</v>
      </c>
      <c r="CI26" s="230">
        <v>150400</v>
      </c>
      <c r="CJ26" s="230">
        <v>11912000</v>
      </c>
      <c r="CK26" s="230">
        <v>-11761600</v>
      </c>
      <c r="CL26" s="229">
        <v>-0.98740000000000006</v>
      </c>
      <c r="CM26" s="230">
        <v>83595200</v>
      </c>
      <c r="CN26" s="230">
        <v>70659200</v>
      </c>
      <c r="CO26" s="230">
        <v>12936000</v>
      </c>
      <c r="CP26" s="229">
        <v>0.18310000000000001</v>
      </c>
      <c r="CQ26" s="230">
        <v>63046400</v>
      </c>
      <c r="CR26" s="230">
        <v>58313600</v>
      </c>
      <c r="CS26" s="230">
        <v>4732800</v>
      </c>
      <c r="CT26" s="229">
        <v>8.1199999999999994E-2</v>
      </c>
      <c r="CU26" s="230">
        <v>337249600</v>
      </c>
      <c r="CV26" s="230">
        <v>317992000</v>
      </c>
      <c r="CW26" s="230">
        <v>19257600</v>
      </c>
      <c r="CX26" s="229">
        <v>6.0600000000000001E-2</v>
      </c>
      <c r="CY26" s="228">
        <v>28.09</v>
      </c>
      <c r="CZ26" s="228">
        <v>28.08</v>
      </c>
      <c r="DA26" s="228">
        <v>0.01</v>
      </c>
      <c r="DB26" s="228">
        <v>0.01</v>
      </c>
      <c r="DC26" s="228">
        <v>23.15</v>
      </c>
      <c r="DD26" s="228">
        <v>23.19</v>
      </c>
      <c r="DE26" s="228">
        <v>4.9400000000000004</v>
      </c>
      <c r="DF26" s="228">
        <v>-0.04</v>
      </c>
      <c r="DG26" s="228">
        <v>27.45</v>
      </c>
      <c r="DH26" s="228">
        <v>27.76</v>
      </c>
      <c r="DI26" s="228">
        <v>-0.31</v>
      </c>
      <c r="DJ26" s="228">
        <v>-0.31</v>
      </c>
      <c r="DK26" s="228">
        <v>29.35</v>
      </c>
      <c r="DL26" s="228">
        <v>28.41</v>
      </c>
      <c r="DM26" s="228">
        <v>0.94</v>
      </c>
      <c r="DN26" s="228">
        <v>0.94</v>
      </c>
      <c r="DO26" s="228">
        <v>0.75</v>
      </c>
      <c r="DP26" s="228">
        <v>0.83</v>
      </c>
      <c r="DQ26" s="228">
        <v>-0.08</v>
      </c>
      <c r="DR26" s="229">
        <v>-9.64E-2</v>
      </c>
      <c r="DS26" s="228">
        <v>350</v>
      </c>
      <c r="DT26" s="228">
        <v>300</v>
      </c>
      <c r="DU26" s="228">
        <v>0.51</v>
      </c>
      <c r="DV26" s="228">
        <v>0.99</v>
      </c>
      <c r="DW26" s="228">
        <v>-0.48</v>
      </c>
      <c r="DX26" s="229">
        <v>-0.48480000000000001</v>
      </c>
      <c r="DY26" s="229">
        <v>6.4600000000000005E-2</v>
      </c>
      <c r="DZ26" s="230">
        <v>189019200</v>
      </c>
      <c r="EA26" s="229">
        <v>6.7000000000000002E-3</v>
      </c>
      <c r="EB26" s="229">
        <v>6.4600000000000005E-2</v>
      </c>
      <c r="EC26" s="228">
        <v>2.15</v>
      </c>
      <c r="ED26" s="229">
        <v>6.7000000000000002E-3</v>
      </c>
      <c r="EE26" s="230">
        <v>18873003</v>
      </c>
      <c r="EF26" s="230">
        <v>33650125</v>
      </c>
      <c r="EG26" s="229">
        <v>-0.43909999999999999</v>
      </c>
      <c r="EH26" s="229">
        <v>0.63449999999999995</v>
      </c>
      <c r="EI26" s="231">
        <v>302294.71000000002</v>
      </c>
      <c r="EJ26" s="231">
        <v>141284.75</v>
      </c>
      <c r="EK26" s="231">
        <v>68774.850000000006</v>
      </c>
      <c r="EL26" s="231">
        <v>70435</v>
      </c>
      <c r="EM26" s="231">
        <v>512354.31</v>
      </c>
      <c r="EN26" s="231">
        <v>1454552.34</v>
      </c>
      <c r="EO26" s="231">
        <v>-942198.03</v>
      </c>
      <c r="EP26" s="229">
        <v>-0.64780000000000004</v>
      </c>
      <c r="EQ26" s="231">
        <v>294218</v>
      </c>
      <c r="ER26" s="231">
        <v>207650</v>
      </c>
      <c r="ES26" s="231">
        <v>615455</v>
      </c>
      <c r="ET26" s="231">
        <v>1252401670</v>
      </c>
      <c r="EU26" s="231">
        <v>1117323</v>
      </c>
      <c r="EV26" s="231">
        <v>1049251</v>
      </c>
      <c r="EW26" s="231">
        <v>68072</v>
      </c>
      <c r="EX26" s="229">
        <v>6.4899999999999999E-2</v>
      </c>
      <c r="EY26" s="229">
        <v>0.26929999999999998</v>
      </c>
    </row>
    <row r="27" spans="1:155" ht="17.25" thickBot="1" x14ac:dyDescent="0.3">
      <c r="A27" s="226">
        <v>46050</v>
      </c>
      <c r="B27" s="227" t="s">
        <v>175</v>
      </c>
      <c r="C27" s="227" t="s">
        <v>570</v>
      </c>
      <c r="D27" s="228">
        <v>256.95</v>
      </c>
      <c r="E27" s="228">
        <v>257.3</v>
      </c>
      <c r="F27" s="228">
        <v>-0.35</v>
      </c>
      <c r="G27" s="229">
        <v>-1.4E-3</v>
      </c>
      <c r="H27" s="228">
        <v>255.2</v>
      </c>
      <c r="I27" s="228">
        <v>256.05</v>
      </c>
      <c r="J27" s="228">
        <v>-0.85</v>
      </c>
      <c r="K27" s="229">
        <v>-3.3E-3</v>
      </c>
      <c r="L27" s="228">
        <v>256.95</v>
      </c>
      <c r="M27" s="228">
        <v>255.25</v>
      </c>
      <c r="N27" s="228">
        <v>1.7</v>
      </c>
      <c r="O27" s="229">
        <v>6.7000000000000002E-3</v>
      </c>
      <c r="P27" s="228">
        <v>258.8</v>
      </c>
      <c r="Q27" s="228">
        <v>257.3</v>
      </c>
      <c r="R27" s="228">
        <v>1.5</v>
      </c>
      <c r="S27" s="229">
        <v>5.7999999999999996E-3</v>
      </c>
      <c r="T27" s="228">
        <v>260.10000000000002</v>
      </c>
      <c r="U27" s="228">
        <v>259.3</v>
      </c>
      <c r="V27" s="228">
        <v>0.8</v>
      </c>
      <c r="W27" s="229">
        <v>3.0999999999999999E-3</v>
      </c>
      <c r="X27" s="228">
        <v>1.75</v>
      </c>
      <c r="Y27" s="228">
        <v>1.25</v>
      </c>
      <c r="Z27" s="228">
        <v>0.5</v>
      </c>
      <c r="AA27" s="229">
        <v>6.8999999999999999E-3</v>
      </c>
      <c r="AB27" s="228">
        <v>1.75</v>
      </c>
      <c r="AC27" s="228">
        <v>-0.8</v>
      </c>
      <c r="AD27" s="228">
        <v>2.5499999999999998</v>
      </c>
      <c r="AE27" s="229">
        <v>6.8999999999999999E-3</v>
      </c>
      <c r="AF27" s="228">
        <v>3.6</v>
      </c>
      <c r="AG27" s="228">
        <v>1.25</v>
      </c>
      <c r="AH27" s="228">
        <v>2.35</v>
      </c>
      <c r="AI27" s="229">
        <v>1.41E-2</v>
      </c>
      <c r="AJ27" s="228">
        <v>4.9000000000000004</v>
      </c>
      <c r="AK27" s="228">
        <v>3.25</v>
      </c>
      <c r="AL27" s="228">
        <v>1.65</v>
      </c>
      <c r="AM27" s="229">
        <v>1.9199999999999998E-2</v>
      </c>
      <c r="AN27" s="228">
        <v>256.8</v>
      </c>
      <c r="AO27" s="228">
        <v>258.7</v>
      </c>
      <c r="AP27" s="228">
        <v>0</v>
      </c>
      <c r="AQ27" s="230">
        <v>10299</v>
      </c>
      <c r="AR27" s="230">
        <v>51892</v>
      </c>
      <c r="AS27" s="230">
        <v>-41593</v>
      </c>
      <c r="AT27" s="229">
        <v>-0.80149999999999999</v>
      </c>
      <c r="AU27" s="230">
        <v>9367</v>
      </c>
      <c r="AV27" s="230">
        <v>23540</v>
      </c>
      <c r="AW27" s="230">
        <v>-14173</v>
      </c>
      <c r="AX27" s="229">
        <v>-0.60209999999999997</v>
      </c>
      <c r="AY27" s="228">
        <v>765</v>
      </c>
      <c r="AZ27" s="230">
        <v>26890</v>
      </c>
      <c r="BA27" s="230">
        <v>-26125</v>
      </c>
      <c r="BB27" s="229">
        <v>-0.97160000000000002</v>
      </c>
      <c r="BC27" s="228">
        <v>167</v>
      </c>
      <c r="BD27" s="230">
        <v>1462</v>
      </c>
      <c r="BE27" s="230">
        <v>-1295</v>
      </c>
      <c r="BF27" s="229">
        <v>-0.88580000000000003</v>
      </c>
      <c r="BG27" s="230">
        <v>30532</v>
      </c>
      <c r="BH27" s="230">
        <v>29361</v>
      </c>
      <c r="BI27" s="230">
        <v>1171</v>
      </c>
      <c r="BJ27" s="229">
        <v>3.9899999999999998E-2</v>
      </c>
      <c r="BK27" s="230">
        <v>10877</v>
      </c>
      <c r="BL27" s="230">
        <v>19784</v>
      </c>
      <c r="BM27" s="230">
        <v>-8907</v>
      </c>
      <c r="BN27" s="229">
        <v>-0.45019999999999999</v>
      </c>
      <c r="BO27" s="230">
        <v>51708</v>
      </c>
      <c r="BP27" s="230">
        <v>101037</v>
      </c>
      <c r="BQ27" s="230">
        <v>-49329</v>
      </c>
      <c r="BR27" s="229">
        <v>-0.48820000000000002</v>
      </c>
      <c r="BS27" s="230">
        <v>19888139</v>
      </c>
      <c r="BT27" s="230">
        <v>16346264</v>
      </c>
      <c r="BU27" s="230">
        <v>3541875</v>
      </c>
      <c r="BV27" s="229">
        <v>0.2167</v>
      </c>
      <c r="BW27" s="230">
        <v>167376400</v>
      </c>
      <c r="BX27" s="230">
        <v>165000550</v>
      </c>
      <c r="BY27" s="230">
        <v>2375850</v>
      </c>
      <c r="BZ27" s="229">
        <v>1.44E-2</v>
      </c>
      <c r="CA27" s="230">
        <v>159073850</v>
      </c>
      <c r="CB27" s="230">
        <v>18630800</v>
      </c>
      <c r="CC27" s="230">
        <v>140443050</v>
      </c>
      <c r="CD27" s="229">
        <v>7.5381999999999998</v>
      </c>
      <c r="CE27" s="230">
        <v>8048750</v>
      </c>
      <c r="CF27" s="230">
        <v>157553400</v>
      </c>
      <c r="CG27" s="230">
        <v>-149504650</v>
      </c>
      <c r="CH27" s="229">
        <v>-0.94889999999999997</v>
      </c>
      <c r="CI27" s="230">
        <v>253800</v>
      </c>
      <c r="CJ27" s="230">
        <v>7447150</v>
      </c>
      <c r="CK27" s="230">
        <v>-7193350</v>
      </c>
      <c r="CL27" s="229">
        <v>-0.96589999999999998</v>
      </c>
      <c r="CM27" s="230">
        <v>54360200</v>
      </c>
      <c r="CN27" s="230">
        <v>42255350</v>
      </c>
      <c r="CO27" s="230">
        <v>12104850</v>
      </c>
      <c r="CP27" s="229">
        <v>0.28649999999999998</v>
      </c>
      <c r="CQ27" s="230">
        <v>38869000</v>
      </c>
      <c r="CR27" s="230">
        <v>35496750</v>
      </c>
      <c r="CS27" s="230">
        <v>3372250</v>
      </c>
      <c r="CT27" s="229">
        <v>9.5000000000000001E-2</v>
      </c>
      <c r="CU27" s="230">
        <v>260605600</v>
      </c>
      <c r="CV27" s="230">
        <v>242752650</v>
      </c>
      <c r="CW27" s="230">
        <v>17852950</v>
      </c>
      <c r="CX27" s="229">
        <v>7.3499999999999996E-2</v>
      </c>
      <c r="CY27" s="228">
        <v>32.15</v>
      </c>
      <c r="CZ27" s="228">
        <v>32.93</v>
      </c>
      <c r="DA27" s="228">
        <v>-0.78</v>
      </c>
      <c r="DB27" s="228">
        <v>-0.78</v>
      </c>
      <c r="DC27" s="228">
        <v>33.97</v>
      </c>
      <c r="DD27" s="228">
        <v>34.06</v>
      </c>
      <c r="DE27" s="228">
        <v>-1.82</v>
      </c>
      <c r="DF27" s="228">
        <v>-0.09</v>
      </c>
      <c r="DG27" s="228">
        <v>32.39</v>
      </c>
      <c r="DH27" s="228">
        <v>32.5</v>
      </c>
      <c r="DI27" s="228">
        <v>-0.11</v>
      </c>
      <c r="DJ27" s="228">
        <v>-0.11</v>
      </c>
      <c r="DK27" s="228">
        <v>31.5</v>
      </c>
      <c r="DL27" s="228">
        <v>33.65</v>
      </c>
      <c r="DM27" s="228">
        <v>-2.15</v>
      </c>
      <c r="DN27" s="228">
        <v>-2.15</v>
      </c>
      <c r="DO27" s="228">
        <v>0.72</v>
      </c>
      <c r="DP27" s="228">
        <v>0.84</v>
      </c>
      <c r="DQ27" s="228">
        <v>-0.12</v>
      </c>
      <c r="DR27" s="229">
        <v>-0.1429</v>
      </c>
      <c r="DS27" s="228">
        <v>300</v>
      </c>
      <c r="DT27" s="228">
        <v>250</v>
      </c>
      <c r="DU27" s="228">
        <v>0.36</v>
      </c>
      <c r="DV27" s="228">
        <v>0.67</v>
      </c>
      <c r="DW27" s="228">
        <v>-0.31</v>
      </c>
      <c r="DX27" s="229">
        <v>-0.4627</v>
      </c>
      <c r="DY27" s="229">
        <v>4.9599999999999998E-2</v>
      </c>
      <c r="DZ27" s="230">
        <v>165000550</v>
      </c>
      <c r="EA27" s="229">
        <v>7.1999999999999998E-3</v>
      </c>
      <c r="EB27" s="229">
        <v>4.9599999999999998E-2</v>
      </c>
      <c r="EC27" s="228">
        <v>1.9</v>
      </c>
      <c r="ED27" s="229">
        <v>7.4000000000000003E-3</v>
      </c>
      <c r="EE27" s="230">
        <v>11324218</v>
      </c>
      <c r="EF27" s="230">
        <v>6943482</v>
      </c>
      <c r="EG27" s="229">
        <v>0.63090000000000002</v>
      </c>
      <c r="EH27" s="229">
        <v>0.56940000000000002</v>
      </c>
      <c r="EI27" s="231">
        <v>202195.83</v>
      </c>
      <c r="EJ27" s="231">
        <v>66270.820000000007</v>
      </c>
      <c r="EK27" s="231">
        <v>62198.52</v>
      </c>
      <c r="EL27" s="231">
        <v>39294</v>
      </c>
      <c r="EM27" s="231">
        <v>330665.17</v>
      </c>
      <c r="EN27" s="231">
        <v>630225.31000000006</v>
      </c>
      <c r="EO27" s="231">
        <v>-299560.14</v>
      </c>
      <c r="EP27" s="229">
        <v>-0.4753</v>
      </c>
      <c r="EQ27" s="231">
        <v>155316</v>
      </c>
      <c r="ER27" s="231">
        <v>105998</v>
      </c>
      <c r="ES27" s="231">
        <v>430231</v>
      </c>
      <c r="ET27" s="231">
        <v>355358091</v>
      </c>
      <c r="EU27" s="231">
        <v>691544</v>
      </c>
      <c r="EV27" s="231">
        <v>643332</v>
      </c>
      <c r="EW27" s="231">
        <v>48212</v>
      </c>
      <c r="EX27" s="229">
        <v>7.4899999999999994E-2</v>
      </c>
      <c r="EY27" s="229">
        <v>0.73340000000000005</v>
      </c>
    </row>
    <row r="28" spans="1:155" ht="17.25" thickBot="1" x14ac:dyDescent="0.3">
      <c r="A28" s="226">
        <v>46050</v>
      </c>
      <c r="B28" s="227" t="s">
        <v>227</v>
      </c>
      <c r="C28" s="227" t="s">
        <v>244</v>
      </c>
      <c r="D28" s="231">
        <v>1223.5999999999999</v>
      </c>
      <c r="E28" s="231">
        <v>1231.4000000000001</v>
      </c>
      <c r="F28" s="228">
        <v>-7.8</v>
      </c>
      <c r="G28" s="229">
        <v>-6.3E-3</v>
      </c>
      <c r="H28" s="231">
        <v>1218.7</v>
      </c>
      <c r="I28" s="231">
        <v>1222</v>
      </c>
      <c r="J28" s="228">
        <v>-3.3</v>
      </c>
      <c r="K28" s="229">
        <v>-2.7000000000000001E-3</v>
      </c>
      <c r="L28" s="231">
        <v>1223.5999999999999</v>
      </c>
      <c r="M28" s="231">
        <v>1224.3</v>
      </c>
      <c r="N28" s="228">
        <v>-0.7</v>
      </c>
      <c r="O28" s="229">
        <v>-5.9999999999999995E-4</v>
      </c>
      <c r="P28" s="231">
        <v>1231</v>
      </c>
      <c r="Q28" s="231">
        <v>1231.4000000000001</v>
      </c>
      <c r="R28" s="228">
        <v>-0.4</v>
      </c>
      <c r="S28" s="229">
        <v>-2.9999999999999997E-4</v>
      </c>
      <c r="T28" s="231">
        <v>1236.5</v>
      </c>
      <c r="U28" s="231">
        <v>1238.0999999999999</v>
      </c>
      <c r="V28" s="228">
        <v>-1.6</v>
      </c>
      <c r="W28" s="229">
        <v>-1.2999999999999999E-3</v>
      </c>
      <c r="X28" s="228">
        <v>4.9000000000000004</v>
      </c>
      <c r="Y28" s="228">
        <v>9.4</v>
      </c>
      <c r="Z28" s="228">
        <v>-4.5</v>
      </c>
      <c r="AA28" s="229">
        <v>4.0000000000000001E-3</v>
      </c>
      <c r="AB28" s="228">
        <v>4.9000000000000004</v>
      </c>
      <c r="AC28" s="228">
        <v>2.2999999999999998</v>
      </c>
      <c r="AD28" s="228">
        <v>2.6</v>
      </c>
      <c r="AE28" s="229">
        <v>4.0000000000000001E-3</v>
      </c>
      <c r="AF28" s="228">
        <v>12.3</v>
      </c>
      <c r="AG28" s="228">
        <v>9.4</v>
      </c>
      <c r="AH28" s="228">
        <v>2.9</v>
      </c>
      <c r="AI28" s="229">
        <v>1.01E-2</v>
      </c>
      <c r="AJ28" s="228">
        <v>17.8</v>
      </c>
      <c r="AK28" s="228">
        <v>16.100000000000001</v>
      </c>
      <c r="AL28" s="228">
        <v>1.7</v>
      </c>
      <c r="AM28" s="229">
        <v>1.46E-2</v>
      </c>
      <c r="AN28" s="231">
        <v>1224.48</v>
      </c>
      <c r="AO28" s="231">
        <v>1232.1600000000001</v>
      </c>
      <c r="AP28" s="228">
        <v>0</v>
      </c>
      <c r="AQ28" s="230">
        <v>5734</v>
      </c>
      <c r="AR28" s="230">
        <v>31909</v>
      </c>
      <c r="AS28" s="230">
        <v>-26175</v>
      </c>
      <c r="AT28" s="229">
        <v>-0.82030000000000003</v>
      </c>
      <c r="AU28" s="230">
        <v>5432</v>
      </c>
      <c r="AV28" s="230">
        <v>13498</v>
      </c>
      <c r="AW28" s="230">
        <v>-8066</v>
      </c>
      <c r="AX28" s="229">
        <v>-0.59760000000000002</v>
      </c>
      <c r="AY28" s="228">
        <v>283</v>
      </c>
      <c r="AZ28" s="230">
        <v>18143</v>
      </c>
      <c r="BA28" s="230">
        <v>-17860</v>
      </c>
      <c r="BB28" s="229">
        <v>-0.98440000000000005</v>
      </c>
      <c r="BC28" s="228">
        <v>19</v>
      </c>
      <c r="BD28" s="228">
        <v>268</v>
      </c>
      <c r="BE28" s="228">
        <v>-249</v>
      </c>
      <c r="BF28" s="229">
        <v>-0.92910000000000004</v>
      </c>
      <c r="BG28" s="230">
        <v>16163</v>
      </c>
      <c r="BH28" s="230">
        <v>40558</v>
      </c>
      <c r="BI28" s="230">
        <v>-24395</v>
      </c>
      <c r="BJ28" s="229">
        <v>-0.60150000000000003</v>
      </c>
      <c r="BK28" s="230">
        <v>6249</v>
      </c>
      <c r="BL28" s="230">
        <v>21586</v>
      </c>
      <c r="BM28" s="230">
        <v>-15337</v>
      </c>
      <c r="BN28" s="229">
        <v>-0.71050000000000002</v>
      </c>
      <c r="BO28" s="230">
        <v>28146</v>
      </c>
      <c r="BP28" s="230">
        <v>94053</v>
      </c>
      <c r="BQ28" s="230">
        <v>-65907</v>
      </c>
      <c r="BR28" s="229">
        <v>-0.70069999999999999</v>
      </c>
      <c r="BS28" s="230">
        <v>2316095</v>
      </c>
      <c r="BT28" s="230">
        <v>3921751</v>
      </c>
      <c r="BU28" s="230">
        <v>-1605656</v>
      </c>
      <c r="BV28" s="229">
        <v>-0.40939999999999999</v>
      </c>
      <c r="BW28" s="230">
        <v>50504850</v>
      </c>
      <c r="BX28" s="230">
        <v>50766750</v>
      </c>
      <c r="BY28" s="230">
        <v>-261900</v>
      </c>
      <c r="BZ28" s="229">
        <v>-5.1999999999999998E-3</v>
      </c>
      <c r="CA28" s="230">
        <v>50195025</v>
      </c>
      <c r="CB28" s="230">
        <v>1457325</v>
      </c>
      <c r="CC28" s="230">
        <v>48737700</v>
      </c>
      <c r="CD28" s="229">
        <v>33.443300000000001</v>
      </c>
      <c r="CE28" s="230">
        <v>303750</v>
      </c>
      <c r="CF28" s="230">
        <v>50511600</v>
      </c>
      <c r="CG28" s="230">
        <v>-50207850</v>
      </c>
      <c r="CH28" s="229">
        <v>-0.99399999999999999</v>
      </c>
      <c r="CI28" s="230">
        <v>6075</v>
      </c>
      <c r="CJ28" s="230">
        <v>255150</v>
      </c>
      <c r="CK28" s="230">
        <v>-249075</v>
      </c>
      <c r="CL28" s="229">
        <v>-0.97619999999999996</v>
      </c>
      <c r="CM28" s="230">
        <v>4301775</v>
      </c>
      <c r="CN28" s="230">
        <v>3233250</v>
      </c>
      <c r="CO28" s="230">
        <v>1068525</v>
      </c>
      <c r="CP28" s="229">
        <v>0.33050000000000002</v>
      </c>
      <c r="CQ28" s="230">
        <v>2905200</v>
      </c>
      <c r="CR28" s="230">
        <v>2376000</v>
      </c>
      <c r="CS28" s="230">
        <v>529200</v>
      </c>
      <c r="CT28" s="229">
        <v>0.22270000000000001</v>
      </c>
      <c r="CU28" s="230">
        <v>57711825</v>
      </c>
      <c r="CV28" s="230">
        <v>56376000</v>
      </c>
      <c r="CW28" s="230">
        <v>1335825</v>
      </c>
      <c r="CX28" s="229">
        <v>2.3699999999999999E-2</v>
      </c>
      <c r="CY28" s="228">
        <v>26.69</v>
      </c>
      <c r="CZ28" s="228">
        <v>27.28</v>
      </c>
      <c r="DA28" s="228">
        <v>-0.59</v>
      </c>
      <c r="DB28" s="228">
        <v>-0.59</v>
      </c>
      <c r="DC28" s="228">
        <v>29.61</v>
      </c>
      <c r="DD28" s="228">
        <v>29.67</v>
      </c>
      <c r="DE28" s="228">
        <v>-2.92</v>
      </c>
      <c r="DF28" s="228">
        <v>-0.06</v>
      </c>
      <c r="DG28" s="228">
        <v>26.21</v>
      </c>
      <c r="DH28" s="228">
        <v>26.21</v>
      </c>
      <c r="DI28" s="228">
        <v>0</v>
      </c>
      <c r="DJ28" s="228">
        <v>0</v>
      </c>
      <c r="DK28" s="228">
        <v>27.95</v>
      </c>
      <c r="DL28" s="228">
        <v>29.53</v>
      </c>
      <c r="DM28" s="228">
        <v>-1.58</v>
      </c>
      <c r="DN28" s="228">
        <v>-1.58</v>
      </c>
      <c r="DO28" s="228">
        <v>0.68</v>
      </c>
      <c r="DP28" s="228">
        <v>0.73</v>
      </c>
      <c r="DQ28" s="228">
        <v>-0.05</v>
      </c>
      <c r="DR28" s="229">
        <v>-6.8500000000000005E-2</v>
      </c>
      <c r="DS28" s="231">
        <v>1300</v>
      </c>
      <c r="DT28" s="231">
        <v>1140</v>
      </c>
      <c r="DU28" s="228">
        <v>0.39</v>
      </c>
      <c r="DV28" s="228">
        <v>0.53</v>
      </c>
      <c r="DW28" s="228">
        <v>-0.14000000000000001</v>
      </c>
      <c r="DX28" s="229">
        <v>-0.26419999999999999</v>
      </c>
      <c r="DY28" s="229">
        <v>6.1000000000000004E-3</v>
      </c>
      <c r="DZ28" s="230">
        <v>50766750</v>
      </c>
      <c r="EA28" s="229">
        <v>6.0000000000000001E-3</v>
      </c>
      <c r="EB28" s="229">
        <v>6.1000000000000004E-3</v>
      </c>
      <c r="EC28" s="228">
        <v>7.68</v>
      </c>
      <c r="ED28" s="229">
        <v>6.3E-3</v>
      </c>
      <c r="EE28" s="230">
        <v>1046441</v>
      </c>
      <c r="EF28" s="230">
        <v>1247372</v>
      </c>
      <c r="EG28" s="229">
        <v>-0.16109999999999999</v>
      </c>
      <c r="EH28" s="229">
        <v>0.45179999999999998</v>
      </c>
      <c r="EI28" s="231">
        <v>140442.09</v>
      </c>
      <c r="EJ28" s="231">
        <v>50445.26</v>
      </c>
      <c r="EK28" s="231">
        <v>47409.47</v>
      </c>
      <c r="EL28" s="231">
        <v>39972</v>
      </c>
      <c r="EM28" s="231">
        <v>238296.82</v>
      </c>
      <c r="EN28" s="231">
        <v>772260.1</v>
      </c>
      <c r="EO28" s="231">
        <v>-533963.28</v>
      </c>
      <c r="EP28" s="229">
        <v>-0.69140000000000001</v>
      </c>
      <c r="EQ28" s="231">
        <v>54326</v>
      </c>
      <c r="ER28" s="231">
        <v>33629</v>
      </c>
      <c r="ES28" s="231">
        <v>618001</v>
      </c>
      <c r="ET28" s="231">
        <v>133434355</v>
      </c>
      <c r="EU28" s="231">
        <v>705955</v>
      </c>
      <c r="EV28" s="231">
        <v>692855</v>
      </c>
      <c r="EW28" s="231">
        <v>13100</v>
      </c>
      <c r="EX28" s="229">
        <v>1.89E-2</v>
      </c>
      <c r="EY28" s="229">
        <v>0.4325</v>
      </c>
    </row>
    <row r="29" spans="1:155" ht="17.25" thickBot="1" x14ac:dyDescent="0.3">
      <c r="A29" s="226">
        <v>46050</v>
      </c>
      <c r="B29" s="227" t="s">
        <v>172</v>
      </c>
      <c r="C29" s="227" t="s">
        <v>246</v>
      </c>
      <c r="D29" s="228">
        <v>413.8</v>
      </c>
      <c r="E29" s="228">
        <v>411.4</v>
      </c>
      <c r="F29" s="228">
        <v>2.4</v>
      </c>
      <c r="G29" s="229">
        <v>5.7999999999999996E-3</v>
      </c>
      <c r="H29" s="228">
        <v>412.4</v>
      </c>
      <c r="I29" s="228">
        <v>408.7</v>
      </c>
      <c r="J29" s="228">
        <v>3.7</v>
      </c>
      <c r="K29" s="229">
        <v>9.1000000000000004E-3</v>
      </c>
      <c r="L29" s="228">
        <v>413.8</v>
      </c>
      <c r="M29" s="228">
        <v>408.2</v>
      </c>
      <c r="N29" s="228">
        <v>5.6</v>
      </c>
      <c r="O29" s="229">
        <v>1.37E-2</v>
      </c>
      <c r="P29" s="228">
        <v>416.2</v>
      </c>
      <c r="Q29" s="228">
        <v>411.4</v>
      </c>
      <c r="R29" s="228">
        <v>4.8</v>
      </c>
      <c r="S29" s="229">
        <v>1.17E-2</v>
      </c>
      <c r="T29" s="228">
        <v>418.3</v>
      </c>
      <c r="U29" s="228">
        <v>414.5</v>
      </c>
      <c r="V29" s="228">
        <v>3.8</v>
      </c>
      <c r="W29" s="229">
        <v>9.1999999999999998E-3</v>
      </c>
      <c r="X29" s="228">
        <v>1.4</v>
      </c>
      <c r="Y29" s="228">
        <v>2.7</v>
      </c>
      <c r="Z29" s="228">
        <v>-1.3</v>
      </c>
      <c r="AA29" s="229">
        <v>3.3999999999999998E-3</v>
      </c>
      <c r="AB29" s="228">
        <v>1.4</v>
      </c>
      <c r="AC29" s="228">
        <v>-0.5</v>
      </c>
      <c r="AD29" s="228">
        <v>1.9</v>
      </c>
      <c r="AE29" s="229">
        <v>3.3999999999999998E-3</v>
      </c>
      <c r="AF29" s="228">
        <v>3.8</v>
      </c>
      <c r="AG29" s="228">
        <v>2.7</v>
      </c>
      <c r="AH29" s="228">
        <v>1.1000000000000001</v>
      </c>
      <c r="AI29" s="229">
        <v>9.1999999999999998E-3</v>
      </c>
      <c r="AJ29" s="228">
        <v>5.9</v>
      </c>
      <c r="AK29" s="228">
        <v>5.8</v>
      </c>
      <c r="AL29" s="228">
        <v>0.1</v>
      </c>
      <c r="AM29" s="229">
        <v>1.43E-2</v>
      </c>
      <c r="AN29" s="228">
        <v>412.01</v>
      </c>
      <c r="AO29" s="228">
        <v>414.91</v>
      </c>
      <c r="AP29" s="228">
        <v>0</v>
      </c>
      <c r="AQ29" s="230">
        <v>7359</v>
      </c>
      <c r="AR29" s="230">
        <v>51576</v>
      </c>
      <c r="AS29" s="230">
        <v>-44217</v>
      </c>
      <c r="AT29" s="229">
        <v>-0.85729999999999995</v>
      </c>
      <c r="AU29" s="230">
        <v>7082</v>
      </c>
      <c r="AV29" s="230">
        <v>17269</v>
      </c>
      <c r="AW29" s="230">
        <v>-10187</v>
      </c>
      <c r="AX29" s="229">
        <v>-0.58989999999999998</v>
      </c>
      <c r="AY29" s="228">
        <v>240</v>
      </c>
      <c r="AZ29" s="230">
        <v>33773</v>
      </c>
      <c r="BA29" s="230">
        <v>-33533</v>
      </c>
      <c r="BB29" s="229">
        <v>-0.9929</v>
      </c>
      <c r="BC29" s="228">
        <v>37</v>
      </c>
      <c r="BD29" s="228">
        <v>534</v>
      </c>
      <c r="BE29" s="228">
        <v>-497</v>
      </c>
      <c r="BF29" s="229">
        <v>-0.93069999999999997</v>
      </c>
      <c r="BG29" s="230">
        <v>16994</v>
      </c>
      <c r="BH29" s="230">
        <v>36426</v>
      </c>
      <c r="BI29" s="230">
        <v>-19432</v>
      </c>
      <c r="BJ29" s="229">
        <v>-0.53349999999999997</v>
      </c>
      <c r="BK29" s="230">
        <v>8389</v>
      </c>
      <c r="BL29" s="230">
        <v>30839</v>
      </c>
      <c r="BM29" s="230">
        <v>-22450</v>
      </c>
      <c r="BN29" s="229">
        <v>-0.72799999999999998</v>
      </c>
      <c r="BO29" s="230">
        <v>32742</v>
      </c>
      <c r="BP29" s="230">
        <v>118841</v>
      </c>
      <c r="BQ29" s="230">
        <v>-86099</v>
      </c>
      <c r="BR29" s="229">
        <v>-0.72450000000000003</v>
      </c>
      <c r="BS29" s="230">
        <v>19279261</v>
      </c>
      <c r="BT29" s="230">
        <v>48984397</v>
      </c>
      <c r="BU29" s="230">
        <v>-29705136</v>
      </c>
      <c r="BV29" s="229">
        <v>-0.60640000000000005</v>
      </c>
      <c r="BW29" s="230">
        <v>197358000</v>
      </c>
      <c r="BX29" s="230">
        <v>198706000</v>
      </c>
      <c r="BY29" s="230">
        <v>-1348000</v>
      </c>
      <c r="BZ29" s="229">
        <v>-6.7999999999999996E-3</v>
      </c>
      <c r="CA29" s="230">
        <v>185728000</v>
      </c>
      <c r="CB29" s="230">
        <v>10186000</v>
      </c>
      <c r="CC29" s="230">
        <v>175542000</v>
      </c>
      <c r="CD29" s="229">
        <v>17.233699999999999</v>
      </c>
      <c r="CE29" s="230">
        <v>11576000</v>
      </c>
      <c r="CF29" s="230">
        <v>187340000</v>
      </c>
      <c r="CG29" s="230">
        <v>-175764000</v>
      </c>
      <c r="CH29" s="229">
        <v>-0.93820000000000003</v>
      </c>
      <c r="CI29" s="230">
        <v>54000</v>
      </c>
      <c r="CJ29" s="230">
        <v>11366000</v>
      </c>
      <c r="CK29" s="230">
        <v>-11312000</v>
      </c>
      <c r="CL29" s="229">
        <v>-0.99519999999999997</v>
      </c>
      <c r="CM29" s="230">
        <v>19984000</v>
      </c>
      <c r="CN29" s="230">
        <v>14780000</v>
      </c>
      <c r="CO29" s="230">
        <v>5204000</v>
      </c>
      <c r="CP29" s="229">
        <v>0.35210000000000002</v>
      </c>
      <c r="CQ29" s="230">
        <v>18676000</v>
      </c>
      <c r="CR29" s="230">
        <v>16236000</v>
      </c>
      <c r="CS29" s="230">
        <v>2440000</v>
      </c>
      <c r="CT29" s="229">
        <v>0.15029999999999999</v>
      </c>
      <c r="CU29" s="230">
        <v>236018000</v>
      </c>
      <c r="CV29" s="230">
        <v>229722000</v>
      </c>
      <c r="CW29" s="230">
        <v>6296000</v>
      </c>
      <c r="CX29" s="229">
        <v>2.7400000000000001E-2</v>
      </c>
      <c r="CY29" s="228">
        <v>22.72</v>
      </c>
      <c r="CZ29" s="228">
        <v>22.95</v>
      </c>
      <c r="DA29" s="228">
        <v>-0.23</v>
      </c>
      <c r="DB29" s="228">
        <v>-0.23</v>
      </c>
      <c r="DC29" s="228">
        <v>25.31</v>
      </c>
      <c r="DD29" s="228">
        <v>25.34</v>
      </c>
      <c r="DE29" s="228">
        <v>-2.59</v>
      </c>
      <c r="DF29" s="228">
        <v>-0.03</v>
      </c>
      <c r="DG29" s="228">
        <v>22.38</v>
      </c>
      <c r="DH29" s="228">
        <v>22.39</v>
      </c>
      <c r="DI29" s="228">
        <v>-0.01</v>
      </c>
      <c r="DJ29" s="228">
        <v>-0.01</v>
      </c>
      <c r="DK29" s="228">
        <v>23.42</v>
      </c>
      <c r="DL29" s="228">
        <v>23.72</v>
      </c>
      <c r="DM29" s="228">
        <v>-0.3</v>
      </c>
      <c r="DN29" s="228">
        <v>-0.3</v>
      </c>
      <c r="DO29" s="228">
        <v>0.93</v>
      </c>
      <c r="DP29" s="228">
        <v>1.1000000000000001</v>
      </c>
      <c r="DQ29" s="228">
        <v>-0.17</v>
      </c>
      <c r="DR29" s="229">
        <v>-0.1545</v>
      </c>
      <c r="DS29" s="228">
        <v>450</v>
      </c>
      <c r="DT29" s="228">
        <v>400</v>
      </c>
      <c r="DU29" s="228">
        <v>0.49</v>
      </c>
      <c r="DV29" s="228">
        <v>0.85</v>
      </c>
      <c r="DW29" s="228">
        <v>-0.36</v>
      </c>
      <c r="DX29" s="229">
        <v>-0.42349999999999999</v>
      </c>
      <c r="DY29" s="229">
        <v>5.8900000000000001E-2</v>
      </c>
      <c r="DZ29" s="230">
        <v>198706000</v>
      </c>
      <c r="EA29" s="229">
        <v>5.7999999999999996E-3</v>
      </c>
      <c r="EB29" s="229">
        <v>5.8900000000000001E-2</v>
      </c>
      <c r="EC29" s="228">
        <v>2.9</v>
      </c>
      <c r="ED29" s="229">
        <v>7.0000000000000001E-3</v>
      </c>
      <c r="EE29" s="230">
        <v>14707036</v>
      </c>
      <c r="EF29" s="230">
        <v>32877321</v>
      </c>
      <c r="EG29" s="229">
        <v>-0.55269999999999997</v>
      </c>
      <c r="EH29" s="229">
        <v>0.76280000000000003</v>
      </c>
      <c r="EI29" s="231">
        <v>147567.70000000001</v>
      </c>
      <c r="EJ29" s="231">
        <v>68096.66</v>
      </c>
      <c r="EK29" s="231">
        <v>60657.74</v>
      </c>
      <c r="EL29" s="231">
        <v>53586</v>
      </c>
      <c r="EM29" s="231">
        <v>276322.09999999998</v>
      </c>
      <c r="EN29" s="231">
        <v>989109.3</v>
      </c>
      <c r="EO29" s="231">
        <v>-712787.2</v>
      </c>
      <c r="EP29" s="229">
        <v>-0.72060000000000002</v>
      </c>
      <c r="EQ29" s="231">
        <v>87163</v>
      </c>
      <c r="ER29" s="231">
        <v>75264</v>
      </c>
      <c r="ES29" s="231">
        <v>816948</v>
      </c>
      <c r="ET29" s="231">
        <v>781025350</v>
      </c>
      <c r="EU29" s="231">
        <v>979375</v>
      </c>
      <c r="EV29" s="231">
        <v>947690</v>
      </c>
      <c r="EW29" s="231">
        <v>31685</v>
      </c>
      <c r="EX29" s="229">
        <v>3.3399999999999999E-2</v>
      </c>
      <c r="EY29" s="229">
        <v>0.30220000000000002</v>
      </c>
    </row>
    <row r="30" spans="1:155" ht="17.25" thickBot="1" x14ac:dyDescent="0.3">
      <c r="A30" s="226">
        <v>46050</v>
      </c>
      <c r="B30" s="227" t="s">
        <v>184</v>
      </c>
      <c r="C30" s="227" t="s">
        <v>249</v>
      </c>
      <c r="D30" s="231">
        <v>3815.8</v>
      </c>
      <c r="E30" s="231">
        <v>3808.7</v>
      </c>
      <c r="F30" s="228">
        <v>7.1</v>
      </c>
      <c r="G30" s="229">
        <v>1.9E-3</v>
      </c>
      <c r="H30" s="231">
        <v>3794</v>
      </c>
      <c r="I30" s="231">
        <v>3787.8</v>
      </c>
      <c r="J30" s="228">
        <v>6.2</v>
      </c>
      <c r="K30" s="229">
        <v>1.6000000000000001E-3</v>
      </c>
      <c r="L30" s="231">
        <v>3815.8</v>
      </c>
      <c r="M30" s="231">
        <v>3786.2</v>
      </c>
      <c r="N30" s="228">
        <v>29.6</v>
      </c>
      <c r="O30" s="229">
        <v>7.7999999999999996E-3</v>
      </c>
      <c r="P30" s="231">
        <v>3841</v>
      </c>
      <c r="Q30" s="231">
        <v>3808.7</v>
      </c>
      <c r="R30" s="228">
        <v>32.299999999999997</v>
      </c>
      <c r="S30" s="229">
        <v>8.5000000000000006E-3</v>
      </c>
      <c r="T30" s="231">
        <v>3865.8</v>
      </c>
      <c r="U30" s="231">
        <v>3836</v>
      </c>
      <c r="V30" s="228">
        <v>29.8</v>
      </c>
      <c r="W30" s="229">
        <v>7.7999999999999996E-3</v>
      </c>
      <c r="X30" s="228">
        <v>21.8</v>
      </c>
      <c r="Y30" s="228">
        <v>20.9</v>
      </c>
      <c r="Z30" s="228">
        <v>0.9</v>
      </c>
      <c r="AA30" s="229">
        <v>5.7000000000000002E-3</v>
      </c>
      <c r="AB30" s="228">
        <v>21.8</v>
      </c>
      <c r="AC30" s="228">
        <v>-1.6</v>
      </c>
      <c r="AD30" s="228">
        <v>23.4</v>
      </c>
      <c r="AE30" s="229">
        <v>5.7000000000000002E-3</v>
      </c>
      <c r="AF30" s="228">
        <v>47</v>
      </c>
      <c r="AG30" s="228">
        <v>20.9</v>
      </c>
      <c r="AH30" s="228">
        <v>26.1</v>
      </c>
      <c r="AI30" s="229">
        <v>1.24E-2</v>
      </c>
      <c r="AJ30" s="228">
        <v>71.8</v>
      </c>
      <c r="AK30" s="228">
        <v>48.2</v>
      </c>
      <c r="AL30" s="228">
        <v>23.6</v>
      </c>
      <c r="AM30" s="229">
        <v>1.89E-2</v>
      </c>
      <c r="AN30" s="231">
        <v>3816.87</v>
      </c>
      <c r="AO30" s="231">
        <v>3843.36</v>
      </c>
      <c r="AP30" s="228">
        <v>0</v>
      </c>
      <c r="AQ30" s="230">
        <v>17351</v>
      </c>
      <c r="AR30" s="230">
        <v>52870</v>
      </c>
      <c r="AS30" s="230">
        <v>-35519</v>
      </c>
      <c r="AT30" s="229">
        <v>-0.67179999999999995</v>
      </c>
      <c r="AU30" s="230">
        <v>16738</v>
      </c>
      <c r="AV30" s="230">
        <v>22670</v>
      </c>
      <c r="AW30" s="230">
        <v>-5932</v>
      </c>
      <c r="AX30" s="229">
        <v>-0.26169999999999999</v>
      </c>
      <c r="AY30" s="228">
        <v>522</v>
      </c>
      <c r="AZ30" s="230">
        <v>29511</v>
      </c>
      <c r="BA30" s="230">
        <v>-28989</v>
      </c>
      <c r="BB30" s="229">
        <v>-0.98229999999999995</v>
      </c>
      <c r="BC30" s="228">
        <v>91</v>
      </c>
      <c r="BD30" s="228">
        <v>689</v>
      </c>
      <c r="BE30" s="228">
        <v>-598</v>
      </c>
      <c r="BF30" s="229">
        <v>-0.8679</v>
      </c>
      <c r="BG30" s="230">
        <v>54028</v>
      </c>
      <c r="BH30" s="230">
        <v>38887</v>
      </c>
      <c r="BI30" s="230">
        <v>15141</v>
      </c>
      <c r="BJ30" s="229">
        <v>0.38940000000000002</v>
      </c>
      <c r="BK30" s="230">
        <v>22362</v>
      </c>
      <c r="BL30" s="230">
        <v>20611</v>
      </c>
      <c r="BM30" s="230">
        <v>1751</v>
      </c>
      <c r="BN30" s="229">
        <v>8.5000000000000006E-2</v>
      </c>
      <c r="BO30" s="230">
        <v>93741</v>
      </c>
      <c r="BP30" s="230">
        <v>112368</v>
      </c>
      <c r="BQ30" s="230">
        <v>-18627</v>
      </c>
      <c r="BR30" s="229">
        <v>-0.1658</v>
      </c>
      <c r="BS30" s="230">
        <v>2332848</v>
      </c>
      <c r="BT30" s="230">
        <v>2862041</v>
      </c>
      <c r="BU30" s="230">
        <v>-529193</v>
      </c>
      <c r="BV30" s="229">
        <v>-0.18490000000000001</v>
      </c>
      <c r="BW30" s="230">
        <v>15977850</v>
      </c>
      <c r="BX30" s="230">
        <v>15337700</v>
      </c>
      <c r="BY30" s="230">
        <v>640150</v>
      </c>
      <c r="BZ30" s="229">
        <v>4.1700000000000001E-2</v>
      </c>
      <c r="CA30" s="230">
        <v>14831600</v>
      </c>
      <c r="CB30" s="230">
        <v>1067675</v>
      </c>
      <c r="CC30" s="230">
        <v>13763925</v>
      </c>
      <c r="CD30" s="229">
        <v>12.891500000000001</v>
      </c>
      <c r="CE30" s="230">
        <v>1136450</v>
      </c>
      <c r="CF30" s="230">
        <v>14230650</v>
      </c>
      <c r="CG30" s="230">
        <v>-13094200</v>
      </c>
      <c r="CH30" s="229">
        <v>-0.92010000000000003</v>
      </c>
      <c r="CI30" s="230">
        <v>9800</v>
      </c>
      <c r="CJ30" s="230">
        <v>1107050</v>
      </c>
      <c r="CK30" s="230">
        <v>-1097250</v>
      </c>
      <c r="CL30" s="229">
        <v>-0.99109999999999998</v>
      </c>
      <c r="CM30" s="230">
        <v>3973725</v>
      </c>
      <c r="CN30" s="230">
        <v>2049075</v>
      </c>
      <c r="CO30" s="230">
        <v>1924650</v>
      </c>
      <c r="CP30" s="229">
        <v>0.93930000000000002</v>
      </c>
      <c r="CQ30" s="230">
        <v>2934225</v>
      </c>
      <c r="CR30" s="230">
        <v>1905750</v>
      </c>
      <c r="CS30" s="230">
        <v>1028475</v>
      </c>
      <c r="CT30" s="229">
        <v>0.53969999999999996</v>
      </c>
      <c r="CU30" s="230">
        <v>22885800</v>
      </c>
      <c r="CV30" s="230">
        <v>19292525</v>
      </c>
      <c r="CW30" s="230">
        <v>3593275</v>
      </c>
      <c r="CX30" s="229">
        <v>0.18629999999999999</v>
      </c>
      <c r="CY30" s="228">
        <v>28.78</v>
      </c>
      <c r="CZ30" s="228">
        <v>26.41</v>
      </c>
      <c r="DA30" s="228">
        <v>2.37</v>
      </c>
      <c r="DB30" s="228">
        <v>2.37</v>
      </c>
      <c r="DC30" s="228">
        <v>25.56</v>
      </c>
      <c r="DD30" s="228">
        <v>25.62</v>
      </c>
      <c r="DE30" s="228">
        <v>3.22</v>
      </c>
      <c r="DF30" s="228">
        <v>-0.06</v>
      </c>
      <c r="DG30" s="228">
        <v>28.56</v>
      </c>
      <c r="DH30" s="228">
        <v>26.39</v>
      </c>
      <c r="DI30" s="228">
        <v>2.17</v>
      </c>
      <c r="DJ30" s="228">
        <v>2.17</v>
      </c>
      <c r="DK30" s="228">
        <v>29.32</v>
      </c>
      <c r="DL30" s="228">
        <v>26.45</v>
      </c>
      <c r="DM30" s="228">
        <v>2.87</v>
      </c>
      <c r="DN30" s="228">
        <v>2.87</v>
      </c>
      <c r="DO30" s="228">
        <v>0.74</v>
      </c>
      <c r="DP30" s="228">
        <v>0.93</v>
      </c>
      <c r="DQ30" s="228">
        <v>-0.19</v>
      </c>
      <c r="DR30" s="229">
        <v>-0.20430000000000001</v>
      </c>
      <c r="DS30" s="231">
        <v>4000</v>
      </c>
      <c r="DT30" s="231">
        <v>3800</v>
      </c>
      <c r="DU30" s="228">
        <v>0.41</v>
      </c>
      <c r="DV30" s="228">
        <v>0.53</v>
      </c>
      <c r="DW30" s="228">
        <v>-0.12</v>
      </c>
      <c r="DX30" s="229">
        <v>-0.22639999999999999</v>
      </c>
      <c r="DY30" s="229">
        <v>7.17E-2</v>
      </c>
      <c r="DZ30" s="230">
        <v>15337700</v>
      </c>
      <c r="EA30" s="229">
        <v>6.6E-3</v>
      </c>
      <c r="EB30" s="229">
        <v>7.17E-2</v>
      </c>
      <c r="EC30" s="228">
        <v>26.49</v>
      </c>
      <c r="ED30" s="229">
        <v>6.8999999999999999E-3</v>
      </c>
      <c r="EE30" s="230">
        <v>1394099</v>
      </c>
      <c r="EF30" s="230">
        <v>1779944</v>
      </c>
      <c r="EG30" s="229">
        <v>-0.21679999999999999</v>
      </c>
      <c r="EH30" s="229">
        <v>0.59760000000000002</v>
      </c>
      <c r="EI30" s="231">
        <v>380784.52</v>
      </c>
      <c r="EJ30" s="231">
        <v>148116.99</v>
      </c>
      <c r="EK30" s="231">
        <v>115927.93</v>
      </c>
      <c r="EL30" s="231">
        <v>50450</v>
      </c>
      <c r="EM30" s="231">
        <v>644829.43999999994</v>
      </c>
      <c r="EN30" s="231">
        <v>758006.6</v>
      </c>
      <c r="EO30" s="231">
        <v>-113177.16</v>
      </c>
      <c r="EP30" s="229">
        <v>-0.14929999999999999</v>
      </c>
      <c r="EQ30" s="231">
        <v>158213</v>
      </c>
      <c r="ER30" s="231">
        <v>110545</v>
      </c>
      <c r="ES30" s="231">
        <v>609974</v>
      </c>
      <c r="ET30" s="231">
        <v>136109374</v>
      </c>
      <c r="EU30" s="231">
        <v>878731</v>
      </c>
      <c r="EV30" s="231">
        <v>738404</v>
      </c>
      <c r="EW30" s="231">
        <v>140327</v>
      </c>
      <c r="EX30" s="229">
        <v>0.19</v>
      </c>
      <c r="EY30" s="229">
        <v>0.1681</v>
      </c>
    </row>
    <row r="31" spans="1:155" ht="17.25" thickBot="1" x14ac:dyDescent="0.3">
      <c r="A31" s="226">
        <v>46050</v>
      </c>
      <c r="B31" s="227" t="s">
        <v>162</v>
      </c>
      <c r="C31" s="227" t="s">
        <v>251</v>
      </c>
      <c r="D31" s="231">
        <v>3470.4</v>
      </c>
      <c r="E31" s="231">
        <v>3417.3</v>
      </c>
      <c r="F31" s="228">
        <v>53.1</v>
      </c>
      <c r="G31" s="229">
        <v>1.55E-2</v>
      </c>
      <c r="H31" s="231">
        <v>3449.2</v>
      </c>
      <c r="I31" s="231">
        <v>3393.5</v>
      </c>
      <c r="J31" s="228">
        <v>55.7</v>
      </c>
      <c r="K31" s="229">
        <v>1.6400000000000001E-2</v>
      </c>
      <c r="L31" s="231">
        <v>3470.4</v>
      </c>
      <c r="M31" s="231">
        <v>3396.3</v>
      </c>
      <c r="N31" s="228">
        <v>74.099999999999994</v>
      </c>
      <c r="O31" s="229">
        <v>2.18E-2</v>
      </c>
      <c r="P31" s="231">
        <v>3493.4</v>
      </c>
      <c r="Q31" s="231">
        <v>3417.3</v>
      </c>
      <c r="R31" s="228">
        <v>76.099999999999994</v>
      </c>
      <c r="S31" s="229">
        <v>2.23E-2</v>
      </c>
      <c r="T31" s="231">
        <v>3520</v>
      </c>
      <c r="U31" s="231">
        <v>3439.8</v>
      </c>
      <c r="V31" s="228">
        <v>80.2</v>
      </c>
      <c r="W31" s="229">
        <v>2.3300000000000001E-2</v>
      </c>
      <c r="X31" s="228">
        <v>21.2</v>
      </c>
      <c r="Y31" s="228">
        <v>23.8</v>
      </c>
      <c r="Z31" s="228">
        <v>-2.6</v>
      </c>
      <c r="AA31" s="229">
        <v>6.1000000000000004E-3</v>
      </c>
      <c r="AB31" s="228">
        <v>21.2</v>
      </c>
      <c r="AC31" s="228">
        <v>2.8</v>
      </c>
      <c r="AD31" s="228">
        <v>18.399999999999999</v>
      </c>
      <c r="AE31" s="229">
        <v>6.1000000000000004E-3</v>
      </c>
      <c r="AF31" s="228">
        <v>44.2</v>
      </c>
      <c r="AG31" s="228">
        <v>23.8</v>
      </c>
      <c r="AH31" s="228">
        <v>20.399999999999999</v>
      </c>
      <c r="AI31" s="229">
        <v>1.2800000000000001E-2</v>
      </c>
      <c r="AJ31" s="228">
        <v>70.8</v>
      </c>
      <c r="AK31" s="228">
        <v>46.3</v>
      </c>
      <c r="AL31" s="228">
        <v>24.5</v>
      </c>
      <c r="AM31" s="229">
        <v>2.0500000000000001E-2</v>
      </c>
      <c r="AN31" s="231">
        <v>3443.73</v>
      </c>
      <c r="AO31" s="231">
        <v>3467.14</v>
      </c>
      <c r="AP31" s="228">
        <v>0</v>
      </c>
      <c r="AQ31" s="230">
        <v>17238</v>
      </c>
      <c r="AR31" s="230">
        <v>53866</v>
      </c>
      <c r="AS31" s="230">
        <v>-36628</v>
      </c>
      <c r="AT31" s="229">
        <v>-0.68</v>
      </c>
      <c r="AU31" s="230">
        <v>16745</v>
      </c>
      <c r="AV31" s="230">
        <v>14786</v>
      </c>
      <c r="AW31" s="230">
        <v>1959</v>
      </c>
      <c r="AX31" s="229">
        <v>0.13250000000000001</v>
      </c>
      <c r="AY31" s="228">
        <v>414</v>
      </c>
      <c r="AZ31" s="230">
        <v>38275</v>
      </c>
      <c r="BA31" s="230">
        <v>-37861</v>
      </c>
      <c r="BB31" s="229">
        <v>-0.98919999999999997</v>
      </c>
      <c r="BC31" s="228">
        <v>79</v>
      </c>
      <c r="BD31" s="228">
        <v>805</v>
      </c>
      <c r="BE31" s="228">
        <v>-726</v>
      </c>
      <c r="BF31" s="229">
        <v>-0.90190000000000003</v>
      </c>
      <c r="BG31" s="230">
        <v>27556</v>
      </c>
      <c r="BH31" s="230">
        <v>55866</v>
      </c>
      <c r="BI31" s="230">
        <v>-28310</v>
      </c>
      <c r="BJ31" s="229">
        <v>-0.50670000000000004</v>
      </c>
      <c r="BK31" s="230">
        <v>23147</v>
      </c>
      <c r="BL31" s="230">
        <v>62663</v>
      </c>
      <c r="BM31" s="230">
        <v>-39516</v>
      </c>
      <c r="BN31" s="229">
        <v>-0.63060000000000005</v>
      </c>
      <c r="BO31" s="230">
        <v>67941</v>
      </c>
      <c r="BP31" s="230">
        <v>172395</v>
      </c>
      <c r="BQ31" s="230">
        <v>-104454</v>
      </c>
      <c r="BR31" s="229">
        <v>-0.60589999999999999</v>
      </c>
      <c r="BS31" s="230">
        <v>4059436</v>
      </c>
      <c r="BT31" s="230">
        <v>8261826</v>
      </c>
      <c r="BU31" s="230">
        <v>-4202390</v>
      </c>
      <c r="BV31" s="229">
        <v>-0.50870000000000004</v>
      </c>
      <c r="BW31" s="230">
        <v>18589600</v>
      </c>
      <c r="BX31" s="230">
        <v>18171200</v>
      </c>
      <c r="BY31" s="230">
        <v>418400</v>
      </c>
      <c r="BZ31" s="229">
        <v>2.3E-2</v>
      </c>
      <c r="CA31" s="230">
        <v>16954200</v>
      </c>
      <c r="CB31" s="230">
        <v>586200</v>
      </c>
      <c r="CC31" s="230">
        <v>16368000</v>
      </c>
      <c r="CD31" s="229">
        <v>27.9222</v>
      </c>
      <c r="CE31" s="230">
        <v>1625000</v>
      </c>
      <c r="CF31" s="230">
        <v>16564600</v>
      </c>
      <c r="CG31" s="230">
        <v>-14939600</v>
      </c>
      <c r="CH31" s="229">
        <v>-0.90190000000000003</v>
      </c>
      <c r="CI31" s="230">
        <v>10400</v>
      </c>
      <c r="CJ31" s="230">
        <v>1606600</v>
      </c>
      <c r="CK31" s="230">
        <v>-1596200</v>
      </c>
      <c r="CL31" s="229">
        <v>-0.99350000000000005</v>
      </c>
      <c r="CM31" s="230">
        <v>2055400</v>
      </c>
      <c r="CN31" s="230">
        <v>1708400</v>
      </c>
      <c r="CO31" s="230">
        <v>347000</v>
      </c>
      <c r="CP31" s="229">
        <v>0.2031</v>
      </c>
      <c r="CQ31" s="230">
        <v>2341600</v>
      </c>
      <c r="CR31" s="230">
        <v>1919800</v>
      </c>
      <c r="CS31" s="230">
        <v>421800</v>
      </c>
      <c r="CT31" s="229">
        <v>0.21970000000000001</v>
      </c>
      <c r="CU31" s="230">
        <v>22986600</v>
      </c>
      <c r="CV31" s="230">
        <v>21799400</v>
      </c>
      <c r="CW31" s="230">
        <v>1187200</v>
      </c>
      <c r="CX31" s="229">
        <v>5.45E-2</v>
      </c>
      <c r="CY31" s="228">
        <v>31.28</v>
      </c>
      <c r="CZ31" s="228">
        <v>32.96</v>
      </c>
      <c r="DA31" s="228">
        <v>-1.68</v>
      </c>
      <c r="DB31" s="228">
        <v>-1.68</v>
      </c>
      <c r="DC31" s="228">
        <v>31.34</v>
      </c>
      <c r="DD31" s="228">
        <v>31.34</v>
      </c>
      <c r="DE31" s="228">
        <v>-0.06</v>
      </c>
      <c r="DF31" s="228">
        <v>0</v>
      </c>
      <c r="DG31" s="228">
        <v>30.03</v>
      </c>
      <c r="DH31" s="228">
        <v>31.66</v>
      </c>
      <c r="DI31" s="228">
        <v>-1.63</v>
      </c>
      <c r="DJ31" s="228">
        <v>-1.63</v>
      </c>
      <c r="DK31" s="228">
        <v>32.78</v>
      </c>
      <c r="DL31" s="228">
        <v>34.18</v>
      </c>
      <c r="DM31" s="228">
        <v>-1.4</v>
      </c>
      <c r="DN31" s="228">
        <v>-1.4</v>
      </c>
      <c r="DO31" s="228">
        <v>1.1399999999999999</v>
      </c>
      <c r="DP31" s="228">
        <v>1.1200000000000001</v>
      </c>
      <c r="DQ31" s="228">
        <v>0.02</v>
      </c>
      <c r="DR31" s="229">
        <v>1.7899999999999999E-2</v>
      </c>
      <c r="DS31" s="231">
        <v>3600</v>
      </c>
      <c r="DT31" s="231">
        <v>3400</v>
      </c>
      <c r="DU31" s="228">
        <v>0.84</v>
      </c>
      <c r="DV31" s="228">
        <v>1.1200000000000001</v>
      </c>
      <c r="DW31" s="228">
        <v>-0.28000000000000003</v>
      </c>
      <c r="DX31" s="229">
        <v>-0.25</v>
      </c>
      <c r="DY31" s="229">
        <v>8.7999999999999995E-2</v>
      </c>
      <c r="DZ31" s="230">
        <v>18171200</v>
      </c>
      <c r="EA31" s="229">
        <v>6.6E-3</v>
      </c>
      <c r="EB31" s="229">
        <v>8.7999999999999995E-2</v>
      </c>
      <c r="EC31" s="228">
        <v>23.41</v>
      </c>
      <c r="ED31" s="229">
        <v>6.7999999999999996E-3</v>
      </c>
      <c r="EE31" s="230">
        <v>2629462</v>
      </c>
      <c r="EF31" s="230">
        <v>5230550</v>
      </c>
      <c r="EG31" s="229">
        <v>-0.49730000000000002</v>
      </c>
      <c r="EH31" s="229">
        <v>0.64770000000000005</v>
      </c>
      <c r="EI31" s="231">
        <v>202225.54</v>
      </c>
      <c r="EJ31" s="231">
        <v>155951.69</v>
      </c>
      <c r="EK31" s="231">
        <v>118752.33</v>
      </c>
      <c r="EL31" s="231">
        <v>57260</v>
      </c>
      <c r="EM31" s="231">
        <v>476929.56</v>
      </c>
      <c r="EN31" s="231">
        <v>1201576.74</v>
      </c>
      <c r="EO31" s="231">
        <v>-724647.18</v>
      </c>
      <c r="EP31" s="229">
        <v>-0.60309999999999997</v>
      </c>
      <c r="EQ31" s="231">
        <v>75235</v>
      </c>
      <c r="ER31" s="231">
        <v>79169</v>
      </c>
      <c r="ES31" s="231">
        <v>645512</v>
      </c>
      <c r="ET31" s="231">
        <v>95452027</v>
      </c>
      <c r="EU31" s="231">
        <v>799916</v>
      </c>
      <c r="EV31" s="231">
        <v>749079</v>
      </c>
      <c r="EW31" s="231">
        <v>50837</v>
      </c>
      <c r="EX31" s="229">
        <v>6.7900000000000002E-2</v>
      </c>
      <c r="EY31" s="229">
        <v>0.24079999999999999</v>
      </c>
    </row>
    <row r="32" spans="1:155" ht="17.25" thickBot="1" x14ac:dyDescent="0.3">
      <c r="A32" s="226">
        <v>46050</v>
      </c>
      <c r="B32" s="227" t="s">
        <v>162</v>
      </c>
      <c r="C32" s="227" t="s">
        <v>255</v>
      </c>
      <c r="D32" s="231">
        <v>14950</v>
      </c>
      <c r="E32" s="231">
        <v>15341</v>
      </c>
      <c r="F32" s="228">
        <v>-391</v>
      </c>
      <c r="G32" s="229">
        <v>-2.5499999999999998E-2</v>
      </c>
      <c r="H32" s="231">
        <v>14877</v>
      </c>
      <c r="I32" s="231">
        <v>15245</v>
      </c>
      <c r="J32" s="228">
        <v>-368</v>
      </c>
      <c r="K32" s="229">
        <v>-2.41E-2</v>
      </c>
      <c r="L32" s="231">
        <v>14950</v>
      </c>
      <c r="M32" s="231">
        <v>15230</v>
      </c>
      <c r="N32" s="228">
        <v>-280</v>
      </c>
      <c r="O32" s="229">
        <v>-1.84E-2</v>
      </c>
      <c r="P32" s="231">
        <v>15029</v>
      </c>
      <c r="Q32" s="231">
        <v>15341</v>
      </c>
      <c r="R32" s="228">
        <v>-312</v>
      </c>
      <c r="S32" s="229">
        <v>-2.0299999999999999E-2</v>
      </c>
      <c r="T32" s="231">
        <v>15112</v>
      </c>
      <c r="U32" s="231">
        <v>15429</v>
      </c>
      <c r="V32" s="228">
        <v>-317</v>
      </c>
      <c r="W32" s="229">
        <v>-2.0500000000000001E-2</v>
      </c>
      <c r="X32" s="228">
        <v>73</v>
      </c>
      <c r="Y32" s="228">
        <v>96</v>
      </c>
      <c r="Z32" s="228">
        <v>-23</v>
      </c>
      <c r="AA32" s="229">
        <v>4.8999999999999998E-3</v>
      </c>
      <c r="AB32" s="228">
        <v>73</v>
      </c>
      <c r="AC32" s="228">
        <v>-15</v>
      </c>
      <c r="AD32" s="228">
        <v>88</v>
      </c>
      <c r="AE32" s="229">
        <v>4.8999999999999998E-3</v>
      </c>
      <c r="AF32" s="228">
        <v>152</v>
      </c>
      <c r="AG32" s="228">
        <v>96</v>
      </c>
      <c r="AH32" s="228">
        <v>56</v>
      </c>
      <c r="AI32" s="229">
        <v>1.0200000000000001E-2</v>
      </c>
      <c r="AJ32" s="228">
        <v>235</v>
      </c>
      <c r="AK32" s="228">
        <v>184</v>
      </c>
      <c r="AL32" s="228">
        <v>51</v>
      </c>
      <c r="AM32" s="229">
        <v>1.5800000000000002E-2</v>
      </c>
      <c r="AN32" s="231">
        <v>14993</v>
      </c>
      <c r="AO32" s="231">
        <v>15093.95</v>
      </c>
      <c r="AP32" s="228">
        <v>0</v>
      </c>
      <c r="AQ32" s="230">
        <v>51057</v>
      </c>
      <c r="AR32" s="230">
        <v>30091</v>
      </c>
      <c r="AS32" s="230">
        <v>20966</v>
      </c>
      <c r="AT32" s="229">
        <v>0.69679999999999997</v>
      </c>
      <c r="AU32" s="230">
        <v>49872</v>
      </c>
      <c r="AV32" s="230">
        <v>10678</v>
      </c>
      <c r="AW32" s="230">
        <v>39194</v>
      </c>
      <c r="AX32" s="229">
        <v>3.6705000000000001</v>
      </c>
      <c r="AY32" s="230">
        <v>1051</v>
      </c>
      <c r="AZ32" s="230">
        <v>18991</v>
      </c>
      <c r="BA32" s="230">
        <v>-17940</v>
      </c>
      <c r="BB32" s="229">
        <v>-0.94469999999999998</v>
      </c>
      <c r="BC32" s="228">
        <v>134</v>
      </c>
      <c r="BD32" s="228">
        <v>422</v>
      </c>
      <c r="BE32" s="228">
        <v>-288</v>
      </c>
      <c r="BF32" s="229">
        <v>-0.6825</v>
      </c>
      <c r="BG32" s="230">
        <v>263557</v>
      </c>
      <c r="BH32" s="230">
        <v>126889</v>
      </c>
      <c r="BI32" s="230">
        <v>136668</v>
      </c>
      <c r="BJ32" s="229">
        <v>1.0770999999999999</v>
      </c>
      <c r="BK32" s="230">
        <v>162792</v>
      </c>
      <c r="BL32" s="230">
        <v>112816</v>
      </c>
      <c r="BM32" s="230">
        <v>49976</v>
      </c>
      <c r="BN32" s="229">
        <v>0.443</v>
      </c>
      <c r="BO32" s="230">
        <v>477406</v>
      </c>
      <c r="BP32" s="230">
        <v>269796</v>
      </c>
      <c r="BQ32" s="230">
        <v>207610</v>
      </c>
      <c r="BR32" s="229">
        <v>0.76949999999999996</v>
      </c>
      <c r="BS32" s="230">
        <v>1661857</v>
      </c>
      <c r="BT32" s="230">
        <v>601001</v>
      </c>
      <c r="BU32" s="230">
        <v>1060856</v>
      </c>
      <c r="BV32" s="229">
        <v>1.7650999999999999</v>
      </c>
      <c r="BW32" s="230">
        <v>3269000</v>
      </c>
      <c r="BX32" s="230">
        <v>3082700</v>
      </c>
      <c r="BY32" s="230">
        <v>186300</v>
      </c>
      <c r="BZ32" s="229">
        <v>6.0400000000000002E-2</v>
      </c>
      <c r="CA32" s="230">
        <v>3101300</v>
      </c>
      <c r="CB32" s="230">
        <v>157850</v>
      </c>
      <c r="CC32" s="230">
        <v>2943450</v>
      </c>
      <c r="CD32" s="229">
        <v>18.647099999999998</v>
      </c>
      <c r="CE32" s="230">
        <v>164500</v>
      </c>
      <c r="CF32" s="230">
        <v>2924150</v>
      </c>
      <c r="CG32" s="230">
        <v>-2759650</v>
      </c>
      <c r="CH32" s="229">
        <v>-0.94369999999999998</v>
      </c>
      <c r="CI32" s="230">
        <v>3200</v>
      </c>
      <c r="CJ32" s="230">
        <v>158550</v>
      </c>
      <c r="CK32" s="230">
        <v>-155350</v>
      </c>
      <c r="CL32" s="229">
        <v>-0.9798</v>
      </c>
      <c r="CM32" s="230">
        <v>1813400</v>
      </c>
      <c r="CN32" s="230">
        <v>568850</v>
      </c>
      <c r="CO32" s="230">
        <v>1244550</v>
      </c>
      <c r="CP32" s="229">
        <v>2.1878000000000002</v>
      </c>
      <c r="CQ32" s="230">
        <v>1062500</v>
      </c>
      <c r="CR32" s="230">
        <v>432400</v>
      </c>
      <c r="CS32" s="230">
        <v>630100</v>
      </c>
      <c r="CT32" s="229">
        <v>1.4572000000000001</v>
      </c>
      <c r="CU32" s="230">
        <v>6144900</v>
      </c>
      <c r="CV32" s="230">
        <v>4083950</v>
      </c>
      <c r="CW32" s="230">
        <v>2060950</v>
      </c>
      <c r="CX32" s="229">
        <v>0.50460000000000005</v>
      </c>
      <c r="CY32" s="228">
        <v>26.98</v>
      </c>
      <c r="CZ32" s="228">
        <v>29.32</v>
      </c>
      <c r="DA32" s="228">
        <v>-2.34</v>
      </c>
      <c r="DB32" s="228">
        <v>-2.34</v>
      </c>
      <c r="DC32" s="228">
        <v>24.64</v>
      </c>
      <c r="DD32" s="228">
        <v>24.48</v>
      </c>
      <c r="DE32" s="228">
        <v>2.34</v>
      </c>
      <c r="DF32" s="228">
        <v>0.16</v>
      </c>
      <c r="DG32" s="228">
        <v>26.4</v>
      </c>
      <c r="DH32" s="228">
        <v>29.02</v>
      </c>
      <c r="DI32" s="228">
        <v>-2.62</v>
      </c>
      <c r="DJ32" s="228">
        <v>-2.62</v>
      </c>
      <c r="DK32" s="228">
        <v>27.92</v>
      </c>
      <c r="DL32" s="228">
        <v>29.64</v>
      </c>
      <c r="DM32" s="228">
        <v>-1.72</v>
      </c>
      <c r="DN32" s="228">
        <v>-1.72</v>
      </c>
      <c r="DO32" s="228">
        <v>0.59</v>
      </c>
      <c r="DP32" s="228">
        <v>0.76</v>
      </c>
      <c r="DQ32" s="228">
        <v>-0.17</v>
      </c>
      <c r="DR32" s="229">
        <v>-0.22370000000000001</v>
      </c>
      <c r="DS32" s="231">
        <v>16000</v>
      </c>
      <c r="DT32" s="231">
        <v>15000</v>
      </c>
      <c r="DU32" s="228">
        <v>0.62</v>
      </c>
      <c r="DV32" s="228">
        <v>0.89</v>
      </c>
      <c r="DW32" s="228">
        <v>-0.27</v>
      </c>
      <c r="DX32" s="229">
        <v>-0.3034</v>
      </c>
      <c r="DY32" s="229">
        <v>5.1299999999999998E-2</v>
      </c>
      <c r="DZ32" s="230">
        <v>3082700</v>
      </c>
      <c r="EA32" s="229">
        <v>5.3E-3</v>
      </c>
      <c r="EB32" s="229">
        <v>5.1299999999999998E-2</v>
      </c>
      <c r="EC32" s="228">
        <v>100.95</v>
      </c>
      <c r="ED32" s="229">
        <v>6.7000000000000002E-3</v>
      </c>
      <c r="EE32" s="230">
        <v>674335</v>
      </c>
      <c r="EF32" s="230">
        <v>317109</v>
      </c>
      <c r="EG32" s="229">
        <v>1.1265000000000001</v>
      </c>
      <c r="EH32" s="229">
        <v>0.40579999999999999</v>
      </c>
      <c r="EI32" s="231">
        <v>2104901.2000000002</v>
      </c>
      <c r="EJ32" s="231">
        <v>1196118.55</v>
      </c>
      <c r="EK32" s="231">
        <v>382815.54</v>
      </c>
      <c r="EL32" s="231">
        <v>38820</v>
      </c>
      <c r="EM32" s="231">
        <v>3683835.29</v>
      </c>
      <c r="EN32" s="231">
        <v>2088632.16</v>
      </c>
      <c r="EO32" s="231">
        <v>1595203.13</v>
      </c>
      <c r="EP32" s="229">
        <v>0.76380000000000003</v>
      </c>
      <c r="EQ32" s="231">
        <v>289994</v>
      </c>
      <c r="ER32" s="231">
        <v>154697</v>
      </c>
      <c r="ES32" s="231">
        <v>488851</v>
      </c>
      <c r="ET32" s="231">
        <v>17687048</v>
      </c>
      <c r="EU32" s="231">
        <v>933542</v>
      </c>
      <c r="EV32" s="231">
        <v>631780</v>
      </c>
      <c r="EW32" s="231">
        <v>301762</v>
      </c>
      <c r="EX32" s="229">
        <v>0.47760000000000002</v>
      </c>
      <c r="EY32" s="229">
        <v>0.34739999999999999</v>
      </c>
    </row>
    <row r="33" spans="1:155" ht="17.25" thickBot="1" x14ac:dyDescent="0.3">
      <c r="A33" s="226">
        <v>46050</v>
      </c>
      <c r="B33" s="227" t="s">
        <v>170</v>
      </c>
      <c r="C33" s="227" t="s">
        <v>603</v>
      </c>
      <c r="D33" s="228">
        <v>964</v>
      </c>
      <c r="E33" s="228">
        <v>982.6</v>
      </c>
      <c r="F33" s="228">
        <v>-18.600000000000001</v>
      </c>
      <c r="G33" s="229">
        <v>-1.89E-2</v>
      </c>
      <c r="H33" s="228">
        <v>958.6</v>
      </c>
      <c r="I33" s="228">
        <v>975.5</v>
      </c>
      <c r="J33" s="228">
        <v>-16.899999999999999</v>
      </c>
      <c r="K33" s="229">
        <v>-1.7299999999999999E-2</v>
      </c>
      <c r="L33" s="228">
        <v>964</v>
      </c>
      <c r="M33" s="228">
        <v>977.6</v>
      </c>
      <c r="N33" s="228">
        <v>-13.6</v>
      </c>
      <c r="O33" s="229">
        <v>-1.3899999999999999E-2</v>
      </c>
      <c r="P33" s="228">
        <v>970.3</v>
      </c>
      <c r="Q33" s="228">
        <v>982.6</v>
      </c>
      <c r="R33" s="228">
        <v>-12.3</v>
      </c>
      <c r="S33" s="229">
        <v>-1.2500000000000001E-2</v>
      </c>
      <c r="T33" s="228">
        <v>979</v>
      </c>
      <c r="U33" s="228">
        <v>987.8</v>
      </c>
      <c r="V33" s="228">
        <v>-8.8000000000000007</v>
      </c>
      <c r="W33" s="229">
        <v>-8.8999999999999999E-3</v>
      </c>
      <c r="X33" s="228">
        <v>5.4</v>
      </c>
      <c r="Y33" s="228">
        <v>7.1</v>
      </c>
      <c r="Z33" s="228">
        <v>-1.7</v>
      </c>
      <c r="AA33" s="229">
        <v>5.5999999999999999E-3</v>
      </c>
      <c r="AB33" s="228">
        <v>5.4</v>
      </c>
      <c r="AC33" s="228">
        <v>2.1</v>
      </c>
      <c r="AD33" s="228">
        <v>3.3</v>
      </c>
      <c r="AE33" s="229">
        <v>5.5999999999999999E-3</v>
      </c>
      <c r="AF33" s="228">
        <v>11.7</v>
      </c>
      <c r="AG33" s="228">
        <v>7.1</v>
      </c>
      <c r="AH33" s="228">
        <v>4.5999999999999996</v>
      </c>
      <c r="AI33" s="229">
        <v>1.2200000000000001E-2</v>
      </c>
      <c r="AJ33" s="228">
        <v>20.399999999999999</v>
      </c>
      <c r="AK33" s="228">
        <v>12.3</v>
      </c>
      <c r="AL33" s="228">
        <v>8.1</v>
      </c>
      <c r="AM33" s="229">
        <v>2.1299999999999999E-2</v>
      </c>
      <c r="AN33" s="228">
        <v>967.33</v>
      </c>
      <c r="AO33" s="228">
        <v>975.33</v>
      </c>
      <c r="AP33" s="228">
        <v>0</v>
      </c>
      <c r="AQ33" s="230">
        <v>5035</v>
      </c>
      <c r="AR33" s="230">
        <v>15455</v>
      </c>
      <c r="AS33" s="230">
        <v>-10420</v>
      </c>
      <c r="AT33" s="229">
        <v>-0.67420000000000002</v>
      </c>
      <c r="AU33" s="230">
        <v>4861</v>
      </c>
      <c r="AV33" s="230">
        <v>6024</v>
      </c>
      <c r="AW33" s="230">
        <v>-1163</v>
      </c>
      <c r="AX33" s="229">
        <v>-0.19309999999999999</v>
      </c>
      <c r="AY33" s="228">
        <v>166</v>
      </c>
      <c r="AZ33" s="230">
        <v>9251</v>
      </c>
      <c r="BA33" s="230">
        <v>-9085</v>
      </c>
      <c r="BB33" s="229">
        <v>-0.98209999999999997</v>
      </c>
      <c r="BC33" s="228">
        <v>8</v>
      </c>
      <c r="BD33" s="228">
        <v>180</v>
      </c>
      <c r="BE33" s="228">
        <v>-172</v>
      </c>
      <c r="BF33" s="229">
        <v>-0.9556</v>
      </c>
      <c r="BG33" s="230">
        <v>4150</v>
      </c>
      <c r="BH33" s="230">
        <v>4150</v>
      </c>
      <c r="BI33" s="228">
        <v>0</v>
      </c>
      <c r="BJ33" s="229">
        <v>0</v>
      </c>
      <c r="BK33" s="230">
        <v>2950</v>
      </c>
      <c r="BL33" s="230">
        <v>4913</v>
      </c>
      <c r="BM33" s="230">
        <v>-1963</v>
      </c>
      <c r="BN33" s="229">
        <v>-0.39960000000000001</v>
      </c>
      <c r="BO33" s="230">
        <v>12135</v>
      </c>
      <c r="BP33" s="230">
        <v>24518</v>
      </c>
      <c r="BQ33" s="230">
        <v>-12383</v>
      </c>
      <c r="BR33" s="229">
        <v>-0.50509999999999999</v>
      </c>
      <c r="BS33" s="230">
        <v>4301537</v>
      </c>
      <c r="BT33" s="230">
        <v>5265709</v>
      </c>
      <c r="BU33" s="230">
        <v>-964172</v>
      </c>
      <c r="BV33" s="229">
        <v>-0.18310000000000001</v>
      </c>
      <c r="BW33" s="230">
        <v>18296775</v>
      </c>
      <c r="BX33" s="230">
        <v>17925600</v>
      </c>
      <c r="BY33" s="230">
        <v>371175</v>
      </c>
      <c r="BZ33" s="229">
        <v>2.07E-2</v>
      </c>
      <c r="CA33" s="230">
        <v>17658900</v>
      </c>
      <c r="CB33" s="230">
        <v>1685250</v>
      </c>
      <c r="CC33" s="230">
        <v>15973650</v>
      </c>
      <c r="CD33" s="229">
        <v>9.4785000000000004</v>
      </c>
      <c r="CE33" s="230">
        <v>633675</v>
      </c>
      <c r="CF33" s="230">
        <v>17337075</v>
      </c>
      <c r="CG33" s="230">
        <v>-16703400</v>
      </c>
      <c r="CH33" s="229">
        <v>-0.96340000000000003</v>
      </c>
      <c r="CI33" s="230">
        <v>4200</v>
      </c>
      <c r="CJ33" s="230">
        <v>588525</v>
      </c>
      <c r="CK33" s="230">
        <v>-584325</v>
      </c>
      <c r="CL33" s="229">
        <v>-0.9929</v>
      </c>
      <c r="CM33" s="230">
        <v>1376025</v>
      </c>
      <c r="CN33" s="230">
        <v>981225</v>
      </c>
      <c r="CO33" s="230">
        <v>394800</v>
      </c>
      <c r="CP33" s="229">
        <v>0.40239999999999998</v>
      </c>
      <c r="CQ33" s="230">
        <v>1352400</v>
      </c>
      <c r="CR33" s="230">
        <v>1073625</v>
      </c>
      <c r="CS33" s="230">
        <v>278775</v>
      </c>
      <c r="CT33" s="229">
        <v>0.25969999999999999</v>
      </c>
      <c r="CU33" s="230">
        <v>21025200</v>
      </c>
      <c r="CV33" s="230">
        <v>19980450</v>
      </c>
      <c r="CW33" s="230">
        <v>1044750</v>
      </c>
      <c r="CX33" s="229">
        <v>5.2299999999999999E-2</v>
      </c>
      <c r="CY33" s="228">
        <v>32.44</v>
      </c>
      <c r="CZ33" s="228">
        <v>32.520000000000003</v>
      </c>
      <c r="DA33" s="228">
        <v>-0.08</v>
      </c>
      <c r="DB33" s="228">
        <v>-0.08</v>
      </c>
      <c r="DC33" s="228">
        <v>37.74</v>
      </c>
      <c r="DD33" s="228">
        <v>37.770000000000003</v>
      </c>
      <c r="DE33" s="228">
        <v>-5.3</v>
      </c>
      <c r="DF33" s="228">
        <v>-0.03</v>
      </c>
      <c r="DG33" s="228">
        <v>32.28</v>
      </c>
      <c r="DH33" s="228">
        <v>32.43</v>
      </c>
      <c r="DI33" s="228">
        <v>-0.15</v>
      </c>
      <c r="DJ33" s="228">
        <v>-0.15</v>
      </c>
      <c r="DK33" s="228">
        <v>32.659999999999997</v>
      </c>
      <c r="DL33" s="228">
        <v>32.619999999999997</v>
      </c>
      <c r="DM33" s="228">
        <v>0.04</v>
      </c>
      <c r="DN33" s="228">
        <v>0.04</v>
      </c>
      <c r="DO33" s="228">
        <v>0.98</v>
      </c>
      <c r="DP33" s="228">
        <v>1.0900000000000001</v>
      </c>
      <c r="DQ33" s="228">
        <v>-0.11</v>
      </c>
      <c r="DR33" s="229">
        <v>-0.1009</v>
      </c>
      <c r="DS33" s="231">
        <v>1000</v>
      </c>
      <c r="DT33" s="231">
        <v>1000</v>
      </c>
      <c r="DU33" s="228">
        <v>0.71</v>
      </c>
      <c r="DV33" s="228">
        <v>1.18</v>
      </c>
      <c r="DW33" s="228">
        <v>-0.47</v>
      </c>
      <c r="DX33" s="229">
        <v>-0.39829999999999999</v>
      </c>
      <c r="DY33" s="229">
        <v>3.49E-2</v>
      </c>
      <c r="DZ33" s="230">
        <v>17925600</v>
      </c>
      <c r="EA33" s="229">
        <v>6.4999999999999997E-3</v>
      </c>
      <c r="EB33" s="229">
        <v>3.49E-2</v>
      </c>
      <c r="EC33" s="228">
        <v>8</v>
      </c>
      <c r="ED33" s="229">
        <v>8.3000000000000001E-3</v>
      </c>
      <c r="EE33" s="230">
        <v>2877935</v>
      </c>
      <c r="EF33" s="230">
        <v>3473439</v>
      </c>
      <c r="EG33" s="229">
        <v>-0.1714</v>
      </c>
      <c r="EH33" s="229">
        <v>0.66900000000000004</v>
      </c>
      <c r="EI33" s="231">
        <v>22320.44</v>
      </c>
      <c r="EJ33" s="231">
        <v>15176.18</v>
      </c>
      <c r="EK33" s="231">
        <v>25577.68</v>
      </c>
      <c r="EL33" s="231">
        <v>22903</v>
      </c>
      <c r="EM33" s="231">
        <v>63074.3</v>
      </c>
      <c r="EN33" s="231">
        <v>128172.09</v>
      </c>
      <c r="EO33" s="231">
        <v>-65097.79</v>
      </c>
      <c r="EP33" s="229">
        <v>-0.50790000000000002</v>
      </c>
      <c r="EQ33" s="231">
        <v>14166</v>
      </c>
      <c r="ER33" s="231">
        <v>13760</v>
      </c>
      <c r="ES33" s="231">
        <v>176421</v>
      </c>
      <c r="ET33" s="231">
        <v>111218809</v>
      </c>
      <c r="EU33" s="231">
        <v>204348</v>
      </c>
      <c r="EV33" s="231">
        <v>197540</v>
      </c>
      <c r="EW33" s="231">
        <v>6808</v>
      </c>
      <c r="EX33" s="229">
        <v>3.4500000000000003E-2</v>
      </c>
      <c r="EY33" s="229">
        <v>0.189</v>
      </c>
    </row>
    <row r="34" spans="1:155" ht="17.25" thickBot="1" x14ac:dyDescent="0.3">
      <c r="A34" s="226">
        <v>46050</v>
      </c>
      <c r="B34" s="227" t="s">
        <v>168</v>
      </c>
      <c r="C34" s="227" t="s">
        <v>265</v>
      </c>
      <c r="D34" s="231">
        <v>1288.5999999999999</v>
      </c>
      <c r="E34" s="231">
        <v>1304.5999999999999</v>
      </c>
      <c r="F34" s="228">
        <v>-16</v>
      </c>
      <c r="G34" s="229">
        <v>-1.23E-2</v>
      </c>
      <c r="H34" s="231">
        <v>1292.4000000000001</v>
      </c>
      <c r="I34" s="231">
        <v>1303.3</v>
      </c>
      <c r="J34" s="228">
        <v>-10.9</v>
      </c>
      <c r="K34" s="229">
        <v>-8.3999999999999995E-3</v>
      </c>
      <c r="L34" s="231">
        <v>1288.5999999999999</v>
      </c>
      <c r="M34" s="231">
        <v>1302</v>
      </c>
      <c r="N34" s="228">
        <v>-13.4</v>
      </c>
      <c r="O34" s="229">
        <v>-1.03E-2</v>
      </c>
      <c r="P34" s="231">
        <v>1296.5</v>
      </c>
      <c r="Q34" s="231">
        <v>1304.5999999999999</v>
      </c>
      <c r="R34" s="228">
        <v>-8.1</v>
      </c>
      <c r="S34" s="229">
        <v>-6.1999999999999998E-3</v>
      </c>
      <c r="T34" s="231">
        <v>1300.8</v>
      </c>
      <c r="U34" s="231">
        <v>1313.9</v>
      </c>
      <c r="V34" s="228">
        <v>-13.1</v>
      </c>
      <c r="W34" s="229">
        <v>-0.01</v>
      </c>
      <c r="X34" s="228">
        <v>-3.8</v>
      </c>
      <c r="Y34" s="228">
        <v>1.3</v>
      </c>
      <c r="Z34" s="228">
        <v>-5.0999999999999996</v>
      </c>
      <c r="AA34" s="229">
        <v>-2.8999999999999998E-3</v>
      </c>
      <c r="AB34" s="228">
        <v>-3.8</v>
      </c>
      <c r="AC34" s="228">
        <v>-1.3</v>
      </c>
      <c r="AD34" s="228">
        <v>-2.5</v>
      </c>
      <c r="AE34" s="229">
        <v>-2.8999999999999998E-3</v>
      </c>
      <c r="AF34" s="228">
        <v>4.0999999999999996</v>
      </c>
      <c r="AG34" s="228">
        <v>1.3</v>
      </c>
      <c r="AH34" s="228">
        <v>2.8</v>
      </c>
      <c r="AI34" s="229">
        <v>3.2000000000000002E-3</v>
      </c>
      <c r="AJ34" s="228">
        <v>8.4</v>
      </c>
      <c r="AK34" s="228">
        <v>10.6</v>
      </c>
      <c r="AL34" s="228">
        <v>-2.2000000000000002</v>
      </c>
      <c r="AM34" s="229">
        <v>6.4999999999999997E-3</v>
      </c>
      <c r="AN34" s="231">
        <v>1287.8599999999999</v>
      </c>
      <c r="AO34" s="231">
        <v>1292.07</v>
      </c>
      <c r="AP34" s="228">
        <v>0</v>
      </c>
      <c r="AQ34" s="230">
        <v>5355</v>
      </c>
      <c r="AR34" s="230">
        <v>16466</v>
      </c>
      <c r="AS34" s="230">
        <v>-11111</v>
      </c>
      <c r="AT34" s="229">
        <v>-0.67479999999999996</v>
      </c>
      <c r="AU34" s="230">
        <v>5091</v>
      </c>
      <c r="AV34" s="230">
        <v>7167</v>
      </c>
      <c r="AW34" s="230">
        <v>-2076</v>
      </c>
      <c r="AX34" s="229">
        <v>-0.28970000000000001</v>
      </c>
      <c r="AY34" s="228">
        <v>256</v>
      </c>
      <c r="AZ34" s="230">
        <v>9210</v>
      </c>
      <c r="BA34" s="230">
        <v>-8954</v>
      </c>
      <c r="BB34" s="229">
        <v>-0.97219999999999995</v>
      </c>
      <c r="BC34" s="228">
        <v>8</v>
      </c>
      <c r="BD34" s="228">
        <v>89</v>
      </c>
      <c r="BE34" s="228">
        <v>-81</v>
      </c>
      <c r="BF34" s="229">
        <v>-0.91010000000000002</v>
      </c>
      <c r="BG34" s="230">
        <v>5338</v>
      </c>
      <c r="BH34" s="230">
        <v>5112</v>
      </c>
      <c r="BI34" s="228">
        <v>226</v>
      </c>
      <c r="BJ34" s="229">
        <v>4.4200000000000003E-2</v>
      </c>
      <c r="BK34" s="230">
        <v>3175</v>
      </c>
      <c r="BL34" s="230">
        <v>3408</v>
      </c>
      <c r="BM34" s="228">
        <v>-233</v>
      </c>
      <c r="BN34" s="229">
        <v>-6.8400000000000002E-2</v>
      </c>
      <c r="BO34" s="230">
        <v>13868</v>
      </c>
      <c r="BP34" s="230">
        <v>24986</v>
      </c>
      <c r="BQ34" s="230">
        <v>-11118</v>
      </c>
      <c r="BR34" s="229">
        <v>-0.44500000000000001</v>
      </c>
      <c r="BS34" s="230">
        <v>966729</v>
      </c>
      <c r="BT34" s="230">
        <v>1179783</v>
      </c>
      <c r="BU34" s="230">
        <v>-213054</v>
      </c>
      <c r="BV34" s="229">
        <v>-0.18060000000000001</v>
      </c>
      <c r="BW34" s="230">
        <v>17722500</v>
      </c>
      <c r="BX34" s="230">
        <v>17714000</v>
      </c>
      <c r="BY34" s="230">
        <v>8500</v>
      </c>
      <c r="BZ34" s="229">
        <v>5.0000000000000001E-4</v>
      </c>
      <c r="CA34" s="230">
        <v>17447000</v>
      </c>
      <c r="CB34" s="230">
        <v>380000</v>
      </c>
      <c r="CC34" s="230">
        <v>17067000</v>
      </c>
      <c r="CD34" s="229">
        <v>44.913200000000003</v>
      </c>
      <c r="CE34" s="230">
        <v>271500</v>
      </c>
      <c r="CF34" s="230">
        <v>17475500</v>
      </c>
      <c r="CG34" s="230">
        <v>-17204000</v>
      </c>
      <c r="CH34" s="229">
        <v>-0.98450000000000004</v>
      </c>
      <c r="CI34" s="230">
        <v>4000</v>
      </c>
      <c r="CJ34" s="230">
        <v>238500</v>
      </c>
      <c r="CK34" s="230">
        <v>-234500</v>
      </c>
      <c r="CL34" s="229">
        <v>-0.98319999999999996</v>
      </c>
      <c r="CM34" s="230">
        <v>1539000</v>
      </c>
      <c r="CN34" s="230">
        <v>802000</v>
      </c>
      <c r="CO34" s="230">
        <v>737000</v>
      </c>
      <c r="CP34" s="229">
        <v>0.91900000000000004</v>
      </c>
      <c r="CQ34" s="230">
        <v>1104500</v>
      </c>
      <c r="CR34" s="230">
        <v>685500</v>
      </c>
      <c r="CS34" s="230">
        <v>419000</v>
      </c>
      <c r="CT34" s="229">
        <v>0.61119999999999997</v>
      </c>
      <c r="CU34" s="230">
        <v>20366000</v>
      </c>
      <c r="CV34" s="230">
        <v>19201500</v>
      </c>
      <c r="CW34" s="230">
        <v>1164500</v>
      </c>
      <c r="CX34" s="229">
        <v>6.0600000000000001E-2</v>
      </c>
      <c r="CY34" s="228">
        <v>27.81</v>
      </c>
      <c r="CZ34" s="228">
        <v>26.57</v>
      </c>
      <c r="DA34" s="228">
        <v>1.24</v>
      </c>
      <c r="DB34" s="228">
        <v>1.24</v>
      </c>
      <c r="DC34" s="228">
        <v>22.5</v>
      </c>
      <c r="DD34" s="228">
        <v>22.51</v>
      </c>
      <c r="DE34" s="228">
        <v>5.31</v>
      </c>
      <c r="DF34" s="228">
        <v>-0.01</v>
      </c>
      <c r="DG34" s="228">
        <v>27.47</v>
      </c>
      <c r="DH34" s="228">
        <v>26.18</v>
      </c>
      <c r="DI34" s="228">
        <v>1.29</v>
      </c>
      <c r="DJ34" s="228">
        <v>1.29</v>
      </c>
      <c r="DK34" s="228">
        <v>28.4</v>
      </c>
      <c r="DL34" s="228">
        <v>27.2</v>
      </c>
      <c r="DM34" s="228">
        <v>1.2</v>
      </c>
      <c r="DN34" s="228">
        <v>1.2</v>
      </c>
      <c r="DO34" s="228">
        <v>0.72</v>
      </c>
      <c r="DP34" s="228">
        <v>0.85</v>
      </c>
      <c r="DQ34" s="228">
        <v>-0.13</v>
      </c>
      <c r="DR34" s="229">
        <v>-0.15290000000000001</v>
      </c>
      <c r="DS34" s="231">
        <v>1300</v>
      </c>
      <c r="DT34" s="231">
        <v>1300</v>
      </c>
      <c r="DU34" s="228">
        <v>0.59</v>
      </c>
      <c r="DV34" s="228">
        <v>0.67</v>
      </c>
      <c r="DW34" s="228">
        <v>-0.08</v>
      </c>
      <c r="DX34" s="229">
        <v>-0.11940000000000001</v>
      </c>
      <c r="DY34" s="229">
        <v>1.55E-2</v>
      </c>
      <c r="DZ34" s="230">
        <v>17714000</v>
      </c>
      <c r="EA34" s="229">
        <v>6.1000000000000004E-3</v>
      </c>
      <c r="EB34" s="229">
        <v>1.55E-2</v>
      </c>
      <c r="EC34" s="228">
        <v>4.21</v>
      </c>
      <c r="ED34" s="229">
        <v>3.3E-3</v>
      </c>
      <c r="EE34" s="230">
        <v>468721</v>
      </c>
      <c r="EF34" s="230">
        <v>537863</v>
      </c>
      <c r="EG34" s="229">
        <v>-0.1285</v>
      </c>
      <c r="EH34" s="229">
        <v>0.4849</v>
      </c>
      <c r="EI34" s="231">
        <v>36078.15</v>
      </c>
      <c r="EJ34" s="231">
        <v>20104.759999999998</v>
      </c>
      <c r="EK34" s="231">
        <v>34488.1</v>
      </c>
      <c r="EL34" s="231">
        <v>21709</v>
      </c>
      <c r="EM34" s="231">
        <v>90671.01</v>
      </c>
      <c r="EN34" s="231">
        <v>163356.09</v>
      </c>
      <c r="EO34" s="231">
        <v>-72685.08</v>
      </c>
      <c r="EP34" s="229">
        <v>-0.44490000000000002</v>
      </c>
      <c r="EQ34" s="231">
        <v>20195</v>
      </c>
      <c r="ER34" s="231">
        <v>13778</v>
      </c>
      <c r="ES34" s="231">
        <v>228394</v>
      </c>
      <c r="ET34" s="231">
        <v>71801274</v>
      </c>
      <c r="EU34" s="231">
        <v>262367</v>
      </c>
      <c r="EV34" s="231">
        <v>250525</v>
      </c>
      <c r="EW34" s="231">
        <v>11842</v>
      </c>
      <c r="EX34" s="229">
        <v>4.7300000000000002E-2</v>
      </c>
      <c r="EY34" s="229">
        <v>0.28360000000000002</v>
      </c>
    </row>
    <row r="35" spans="1:155" ht="17.25" thickBot="1" x14ac:dyDescent="0.3">
      <c r="A35" s="226">
        <v>46050</v>
      </c>
      <c r="B35" s="227" t="s">
        <v>161</v>
      </c>
      <c r="C35" s="227" t="s">
        <v>268</v>
      </c>
      <c r="D35" s="228">
        <v>347.5</v>
      </c>
      <c r="E35" s="228">
        <v>343.5</v>
      </c>
      <c r="F35" s="228">
        <v>4</v>
      </c>
      <c r="G35" s="229">
        <v>1.1599999999999999E-2</v>
      </c>
      <c r="H35" s="228">
        <v>348.05</v>
      </c>
      <c r="I35" s="228">
        <v>344.7</v>
      </c>
      <c r="J35" s="228">
        <v>3.35</v>
      </c>
      <c r="K35" s="229">
        <v>9.7000000000000003E-3</v>
      </c>
      <c r="L35" s="228">
        <v>347.5</v>
      </c>
      <c r="M35" s="228">
        <v>343.45</v>
      </c>
      <c r="N35" s="228">
        <v>4.05</v>
      </c>
      <c r="O35" s="229">
        <v>1.18E-2</v>
      </c>
      <c r="P35" s="228">
        <v>349.8</v>
      </c>
      <c r="Q35" s="228">
        <v>343.5</v>
      </c>
      <c r="R35" s="228">
        <v>6.3</v>
      </c>
      <c r="S35" s="229">
        <v>1.83E-2</v>
      </c>
      <c r="T35" s="228">
        <v>352.25</v>
      </c>
      <c r="U35" s="228">
        <v>346.3</v>
      </c>
      <c r="V35" s="228">
        <v>5.95</v>
      </c>
      <c r="W35" s="229">
        <v>1.72E-2</v>
      </c>
      <c r="X35" s="228">
        <v>-0.55000000000000004</v>
      </c>
      <c r="Y35" s="228">
        <v>-1.2</v>
      </c>
      <c r="Z35" s="228">
        <v>0.65</v>
      </c>
      <c r="AA35" s="229">
        <v>-1.6000000000000001E-3</v>
      </c>
      <c r="AB35" s="228">
        <v>-0.55000000000000004</v>
      </c>
      <c r="AC35" s="228">
        <v>-1.25</v>
      </c>
      <c r="AD35" s="228">
        <v>0.7</v>
      </c>
      <c r="AE35" s="229">
        <v>-1.6000000000000001E-3</v>
      </c>
      <c r="AF35" s="228">
        <v>1.75</v>
      </c>
      <c r="AG35" s="228">
        <v>-1.2</v>
      </c>
      <c r="AH35" s="228">
        <v>2.95</v>
      </c>
      <c r="AI35" s="229">
        <v>5.0000000000000001E-3</v>
      </c>
      <c r="AJ35" s="228">
        <v>4.2</v>
      </c>
      <c r="AK35" s="228">
        <v>1.6</v>
      </c>
      <c r="AL35" s="228">
        <v>2.6</v>
      </c>
      <c r="AM35" s="229">
        <v>1.21E-2</v>
      </c>
      <c r="AN35" s="228">
        <v>347.84</v>
      </c>
      <c r="AO35" s="228">
        <v>350.14</v>
      </c>
      <c r="AP35" s="228">
        <v>0</v>
      </c>
      <c r="AQ35" s="230">
        <v>6458</v>
      </c>
      <c r="AR35" s="230">
        <v>31582</v>
      </c>
      <c r="AS35" s="230">
        <v>-25124</v>
      </c>
      <c r="AT35" s="229">
        <v>-0.79549999999999998</v>
      </c>
      <c r="AU35" s="230">
        <v>6259</v>
      </c>
      <c r="AV35" s="230">
        <v>13927</v>
      </c>
      <c r="AW35" s="230">
        <v>-7668</v>
      </c>
      <c r="AX35" s="229">
        <v>-0.55059999999999998</v>
      </c>
      <c r="AY35" s="228">
        <v>180</v>
      </c>
      <c r="AZ35" s="230">
        <v>17306</v>
      </c>
      <c r="BA35" s="230">
        <v>-17126</v>
      </c>
      <c r="BB35" s="229">
        <v>-0.98960000000000004</v>
      </c>
      <c r="BC35" s="228">
        <v>19</v>
      </c>
      <c r="BD35" s="228">
        <v>349</v>
      </c>
      <c r="BE35" s="228">
        <v>-330</v>
      </c>
      <c r="BF35" s="229">
        <v>-0.9456</v>
      </c>
      <c r="BG35" s="230">
        <v>33675</v>
      </c>
      <c r="BH35" s="230">
        <v>34174</v>
      </c>
      <c r="BI35" s="228">
        <v>-499</v>
      </c>
      <c r="BJ35" s="229">
        <v>-1.46E-2</v>
      </c>
      <c r="BK35" s="230">
        <v>13808</v>
      </c>
      <c r="BL35" s="230">
        <v>19282</v>
      </c>
      <c r="BM35" s="230">
        <v>-5474</v>
      </c>
      <c r="BN35" s="229">
        <v>-0.28389999999999999</v>
      </c>
      <c r="BO35" s="230">
        <v>53941</v>
      </c>
      <c r="BP35" s="230">
        <v>85038</v>
      </c>
      <c r="BQ35" s="230">
        <v>-31097</v>
      </c>
      <c r="BR35" s="229">
        <v>-0.36570000000000003</v>
      </c>
      <c r="BS35" s="230">
        <v>14762156</v>
      </c>
      <c r="BT35" s="230">
        <v>13046025</v>
      </c>
      <c r="BU35" s="230">
        <v>1716131</v>
      </c>
      <c r="BV35" s="229">
        <v>0.13150000000000001</v>
      </c>
      <c r="BW35" s="230">
        <v>84969000</v>
      </c>
      <c r="BX35" s="230">
        <v>84417000</v>
      </c>
      <c r="BY35" s="230">
        <v>552000</v>
      </c>
      <c r="BZ35" s="229">
        <v>6.4999999999999997E-3</v>
      </c>
      <c r="CA35" s="230">
        <v>83296500</v>
      </c>
      <c r="CB35" s="230">
        <v>9816000</v>
      </c>
      <c r="CC35" s="230">
        <v>73480500</v>
      </c>
      <c r="CD35" s="229">
        <v>7.4858000000000002</v>
      </c>
      <c r="CE35" s="230">
        <v>1645500</v>
      </c>
      <c r="CF35" s="230">
        <v>82815000</v>
      </c>
      <c r="CG35" s="230">
        <v>-81169500</v>
      </c>
      <c r="CH35" s="229">
        <v>-0.98009999999999997</v>
      </c>
      <c r="CI35" s="230">
        <v>27000</v>
      </c>
      <c r="CJ35" s="230">
        <v>1602000</v>
      </c>
      <c r="CK35" s="230">
        <v>-1575000</v>
      </c>
      <c r="CL35" s="229">
        <v>-0.98309999999999997</v>
      </c>
      <c r="CM35" s="230">
        <v>16818000</v>
      </c>
      <c r="CN35" s="230">
        <v>12246000</v>
      </c>
      <c r="CO35" s="230">
        <v>4572000</v>
      </c>
      <c r="CP35" s="229">
        <v>0.37330000000000002</v>
      </c>
      <c r="CQ35" s="230">
        <v>13540500</v>
      </c>
      <c r="CR35" s="230">
        <v>10563000</v>
      </c>
      <c r="CS35" s="230">
        <v>2977500</v>
      </c>
      <c r="CT35" s="229">
        <v>0.28189999999999998</v>
      </c>
      <c r="CU35" s="230">
        <v>115327500</v>
      </c>
      <c r="CV35" s="230">
        <v>107226000</v>
      </c>
      <c r="CW35" s="230">
        <v>8101500</v>
      </c>
      <c r="CX35" s="229">
        <v>7.5600000000000001E-2</v>
      </c>
      <c r="CY35" s="228">
        <v>26.56</v>
      </c>
      <c r="CZ35" s="228">
        <v>26.14</v>
      </c>
      <c r="DA35" s="228">
        <v>0.42</v>
      </c>
      <c r="DB35" s="228">
        <v>0.42</v>
      </c>
      <c r="DC35" s="228">
        <v>27.01</v>
      </c>
      <c r="DD35" s="228">
        <v>27.05</v>
      </c>
      <c r="DE35" s="228">
        <v>-0.45</v>
      </c>
      <c r="DF35" s="228">
        <v>-0.04</v>
      </c>
      <c r="DG35" s="228">
        <v>26.33</v>
      </c>
      <c r="DH35" s="228">
        <v>25.81</v>
      </c>
      <c r="DI35" s="228">
        <v>0.52</v>
      </c>
      <c r="DJ35" s="228">
        <v>0.52</v>
      </c>
      <c r="DK35" s="228">
        <v>27.13</v>
      </c>
      <c r="DL35" s="228">
        <v>26.66</v>
      </c>
      <c r="DM35" s="228">
        <v>0.47</v>
      </c>
      <c r="DN35" s="228">
        <v>0.47</v>
      </c>
      <c r="DO35" s="228">
        <v>0.81</v>
      </c>
      <c r="DP35" s="228">
        <v>0.86</v>
      </c>
      <c r="DQ35" s="228">
        <v>-0.05</v>
      </c>
      <c r="DR35" s="229">
        <v>-5.8099999999999999E-2</v>
      </c>
      <c r="DS35" s="228">
        <v>350</v>
      </c>
      <c r="DT35" s="228">
        <v>380</v>
      </c>
      <c r="DU35" s="228">
        <v>0.41</v>
      </c>
      <c r="DV35" s="228">
        <v>0.56000000000000005</v>
      </c>
      <c r="DW35" s="228">
        <v>-0.15</v>
      </c>
      <c r="DX35" s="229">
        <v>-0.26790000000000003</v>
      </c>
      <c r="DY35" s="229">
        <v>1.9699999999999999E-2</v>
      </c>
      <c r="DZ35" s="230">
        <v>84417000</v>
      </c>
      <c r="EA35" s="229">
        <v>6.6E-3</v>
      </c>
      <c r="EB35" s="229">
        <v>1.9699999999999999E-2</v>
      </c>
      <c r="EC35" s="228">
        <v>2.2999999999999998</v>
      </c>
      <c r="ED35" s="229">
        <v>6.6E-3</v>
      </c>
      <c r="EE35" s="230">
        <v>9848918</v>
      </c>
      <c r="EF35" s="230">
        <v>8037809</v>
      </c>
      <c r="EG35" s="229">
        <v>0.2253</v>
      </c>
      <c r="EH35" s="229">
        <v>0.66720000000000002</v>
      </c>
      <c r="EI35" s="231">
        <v>185520.23</v>
      </c>
      <c r="EJ35" s="231">
        <v>71521.210000000006</v>
      </c>
      <c r="EK35" s="231">
        <v>33702.44</v>
      </c>
      <c r="EL35" s="231">
        <v>33538</v>
      </c>
      <c r="EM35" s="231">
        <v>290743.88</v>
      </c>
      <c r="EN35" s="231">
        <v>440417.93</v>
      </c>
      <c r="EO35" s="231">
        <v>-149674.04999999999</v>
      </c>
      <c r="EP35" s="229">
        <v>-0.33979999999999999</v>
      </c>
      <c r="EQ35" s="231">
        <v>60999</v>
      </c>
      <c r="ER35" s="231">
        <v>46064</v>
      </c>
      <c r="ES35" s="231">
        <v>295306</v>
      </c>
      <c r="ET35" s="231">
        <v>474131988</v>
      </c>
      <c r="EU35" s="231">
        <v>402369</v>
      </c>
      <c r="EV35" s="231">
        <v>370543</v>
      </c>
      <c r="EW35" s="231">
        <v>31826</v>
      </c>
      <c r="EX35" s="229">
        <v>8.5900000000000004E-2</v>
      </c>
      <c r="EY35" s="229">
        <v>0.2432</v>
      </c>
    </row>
    <row r="36" spans="1:155" ht="17.25" thickBot="1" x14ac:dyDescent="0.3">
      <c r="A36" s="226">
        <v>46050</v>
      </c>
      <c r="B36" s="227" t="s">
        <v>193</v>
      </c>
      <c r="C36" s="227" t="s">
        <v>269</v>
      </c>
      <c r="D36" s="228">
        <v>267.95</v>
      </c>
      <c r="E36" s="228">
        <v>247.87</v>
      </c>
      <c r="F36" s="228">
        <v>20.079999999999998</v>
      </c>
      <c r="G36" s="229">
        <v>8.1000000000000003E-2</v>
      </c>
      <c r="H36" s="228">
        <v>268.58</v>
      </c>
      <c r="I36" s="228">
        <v>247.95</v>
      </c>
      <c r="J36" s="228">
        <v>20.63</v>
      </c>
      <c r="K36" s="229">
        <v>8.3199999999999996E-2</v>
      </c>
      <c r="L36" s="228">
        <v>267.95</v>
      </c>
      <c r="M36" s="228">
        <v>247.47</v>
      </c>
      <c r="N36" s="228">
        <v>20.48</v>
      </c>
      <c r="O36" s="229">
        <v>8.2799999999999999E-2</v>
      </c>
      <c r="P36" s="228">
        <v>269.23</v>
      </c>
      <c r="Q36" s="228">
        <v>247.87</v>
      </c>
      <c r="R36" s="228">
        <v>21.36</v>
      </c>
      <c r="S36" s="229">
        <v>8.6199999999999999E-2</v>
      </c>
      <c r="T36" s="228">
        <v>270.58</v>
      </c>
      <c r="U36" s="228">
        <v>249.48</v>
      </c>
      <c r="V36" s="228">
        <v>21.1</v>
      </c>
      <c r="W36" s="229">
        <v>8.4599999999999995E-2</v>
      </c>
      <c r="X36" s="228">
        <v>-0.63</v>
      </c>
      <c r="Y36" s="228">
        <v>-0.08</v>
      </c>
      <c r="Z36" s="228">
        <v>-0.55000000000000004</v>
      </c>
      <c r="AA36" s="229">
        <v>-2.3E-3</v>
      </c>
      <c r="AB36" s="228">
        <v>-0.63</v>
      </c>
      <c r="AC36" s="228">
        <v>-0.48</v>
      </c>
      <c r="AD36" s="228">
        <v>-0.15</v>
      </c>
      <c r="AE36" s="229">
        <v>-2.3E-3</v>
      </c>
      <c r="AF36" s="228">
        <v>0.65</v>
      </c>
      <c r="AG36" s="228">
        <v>-0.08</v>
      </c>
      <c r="AH36" s="228">
        <v>0.73</v>
      </c>
      <c r="AI36" s="229">
        <v>2.3999999999999998E-3</v>
      </c>
      <c r="AJ36" s="228">
        <v>2</v>
      </c>
      <c r="AK36" s="228">
        <v>1.53</v>
      </c>
      <c r="AL36" s="228">
        <v>0.47</v>
      </c>
      <c r="AM36" s="229">
        <v>7.4000000000000003E-3</v>
      </c>
      <c r="AN36" s="228">
        <v>263.77</v>
      </c>
      <c r="AO36" s="228">
        <v>264.37</v>
      </c>
      <c r="AP36" s="228">
        <v>0</v>
      </c>
      <c r="AQ36" s="230">
        <v>25628</v>
      </c>
      <c r="AR36" s="230">
        <v>48611</v>
      </c>
      <c r="AS36" s="230">
        <v>-22983</v>
      </c>
      <c r="AT36" s="229">
        <v>-0.4728</v>
      </c>
      <c r="AU36" s="230">
        <v>24456</v>
      </c>
      <c r="AV36" s="230">
        <v>27661</v>
      </c>
      <c r="AW36" s="230">
        <v>-3205</v>
      </c>
      <c r="AX36" s="229">
        <v>-0.1159</v>
      </c>
      <c r="AY36" s="230">
        <v>1054</v>
      </c>
      <c r="AZ36" s="230">
        <v>20527</v>
      </c>
      <c r="BA36" s="230">
        <v>-19473</v>
      </c>
      <c r="BB36" s="229">
        <v>-0.94869999999999999</v>
      </c>
      <c r="BC36" s="228">
        <v>118</v>
      </c>
      <c r="BD36" s="228">
        <v>423</v>
      </c>
      <c r="BE36" s="228">
        <v>-305</v>
      </c>
      <c r="BF36" s="229">
        <v>-0.72099999999999997</v>
      </c>
      <c r="BG36" s="230">
        <v>103597</v>
      </c>
      <c r="BH36" s="230">
        <v>41953</v>
      </c>
      <c r="BI36" s="230">
        <v>61644</v>
      </c>
      <c r="BJ36" s="229">
        <v>1.4694</v>
      </c>
      <c r="BK36" s="230">
        <v>35811</v>
      </c>
      <c r="BL36" s="230">
        <v>15383</v>
      </c>
      <c r="BM36" s="230">
        <v>20428</v>
      </c>
      <c r="BN36" s="229">
        <v>1.3280000000000001</v>
      </c>
      <c r="BO36" s="230">
        <v>165036</v>
      </c>
      <c r="BP36" s="230">
        <v>105947</v>
      </c>
      <c r="BQ36" s="230">
        <v>59089</v>
      </c>
      <c r="BR36" s="229">
        <v>0.55769999999999997</v>
      </c>
      <c r="BS36" s="230">
        <v>80243940</v>
      </c>
      <c r="BT36" s="230">
        <v>16571947</v>
      </c>
      <c r="BU36" s="230">
        <v>63671993</v>
      </c>
      <c r="BV36" s="229">
        <v>3.8422000000000001</v>
      </c>
      <c r="BW36" s="230">
        <v>92110500</v>
      </c>
      <c r="BX36" s="230">
        <v>84948750</v>
      </c>
      <c r="BY36" s="230">
        <v>7161750</v>
      </c>
      <c r="BZ36" s="229">
        <v>8.43E-2</v>
      </c>
      <c r="CA36" s="230">
        <v>89973000</v>
      </c>
      <c r="CB36" s="230">
        <v>39080250</v>
      </c>
      <c r="CC36" s="230">
        <v>50892750</v>
      </c>
      <c r="CD36" s="229">
        <v>1.3023</v>
      </c>
      <c r="CE36" s="230">
        <v>2016000</v>
      </c>
      <c r="CF36" s="230">
        <v>83101500</v>
      </c>
      <c r="CG36" s="230">
        <v>-81085500</v>
      </c>
      <c r="CH36" s="229">
        <v>-0.97570000000000001</v>
      </c>
      <c r="CI36" s="230">
        <v>121500</v>
      </c>
      <c r="CJ36" s="230">
        <v>1847250</v>
      </c>
      <c r="CK36" s="230">
        <v>-1725750</v>
      </c>
      <c r="CL36" s="229">
        <v>-0.93420000000000003</v>
      </c>
      <c r="CM36" s="230">
        <v>27582750</v>
      </c>
      <c r="CN36" s="230">
        <v>15012000</v>
      </c>
      <c r="CO36" s="230">
        <v>12570750</v>
      </c>
      <c r="CP36" s="229">
        <v>0.83740000000000003</v>
      </c>
      <c r="CQ36" s="230">
        <v>24394500</v>
      </c>
      <c r="CR36" s="230">
        <v>12267000</v>
      </c>
      <c r="CS36" s="230">
        <v>12127500</v>
      </c>
      <c r="CT36" s="229">
        <v>0.98860000000000003</v>
      </c>
      <c r="CU36" s="230">
        <v>144087750</v>
      </c>
      <c r="CV36" s="230">
        <v>112227750</v>
      </c>
      <c r="CW36" s="230">
        <v>31860000</v>
      </c>
      <c r="CX36" s="229">
        <v>0.28389999999999999</v>
      </c>
      <c r="CY36" s="228">
        <v>29.7</v>
      </c>
      <c r="CZ36" s="228">
        <v>27.55</v>
      </c>
      <c r="DA36" s="228">
        <v>2.15</v>
      </c>
      <c r="DB36" s="228">
        <v>2.15</v>
      </c>
      <c r="DC36" s="228">
        <v>31.45</v>
      </c>
      <c r="DD36" s="228">
        <v>29.61</v>
      </c>
      <c r="DE36" s="228">
        <v>-1.75</v>
      </c>
      <c r="DF36" s="228">
        <v>1.84</v>
      </c>
      <c r="DG36" s="228">
        <v>29.12</v>
      </c>
      <c r="DH36" s="228">
        <v>26.86</v>
      </c>
      <c r="DI36" s="228">
        <v>2.2599999999999998</v>
      </c>
      <c r="DJ36" s="228">
        <v>2.2599999999999998</v>
      </c>
      <c r="DK36" s="228">
        <v>31.36</v>
      </c>
      <c r="DL36" s="228">
        <v>28.86</v>
      </c>
      <c r="DM36" s="228">
        <v>2.5</v>
      </c>
      <c r="DN36" s="228">
        <v>2.5</v>
      </c>
      <c r="DO36" s="228">
        <v>0.88</v>
      </c>
      <c r="DP36" s="228">
        <v>0.82</v>
      </c>
      <c r="DQ36" s="228">
        <v>0.06</v>
      </c>
      <c r="DR36" s="229">
        <v>7.3200000000000001E-2</v>
      </c>
      <c r="DS36" s="228">
        <v>270</v>
      </c>
      <c r="DT36" s="228">
        <v>230</v>
      </c>
      <c r="DU36" s="228">
        <v>0.35</v>
      </c>
      <c r="DV36" s="228">
        <v>0.37</v>
      </c>
      <c r="DW36" s="228">
        <v>-0.02</v>
      </c>
      <c r="DX36" s="229">
        <v>-5.4100000000000002E-2</v>
      </c>
      <c r="DY36" s="229">
        <v>2.3199999999999998E-2</v>
      </c>
      <c r="DZ36" s="230">
        <v>84948750</v>
      </c>
      <c r="EA36" s="229">
        <v>4.7999999999999996E-3</v>
      </c>
      <c r="EB36" s="229">
        <v>2.3199999999999998E-2</v>
      </c>
      <c r="EC36" s="228">
        <v>0.6</v>
      </c>
      <c r="ED36" s="229">
        <v>2.3E-3</v>
      </c>
      <c r="EE36" s="230">
        <v>36298590</v>
      </c>
      <c r="EF36" s="230">
        <v>9013293</v>
      </c>
      <c r="EG36" s="229">
        <v>3.0272000000000001</v>
      </c>
      <c r="EH36" s="229">
        <v>0.45240000000000002</v>
      </c>
      <c r="EI36" s="231">
        <v>640684.97</v>
      </c>
      <c r="EJ36" s="231">
        <v>208633.42</v>
      </c>
      <c r="EK36" s="231">
        <v>152122.85999999999</v>
      </c>
      <c r="EL36" s="231">
        <v>32390</v>
      </c>
      <c r="EM36" s="231">
        <v>1001441.25</v>
      </c>
      <c r="EN36" s="231">
        <v>594591.52</v>
      </c>
      <c r="EO36" s="231">
        <v>406849.73</v>
      </c>
      <c r="EP36" s="229">
        <v>0.68430000000000002</v>
      </c>
      <c r="EQ36" s="231">
        <v>73016</v>
      </c>
      <c r="ER36" s="231">
        <v>60304</v>
      </c>
      <c r="ES36" s="231">
        <v>246839</v>
      </c>
      <c r="ET36" s="231">
        <v>517141211</v>
      </c>
      <c r="EU36" s="231">
        <v>380159</v>
      </c>
      <c r="EV36" s="231">
        <v>278286</v>
      </c>
      <c r="EW36" s="231">
        <v>101873</v>
      </c>
      <c r="EX36" s="229">
        <v>0.36609999999999998</v>
      </c>
      <c r="EY36" s="229">
        <v>0.27860000000000001</v>
      </c>
    </row>
    <row r="37" spans="1:155" ht="17.25" thickBot="1" x14ac:dyDescent="0.3">
      <c r="A37" s="226">
        <v>46050</v>
      </c>
      <c r="B37" s="227" t="s">
        <v>161</v>
      </c>
      <c r="C37" s="227" t="s">
        <v>276</v>
      </c>
      <c r="D37" s="228">
        <v>257.89999999999998</v>
      </c>
      <c r="E37" s="228">
        <v>252.65</v>
      </c>
      <c r="F37" s="228">
        <v>5.25</v>
      </c>
      <c r="G37" s="229">
        <v>2.0799999999999999E-2</v>
      </c>
      <c r="H37" s="228">
        <v>259.8</v>
      </c>
      <c r="I37" s="228">
        <v>254.35</v>
      </c>
      <c r="J37" s="228">
        <v>5.45</v>
      </c>
      <c r="K37" s="229">
        <v>2.1399999999999999E-2</v>
      </c>
      <c r="L37" s="228">
        <v>257.89999999999998</v>
      </c>
      <c r="M37" s="228">
        <v>254.6</v>
      </c>
      <c r="N37" s="228">
        <v>3.3</v>
      </c>
      <c r="O37" s="229">
        <v>1.2999999999999999E-2</v>
      </c>
      <c r="P37" s="228">
        <v>259.5</v>
      </c>
      <c r="Q37" s="228">
        <v>252.65</v>
      </c>
      <c r="R37" s="228">
        <v>6.85</v>
      </c>
      <c r="S37" s="229">
        <v>2.7099999999999999E-2</v>
      </c>
      <c r="T37" s="228">
        <v>260.5</v>
      </c>
      <c r="U37" s="228">
        <v>254.5</v>
      </c>
      <c r="V37" s="228">
        <v>6</v>
      </c>
      <c r="W37" s="229">
        <v>2.3599999999999999E-2</v>
      </c>
      <c r="X37" s="228">
        <v>-1.9</v>
      </c>
      <c r="Y37" s="228">
        <v>-1.7</v>
      </c>
      <c r="Z37" s="228">
        <v>-0.2</v>
      </c>
      <c r="AA37" s="229">
        <v>-7.3000000000000001E-3</v>
      </c>
      <c r="AB37" s="228">
        <v>-1.9</v>
      </c>
      <c r="AC37" s="228">
        <v>0.25</v>
      </c>
      <c r="AD37" s="228">
        <v>-2.15</v>
      </c>
      <c r="AE37" s="229">
        <v>-7.3000000000000001E-3</v>
      </c>
      <c r="AF37" s="228">
        <v>-0.3</v>
      </c>
      <c r="AG37" s="228">
        <v>-1.7</v>
      </c>
      <c r="AH37" s="228">
        <v>1.4</v>
      </c>
      <c r="AI37" s="229">
        <v>-1.1999999999999999E-3</v>
      </c>
      <c r="AJ37" s="228">
        <v>0.7</v>
      </c>
      <c r="AK37" s="228">
        <v>0.15</v>
      </c>
      <c r="AL37" s="228">
        <v>0.55000000000000004</v>
      </c>
      <c r="AM37" s="229">
        <v>2.7000000000000001E-3</v>
      </c>
      <c r="AN37" s="228">
        <v>256.70999999999998</v>
      </c>
      <c r="AO37" s="228">
        <v>258.02999999999997</v>
      </c>
      <c r="AP37" s="228">
        <v>0</v>
      </c>
      <c r="AQ37" s="230">
        <v>6797</v>
      </c>
      <c r="AR37" s="230">
        <v>39216</v>
      </c>
      <c r="AS37" s="230">
        <v>-32419</v>
      </c>
      <c r="AT37" s="229">
        <v>-0.82669999999999999</v>
      </c>
      <c r="AU37" s="230">
        <v>6483</v>
      </c>
      <c r="AV37" s="230">
        <v>17357</v>
      </c>
      <c r="AW37" s="230">
        <v>-10874</v>
      </c>
      <c r="AX37" s="229">
        <v>-0.62649999999999995</v>
      </c>
      <c r="AY37" s="228">
        <v>294</v>
      </c>
      <c r="AZ37" s="230">
        <v>21531</v>
      </c>
      <c r="BA37" s="230">
        <v>-21237</v>
      </c>
      <c r="BB37" s="229">
        <v>-0.98629999999999995</v>
      </c>
      <c r="BC37" s="228">
        <v>20</v>
      </c>
      <c r="BD37" s="228">
        <v>328</v>
      </c>
      <c r="BE37" s="228">
        <v>-308</v>
      </c>
      <c r="BF37" s="229">
        <v>-0.93899999999999995</v>
      </c>
      <c r="BG37" s="230">
        <v>12823</v>
      </c>
      <c r="BH37" s="230">
        <v>10881</v>
      </c>
      <c r="BI37" s="230">
        <v>1942</v>
      </c>
      <c r="BJ37" s="229">
        <v>0.17849999999999999</v>
      </c>
      <c r="BK37" s="230">
        <v>4801</v>
      </c>
      <c r="BL37" s="230">
        <v>10556</v>
      </c>
      <c r="BM37" s="230">
        <v>-5755</v>
      </c>
      <c r="BN37" s="229">
        <v>-0.54520000000000002</v>
      </c>
      <c r="BO37" s="230">
        <v>24421</v>
      </c>
      <c r="BP37" s="230">
        <v>60653</v>
      </c>
      <c r="BQ37" s="230">
        <v>-36232</v>
      </c>
      <c r="BR37" s="229">
        <v>-0.59740000000000004</v>
      </c>
      <c r="BS37" s="230">
        <v>16744218</v>
      </c>
      <c r="BT37" s="230">
        <v>17759553</v>
      </c>
      <c r="BU37" s="230">
        <v>-1015335</v>
      </c>
      <c r="BV37" s="229">
        <v>-5.7200000000000001E-2</v>
      </c>
      <c r="BW37" s="230">
        <v>99064100</v>
      </c>
      <c r="BX37" s="230">
        <v>96550400</v>
      </c>
      <c r="BY37" s="230">
        <v>2513700</v>
      </c>
      <c r="BZ37" s="229">
        <v>2.5999999999999999E-2</v>
      </c>
      <c r="CA37" s="230">
        <v>96972200</v>
      </c>
      <c r="CB37" s="230">
        <v>8804600</v>
      </c>
      <c r="CC37" s="230">
        <v>88167600</v>
      </c>
      <c r="CD37" s="229">
        <v>10.0138</v>
      </c>
      <c r="CE37" s="230">
        <v>2055800</v>
      </c>
      <c r="CF37" s="230">
        <v>94583900</v>
      </c>
      <c r="CG37" s="230">
        <v>-92528100</v>
      </c>
      <c r="CH37" s="229">
        <v>-0.97829999999999995</v>
      </c>
      <c r="CI37" s="230">
        <v>36100</v>
      </c>
      <c r="CJ37" s="230">
        <v>1966500</v>
      </c>
      <c r="CK37" s="230">
        <v>-1930400</v>
      </c>
      <c r="CL37" s="229">
        <v>-0.98160000000000003</v>
      </c>
      <c r="CM37" s="230">
        <v>16283000</v>
      </c>
      <c r="CN37" s="230">
        <v>12310100</v>
      </c>
      <c r="CO37" s="230">
        <v>3972900</v>
      </c>
      <c r="CP37" s="229">
        <v>0.32269999999999999</v>
      </c>
      <c r="CQ37" s="230">
        <v>18061400</v>
      </c>
      <c r="CR37" s="230">
        <v>16322900</v>
      </c>
      <c r="CS37" s="230">
        <v>1738500</v>
      </c>
      <c r="CT37" s="229">
        <v>0.1065</v>
      </c>
      <c r="CU37" s="230">
        <v>133408500</v>
      </c>
      <c r="CV37" s="230">
        <v>125183400</v>
      </c>
      <c r="CW37" s="230">
        <v>8225100</v>
      </c>
      <c r="CX37" s="229">
        <v>6.5699999999999995E-2</v>
      </c>
      <c r="CY37" s="228">
        <v>29.55</v>
      </c>
      <c r="CZ37" s="228">
        <v>28.72</v>
      </c>
      <c r="DA37" s="228">
        <v>0.83</v>
      </c>
      <c r="DB37" s="228">
        <v>0.83</v>
      </c>
      <c r="DC37" s="228">
        <v>27.17</v>
      </c>
      <c r="DD37" s="228">
        <v>27.08</v>
      </c>
      <c r="DE37" s="228">
        <v>2.38</v>
      </c>
      <c r="DF37" s="228">
        <v>0.09</v>
      </c>
      <c r="DG37" s="228">
        <v>29.1</v>
      </c>
      <c r="DH37" s="228">
        <v>28.05</v>
      </c>
      <c r="DI37" s="228">
        <v>1.05</v>
      </c>
      <c r="DJ37" s="228">
        <v>1.05</v>
      </c>
      <c r="DK37" s="228">
        <v>30.76</v>
      </c>
      <c r="DL37" s="228">
        <v>29.41</v>
      </c>
      <c r="DM37" s="228">
        <v>1.35</v>
      </c>
      <c r="DN37" s="228">
        <v>1.35</v>
      </c>
      <c r="DO37" s="228">
        <v>1.1100000000000001</v>
      </c>
      <c r="DP37" s="228">
        <v>1.33</v>
      </c>
      <c r="DQ37" s="228">
        <v>-0.22</v>
      </c>
      <c r="DR37" s="229">
        <v>-0.16539999999999999</v>
      </c>
      <c r="DS37" s="228">
        <v>260</v>
      </c>
      <c r="DT37" s="228">
        <v>240</v>
      </c>
      <c r="DU37" s="228">
        <v>0.37</v>
      </c>
      <c r="DV37" s="228">
        <v>0.97</v>
      </c>
      <c r="DW37" s="228">
        <v>-0.6</v>
      </c>
      <c r="DX37" s="229">
        <v>-0.61860000000000004</v>
      </c>
      <c r="DY37" s="229">
        <v>2.1100000000000001E-2</v>
      </c>
      <c r="DZ37" s="230">
        <v>96550400</v>
      </c>
      <c r="EA37" s="229">
        <v>6.1999999999999998E-3</v>
      </c>
      <c r="EB37" s="229">
        <v>2.1100000000000001E-2</v>
      </c>
      <c r="EC37" s="228">
        <v>1.32</v>
      </c>
      <c r="ED37" s="229">
        <v>5.1000000000000004E-3</v>
      </c>
      <c r="EE37" s="230">
        <v>11648039</v>
      </c>
      <c r="EF37" s="230">
        <v>11320056</v>
      </c>
      <c r="EG37" s="229">
        <v>2.9000000000000001E-2</v>
      </c>
      <c r="EH37" s="229">
        <v>0.6956</v>
      </c>
      <c r="EI37" s="231">
        <v>67008.88</v>
      </c>
      <c r="EJ37" s="231">
        <v>22882.79</v>
      </c>
      <c r="EK37" s="231">
        <v>33161.08</v>
      </c>
      <c r="EL37" s="231">
        <v>29900</v>
      </c>
      <c r="EM37" s="231">
        <v>123052.75</v>
      </c>
      <c r="EN37" s="231">
        <v>295956.01</v>
      </c>
      <c r="EO37" s="231">
        <v>-172903.26</v>
      </c>
      <c r="EP37" s="229">
        <v>-0.58420000000000005</v>
      </c>
      <c r="EQ37" s="231">
        <v>44059</v>
      </c>
      <c r="ER37" s="231">
        <v>46401</v>
      </c>
      <c r="ES37" s="231">
        <v>255520</v>
      </c>
      <c r="ET37" s="231">
        <v>678857930</v>
      </c>
      <c r="EU37" s="231">
        <v>345980</v>
      </c>
      <c r="EV37" s="231">
        <v>319030</v>
      </c>
      <c r="EW37" s="231">
        <v>26950</v>
      </c>
      <c r="EX37" s="229">
        <v>8.4500000000000006E-2</v>
      </c>
      <c r="EY37" s="229">
        <v>0.19650000000000001</v>
      </c>
    </row>
    <row r="38" spans="1:155" ht="17.25" thickBot="1" x14ac:dyDescent="0.3">
      <c r="A38" s="226">
        <v>46050</v>
      </c>
      <c r="B38" s="227" t="s">
        <v>193</v>
      </c>
      <c r="C38" s="227" t="s">
        <v>281</v>
      </c>
      <c r="D38" s="231">
        <v>1402.7</v>
      </c>
      <c r="E38" s="231">
        <v>1390.5</v>
      </c>
      <c r="F38" s="228">
        <v>12.2</v>
      </c>
      <c r="G38" s="229">
        <v>8.8000000000000005E-3</v>
      </c>
      <c r="H38" s="231">
        <v>1396.7</v>
      </c>
      <c r="I38" s="231">
        <v>1380.5</v>
      </c>
      <c r="J38" s="228">
        <v>16.2</v>
      </c>
      <c r="K38" s="229">
        <v>1.17E-2</v>
      </c>
      <c r="L38" s="231">
        <v>1402.7</v>
      </c>
      <c r="M38" s="231">
        <v>1380.5</v>
      </c>
      <c r="N38" s="228">
        <v>22.2</v>
      </c>
      <c r="O38" s="229">
        <v>1.61E-2</v>
      </c>
      <c r="P38" s="231">
        <v>1412</v>
      </c>
      <c r="Q38" s="231">
        <v>1390.5</v>
      </c>
      <c r="R38" s="228">
        <v>21.5</v>
      </c>
      <c r="S38" s="229">
        <v>1.55E-2</v>
      </c>
      <c r="T38" s="231">
        <v>1421</v>
      </c>
      <c r="U38" s="231">
        <v>1399.3</v>
      </c>
      <c r="V38" s="228">
        <v>21.7</v>
      </c>
      <c r="W38" s="229">
        <v>1.55E-2</v>
      </c>
      <c r="X38" s="228">
        <v>6</v>
      </c>
      <c r="Y38" s="228">
        <v>10</v>
      </c>
      <c r="Z38" s="228">
        <v>-4</v>
      </c>
      <c r="AA38" s="229">
        <v>4.3E-3</v>
      </c>
      <c r="AB38" s="228">
        <v>6</v>
      </c>
      <c r="AC38" s="228">
        <v>0</v>
      </c>
      <c r="AD38" s="228">
        <v>6</v>
      </c>
      <c r="AE38" s="229">
        <v>4.3E-3</v>
      </c>
      <c r="AF38" s="228">
        <v>15.3</v>
      </c>
      <c r="AG38" s="228">
        <v>10</v>
      </c>
      <c r="AH38" s="228">
        <v>5.3</v>
      </c>
      <c r="AI38" s="229">
        <v>1.0999999999999999E-2</v>
      </c>
      <c r="AJ38" s="228">
        <v>24.3</v>
      </c>
      <c r="AK38" s="228">
        <v>18.8</v>
      </c>
      <c r="AL38" s="228">
        <v>5.5</v>
      </c>
      <c r="AM38" s="229">
        <v>1.7399999999999999E-2</v>
      </c>
      <c r="AN38" s="231">
        <v>1404.03</v>
      </c>
      <c r="AO38" s="231">
        <v>1414.12</v>
      </c>
      <c r="AP38" s="228">
        <v>0</v>
      </c>
      <c r="AQ38" s="230">
        <v>24458</v>
      </c>
      <c r="AR38" s="230">
        <v>146452</v>
      </c>
      <c r="AS38" s="230">
        <v>-121994</v>
      </c>
      <c r="AT38" s="229">
        <v>-0.83299999999999996</v>
      </c>
      <c r="AU38" s="230">
        <v>22786</v>
      </c>
      <c r="AV38" s="230">
        <v>61686</v>
      </c>
      <c r="AW38" s="230">
        <v>-38900</v>
      </c>
      <c r="AX38" s="229">
        <v>-0.63060000000000005</v>
      </c>
      <c r="AY38" s="230">
        <v>1139</v>
      </c>
      <c r="AZ38" s="230">
        <v>82093</v>
      </c>
      <c r="BA38" s="230">
        <v>-80954</v>
      </c>
      <c r="BB38" s="229">
        <v>-0.98609999999999998</v>
      </c>
      <c r="BC38" s="228">
        <v>533</v>
      </c>
      <c r="BD38" s="230">
        <v>2673</v>
      </c>
      <c r="BE38" s="230">
        <v>-2140</v>
      </c>
      <c r="BF38" s="229">
        <v>-0.80059999999999998</v>
      </c>
      <c r="BG38" s="230">
        <v>106773</v>
      </c>
      <c r="BH38" s="230">
        <v>193342</v>
      </c>
      <c r="BI38" s="230">
        <v>-86569</v>
      </c>
      <c r="BJ38" s="229">
        <v>-0.44779999999999998</v>
      </c>
      <c r="BK38" s="230">
        <v>49909</v>
      </c>
      <c r="BL38" s="230">
        <v>114516</v>
      </c>
      <c r="BM38" s="230">
        <v>-64607</v>
      </c>
      <c r="BN38" s="229">
        <v>-0.56420000000000003</v>
      </c>
      <c r="BO38" s="230">
        <v>181140</v>
      </c>
      <c r="BP38" s="230">
        <v>454310</v>
      </c>
      <c r="BQ38" s="230">
        <v>-273170</v>
      </c>
      <c r="BR38" s="229">
        <v>-0.60129999999999995</v>
      </c>
      <c r="BS38" s="230">
        <v>11907511</v>
      </c>
      <c r="BT38" s="230">
        <v>29839245</v>
      </c>
      <c r="BU38" s="230">
        <v>-17931734</v>
      </c>
      <c r="BV38" s="229">
        <v>-0.60089999999999999</v>
      </c>
      <c r="BW38" s="230">
        <v>117875000</v>
      </c>
      <c r="BX38" s="230">
        <v>119994500</v>
      </c>
      <c r="BY38" s="230">
        <v>-2119500</v>
      </c>
      <c r="BZ38" s="229">
        <v>-1.77E-2</v>
      </c>
      <c r="CA38" s="230">
        <v>106515500</v>
      </c>
      <c r="CB38" s="230">
        <v>14218500</v>
      </c>
      <c r="CC38" s="230">
        <v>92297000</v>
      </c>
      <c r="CD38" s="229">
        <v>6.4912999999999998</v>
      </c>
      <c r="CE38" s="230">
        <v>11181000</v>
      </c>
      <c r="CF38" s="230">
        <v>108839000</v>
      </c>
      <c r="CG38" s="230">
        <v>-97658000</v>
      </c>
      <c r="CH38" s="229">
        <v>-0.89729999999999999</v>
      </c>
      <c r="CI38" s="230">
        <v>178500</v>
      </c>
      <c r="CJ38" s="230">
        <v>11155500</v>
      </c>
      <c r="CK38" s="230">
        <v>-10977000</v>
      </c>
      <c r="CL38" s="229">
        <v>-0.98399999999999999</v>
      </c>
      <c r="CM38" s="230">
        <v>41126500</v>
      </c>
      <c r="CN38" s="230">
        <v>36354500</v>
      </c>
      <c r="CO38" s="230">
        <v>4772000</v>
      </c>
      <c r="CP38" s="229">
        <v>0.1313</v>
      </c>
      <c r="CQ38" s="230">
        <v>26673000</v>
      </c>
      <c r="CR38" s="230">
        <v>24785500</v>
      </c>
      <c r="CS38" s="230">
        <v>1887500</v>
      </c>
      <c r="CT38" s="229">
        <v>7.6200000000000004E-2</v>
      </c>
      <c r="CU38" s="230">
        <v>185674500</v>
      </c>
      <c r="CV38" s="230">
        <v>181134500</v>
      </c>
      <c r="CW38" s="230">
        <v>4540000</v>
      </c>
      <c r="CX38" s="229">
        <v>2.5100000000000001E-2</v>
      </c>
      <c r="CY38" s="228">
        <v>23.59</v>
      </c>
      <c r="CZ38" s="228">
        <v>24.69</v>
      </c>
      <c r="DA38" s="228">
        <v>-1.1000000000000001</v>
      </c>
      <c r="DB38" s="228">
        <v>-1.1000000000000001</v>
      </c>
      <c r="DC38" s="228">
        <v>23.9</v>
      </c>
      <c r="DD38" s="228">
        <v>23.91</v>
      </c>
      <c r="DE38" s="228">
        <v>-0.31</v>
      </c>
      <c r="DF38" s="228">
        <v>-0.01</v>
      </c>
      <c r="DG38" s="228">
        <v>23.29</v>
      </c>
      <c r="DH38" s="228">
        <v>24.58</v>
      </c>
      <c r="DI38" s="228">
        <v>-1.29</v>
      </c>
      <c r="DJ38" s="228">
        <v>-1.29</v>
      </c>
      <c r="DK38" s="228">
        <v>24.22</v>
      </c>
      <c r="DL38" s="228">
        <v>24.86</v>
      </c>
      <c r="DM38" s="228">
        <v>-0.64</v>
      </c>
      <c r="DN38" s="228">
        <v>-0.64</v>
      </c>
      <c r="DO38" s="228">
        <v>0.65</v>
      </c>
      <c r="DP38" s="228">
        <v>0.68</v>
      </c>
      <c r="DQ38" s="228">
        <v>-0.03</v>
      </c>
      <c r="DR38" s="229">
        <v>-4.41E-2</v>
      </c>
      <c r="DS38" s="231">
        <v>1500</v>
      </c>
      <c r="DT38" s="231">
        <v>1400</v>
      </c>
      <c r="DU38" s="228">
        <v>0.47</v>
      </c>
      <c r="DV38" s="228">
        <v>0.59</v>
      </c>
      <c r="DW38" s="228">
        <v>-0.12</v>
      </c>
      <c r="DX38" s="229">
        <v>-0.2034</v>
      </c>
      <c r="DY38" s="229">
        <v>9.64E-2</v>
      </c>
      <c r="DZ38" s="230">
        <v>119994500</v>
      </c>
      <c r="EA38" s="229">
        <v>6.6E-3</v>
      </c>
      <c r="EB38" s="229">
        <v>9.64E-2</v>
      </c>
      <c r="EC38" s="228">
        <v>10.09</v>
      </c>
      <c r="ED38" s="229">
        <v>7.1999999999999998E-3</v>
      </c>
      <c r="EE38" s="230">
        <v>6889529</v>
      </c>
      <c r="EF38" s="230">
        <v>19936250</v>
      </c>
      <c r="EG38" s="229">
        <v>-0.65439999999999998</v>
      </c>
      <c r="EH38" s="229">
        <v>0.5786</v>
      </c>
      <c r="EI38" s="231">
        <v>792147.88</v>
      </c>
      <c r="EJ38" s="231">
        <v>346654.83</v>
      </c>
      <c r="EK38" s="231">
        <v>171800.01</v>
      </c>
      <c r="EL38" s="231">
        <v>126261</v>
      </c>
      <c r="EM38" s="231">
        <v>1310602.72</v>
      </c>
      <c r="EN38" s="231">
        <v>3236990.43</v>
      </c>
      <c r="EO38" s="231">
        <v>-1926387.71</v>
      </c>
      <c r="EP38" s="229">
        <v>-0.59509999999999996</v>
      </c>
      <c r="EQ38" s="231">
        <v>610260</v>
      </c>
      <c r="ER38" s="231">
        <v>376521</v>
      </c>
      <c r="ES38" s="231">
        <v>1654505</v>
      </c>
      <c r="ET38" s="231">
        <v>664266681</v>
      </c>
      <c r="EU38" s="231">
        <v>2641287</v>
      </c>
      <c r="EV38" s="231">
        <v>2559799</v>
      </c>
      <c r="EW38" s="231">
        <v>81488</v>
      </c>
      <c r="EX38" s="229">
        <v>3.1800000000000002E-2</v>
      </c>
      <c r="EY38" s="229">
        <v>0.27950000000000003</v>
      </c>
    </row>
    <row r="39" spans="1:155" ht="17.25" thickBot="1" x14ac:dyDescent="0.3">
      <c r="A39" s="226">
        <v>46050</v>
      </c>
      <c r="B39" s="227" t="s">
        <v>175</v>
      </c>
      <c r="C39" s="227" t="s">
        <v>462</v>
      </c>
      <c r="D39" s="231">
        <v>2060.6999999999998</v>
      </c>
      <c r="E39" s="231">
        <v>2052.6</v>
      </c>
      <c r="F39" s="228">
        <v>8.1</v>
      </c>
      <c r="G39" s="229">
        <v>3.8999999999999998E-3</v>
      </c>
      <c r="H39" s="231">
        <v>2053.1999999999998</v>
      </c>
      <c r="I39" s="231">
        <v>2038.2</v>
      </c>
      <c r="J39" s="228">
        <v>15</v>
      </c>
      <c r="K39" s="229">
        <v>7.4000000000000003E-3</v>
      </c>
      <c r="L39" s="231">
        <v>2060.6999999999998</v>
      </c>
      <c r="M39" s="231">
        <v>2041.3</v>
      </c>
      <c r="N39" s="228">
        <v>19.399999999999999</v>
      </c>
      <c r="O39" s="229">
        <v>9.4999999999999998E-3</v>
      </c>
      <c r="P39" s="231">
        <v>2073.1999999999998</v>
      </c>
      <c r="Q39" s="231">
        <v>2052.6</v>
      </c>
      <c r="R39" s="228">
        <v>20.6</v>
      </c>
      <c r="S39" s="229">
        <v>0.01</v>
      </c>
      <c r="T39" s="231">
        <v>2084.6999999999998</v>
      </c>
      <c r="U39" s="231">
        <v>2065.8000000000002</v>
      </c>
      <c r="V39" s="228">
        <v>18.899999999999999</v>
      </c>
      <c r="W39" s="229">
        <v>9.1000000000000004E-3</v>
      </c>
      <c r="X39" s="228">
        <v>7.5</v>
      </c>
      <c r="Y39" s="228">
        <v>14.4</v>
      </c>
      <c r="Z39" s="228">
        <v>-6.9</v>
      </c>
      <c r="AA39" s="229">
        <v>3.7000000000000002E-3</v>
      </c>
      <c r="AB39" s="228">
        <v>7.5</v>
      </c>
      <c r="AC39" s="228">
        <v>3.1</v>
      </c>
      <c r="AD39" s="228">
        <v>4.4000000000000004</v>
      </c>
      <c r="AE39" s="229">
        <v>3.7000000000000002E-3</v>
      </c>
      <c r="AF39" s="228">
        <v>20</v>
      </c>
      <c r="AG39" s="228">
        <v>14.4</v>
      </c>
      <c r="AH39" s="228">
        <v>5.6</v>
      </c>
      <c r="AI39" s="229">
        <v>9.7000000000000003E-3</v>
      </c>
      <c r="AJ39" s="228">
        <v>31.5</v>
      </c>
      <c r="AK39" s="228">
        <v>27.6</v>
      </c>
      <c r="AL39" s="228">
        <v>3.9</v>
      </c>
      <c r="AM39" s="229">
        <v>1.5299999999999999E-2</v>
      </c>
      <c r="AN39" s="231">
        <v>2063.42</v>
      </c>
      <c r="AO39" s="231">
        <v>2076.66</v>
      </c>
      <c r="AP39" s="228">
        <v>0</v>
      </c>
      <c r="AQ39" s="230">
        <v>8364</v>
      </c>
      <c r="AR39" s="230">
        <v>13767</v>
      </c>
      <c r="AS39" s="230">
        <v>-5403</v>
      </c>
      <c r="AT39" s="229">
        <v>-0.39250000000000002</v>
      </c>
      <c r="AU39" s="230">
        <v>8046</v>
      </c>
      <c r="AV39" s="230">
        <v>5603</v>
      </c>
      <c r="AW39" s="230">
        <v>2443</v>
      </c>
      <c r="AX39" s="229">
        <v>0.436</v>
      </c>
      <c r="AY39" s="228">
        <v>274</v>
      </c>
      <c r="AZ39" s="230">
        <v>8042</v>
      </c>
      <c r="BA39" s="230">
        <v>-7768</v>
      </c>
      <c r="BB39" s="229">
        <v>-0.96589999999999998</v>
      </c>
      <c r="BC39" s="228">
        <v>44</v>
      </c>
      <c r="BD39" s="228">
        <v>122</v>
      </c>
      <c r="BE39" s="228">
        <v>-78</v>
      </c>
      <c r="BF39" s="229">
        <v>-0.63929999999999998</v>
      </c>
      <c r="BG39" s="230">
        <v>26067</v>
      </c>
      <c r="BH39" s="230">
        <v>5977</v>
      </c>
      <c r="BI39" s="230">
        <v>20090</v>
      </c>
      <c r="BJ39" s="229">
        <v>3.3612000000000002</v>
      </c>
      <c r="BK39" s="230">
        <v>13437</v>
      </c>
      <c r="BL39" s="230">
        <v>3117</v>
      </c>
      <c r="BM39" s="230">
        <v>10320</v>
      </c>
      <c r="BN39" s="229">
        <v>3.3109000000000002</v>
      </c>
      <c r="BO39" s="230">
        <v>47868</v>
      </c>
      <c r="BP39" s="230">
        <v>22861</v>
      </c>
      <c r="BQ39" s="230">
        <v>25007</v>
      </c>
      <c r="BR39" s="229">
        <v>1.0939000000000001</v>
      </c>
      <c r="BS39" s="230">
        <v>1492010</v>
      </c>
      <c r="BT39" s="230">
        <v>1412781</v>
      </c>
      <c r="BU39" s="230">
        <v>79229</v>
      </c>
      <c r="BV39" s="229">
        <v>5.6099999999999997E-2</v>
      </c>
      <c r="BW39" s="230">
        <v>9895125</v>
      </c>
      <c r="BX39" s="230">
        <v>9742875</v>
      </c>
      <c r="BY39" s="230">
        <v>152250</v>
      </c>
      <c r="BZ39" s="229">
        <v>1.5599999999999999E-2</v>
      </c>
      <c r="CA39" s="230">
        <v>9744750</v>
      </c>
      <c r="CB39" s="230">
        <v>1288875</v>
      </c>
      <c r="CC39" s="230">
        <v>8455875</v>
      </c>
      <c r="CD39" s="229">
        <v>6.5606999999999998</v>
      </c>
      <c r="CE39" s="230">
        <v>142500</v>
      </c>
      <c r="CF39" s="230">
        <v>9619500</v>
      </c>
      <c r="CG39" s="230">
        <v>-9477000</v>
      </c>
      <c r="CH39" s="229">
        <v>-0.98519999999999996</v>
      </c>
      <c r="CI39" s="230">
        <v>7875</v>
      </c>
      <c r="CJ39" s="230">
        <v>123375</v>
      </c>
      <c r="CK39" s="230">
        <v>-115500</v>
      </c>
      <c r="CL39" s="229">
        <v>-0.93620000000000003</v>
      </c>
      <c r="CM39" s="230">
        <v>1689750</v>
      </c>
      <c r="CN39" s="230">
        <v>623250</v>
      </c>
      <c r="CO39" s="230">
        <v>1066500</v>
      </c>
      <c r="CP39" s="229">
        <v>1.7112000000000001</v>
      </c>
      <c r="CQ39" s="230">
        <v>1469250</v>
      </c>
      <c r="CR39" s="230">
        <v>552000</v>
      </c>
      <c r="CS39" s="230">
        <v>917250</v>
      </c>
      <c r="CT39" s="229">
        <v>1.6617</v>
      </c>
      <c r="CU39" s="230">
        <v>13054125</v>
      </c>
      <c r="CV39" s="230">
        <v>10918125</v>
      </c>
      <c r="CW39" s="230">
        <v>2136000</v>
      </c>
      <c r="CX39" s="229">
        <v>0.1956</v>
      </c>
      <c r="CY39" s="228">
        <v>25.11</v>
      </c>
      <c r="CZ39" s="228">
        <v>25.31</v>
      </c>
      <c r="DA39" s="228">
        <v>-0.2</v>
      </c>
      <c r="DB39" s="228">
        <v>-0.2</v>
      </c>
      <c r="DC39" s="228">
        <v>23.62</v>
      </c>
      <c r="DD39" s="228">
        <v>23.66</v>
      </c>
      <c r="DE39" s="228">
        <v>1.49</v>
      </c>
      <c r="DF39" s="228">
        <v>-0.04</v>
      </c>
      <c r="DG39" s="228">
        <v>24.84</v>
      </c>
      <c r="DH39" s="228">
        <v>24.98</v>
      </c>
      <c r="DI39" s="228">
        <v>-0.14000000000000001</v>
      </c>
      <c r="DJ39" s="228">
        <v>-0.14000000000000001</v>
      </c>
      <c r="DK39" s="228">
        <v>25.64</v>
      </c>
      <c r="DL39" s="228">
        <v>26.07</v>
      </c>
      <c r="DM39" s="228">
        <v>-0.43</v>
      </c>
      <c r="DN39" s="228">
        <v>-0.43</v>
      </c>
      <c r="DO39" s="228">
        <v>0.87</v>
      </c>
      <c r="DP39" s="228">
        <v>0.89</v>
      </c>
      <c r="DQ39" s="228">
        <v>-0.02</v>
      </c>
      <c r="DR39" s="229">
        <v>-2.2499999999999999E-2</v>
      </c>
      <c r="DS39" s="231">
        <v>2100</v>
      </c>
      <c r="DT39" s="231">
        <v>2060</v>
      </c>
      <c r="DU39" s="228">
        <v>0.52</v>
      </c>
      <c r="DV39" s="228">
        <v>0.52</v>
      </c>
      <c r="DW39" s="228">
        <v>0</v>
      </c>
      <c r="DX39" s="229">
        <v>0</v>
      </c>
      <c r="DY39" s="229">
        <v>1.52E-2</v>
      </c>
      <c r="DZ39" s="230">
        <v>9742875</v>
      </c>
      <c r="EA39" s="229">
        <v>6.1000000000000004E-3</v>
      </c>
      <c r="EB39" s="229">
        <v>1.52E-2</v>
      </c>
      <c r="EC39" s="228">
        <v>13.24</v>
      </c>
      <c r="ED39" s="229">
        <v>6.4000000000000003E-3</v>
      </c>
      <c r="EE39" s="230">
        <v>733562</v>
      </c>
      <c r="EF39" s="230">
        <v>892119</v>
      </c>
      <c r="EG39" s="229">
        <v>-0.1777</v>
      </c>
      <c r="EH39" s="229">
        <v>0.49170000000000003</v>
      </c>
      <c r="EI39" s="231">
        <v>211687.08</v>
      </c>
      <c r="EJ39" s="231">
        <v>102571.74</v>
      </c>
      <c r="EK39" s="231">
        <v>64737.14</v>
      </c>
      <c r="EL39" s="231">
        <v>18237</v>
      </c>
      <c r="EM39" s="231">
        <v>378995.96</v>
      </c>
      <c r="EN39" s="231">
        <v>175800.95</v>
      </c>
      <c r="EO39" s="231">
        <v>203195.01</v>
      </c>
      <c r="EP39" s="229">
        <v>1.1557999999999999</v>
      </c>
      <c r="EQ39" s="231">
        <v>36401</v>
      </c>
      <c r="ER39" s="231">
        <v>29038</v>
      </c>
      <c r="ES39" s="231">
        <v>203929</v>
      </c>
      <c r="ET39" s="231">
        <v>44756800</v>
      </c>
      <c r="EU39" s="231">
        <v>269367</v>
      </c>
      <c r="EV39" s="231">
        <v>224022</v>
      </c>
      <c r="EW39" s="231">
        <v>45345</v>
      </c>
      <c r="EX39" s="229">
        <v>0.2024</v>
      </c>
      <c r="EY39" s="229">
        <v>0.29170000000000001</v>
      </c>
    </row>
    <row r="40" spans="1:155" ht="17.25" thickBot="1" x14ac:dyDescent="0.3">
      <c r="A40" s="226">
        <v>46050</v>
      </c>
      <c r="B40" s="227" t="s">
        <v>172</v>
      </c>
      <c r="C40" s="227" t="s">
        <v>283</v>
      </c>
      <c r="D40" s="231">
        <v>1067.3</v>
      </c>
      <c r="E40" s="231">
        <v>1058.4000000000001</v>
      </c>
      <c r="F40" s="228">
        <v>8.9</v>
      </c>
      <c r="G40" s="229">
        <v>8.3999999999999995E-3</v>
      </c>
      <c r="H40" s="231">
        <v>1063.5</v>
      </c>
      <c r="I40" s="231">
        <v>1053.1500000000001</v>
      </c>
      <c r="J40" s="228">
        <v>10.35</v>
      </c>
      <c r="K40" s="229">
        <v>9.7999999999999997E-3</v>
      </c>
      <c r="L40" s="231">
        <v>1067.3</v>
      </c>
      <c r="M40" s="231">
        <v>1051.05</v>
      </c>
      <c r="N40" s="228">
        <v>16.25</v>
      </c>
      <c r="O40" s="229">
        <v>1.55E-2</v>
      </c>
      <c r="P40" s="231">
        <v>1074.05</v>
      </c>
      <c r="Q40" s="231">
        <v>1058.4000000000001</v>
      </c>
      <c r="R40" s="228">
        <v>15.65</v>
      </c>
      <c r="S40" s="229">
        <v>1.4800000000000001E-2</v>
      </c>
      <c r="T40" s="231">
        <v>1080.55</v>
      </c>
      <c r="U40" s="231">
        <v>1065.2</v>
      </c>
      <c r="V40" s="228">
        <v>15.35</v>
      </c>
      <c r="W40" s="229">
        <v>1.44E-2</v>
      </c>
      <c r="X40" s="228">
        <v>3.8</v>
      </c>
      <c r="Y40" s="228">
        <v>5.25</v>
      </c>
      <c r="Z40" s="228">
        <v>-1.45</v>
      </c>
      <c r="AA40" s="229">
        <v>3.5999999999999999E-3</v>
      </c>
      <c r="AB40" s="228">
        <v>3.8</v>
      </c>
      <c r="AC40" s="228">
        <v>-2.1</v>
      </c>
      <c r="AD40" s="228">
        <v>5.9</v>
      </c>
      <c r="AE40" s="229">
        <v>3.5999999999999999E-3</v>
      </c>
      <c r="AF40" s="228">
        <v>10.55</v>
      </c>
      <c r="AG40" s="228">
        <v>5.25</v>
      </c>
      <c r="AH40" s="228">
        <v>5.3</v>
      </c>
      <c r="AI40" s="229">
        <v>9.9000000000000008E-3</v>
      </c>
      <c r="AJ40" s="228">
        <v>17.05</v>
      </c>
      <c r="AK40" s="228">
        <v>12.05</v>
      </c>
      <c r="AL40" s="228">
        <v>5</v>
      </c>
      <c r="AM40" s="229">
        <v>1.6E-2</v>
      </c>
      <c r="AN40" s="231">
        <v>1060.6099999999999</v>
      </c>
      <c r="AO40" s="231">
        <v>1068.0899999999999</v>
      </c>
      <c r="AP40" s="228">
        <v>0</v>
      </c>
      <c r="AQ40" s="230">
        <v>20073</v>
      </c>
      <c r="AR40" s="230">
        <v>53264</v>
      </c>
      <c r="AS40" s="230">
        <v>-33191</v>
      </c>
      <c r="AT40" s="229">
        <v>-0.62309999999999999</v>
      </c>
      <c r="AU40" s="230">
        <v>18867</v>
      </c>
      <c r="AV40" s="230">
        <v>23904</v>
      </c>
      <c r="AW40" s="230">
        <v>-5037</v>
      </c>
      <c r="AX40" s="229">
        <v>-0.2107</v>
      </c>
      <c r="AY40" s="228">
        <v>873</v>
      </c>
      <c r="AZ40" s="230">
        <v>28601</v>
      </c>
      <c r="BA40" s="230">
        <v>-27728</v>
      </c>
      <c r="BB40" s="229">
        <v>-0.96950000000000003</v>
      </c>
      <c r="BC40" s="228">
        <v>333</v>
      </c>
      <c r="BD40" s="228">
        <v>759</v>
      </c>
      <c r="BE40" s="228">
        <v>-426</v>
      </c>
      <c r="BF40" s="229">
        <v>-0.56130000000000002</v>
      </c>
      <c r="BG40" s="230">
        <v>59918</v>
      </c>
      <c r="BH40" s="230">
        <v>93399</v>
      </c>
      <c r="BI40" s="230">
        <v>-33481</v>
      </c>
      <c r="BJ40" s="229">
        <v>-0.35849999999999999</v>
      </c>
      <c r="BK40" s="230">
        <v>41573</v>
      </c>
      <c r="BL40" s="230">
        <v>68792</v>
      </c>
      <c r="BM40" s="230">
        <v>-27219</v>
      </c>
      <c r="BN40" s="229">
        <v>-0.3957</v>
      </c>
      <c r="BO40" s="230">
        <v>121564</v>
      </c>
      <c r="BP40" s="230">
        <v>215455</v>
      </c>
      <c r="BQ40" s="230">
        <v>-93891</v>
      </c>
      <c r="BR40" s="229">
        <v>-0.43580000000000002</v>
      </c>
      <c r="BS40" s="230">
        <v>12987443</v>
      </c>
      <c r="BT40" s="230">
        <v>15235180</v>
      </c>
      <c r="BU40" s="230">
        <v>-2247737</v>
      </c>
      <c r="BV40" s="229">
        <v>-0.14749999999999999</v>
      </c>
      <c r="BW40" s="230">
        <v>69930750</v>
      </c>
      <c r="BX40" s="230">
        <v>70955250</v>
      </c>
      <c r="BY40" s="230">
        <v>-1024500</v>
      </c>
      <c r="BZ40" s="229">
        <v>-1.44E-2</v>
      </c>
      <c r="CA40" s="230">
        <v>67217250</v>
      </c>
      <c r="CB40" s="230">
        <v>13164000</v>
      </c>
      <c r="CC40" s="230">
        <v>54053250</v>
      </c>
      <c r="CD40" s="229">
        <v>4.1060999999999996</v>
      </c>
      <c r="CE40" s="230">
        <v>2537250</v>
      </c>
      <c r="CF40" s="230">
        <v>68415750</v>
      </c>
      <c r="CG40" s="230">
        <v>-65878500</v>
      </c>
      <c r="CH40" s="229">
        <v>-0.96289999999999998</v>
      </c>
      <c r="CI40" s="230">
        <v>176250</v>
      </c>
      <c r="CJ40" s="230">
        <v>2539500</v>
      </c>
      <c r="CK40" s="230">
        <v>-2363250</v>
      </c>
      <c r="CL40" s="229">
        <v>-0.93059999999999998</v>
      </c>
      <c r="CM40" s="230">
        <v>16641000</v>
      </c>
      <c r="CN40" s="230">
        <v>12966000</v>
      </c>
      <c r="CO40" s="230">
        <v>3675000</v>
      </c>
      <c r="CP40" s="229">
        <v>0.28339999999999999</v>
      </c>
      <c r="CQ40" s="230">
        <v>19053750</v>
      </c>
      <c r="CR40" s="230">
        <v>15747000</v>
      </c>
      <c r="CS40" s="230">
        <v>3306750</v>
      </c>
      <c r="CT40" s="229">
        <v>0.21</v>
      </c>
      <c r="CU40" s="230">
        <v>105625500</v>
      </c>
      <c r="CV40" s="230">
        <v>99668250</v>
      </c>
      <c r="CW40" s="230">
        <v>5957250</v>
      </c>
      <c r="CX40" s="229">
        <v>5.9799999999999999E-2</v>
      </c>
      <c r="CY40" s="228">
        <v>26.03</v>
      </c>
      <c r="CZ40" s="228">
        <v>26.83</v>
      </c>
      <c r="DA40" s="228">
        <v>-0.8</v>
      </c>
      <c r="DB40" s="228">
        <v>-0.8</v>
      </c>
      <c r="DC40" s="228">
        <v>24.25</v>
      </c>
      <c r="DD40" s="228">
        <v>24.27</v>
      </c>
      <c r="DE40" s="228">
        <v>1.78</v>
      </c>
      <c r="DF40" s="228">
        <v>-0.02</v>
      </c>
      <c r="DG40" s="228">
        <v>25.56</v>
      </c>
      <c r="DH40" s="228">
        <v>26.3</v>
      </c>
      <c r="DI40" s="228">
        <v>-0.74</v>
      </c>
      <c r="DJ40" s="228">
        <v>-0.74</v>
      </c>
      <c r="DK40" s="228">
        <v>26.71</v>
      </c>
      <c r="DL40" s="228">
        <v>27.41</v>
      </c>
      <c r="DM40" s="228">
        <v>-0.7</v>
      </c>
      <c r="DN40" s="228">
        <v>-0.7</v>
      </c>
      <c r="DO40" s="228">
        <v>1.1399999999999999</v>
      </c>
      <c r="DP40" s="228">
        <v>1.21</v>
      </c>
      <c r="DQ40" s="228">
        <v>-7.0000000000000007E-2</v>
      </c>
      <c r="DR40" s="229">
        <v>-5.79E-2</v>
      </c>
      <c r="DS40" s="231">
        <v>1100</v>
      </c>
      <c r="DT40" s="231">
        <v>1020</v>
      </c>
      <c r="DU40" s="228">
        <v>0.69</v>
      </c>
      <c r="DV40" s="228">
        <v>0.74</v>
      </c>
      <c r="DW40" s="228">
        <v>-0.05</v>
      </c>
      <c r="DX40" s="229">
        <v>-6.7599999999999993E-2</v>
      </c>
      <c r="DY40" s="229">
        <v>3.8800000000000001E-2</v>
      </c>
      <c r="DZ40" s="230">
        <v>70955250</v>
      </c>
      <c r="EA40" s="229">
        <v>6.3E-3</v>
      </c>
      <c r="EB40" s="229">
        <v>3.8800000000000001E-2</v>
      </c>
      <c r="EC40" s="228">
        <v>7.48</v>
      </c>
      <c r="ED40" s="229">
        <v>7.1000000000000004E-3</v>
      </c>
      <c r="EE40" s="230">
        <v>8036236</v>
      </c>
      <c r="EF40" s="230">
        <v>7902062</v>
      </c>
      <c r="EG40" s="229">
        <v>1.7000000000000001E-2</v>
      </c>
      <c r="EH40" s="229">
        <v>0.61880000000000002</v>
      </c>
      <c r="EI40" s="231">
        <v>496590.09</v>
      </c>
      <c r="EJ40" s="231">
        <v>325790.25</v>
      </c>
      <c r="EK40" s="231">
        <v>159761.04</v>
      </c>
      <c r="EL40" s="231">
        <v>64570</v>
      </c>
      <c r="EM40" s="231">
        <v>982141.38</v>
      </c>
      <c r="EN40" s="231">
        <v>1698136.98</v>
      </c>
      <c r="EO40" s="231">
        <v>-715995.6</v>
      </c>
      <c r="EP40" s="229">
        <v>-0.42159999999999997</v>
      </c>
      <c r="EQ40" s="231">
        <v>178772</v>
      </c>
      <c r="ER40" s="231">
        <v>191920</v>
      </c>
      <c r="ES40" s="231">
        <v>746566</v>
      </c>
      <c r="ET40" s="231">
        <v>436949195</v>
      </c>
      <c r="EU40" s="231">
        <v>1117258</v>
      </c>
      <c r="EV40" s="231">
        <v>1047904</v>
      </c>
      <c r="EW40" s="231">
        <v>69354</v>
      </c>
      <c r="EX40" s="229">
        <v>6.6199999999999995E-2</v>
      </c>
      <c r="EY40" s="229">
        <v>0.2417</v>
      </c>
    </row>
    <row r="41" spans="1:155" ht="17.25" thickBot="1" x14ac:dyDescent="0.3">
      <c r="A41" s="226">
        <v>46050</v>
      </c>
      <c r="B41" s="227" t="s">
        <v>175</v>
      </c>
      <c r="C41" s="227" t="s">
        <v>562</v>
      </c>
      <c r="D41" s="231">
        <v>1022.55</v>
      </c>
      <c r="E41" s="231">
        <v>1006.3</v>
      </c>
      <c r="F41" s="228">
        <v>16.25</v>
      </c>
      <c r="G41" s="229">
        <v>1.61E-2</v>
      </c>
      <c r="H41" s="231">
        <v>1018.8</v>
      </c>
      <c r="I41" s="231">
        <v>1001.05</v>
      </c>
      <c r="J41" s="228">
        <v>17.75</v>
      </c>
      <c r="K41" s="229">
        <v>1.77E-2</v>
      </c>
      <c r="L41" s="231">
        <v>1022.55</v>
      </c>
      <c r="M41" s="231">
        <v>1001.1</v>
      </c>
      <c r="N41" s="228">
        <v>21.45</v>
      </c>
      <c r="O41" s="229">
        <v>2.1399999999999999E-2</v>
      </c>
      <c r="P41" s="231">
        <v>1029.55</v>
      </c>
      <c r="Q41" s="231">
        <v>1006.3</v>
      </c>
      <c r="R41" s="228">
        <v>23.25</v>
      </c>
      <c r="S41" s="229">
        <v>2.3099999999999999E-2</v>
      </c>
      <c r="T41" s="231">
        <v>1034.25</v>
      </c>
      <c r="U41" s="231">
        <v>1012.75</v>
      </c>
      <c r="V41" s="228">
        <v>21.5</v>
      </c>
      <c r="W41" s="229">
        <v>2.12E-2</v>
      </c>
      <c r="X41" s="228">
        <v>3.75</v>
      </c>
      <c r="Y41" s="228">
        <v>5.25</v>
      </c>
      <c r="Z41" s="228">
        <v>-1.5</v>
      </c>
      <c r="AA41" s="229">
        <v>3.7000000000000002E-3</v>
      </c>
      <c r="AB41" s="228">
        <v>3.75</v>
      </c>
      <c r="AC41" s="228">
        <v>0.05</v>
      </c>
      <c r="AD41" s="228">
        <v>3.7</v>
      </c>
      <c r="AE41" s="229">
        <v>3.7000000000000002E-3</v>
      </c>
      <c r="AF41" s="228">
        <v>10.75</v>
      </c>
      <c r="AG41" s="228">
        <v>5.25</v>
      </c>
      <c r="AH41" s="228">
        <v>5.5</v>
      </c>
      <c r="AI41" s="229">
        <v>1.06E-2</v>
      </c>
      <c r="AJ41" s="228">
        <v>15.45</v>
      </c>
      <c r="AK41" s="228">
        <v>11.7</v>
      </c>
      <c r="AL41" s="228">
        <v>3.75</v>
      </c>
      <c r="AM41" s="229">
        <v>1.52E-2</v>
      </c>
      <c r="AN41" s="231">
        <v>1015.34</v>
      </c>
      <c r="AO41" s="231">
        <v>1020.6</v>
      </c>
      <c r="AP41" s="228">
        <v>0</v>
      </c>
      <c r="AQ41" s="230">
        <v>8025</v>
      </c>
      <c r="AR41" s="230">
        <v>32371</v>
      </c>
      <c r="AS41" s="230">
        <v>-24346</v>
      </c>
      <c r="AT41" s="229">
        <v>-0.75209999999999999</v>
      </c>
      <c r="AU41" s="230">
        <v>7754</v>
      </c>
      <c r="AV41" s="230">
        <v>12921</v>
      </c>
      <c r="AW41" s="230">
        <v>-5167</v>
      </c>
      <c r="AX41" s="229">
        <v>-0.39989999999999998</v>
      </c>
      <c r="AY41" s="228">
        <v>231</v>
      </c>
      <c r="AZ41" s="230">
        <v>19080</v>
      </c>
      <c r="BA41" s="230">
        <v>-18849</v>
      </c>
      <c r="BB41" s="229">
        <v>-0.9879</v>
      </c>
      <c r="BC41" s="228">
        <v>40</v>
      </c>
      <c r="BD41" s="228">
        <v>370</v>
      </c>
      <c r="BE41" s="228">
        <v>-330</v>
      </c>
      <c r="BF41" s="229">
        <v>-0.89190000000000003</v>
      </c>
      <c r="BG41" s="230">
        <v>16277</v>
      </c>
      <c r="BH41" s="230">
        <v>36772</v>
      </c>
      <c r="BI41" s="230">
        <v>-20495</v>
      </c>
      <c r="BJ41" s="229">
        <v>-0.55740000000000001</v>
      </c>
      <c r="BK41" s="230">
        <v>10268</v>
      </c>
      <c r="BL41" s="230">
        <v>26245</v>
      </c>
      <c r="BM41" s="230">
        <v>-15977</v>
      </c>
      <c r="BN41" s="229">
        <v>-0.60880000000000001</v>
      </c>
      <c r="BO41" s="230">
        <v>34570</v>
      </c>
      <c r="BP41" s="230">
        <v>95388</v>
      </c>
      <c r="BQ41" s="230">
        <v>-60818</v>
      </c>
      <c r="BR41" s="229">
        <v>-0.63759999999999994</v>
      </c>
      <c r="BS41" s="230">
        <v>5732451</v>
      </c>
      <c r="BT41" s="230">
        <v>8168682</v>
      </c>
      <c r="BU41" s="230">
        <v>-2436231</v>
      </c>
      <c r="BV41" s="229">
        <v>-0.29820000000000002</v>
      </c>
      <c r="BW41" s="230">
        <v>43670550</v>
      </c>
      <c r="BX41" s="230">
        <v>44526075</v>
      </c>
      <c r="BY41" s="230">
        <v>-855525</v>
      </c>
      <c r="BZ41" s="229">
        <v>-1.9199999999999998E-2</v>
      </c>
      <c r="CA41" s="230">
        <v>43032000</v>
      </c>
      <c r="CB41" s="230">
        <v>900075</v>
      </c>
      <c r="CC41" s="230">
        <v>42131925</v>
      </c>
      <c r="CD41" s="229">
        <v>46.8093</v>
      </c>
      <c r="CE41" s="230">
        <v>611325</v>
      </c>
      <c r="CF41" s="230">
        <v>43938675</v>
      </c>
      <c r="CG41" s="230">
        <v>-43327350</v>
      </c>
      <c r="CH41" s="229">
        <v>-0.98609999999999998</v>
      </c>
      <c r="CI41" s="230">
        <v>27225</v>
      </c>
      <c r="CJ41" s="230">
        <v>587400</v>
      </c>
      <c r="CK41" s="230">
        <v>-560175</v>
      </c>
      <c r="CL41" s="229">
        <v>-0.95369999999999999</v>
      </c>
      <c r="CM41" s="230">
        <v>7842450</v>
      </c>
      <c r="CN41" s="230">
        <v>6369000</v>
      </c>
      <c r="CO41" s="230">
        <v>1473450</v>
      </c>
      <c r="CP41" s="229">
        <v>0.23130000000000001</v>
      </c>
      <c r="CQ41" s="230">
        <v>4695900</v>
      </c>
      <c r="CR41" s="230">
        <v>3894825</v>
      </c>
      <c r="CS41" s="230">
        <v>801075</v>
      </c>
      <c r="CT41" s="229">
        <v>0.20569999999999999</v>
      </c>
      <c r="CU41" s="230">
        <v>56208900</v>
      </c>
      <c r="CV41" s="230">
        <v>54789900</v>
      </c>
      <c r="CW41" s="230">
        <v>1419000</v>
      </c>
      <c r="CX41" s="229">
        <v>2.5899999999999999E-2</v>
      </c>
      <c r="CY41" s="228">
        <v>32.07</v>
      </c>
      <c r="CZ41" s="228">
        <v>34.409999999999997</v>
      </c>
      <c r="DA41" s="228">
        <v>-2.34</v>
      </c>
      <c r="DB41" s="228">
        <v>-2.34</v>
      </c>
      <c r="DC41" s="228">
        <v>38.229999999999997</v>
      </c>
      <c r="DD41" s="228">
        <v>38.25</v>
      </c>
      <c r="DE41" s="228">
        <v>-6.16</v>
      </c>
      <c r="DF41" s="228">
        <v>-0.02</v>
      </c>
      <c r="DG41" s="228">
        <v>31.47</v>
      </c>
      <c r="DH41" s="228">
        <v>33.979999999999997</v>
      </c>
      <c r="DI41" s="228">
        <v>-2.5099999999999998</v>
      </c>
      <c r="DJ41" s="228">
        <v>-2.5099999999999998</v>
      </c>
      <c r="DK41" s="228">
        <v>33.020000000000003</v>
      </c>
      <c r="DL41" s="228">
        <v>35.19</v>
      </c>
      <c r="DM41" s="228">
        <v>-2.17</v>
      </c>
      <c r="DN41" s="228">
        <v>-2.17</v>
      </c>
      <c r="DO41" s="228">
        <v>0.6</v>
      </c>
      <c r="DP41" s="228">
        <v>0.61</v>
      </c>
      <c r="DQ41" s="228">
        <v>-0.01</v>
      </c>
      <c r="DR41" s="229">
        <v>-1.6400000000000001E-2</v>
      </c>
      <c r="DS41" s="231">
        <v>1000</v>
      </c>
      <c r="DT41" s="231">
        <v>1000</v>
      </c>
      <c r="DU41" s="228">
        <v>0.63</v>
      </c>
      <c r="DV41" s="228">
        <v>0.71</v>
      </c>
      <c r="DW41" s="228">
        <v>-0.08</v>
      </c>
      <c r="DX41" s="229">
        <v>-0.11269999999999999</v>
      </c>
      <c r="DY41" s="229">
        <v>1.46E-2</v>
      </c>
      <c r="DZ41" s="230">
        <v>44526075</v>
      </c>
      <c r="EA41" s="229">
        <v>6.7999999999999996E-3</v>
      </c>
      <c r="EB41" s="229">
        <v>1.46E-2</v>
      </c>
      <c r="EC41" s="228">
        <v>5.26</v>
      </c>
      <c r="ED41" s="229">
        <v>5.1999999999999998E-3</v>
      </c>
      <c r="EE41" s="230">
        <v>3360988</v>
      </c>
      <c r="EF41" s="230">
        <v>4294633</v>
      </c>
      <c r="EG41" s="229">
        <v>-0.21740000000000001</v>
      </c>
      <c r="EH41" s="229">
        <v>0.58630000000000004</v>
      </c>
      <c r="EI41" s="231">
        <v>143449.26999999999</v>
      </c>
      <c r="EJ41" s="231">
        <v>84125.17</v>
      </c>
      <c r="EK41" s="231">
        <v>67237.42</v>
      </c>
      <c r="EL41" s="231">
        <v>39142</v>
      </c>
      <c r="EM41" s="231">
        <v>294811.86</v>
      </c>
      <c r="EN41" s="231">
        <v>795294.8</v>
      </c>
      <c r="EO41" s="231">
        <v>-500482.94</v>
      </c>
      <c r="EP41" s="229">
        <v>-0.62929999999999997</v>
      </c>
      <c r="EQ41" s="231">
        <v>81723</v>
      </c>
      <c r="ER41" s="231">
        <v>45063</v>
      </c>
      <c r="ES41" s="231">
        <v>446599</v>
      </c>
      <c r="ET41" s="231">
        <v>210513975</v>
      </c>
      <c r="EU41" s="231">
        <v>573385</v>
      </c>
      <c r="EV41" s="231">
        <v>551452</v>
      </c>
      <c r="EW41" s="231">
        <v>21933</v>
      </c>
      <c r="EX41" s="229">
        <v>3.9800000000000002E-2</v>
      </c>
      <c r="EY41" s="229">
        <v>0.26700000000000002</v>
      </c>
    </row>
    <row r="42" spans="1:155" ht="17.25" thickBot="1" x14ac:dyDescent="0.3">
      <c r="A42" s="226">
        <v>46050</v>
      </c>
      <c r="B42" s="227" t="s">
        <v>170</v>
      </c>
      <c r="C42" s="227" t="s">
        <v>288</v>
      </c>
      <c r="D42" s="231">
        <v>1608</v>
      </c>
      <c r="E42" s="231">
        <v>1638.6</v>
      </c>
      <c r="F42" s="228">
        <v>-30.6</v>
      </c>
      <c r="G42" s="229">
        <v>-1.8700000000000001E-2</v>
      </c>
      <c r="H42" s="231">
        <v>1610.6</v>
      </c>
      <c r="I42" s="231">
        <v>1638.9</v>
      </c>
      <c r="J42" s="228">
        <v>-28.3</v>
      </c>
      <c r="K42" s="229">
        <v>-1.7299999999999999E-2</v>
      </c>
      <c r="L42" s="231">
        <v>1608</v>
      </c>
      <c r="M42" s="231">
        <v>1638.8</v>
      </c>
      <c r="N42" s="228">
        <v>-30.8</v>
      </c>
      <c r="O42" s="229">
        <v>-1.8800000000000001E-2</v>
      </c>
      <c r="P42" s="231">
        <v>1618.9</v>
      </c>
      <c r="Q42" s="231">
        <v>1638.6</v>
      </c>
      <c r="R42" s="228">
        <v>-19.7</v>
      </c>
      <c r="S42" s="229">
        <v>-1.2E-2</v>
      </c>
      <c r="T42" s="231">
        <v>1627.9</v>
      </c>
      <c r="U42" s="231">
        <v>1648.2</v>
      </c>
      <c r="V42" s="228">
        <v>-20.3</v>
      </c>
      <c r="W42" s="229">
        <v>-1.23E-2</v>
      </c>
      <c r="X42" s="228">
        <v>-2.6</v>
      </c>
      <c r="Y42" s="228">
        <v>-0.3</v>
      </c>
      <c r="Z42" s="228">
        <v>-2.2999999999999998</v>
      </c>
      <c r="AA42" s="229">
        <v>-1.6000000000000001E-3</v>
      </c>
      <c r="AB42" s="228">
        <v>-2.6</v>
      </c>
      <c r="AC42" s="228">
        <v>-0.1</v>
      </c>
      <c r="AD42" s="228">
        <v>-2.5</v>
      </c>
      <c r="AE42" s="229">
        <v>-1.6000000000000001E-3</v>
      </c>
      <c r="AF42" s="228">
        <v>8.3000000000000007</v>
      </c>
      <c r="AG42" s="228">
        <v>-0.3</v>
      </c>
      <c r="AH42" s="228">
        <v>8.6</v>
      </c>
      <c r="AI42" s="229">
        <v>5.1999999999999998E-3</v>
      </c>
      <c r="AJ42" s="228">
        <v>17.3</v>
      </c>
      <c r="AK42" s="228">
        <v>9.3000000000000007</v>
      </c>
      <c r="AL42" s="228">
        <v>8</v>
      </c>
      <c r="AM42" s="229">
        <v>1.0699999999999999E-2</v>
      </c>
      <c r="AN42" s="231">
        <v>1612.76</v>
      </c>
      <c r="AO42" s="231">
        <v>1625.61</v>
      </c>
      <c r="AP42" s="228">
        <v>0</v>
      </c>
      <c r="AQ42" s="230">
        <v>5899</v>
      </c>
      <c r="AR42" s="230">
        <v>28861</v>
      </c>
      <c r="AS42" s="230">
        <v>-22962</v>
      </c>
      <c r="AT42" s="229">
        <v>-0.79559999999999997</v>
      </c>
      <c r="AU42" s="230">
        <v>5679</v>
      </c>
      <c r="AV42" s="230">
        <v>11894</v>
      </c>
      <c r="AW42" s="230">
        <v>-6215</v>
      </c>
      <c r="AX42" s="229">
        <v>-0.52249999999999996</v>
      </c>
      <c r="AY42" s="228">
        <v>171</v>
      </c>
      <c r="AZ42" s="230">
        <v>16579</v>
      </c>
      <c r="BA42" s="230">
        <v>-16408</v>
      </c>
      <c r="BB42" s="229">
        <v>-0.98970000000000002</v>
      </c>
      <c r="BC42" s="228">
        <v>49</v>
      </c>
      <c r="BD42" s="228">
        <v>388</v>
      </c>
      <c r="BE42" s="228">
        <v>-339</v>
      </c>
      <c r="BF42" s="229">
        <v>-0.87370000000000003</v>
      </c>
      <c r="BG42" s="230">
        <v>12163</v>
      </c>
      <c r="BH42" s="230">
        <v>14750</v>
      </c>
      <c r="BI42" s="230">
        <v>-2587</v>
      </c>
      <c r="BJ42" s="229">
        <v>-0.1754</v>
      </c>
      <c r="BK42" s="230">
        <v>6765</v>
      </c>
      <c r="BL42" s="230">
        <v>14217</v>
      </c>
      <c r="BM42" s="230">
        <v>-7452</v>
      </c>
      <c r="BN42" s="229">
        <v>-0.5242</v>
      </c>
      <c r="BO42" s="230">
        <v>24827</v>
      </c>
      <c r="BP42" s="230">
        <v>57828</v>
      </c>
      <c r="BQ42" s="230">
        <v>-33001</v>
      </c>
      <c r="BR42" s="229">
        <v>-0.57069999999999999</v>
      </c>
      <c r="BS42" s="230">
        <v>4202064</v>
      </c>
      <c r="BT42" s="230">
        <v>2799559</v>
      </c>
      <c r="BU42" s="230">
        <v>1402505</v>
      </c>
      <c r="BV42" s="229">
        <v>0.501</v>
      </c>
      <c r="BW42" s="230">
        <v>20325900</v>
      </c>
      <c r="BX42" s="230">
        <v>20091750</v>
      </c>
      <c r="BY42" s="230">
        <v>234150</v>
      </c>
      <c r="BZ42" s="229">
        <v>1.17E-2</v>
      </c>
      <c r="CA42" s="230">
        <v>20089300</v>
      </c>
      <c r="CB42" s="230">
        <v>1689100</v>
      </c>
      <c r="CC42" s="230">
        <v>18400200</v>
      </c>
      <c r="CD42" s="229">
        <v>10.8935</v>
      </c>
      <c r="CE42" s="230">
        <v>223300</v>
      </c>
      <c r="CF42" s="230">
        <v>19873700</v>
      </c>
      <c r="CG42" s="230">
        <v>-19650400</v>
      </c>
      <c r="CH42" s="229">
        <v>-0.98880000000000001</v>
      </c>
      <c r="CI42" s="230">
        <v>13300</v>
      </c>
      <c r="CJ42" s="230">
        <v>218050</v>
      </c>
      <c r="CK42" s="230">
        <v>-204750</v>
      </c>
      <c r="CL42" s="229">
        <v>-0.93899999999999995</v>
      </c>
      <c r="CM42" s="230">
        <v>2975350</v>
      </c>
      <c r="CN42" s="230">
        <v>1614900</v>
      </c>
      <c r="CO42" s="230">
        <v>1360450</v>
      </c>
      <c r="CP42" s="229">
        <v>0.84240000000000004</v>
      </c>
      <c r="CQ42" s="230">
        <v>2100350</v>
      </c>
      <c r="CR42" s="230">
        <v>1543500</v>
      </c>
      <c r="CS42" s="230">
        <v>556850</v>
      </c>
      <c r="CT42" s="229">
        <v>0.36080000000000001</v>
      </c>
      <c r="CU42" s="230">
        <v>25401600</v>
      </c>
      <c r="CV42" s="230">
        <v>23250150</v>
      </c>
      <c r="CW42" s="230">
        <v>2151450</v>
      </c>
      <c r="CX42" s="229">
        <v>9.2499999999999999E-2</v>
      </c>
      <c r="CY42" s="228">
        <v>25.58</v>
      </c>
      <c r="CZ42" s="228">
        <v>26.41</v>
      </c>
      <c r="DA42" s="228">
        <v>-0.83</v>
      </c>
      <c r="DB42" s="228">
        <v>-0.83</v>
      </c>
      <c r="DC42" s="228">
        <v>22.91</v>
      </c>
      <c r="DD42" s="228">
        <v>22.85</v>
      </c>
      <c r="DE42" s="228">
        <v>2.67</v>
      </c>
      <c r="DF42" s="228">
        <v>0.06</v>
      </c>
      <c r="DG42" s="228">
        <v>24.97</v>
      </c>
      <c r="DH42" s="228">
        <v>25.67</v>
      </c>
      <c r="DI42" s="228">
        <v>-0.7</v>
      </c>
      <c r="DJ42" s="228">
        <v>-0.7</v>
      </c>
      <c r="DK42" s="228">
        <v>26.67</v>
      </c>
      <c r="DL42" s="228">
        <v>27.26</v>
      </c>
      <c r="DM42" s="228">
        <v>-0.59</v>
      </c>
      <c r="DN42" s="228">
        <v>-0.59</v>
      </c>
      <c r="DO42" s="228">
        <v>0.71</v>
      </c>
      <c r="DP42" s="228">
        <v>0.96</v>
      </c>
      <c r="DQ42" s="228">
        <v>-0.25</v>
      </c>
      <c r="DR42" s="229">
        <v>-0.26040000000000002</v>
      </c>
      <c r="DS42" s="231">
        <v>1680</v>
      </c>
      <c r="DT42" s="231">
        <v>1550</v>
      </c>
      <c r="DU42" s="228">
        <v>0.56000000000000005</v>
      </c>
      <c r="DV42" s="228">
        <v>0.96</v>
      </c>
      <c r="DW42" s="228">
        <v>-0.4</v>
      </c>
      <c r="DX42" s="229">
        <v>-0.41670000000000001</v>
      </c>
      <c r="DY42" s="229">
        <v>1.1599999999999999E-2</v>
      </c>
      <c r="DZ42" s="230">
        <v>20091750</v>
      </c>
      <c r="EA42" s="229">
        <v>6.7999999999999996E-3</v>
      </c>
      <c r="EB42" s="229">
        <v>1.1599999999999999E-2</v>
      </c>
      <c r="EC42" s="228">
        <v>12.85</v>
      </c>
      <c r="ED42" s="229">
        <v>8.0000000000000002E-3</v>
      </c>
      <c r="EE42" s="230">
        <v>3189603</v>
      </c>
      <c r="EF42" s="230">
        <v>1572913</v>
      </c>
      <c r="EG42" s="229">
        <v>1.0278</v>
      </c>
      <c r="EH42" s="229">
        <v>0.7591</v>
      </c>
      <c r="EI42" s="231">
        <v>72622.37</v>
      </c>
      <c r="EJ42" s="231">
        <v>37706.870000000003</v>
      </c>
      <c r="EK42" s="231">
        <v>33308.449999999997</v>
      </c>
      <c r="EL42" s="231">
        <v>33346</v>
      </c>
      <c r="EM42" s="231">
        <v>143637.69</v>
      </c>
      <c r="EN42" s="231">
        <v>334064.34000000003</v>
      </c>
      <c r="EO42" s="231">
        <v>-190426.65</v>
      </c>
      <c r="EP42" s="229">
        <v>-0.56999999999999995</v>
      </c>
      <c r="EQ42" s="231">
        <v>50582</v>
      </c>
      <c r="ER42" s="231">
        <v>33095</v>
      </c>
      <c r="ES42" s="231">
        <v>326867</v>
      </c>
      <c r="ET42" s="231">
        <v>109220043</v>
      </c>
      <c r="EU42" s="231">
        <v>410544</v>
      </c>
      <c r="EV42" s="231">
        <v>381522</v>
      </c>
      <c r="EW42" s="231">
        <v>29022</v>
      </c>
      <c r="EX42" s="229">
        <v>7.6100000000000001E-2</v>
      </c>
      <c r="EY42" s="229">
        <v>0.2326</v>
      </c>
    </row>
    <row r="43" spans="1:155" ht="17.25" thickBot="1" x14ac:dyDescent="0.3">
      <c r="A43" s="226">
        <v>46050</v>
      </c>
      <c r="B43" s="227" t="s">
        <v>168</v>
      </c>
      <c r="C43" s="227" t="s">
        <v>291</v>
      </c>
      <c r="D43" s="231">
        <v>1136.0999999999999</v>
      </c>
      <c r="E43" s="231">
        <v>1193.5999999999999</v>
      </c>
      <c r="F43" s="228">
        <v>-57.5</v>
      </c>
      <c r="G43" s="229">
        <v>-4.82E-2</v>
      </c>
      <c r="H43" s="231">
        <v>1131.8</v>
      </c>
      <c r="I43" s="231">
        <v>1187.4000000000001</v>
      </c>
      <c r="J43" s="228">
        <v>-55.6</v>
      </c>
      <c r="K43" s="229">
        <v>-4.6800000000000001E-2</v>
      </c>
      <c r="L43" s="231">
        <v>1136.0999999999999</v>
      </c>
      <c r="M43" s="231">
        <v>1185.2</v>
      </c>
      <c r="N43" s="228">
        <v>-49.1</v>
      </c>
      <c r="O43" s="229">
        <v>-4.1399999999999999E-2</v>
      </c>
      <c r="P43" s="231">
        <v>1143</v>
      </c>
      <c r="Q43" s="231">
        <v>1193.5999999999999</v>
      </c>
      <c r="R43" s="228">
        <v>-50.6</v>
      </c>
      <c r="S43" s="229">
        <v>-4.24E-2</v>
      </c>
      <c r="T43" s="231">
        <v>1150.3</v>
      </c>
      <c r="U43" s="231">
        <v>1201.5999999999999</v>
      </c>
      <c r="V43" s="228">
        <v>-51.3</v>
      </c>
      <c r="W43" s="229">
        <v>-4.2700000000000002E-2</v>
      </c>
      <c r="X43" s="228">
        <v>4.3</v>
      </c>
      <c r="Y43" s="228">
        <v>6.2</v>
      </c>
      <c r="Z43" s="228">
        <v>-1.9</v>
      </c>
      <c r="AA43" s="229">
        <v>3.8E-3</v>
      </c>
      <c r="AB43" s="228">
        <v>4.3</v>
      </c>
      <c r="AC43" s="228">
        <v>-2.2000000000000002</v>
      </c>
      <c r="AD43" s="228">
        <v>6.5</v>
      </c>
      <c r="AE43" s="229">
        <v>3.8E-3</v>
      </c>
      <c r="AF43" s="228">
        <v>11.2</v>
      </c>
      <c r="AG43" s="228">
        <v>6.2</v>
      </c>
      <c r="AH43" s="228">
        <v>5</v>
      </c>
      <c r="AI43" s="229">
        <v>9.9000000000000008E-3</v>
      </c>
      <c r="AJ43" s="228">
        <v>18.5</v>
      </c>
      <c r="AK43" s="228">
        <v>14.2</v>
      </c>
      <c r="AL43" s="228">
        <v>4.3</v>
      </c>
      <c r="AM43" s="229">
        <v>1.6299999999999999E-2</v>
      </c>
      <c r="AN43" s="231">
        <v>1137.01</v>
      </c>
      <c r="AO43" s="231">
        <v>1142.28</v>
      </c>
      <c r="AP43" s="228">
        <v>0</v>
      </c>
      <c r="AQ43" s="230">
        <v>12132</v>
      </c>
      <c r="AR43" s="230">
        <v>18860</v>
      </c>
      <c r="AS43" s="230">
        <v>-6728</v>
      </c>
      <c r="AT43" s="229">
        <v>-0.35670000000000002</v>
      </c>
      <c r="AU43" s="230">
        <v>11686</v>
      </c>
      <c r="AV43" s="230">
        <v>5334</v>
      </c>
      <c r="AW43" s="230">
        <v>6352</v>
      </c>
      <c r="AX43" s="229">
        <v>1.1909000000000001</v>
      </c>
      <c r="AY43" s="228">
        <v>428</v>
      </c>
      <c r="AZ43" s="230">
        <v>13378</v>
      </c>
      <c r="BA43" s="230">
        <v>-12950</v>
      </c>
      <c r="BB43" s="229">
        <v>-0.96799999999999997</v>
      </c>
      <c r="BC43" s="228">
        <v>18</v>
      </c>
      <c r="BD43" s="228">
        <v>148</v>
      </c>
      <c r="BE43" s="228">
        <v>-130</v>
      </c>
      <c r="BF43" s="229">
        <v>-0.87839999999999996</v>
      </c>
      <c r="BG43" s="230">
        <v>34870</v>
      </c>
      <c r="BH43" s="230">
        <v>26925</v>
      </c>
      <c r="BI43" s="230">
        <v>7945</v>
      </c>
      <c r="BJ43" s="229">
        <v>0.29509999999999997</v>
      </c>
      <c r="BK43" s="230">
        <v>27152</v>
      </c>
      <c r="BL43" s="230">
        <v>10310</v>
      </c>
      <c r="BM43" s="230">
        <v>16842</v>
      </c>
      <c r="BN43" s="229">
        <v>1.6335999999999999</v>
      </c>
      <c r="BO43" s="230">
        <v>74154</v>
      </c>
      <c r="BP43" s="230">
        <v>56095</v>
      </c>
      <c r="BQ43" s="230">
        <v>18059</v>
      </c>
      <c r="BR43" s="229">
        <v>0.32190000000000002</v>
      </c>
      <c r="BS43" s="230">
        <v>4857201</v>
      </c>
      <c r="BT43" s="230">
        <v>3934387</v>
      </c>
      <c r="BU43" s="230">
        <v>922814</v>
      </c>
      <c r="BV43" s="229">
        <v>0.2346</v>
      </c>
      <c r="BW43" s="230">
        <v>11223300</v>
      </c>
      <c r="BX43" s="230">
        <v>11596750</v>
      </c>
      <c r="BY43" s="230">
        <v>-373450</v>
      </c>
      <c r="BZ43" s="229">
        <v>-3.2199999999999999E-2</v>
      </c>
      <c r="CA43" s="230">
        <v>10965900</v>
      </c>
      <c r="CB43" s="230">
        <v>253000</v>
      </c>
      <c r="CC43" s="230">
        <v>10712900</v>
      </c>
      <c r="CD43" s="229">
        <v>42.343499999999999</v>
      </c>
      <c r="CE43" s="230">
        <v>249700</v>
      </c>
      <c r="CF43" s="230">
        <v>11426800</v>
      </c>
      <c r="CG43" s="230">
        <v>-11177100</v>
      </c>
      <c r="CH43" s="229">
        <v>-0.97809999999999997</v>
      </c>
      <c r="CI43" s="230">
        <v>7700</v>
      </c>
      <c r="CJ43" s="230">
        <v>169950</v>
      </c>
      <c r="CK43" s="230">
        <v>-162250</v>
      </c>
      <c r="CL43" s="229">
        <v>-0.95469999999999999</v>
      </c>
      <c r="CM43" s="230">
        <v>4424200</v>
      </c>
      <c r="CN43" s="230">
        <v>1869450</v>
      </c>
      <c r="CO43" s="230">
        <v>2554750</v>
      </c>
      <c r="CP43" s="229">
        <v>1.3666</v>
      </c>
      <c r="CQ43" s="230">
        <v>3446850</v>
      </c>
      <c r="CR43" s="230">
        <v>1401950</v>
      </c>
      <c r="CS43" s="230">
        <v>2044900</v>
      </c>
      <c r="CT43" s="229">
        <v>1.4585999999999999</v>
      </c>
      <c r="CU43" s="230">
        <v>19094350</v>
      </c>
      <c r="CV43" s="230">
        <v>14868150</v>
      </c>
      <c r="CW43" s="230">
        <v>4226200</v>
      </c>
      <c r="CX43" s="229">
        <v>0.28420000000000001</v>
      </c>
      <c r="CY43" s="228">
        <v>26.69</v>
      </c>
      <c r="CZ43" s="228">
        <v>25.8</v>
      </c>
      <c r="DA43" s="228">
        <v>0.89</v>
      </c>
      <c r="DB43" s="228">
        <v>0.89</v>
      </c>
      <c r="DC43" s="228">
        <v>26.64</v>
      </c>
      <c r="DD43" s="228">
        <v>25.9</v>
      </c>
      <c r="DE43" s="228">
        <v>0.05</v>
      </c>
      <c r="DF43" s="228">
        <v>0.74</v>
      </c>
      <c r="DG43" s="228">
        <v>26</v>
      </c>
      <c r="DH43" s="228">
        <v>25.19</v>
      </c>
      <c r="DI43" s="228">
        <v>0.81</v>
      </c>
      <c r="DJ43" s="228">
        <v>0.81</v>
      </c>
      <c r="DK43" s="228">
        <v>27.57</v>
      </c>
      <c r="DL43" s="228">
        <v>27.34</v>
      </c>
      <c r="DM43" s="228">
        <v>0.23</v>
      </c>
      <c r="DN43" s="228">
        <v>0.23</v>
      </c>
      <c r="DO43" s="228">
        <v>0.78</v>
      </c>
      <c r="DP43" s="228">
        <v>0.75</v>
      </c>
      <c r="DQ43" s="228">
        <v>0.03</v>
      </c>
      <c r="DR43" s="229">
        <v>0.04</v>
      </c>
      <c r="DS43" s="231">
        <v>1200</v>
      </c>
      <c r="DT43" s="231">
        <v>1020</v>
      </c>
      <c r="DU43" s="228">
        <v>0.78</v>
      </c>
      <c r="DV43" s="228">
        <v>0.38</v>
      </c>
      <c r="DW43" s="228">
        <v>0.4</v>
      </c>
      <c r="DX43" s="229">
        <v>1.0526</v>
      </c>
      <c r="DY43" s="229">
        <v>2.29E-2</v>
      </c>
      <c r="DZ43" s="230">
        <v>11596750</v>
      </c>
      <c r="EA43" s="229">
        <v>6.1000000000000004E-3</v>
      </c>
      <c r="EB43" s="229">
        <v>2.29E-2</v>
      </c>
      <c r="EC43" s="228">
        <v>5.27</v>
      </c>
      <c r="ED43" s="229">
        <v>4.5999999999999999E-3</v>
      </c>
      <c r="EE43" s="230">
        <v>2235488</v>
      </c>
      <c r="EF43" s="230">
        <v>1420476</v>
      </c>
      <c r="EG43" s="229">
        <v>0.57379999999999998</v>
      </c>
      <c r="EH43" s="229">
        <v>0.4602</v>
      </c>
      <c r="EI43" s="231">
        <v>230830.56</v>
      </c>
      <c r="EJ43" s="231">
        <v>167917.5</v>
      </c>
      <c r="EK43" s="231">
        <v>75881.649999999994</v>
      </c>
      <c r="EL43" s="231">
        <v>16484</v>
      </c>
      <c r="EM43" s="231">
        <v>474629.71</v>
      </c>
      <c r="EN43" s="231">
        <v>371312.11</v>
      </c>
      <c r="EO43" s="231">
        <v>103317.6</v>
      </c>
      <c r="EP43" s="229">
        <v>0.27829999999999999</v>
      </c>
      <c r="EQ43" s="231">
        <v>53253</v>
      </c>
      <c r="ER43" s="231">
        <v>37354</v>
      </c>
      <c r="ES43" s="231">
        <v>127526</v>
      </c>
      <c r="ET43" s="231">
        <v>65472326</v>
      </c>
      <c r="EU43" s="231">
        <v>218134</v>
      </c>
      <c r="EV43" s="231">
        <v>177402</v>
      </c>
      <c r="EW43" s="231">
        <v>40732</v>
      </c>
      <c r="EX43" s="229">
        <v>0.2296</v>
      </c>
      <c r="EY43" s="229">
        <v>0.29160000000000003</v>
      </c>
    </row>
    <row r="44" spans="1:155" ht="17.25" thickBot="1" x14ac:dyDescent="0.3">
      <c r="A44" s="226">
        <v>46050</v>
      </c>
      <c r="B44" s="227" t="s">
        <v>227</v>
      </c>
      <c r="C44" s="227" t="s">
        <v>294</v>
      </c>
      <c r="D44" s="228">
        <v>195.01</v>
      </c>
      <c r="E44" s="228">
        <v>193.11</v>
      </c>
      <c r="F44" s="228">
        <v>1.9</v>
      </c>
      <c r="G44" s="229">
        <v>9.7999999999999997E-3</v>
      </c>
      <c r="H44" s="228">
        <v>193.85</v>
      </c>
      <c r="I44" s="228">
        <v>192.28</v>
      </c>
      <c r="J44" s="228">
        <v>1.57</v>
      </c>
      <c r="K44" s="229">
        <v>8.2000000000000007E-3</v>
      </c>
      <c r="L44" s="228">
        <v>195.01</v>
      </c>
      <c r="M44" s="228">
        <v>191.71</v>
      </c>
      <c r="N44" s="228">
        <v>3.3</v>
      </c>
      <c r="O44" s="229">
        <v>1.72E-2</v>
      </c>
      <c r="P44" s="228">
        <v>196.22</v>
      </c>
      <c r="Q44" s="228">
        <v>193.11</v>
      </c>
      <c r="R44" s="228">
        <v>3.11</v>
      </c>
      <c r="S44" s="229">
        <v>1.61E-2</v>
      </c>
      <c r="T44" s="228">
        <v>197.46</v>
      </c>
      <c r="U44" s="228">
        <v>194.35</v>
      </c>
      <c r="V44" s="228">
        <v>3.11</v>
      </c>
      <c r="W44" s="229">
        <v>1.6E-2</v>
      </c>
      <c r="X44" s="228">
        <v>1.1599999999999999</v>
      </c>
      <c r="Y44" s="228">
        <v>0.83</v>
      </c>
      <c r="Z44" s="228">
        <v>0.33</v>
      </c>
      <c r="AA44" s="229">
        <v>6.0000000000000001E-3</v>
      </c>
      <c r="AB44" s="228">
        <v>1.1599999999999999</v>
      </c>
      <c r="AC44" s="228">
        <v>-0.56999999999999995</v>
      </c>
      <c r="AD44" s="228">
        <v>1.73</v>
      </c>
      <c r="AE44" s="229">
        <v>6.0000000000000001E-3</v>
      </c>
      <c r="AF44" s="228">
        <v>2.37</v>
      </c>
      <c r="AG44" s="228">
        <v>0.83</v>
      </c>
      <c r="AH44" s="228">
        <v>1.54</v>
      </c>
      <c r="AI44" s="229">
        <v>1.2200000000000001E-2</v>
      </c>
      <c r="AJ44" s="228">
        <v>3.61</v>
      </c>
      <c r="AK44" s="228">
        <v>2.0699999999999998</v>
      </c>
      <c r="AL44" s="228">
        <v>1.54</v>
      </c>
      <c r="AM44" s="229">
        <v>1.8599999999999998E-2</v>
      </c>
      <c r="AN44" s="228">
        <v>194.78</v>
      </c>
      <c r="AO44" s="228">
        <v>196.03</v>
      </c>
      <c r="AP44" s="228">
        <v>0</v>
      </c>
      <c r="AQ44" s="230">
        <v>8979</v>
      </c>
      <c r="AR44" s="230">
        <v>28638</v>
      </c>
      <c r="AS44" s="230">
        <v>-19659</v>
      </c>
      <c r="AT44" s="229">
        <v>-0.6865</v>
      </c>
      <c r="AU44" s="230">
        <v>8299</v>
      </c>
      <c r="AV44" s="230">
        <v>11390</v>
      </c>
      <c r="AW44" s="230">
        <v>-3091</v>
      </c>
      <c r="AX44" s="229">
        <v>-0.27139999999999997</v>
      </c>
      <c r="AY44" s="228">
        <v>608</v>
      </c>
      <c r="AZ44" s="230">
        <v>16667</v>
      </c>
      <c r="BA44" s="230">
        <v>-16059</v>
      </c>
      <c r="BB44" s="229">
        <v>-0.96350000000000002</v>
      </c>
      <c r="BC44" s="228">
        <v>72</v>
      </c>
      <c r="BD44" s="228">
        <v>581</v>
      </c>
      <c r="BE44" s="228">
        <v>-509</v>
      </c>
      <c r="BF44" s="229">
        <v>-0.87609999999999999</v>
      </c>
      <c r="BG44" s="230">
        <v>27703</v>
      </c>
      <c r="BH44" s="230">
        <v>38032</v>
      </c>
      <c r="BI44" s="230">
        <v>-10329</v>
      </c>
      <c r="BJ44" s="229">
        <v>-0.27160000000000001</v>
      </c>
      <c r="BK44" s="230">
        <v>14394</v>
      </c>
      <c r="BL44" s="230">
        <v>21074</v>
      </c>
      <c r="BM44" s="230">
        <v>-6680</v>
      </c>
      <c r="BN44" s="229">
        <v>-0.317</v>
      </c>
      <c r="BO44" s="230">
        <v>51076</v>
      </c>
      <c r="BP44" s="230">
        <v>87744</v>
      </c>
      <c r="BQ44" s="230">
        <v>-36668</v>
      </c>
      <c r="BR44" s="229">
        <v>-0.41789999999999999</v>
      </c>
      <c r="BS44" s="230">
        <v>35978622</v>
      </c>
      <c r="BT44" s="230">
        <v>44549584</v>
      </c>
      <c r="BU44" s="230">
        <v>-8570962</v>
      </c>
      <c r="BV44" s="229">
        <v>-0.19239999999999999</v>
      </c>
      <c r="BW44" s="230">
        <v>261860500</v>
      </c>
      <c r="BX44" s="230">
        <v>263516000</v>
      </c>
      <c r="BY44" s="230">
        <v>-1655500</v>
      </c>
      <c r="BZ44" s="229">
        <v>-6.3E-3</v>
      </c>
      <c r="CA44" s="230">
        <v>244893000</v>
      </c>
      <c r="CB44" s="230">
        <v>11830500</v>
      </c>
      <c r="CC44" s="230">
        <v>233062500</v>
      </c>
      <c r="CD44" s="229">
        <v>19.700099999999999</v>
      </c>
      <c r="CE44" s="230">
        <v>16736500</v>
      </c>
      <c r="CF44" s="230">
        <v>247346000</v>
      </c>
      <c r="CG44" s="230">
        <v>-230609500</v>
      </c>
      <c r="CH44" s="229">
        <v>-0.93230000000000002</v>
      </c>
      <c r="CI44" s="230">
        <v>231000</v>
      </c>
      <c r="CJ44" s="230">
        <v>16170000</v>
      </c>
      <c r="CK44" s="230">
        <v>-15939000</v>
      </c>
      <c r="CL44" s="229">
        <v>-0.98570000000000002</v>
      </c>
      <c r="CM44" s="230">
        <v>63503000</v>
      </c>
      <c r="CN44" s="230">
        <v>56265000</v>
      </c>
      <c r="CO44" s="230">
        <v>7238000</v>
      </c>
      <c r="CP44" s="229">
        <v>0.12859999999999999</v>
      </c>
      <c r="CQ44" s="230">
        <v>54263000</v>
      </c>
      <c r="CR44" s="230">
        <v>47718000</v>
      </c>
      <c r="CS44" s="230">
        <v>6545000</v>
      </c>
      <c r="CT44" s="229">
        <v>0.13719999999999999</v>
      </c>
      <c r="CU44" s="230">
        <v>379626500</v>
      </c>
      <c r="CV44" s="230">
        <v>367499000</v>
      </c>
      <c r="CW44" s="230">
        <v>12127500</v>
      </c>
      <c r="CX44" s="229">
        <v>3.3000000000000002E-2</v>
      </c>
      <c r="CY44" s="228">
        <v>30.96</v>
      </c>
      <c r="CZ44" s="228">
        <v>31.9</v>
      </c>
      <c r="DA44" s="228">
        <v>-0.94</v>
      </c>
      <c r="DB44" s="228">
        <v>-0.94</v>
      </c>
      <c r="DC44" s="228">
        <v>32.53</v>
      </c>
      <c r="DD44" s="228">
        <v>32.58</v>
      </c>
      <c r="DE44" s="228">
        <v>-1.57</v>
      </c>
      <c r="DF44" s="228">
        <v>-0.05</v>
      </c>
      <c r="DG44" s="228">
        <v>30.54</v>
      </c>
      <c r="DH44" s="228">
        <v>31.66</v>
      </c>
      <c r="DI44" s="228">
        <v>-1.1200000000000001</v>
      </c>
      <c r="DJ44" s="228">
        <v>-1.1200000000000001</v>
      </c>
      <c r="DK44" s="228">
        <v>31.76</v>
      </c>
      <c r="DL44" s="228">
        <v>32.340000000000003</v>
      </c>
      <c r="DM44" s="228">
        <v>-0.57999999999999996</v>
      </c>
      <c r="DN44" s="228">
        <v>-0.57999999999999996</v>
      </c>
      <c r="DO44" s="228">
        <v>0.85</v>
      </c>
      <c r="DP44" s="228">
        <v>0.85</v>
      </c>
      <c r="DQ44" s="228">
        <v>0</v>
      </c>
      <c r="DR44" s="229">
        <v>0</v>
      </c>
      <c r="DS44" s="228">
        <v>200</v>
      </c>
      <c r="DT44" s="228">
        <v>190</v>
      </c>
      <c r="DU44" s="228">
        <v>0.52</v>
      </c>
      <c r="DV44" s="228">
        <v>0.55000000000000004</v>
      </c>
      <c r="DW44" s="228">
        <v>-0.03</v>
      </c>
      <c r="DX44" s="229">
        <v>-5.45E-2</v>
      </c>
      <c r="DY44" s="229">
        <v>6.4799999999999996E-2</v>
      </c>
      <c r="DZ44" s="230">
        <v>263516000</v>
      </c>
      <c r="EA44" s="229">
        <v>6.1999999999999998E-3</v>
      </c>
      <c r="EB44" s="229">
        <v>6.4799999999999996E-2</v>
      </c>
      <c r="EC44" s="228">
        <v>1.25</v>
      </c>
      <c r="ED44" s="229">
        <v>6.4000000000000003E-3</v>
      </c>
      <c r="EE44" s="230">
        <v>14100746</v>
      </c>
      <c r="EF44" s="230">
        <v>23646926</v>
      </c>
      <c r="EG44" s="229">
        <v>-0.4037</v>
      </c>
      <c r="EH44" s="229">
        <v>0.39190000000000003</v>
      </c>
      <c r="EI44" s="231">
        <v>311112.34000000003</v>
      </c>
      <c r="EJ44" s="231">
        <v>151168.63</v>
      </c>
      <c r="EK44" s="231">
        <v>96242.63</v>
      </c>
      <c r="EL44" s="231">
        <v>32743</v>
      </c>
      <c r="EM44" s="231">
        <v>558523.6</v>
      </c>
      <c r="EN44" s="231">
        <v>931912.54</v>
      </c>
      <c r="EO44" s="231">
        <v>-373388.94</v>
      </c>
      <c r="EP44" s="229">
        <v>-0.4007</v>
      </c>
      <c r="EQ44" s="231">
        <v>124242</v>
      </c>
      <c r="ER44" s="231">
        <v>99473</v>
      </c>
      <c r="ES44" s="231">
        <v>510862</v>
      </c>
      <c r="ET44" s="231">
        <v>872935214</v>
      </c>
      <c r="EU44" s="231">
        <v>734577</v>
      </c>
      <c r="EV44" s="231">
        <v>705900</v>
      </c>
      <c r="EW44" s="231">
        <v>28677</v>
      </c>
      <c r="EX44" s="229">
        <v>4.0599999999999997E-2</v>
      </c>
      <c r="EY44" s="229">
        <v>0.43490000000000001</v>
      </c>
    </row>
    <row r="45" spans="1:155" ht="17.25" thickBot="1" x14ac:dyDescent="0.3">
      <c r="A45" s="226">
        <v>46050</v>
      </c>
      <c r="B45" s="227" t="s">
        <v>221</v>
      </c>
      <c r="C45" s="227" t="s">
        <v>295</v>
      </c>
      <c r="D45" s="231">
        <v>3210</v>
      </c>
      <c r="E45" s="231">
        <v>3179.9</v>
      </c>
      <c r="F45" s="228">
        <v>30.1</v>
      </c>
      <c r="G45" s="229">
        <v>9.4999999999999998E-3</v>
      </c>
      <c r="H45" s="231">
        <v>3200.1</v>
      </c>
      <c r="I45" s="231">
        <v>3158</v>
      </c>
      <c r="J45" s="228">
        <v>42.1</v>
      </c>
      <c r="K45" s="229">
        <v>1.3299999999999999E-2</v>
      </c>
      <c r="L45" s="231">
        <v>3210</v>
      </c>
      <c r="M45" s="231">
        <v>3160.2</v>
      </c>
      <c r="N45" s="228">
        <v>49.8</v>
      </c>
      <c r="O45" s="229">
        <v>1.5800000000000002E-2</v>
      </c>
      <c r="P45" s="231">
        <v>3230.4</v>
      </c>
      <c r="Q45" s="231">
        <v>3179.9</v>
      </c>
      <c r="R45" s="228">
        <v>50.5</v>
      </c>
      <c r="S45" s="229">
        <v>1.5900000000000001E-2</v>
      </c>
      <c r="T45" s="231">
        <v>3251.4</v>
      </c>
      <c r="U45" s="231">
        <v>3200.1</v>
      </c>
      <c r="V45" s="228">
        <v>51.3</v>
      </c>
      <c r="W45" s="229">
        <v>1.6E-2</v>
      </c>
      <c r="X45" s="228">
        <v>9.9</v>
      </c>
      <c r="Y45" s="228">
        <v>21.9</v>
      </c>
      <c r="Z45" s="228">
        <v>-12</v>
      </c>
      <c r="AA45" s="229">
        <v>3.0999999999999999E-3</v>
      </c>
      <c r="AB45" s="228">
        <v>9.9</v>
      </c>
      <c r="AC45" s="228">
        <v>2.2000000000000002</v>
      </c>
      <c r="AD45" s="228">
        <v>7.7</v>
      </c>
      <c r="AE45" s="229">
        <v>3.0999999999999999E-3</v>
      </c>
      <c r="AF45" s="228">
        <v>30.3</v>
      </c>
      <c r="AG45" s="228">
        <v>21.9</v>
      </c>
      <c r="AH45" s="228">
        <v>8.4</v>
      </c>
      <c r="AI45" s="229">
        <v>9.4999999999999998E-3</v>
      </c>
      <c r="AJ45" s="228">
        <v>51.3</v>
      </c>
      <c r="AK45" s="228">
        <v>42.1</v>
      </c>
      <c r="AL45" s="228">
        <v>9.1999999999999993</v>
      </c>
      <c r="AM45" s="229">
        <v>1.6E-2</v>
      </c>
      <c r="AN45" s="231">
        <v>3201.3</v>
      </c>
      <c r="AO45" s="231">
        <v>3222.47</v>
      </c>
      <c r="AP45" s="228">
        <v>0</v>
      </c>
      <c r="AQ45" s="230">
        <v>15144</v>
      </c>
      <c r="AR45" s="230">
        <v>64817</v>
      </c>
      <c r="AS45" s="230">
        <v>-49673</v>
      </c>
      <c r="AT45" s="229">
        <v>-0.76639999999999997</v>
      </c>
      <c r="AU45" s="230">
        <v>14682</v>
      </c>
      <c r="AV45" s="230">
        <v>26634</v>
      </c>
      <c r="AW45" s="230">
        <v>-11952</v>
      </c>
      <c r="AX45" s="229">
        <v>-0.44869999999999999</v>
      </c>
      <c r="AY45" s="228">
        <v>397</v>
      </c>
      <c r="AZ45" s="230">
        <v>36315</v>
      </c>
      <c r="BA45" s="230">
        <v>-35918</v>
      </c>
      <c r="BB45" s="229">
        <v>-0.98909999999999998</v>
      </c>
      <c r="BC45" s="228">
        <v>65</v>
      </c>
      <c r="BD45" s="230">
        <v>1868</v>
      </c>
      <c r="BE45" s="230">
        <v>-1803</v>
      </c>
      <c r="BF45" s="229">
        <v>-0.96519999999999995</v>
      </c>
      <c r="BG45" s="230">
        <v>35946</v>
      </c>
      <c r="BH45" s="230">
        <v>55684</v>
      </c>
      <c r="BI45" s="230">
        <v>-19738</v>
      </c>
      <c r="BJ45" s="229">
        <v>-0.35449999999999998</v>
      </c>
      <c r="BK45" s="230">
        <v>21973</v>
      </c>
      <c r="BL45" s="230">
        <v>45045</v>
      </c>
      <c r="BM45" s="230">
        <v>-23072</v>
      </c>
      <c r="BN45" s="229">
        <v>-0.51219999999999999</v>
      </c>
      <c r="BO45" s="230">
        <v>73063</v>
      </c>
      <c r="BP45" s="230">
        <v>165546</v>
      </c>
      <c r="BQ45" s="230">
        <v>-92483</v>
      </c>
      <c r="BR45" s="229">
        <v>-0.55869999999999997</v>
      </c>
      <c r="BS45" s="230">
        <v>2895242</v>
      </c>
      <c r="BT45" s="230">
        <v>4444445</v>
      </c>
      <c r="BU45" s="230">
        <v>-1549203</v>
      </c>
      <c r="BV45" s="229">
        <v>-0.34860000000000002</v>
      </c>
      <c r="BW45" s="230">
        <v>19574975</v>
      </c>
      <c r="BX45" s="230">
        <v>20025600</v>
      </c>
      <c r="BY45" s="230">
        <v>-450625</v>
      </c>
      <c r="BZ45" s="229">
        <v>-2.2499999999999999E-2</v>
      </c>
      <c r="CA45" s="230">
        <v>18715200</v>
      </c>
      <c r="CB45" s="230">
        <v>761250</v>
      </c>
      <c r="CC45" s="230">
        <v>17953950</v>
      </c>
      <c r="CD45" s="229">
        <v>23.584800000000001</v>
      </c>
      <c r="CE45" s="230">
        <v>850325</v>
      </c>
      <c r="CF45" s="230">
        <v>19168625</v>
      </c>
      <c r="CG45" s="230">
        <v>-18318300</v>
      </c>
      <c r="CH45" s="229">
        <v>-0.9556</v>
      </c>
      <c r="CI45" s="230">
        <v>9450</v>
      </c>
      <c r="CJ45" s="230">
        <v>856975</v>
      </c>
      <c r="CK45" s="230">
        <v>-847525</v>
      </c>
      <c r="CL45" s="229">
        <v>-0.98899999999999999</v>
      </c>
      <c r="CM45" s="230">
        <v>4010475</v>
      </c>
      <c r="CN45" s="230">
        <v>3418450</v>
      </c>
      <c r="CO45" s="230">
        <v>592025</v>
      </c>
      <c r="CP45" s="229">
        <v>0.17319999999999999</v>
      </c>
      <c r="CQ45" s="230">
        <v>4316550</v>
      </c>
      <c r="CR45" s="230">
        <v>3962525</v>
      </c>
      <c r="CS45" s="230">
        <v>354025</v>
      </c>
      <c r="CT45" s="229">
        <v>8.9300000000000004E-2</v>
      </c>
      <c r="CU45" s="230">
        <v>27902000</v>
      </c>
      <c r="CV45" s="230">
        <v>27406575</v>
      </c>
      <c r="CW45" s="230">
        <v>495425</v>
      </c>
      <c r="CX45" s="229">
        <v>1.8100000000000002E-2</v>
      </c>
      <c r="CY45" s="228">
        <v>19.09</v>
      </c>
      <c r="CZ45" s="228">
        <v>20.52</v>
      </c>
      <c r="DA45" s="228">
        <v>-1.43</v>
      </c>
      <c r="DB45" s="228">
        <v>-1.43</v>
      </c>
      <c r="DC45" s="228">
        <v>23.55</v>
      </c>
      <c r="DD45" s="228">
        <v>23.55</v>
      </c>
      <c r="DE45" s="228">
        <v>-4.46</v>
      </c>
      <c r="DF45" s="228">
        <v>0</v>
      </c>
      <c r="DG45" s="228">
        <v>18.25</v>
      </c>
      <c r="DH45" s="228">
        <v>19.91</v>
      </c>
      <c r="DI45" s="228">
        <v>-1.66</v>
      </c>
      <c r="DJ45" s="228">
        <v>-1.66</v>
      </c>
      <c r="DK45" s="228">
        <v>20.46</v>
      </c>
      <c r="DL45" s="228">
        <v>21.3</v>
      </c>
      <c r="DM45" s="228">
        <v>-0.84</v>
      </c>
      <c r="DN45" s="228">
        <v>-0.84</v>
      </c>
      <c r="DO45" s="228">
        <v>1.08</v>
      </c>
      <c r="DP45" s="228">
        <v>1.1599999999999999</v>
      </c>
      <c r="DQ45" s="228">
        <v>-0.08</v>
      </c>
      <c r="DR45" s="229">
        <v>-6.9000000000000006E-2</v>
      </c>
      <c r="DS45" s="231">
        <v>3200</v>
      </c>
      <c r="DT45" s="231">
        <v>3000</v>
      </c>
      <c r="DU45" s="228">
        <v>0.61</v>
      </c>
      <c r="DV45" s="228">
        <v>0.81</v>
      </c>
      <c r="DW45" s="228">
        <v>-0.2</v>
      </c>
      <c r="DX45" s="229">
        <v>-0.24690000000000001</v>
      </c>
      <c r="DY45" s="229">
        <v>4.3900000000000002E-2</v>
      </c>
      <c r="DZ45" s="230">
        <v>20025600</v>
      </c>
      <c r="EA45" s="229">
        <v>6.4000000000000003E-3</v>
      </c>
      <c r="EB45" s="229">
        <v>4.3900000000000002E-2</v>
      </c>
      <c r="EC45" s="228">
        <v>21.17</v>
      </c>
      <c r="ED45" s="229">
        <v>6.6E-3</v>
      </c>
      <c r="EE45" s="230">
        <v>2150556</v>
      </c>
      <c r="EF45" s="230">
        <v>3120144</v>
      </c>
      <c r="EG45" s="229">
        <v>-0.31080000000000002</v>
      </c>
      <c r="EH45" s="229">
        <v>0.74280000000000002</v>
      </c>
      <c r="EI45" s="231">
        <v>209298.45</v>
      </c>
      <c r="EJ45" s="231">
        <v>120574.27</v>
      </c>
      <c r="EK45" s="231">
        <v>84860.09</v>
      </c>
      <c r="EL45" s="231">
        <v>79150</v>
      </c>
      <c r="EM45" s="231">
        <v>414732.81</v>
      </c>
      <c r="EN45" s="231">
        <v>926563.75</v>
      </c>
      <c r="EO45" s="231">
        <v>-511830.94</v>
      </c>
      <c r="EP45" s="229">
        <v>-0.5524</v>
      </c>
      <c r="EQ45" s="231">
        <v>132051</v>
      </c>
      <c r="ER45" s="231">
        <v>135106</v>
      </c>
      <c r="ES45" s="231">
        <v>628534</v>
      </c>
      <c r="ET45" s="231">
        <v>126444612</v>
      </c>
      <c r="EU45" s="231">
        <v>895691</v>
      </c>
      <c r="EV45" s="231">
        <v>873560</v>
      </c>
      <c r="EW45" s="231">
        <v>22131</v>
      </c>
      <c r="EX45" s="229">
        <v>2.53E-2</v>
      </c>
      <c r="EY45" s="229">
        <v>0.22070000000000001</v>
      </c>
    </row>
    <row r="46" spans="1:155" ht="17.25" thickBot="1" x14ac:dyDescent="0.3">
      <c r="A46" s="226">
        <v>46050</v>
      </c>
      <c r="B46" s="227" t="s">
        <v>221</v>
      </c>
      <c r="C46" s="227" t="s">
        <v>296</v>
      </c>
      <c r="D46" s="231">
        <v>1769.4</v>
      </c>
      <c r="E46" s="231">
        <v>1754</v>
      </c>
      <c r="F46" s="228">
        <v>15.4</v>
      </c>
      <c r="G46" s="229">
        <v>8.8000000000000005E-3</v>
      </c>
      <c r="H46" s="231">
        <v>1762.9</v>
      </c>
      <c r="I46" s="231">
        <v>1745.1</v>
      </c>
      <c r="J46" s="228">
        <v>17.8</v>
      </c>
      <c r="K46" s="229">
        <v>1.0200000000000001E-2</v>
      </c>
      <c r="L46" s="231">
        <v>1769.4</v>
      </c>
      <c r="M46" s="231">
        <v>1746.4</v>
      </c>
      <c r="N46" s="228">
        <v>23</v>
      </c>
      <c r="O46" s="229">
        <v>1.32E-2</v>
      </c>
      <c r="P46" s="231">
        <v>1778.8</v>
      </c>
      <c r="Q46" s="231">
        <v>1754</v>
      </c>
      <c r="R46" s="228">
        <v>24.8</v>
      </c>
      <c r="S46" s="229">
        <v>1.41E-2</v>
      </c>
      <c r="T46" s="231">
        <v>1790</v>
      </c>
      <c r="U46" s="231">
        <v>1763.3</v>
      </c>
      <c r="V46" s="228">
        <v>26.7</v>
      </c>
      <c r="W46" s="229">
        <v>1.5100000000000001E-2</v>
      </c>
      <c r="X46" s="228">
        <v>6.5</v>
      </c>
      <c r="Y46" s="228">
        <v>8.9</v>
      </c>
      <c r="Z46" s="228">
        <v>-2.4</v>
      </c>
      <c r="AA46" s="229">
        <v>3.7000000000000002E-3</v>
      </c>
      <c r="AB46" s="228">
        <v>6.5</v>
      </c>
      <c r="AC46" s="228">
        <v>1.3</v>
      </c>
      <c r="AD46" s="228">
        <v>5.2</v>
      </c>
      <c r="AE46" s="229">
        <v>3.7000000000000002E-3</v>
      </c>
      <c r="AF46" s="228">
        <v>15.9</v>
      </c>
      <c r="AG46" s="228">
        <v>8.9</v>
      </c>
      <c r="AH46" s="228">
        <v>7</v>
      </c>
      <c r="AI46" s="229">
        <v>8.9999999999999993E-3</v>
      </c>
      <c r="AJ46" s="228">
        <v>27.1</v>
      </c>
      <c r="AK46" s="228">
        <v>18.2</v>
      </c>
      <c r="AL46" s="228">
        <v>8.9</v>
      </c>
      <c r="AM46" s="229">
        <v>1.54E-2</v>
      </c>
      <c r="AN46" s="231">
        <v>1759.1</v>
      </c>
      <c r="AO46" s="231">
        <v>1770.46</v>
      </c>
      <c r="AP46" s="228">
        <v>0</v>
      </c>
      <c r="AQ46" s="230">
        <v>5513</v>
      </c>
      <c r="AR46" s="230">
        <v>12868</v>
      </c>
      <c r="AS46" s="230">
        <v>-7355</v>
      </c>
      <c r="AT46" s="229">
        <v>-0.5716</v>
      </c>
      <c r="AU46" s="230">
        <v>5357</v>
      </c>
      <c r="AV46" s="230">
        <v>4768</v>
      </c>
      <c r="AW46" s="228">
        <v>589</v>
      </c>
      <c r="AX46" s="229">
        <v>0.1235</v>
      </c>
      <c r="AY46" s="228">
        <v>131</v>
      </c>
      <c r="AZ46" s="230">
        <v>7978</v>
      </c>
      <c r="BA46" s="230">
        <v>-7847</v>
      </c>
      <c r="BB46" s="229">
        <v>-0.98360000000000003</v>
      </c>
      <c r="BC46" s="228">
        <v>25</v>
      </c>
      <c r="BD46" s="228">
        <v>122</v>
      </c>
      <c r="BE46" s="228">
        <v>-97</v>
      </c>
      <c r="BF46" s="229">
        <v>-0.79510000000000003</v>
      </c>
      <c r="BG46" s="230">
        <v>13543</v>
      </c>
      <c r="BH46" s="230">
        <v>21375</v>
      </c>
      <c r="BI46" s="230">
        <v>-7832</v>
      </c>
      <c r="BJ46" s="229">
        <v>-0.3664</v>
      </c>
      <c r="BK46" s="230">
        <v>7385</v>
      </c>
      <c r="BL46" s="230">
        <v>9668</v>
      </c>
      <c r="BM46" s="230">
        <v>-2283</v>
      </c>
      <c r="BN46" s="229">
        <v>-0.2361</v>
      </c>
      <c r="BO46" s="230">
        <v>26441</v>
      </c>
      <c r="BP46" s="230">
        <v>43911</v>
      </c>
      <c r="BQ46" s="230">
        <v>-17470</v>
      </c>
      <c r="BR46" s="229">
        <v>-0.39789999999999998</v>
      </c>
      <c r="BS46" s="230">
        <v>2598560</v>
      </c>
      <c r="BT46" s="230">
        <v>2998266</v>
      </c>
      <c r="BU46" s="230">
        <v>-399706</v>
      </c>
      <c r="BV46" s="229">
        <v>-0.1333</v>
      </c>
      <c r="BW46" s="230">
        <v>18369000</v>
      </c>
      <c r="BX46" s="230">
        <v>19132800</v>
      </c>
      <c r="BY46" s="230">
        <v>-763800</v>
      </c>
      <c r="BZ46" s="229">
        <v>-3.9899999999999998E-2</v>
      </c>
      <c r="CA46" s="230">
        <v>18133800</v>
      </c>
      <c r="CB46" s="230">
        <v>1678800</v>
      </c>
      <c r="CC46" s="230">
        <v>16455000</v>
      </c>
      <c r="CD46" s="229">
        <v>9.8016000000000005</v>
      </c>
      <c r="CE46" s="230">
        <v>228600</v>
      </c>
      <c r="CF46" s="230">
        <v>18916200</v>
      </c>
      <c r="CG46" s="230">
        <v>-18687600</v>
      </c>
      <c r="CH46" s="229">
        <v>-0.9879</v>
      </c>
      <c r="CI46" s="230">
        <v>6600</v>
      </c>
      <c r="CJ46" s="230">
        <v>216600</v>
      </c>
      <c r="CK46" s="230">
        <v>-210000</v>
      </c>
      <c r="CL46" s="229">
        <v>-0.96950000000000003</v>
      </c>
      <c r="CM46" s="230">
        <v>2928600</v>
      </c>
      <c r="CN46" s="230">
        <v>2107800</v>
      </c>
      <c r="CO46" s="230">
        <v>820800</v>
      </c>
      <c r="CP46" s="229">
        <v>0.38940000000000002</v>
      </c>
      <c r="CQ46" s="230">
        <v>2305200</v>
      </c>
      <c r="CR46" s="230">
        <v>1919400</v>
      </c>
      <c r="CS46" s="230">
        <v>385800</v>
      </c>
      <c r="CT46" s="229">
        <v>0.20100000000000001</v>
      </c>
      <c r="CU46" s="230">
        <v>23602800</v>
      </c>
      <c r="CV46" s="230">
        <v>23160000</v>
      </c>
      <c r="CW46" s="230">
        <v>442800</v>
      </c>
      <c r="CX46" s="229">
        <v>1.9099999999999999E-2</v>
      </c>
      <c r="CY46" s="228">
        <v>23.18</v>
      </c>
      <c r="CZ46" s="228">
        <v>24.44</v>
      </c>
      <c r="DA46" s="228">
        <v>-1.26</v>
      </c>
      <c r="DB46" s="228">
        <v>-1.26</v>
      </c>
      <c r="DC46" s="228">
        <v>29.06</v>
      </c>
      <c r="DD46" s="228">
        <v>29.1</v>
      </c>
      <c r="DE46" s="228">
        <v>-5.88</v>
      </c>
      <c r="DF46" s="228">
        <v>-0.04</v>
      </c>
      <c r="DG46" s="228">
        <v>22.25</v>
      </c>
      <c r="DH46" s="228">
        <v>23.46</v>
      </c>
      <c r="DI46" s="228">
        <v>-1.21</v>
      </c>
      <c r="DJ46" s="228">
        <v>-1.21</v>
      </c>
      <c r="DK46" s="228">
        <v>24.87</v>
      </c>
      <c r="DL46" s="228">
        <v>26.51</v>
      </c>
      <c r="DM46" s="228">
        <v>-1.64</v>
      </c>
      <c r="DN46" s="228">
        <v>-1.64</v>
      </c>
      <c r="DO46" s="228">
        <v>0.79</v>
      </c>
      <c r="DP46" s="228">
        <v>0.91</v>
      </c>
      <c r="DQ46" s="228">
        <v>-0.12</v>
      </c>
      <c r="DR46" s="229">
        <v>-0.13189999999999999</v>
      </c>
      <c r="DS46" s="231">
        <v>1960</v>
      </c>
      <c r="DT46" s="231">
        <v>1620</v>
      </c>
      <c r="DU46" s="228">
        <v>0.55000000000000004</v>
      </c>
      <c r="DV46" s="228">
        <v>0.45</v>
      </c>
      <c r="DW46" s="228">
        <v>0.1</v>
      </c>
      <c r="DX46" s="229">
        <v>0.22220000000000001</v>
      </c>
      <c r="DY46" s="229">
        <v>1.2800000000000001E-2</v>
      </c>
      <c r="DZ46" s="230">
        <v>19132800</v>
      </c>
      <c r="EA46" s="229">
        <v>5.3E-3</v>
      </c>
      <c r="EB46" s="229">
        <v>1.2800000000000001E-2</v>
      </c>
      <c r="EC46" s="228">
        <v>11.36</v>
      </c>
      <c r="ED46" s="229">
        <v>6.4999999999999997E-3</v>
      </c>
      <c r="EE46" s="230">
        <v>1749090</v>
      </c>
      <c r="EF46" s="230">
        <v>1873850</v>
      </c>
      <c r="EG46" s="229">
        <v>-6.6600000000000006E-2</v>
      </c>
      <c r="EH46" s="229">
        <v>0.67310000000000003</v>
      </c>
      <c r="EI46" s="231">
        <v>149029.44</v>
      </c>
      <c r="EJ46" s="231">
        <v>76556.83</v>
      </c>
      <c r="EK46" s="231">
        <v>58199.519999999997</v>
      </c>
      <c r="EL46" s="231">
        <v>21729</v>
      </c>
      <c r="EM46" s="231">
        <v>283785.78999999998</v>
      </c>
      <c r="EN46" s="231">
        <v>460147.16</v>
      </c>
      <c r="EO46" s="231">
        <v>-176361.37</v>
      </c>
      <c r="EP46" s="229">
        <v>-0.38329999999999997</v>
      </c>
      <c r="EQ46" s="231">
        <v>52756</v>
      </c>
      <c r="ER46" s="231">
        <v>38048</v>
      </c>
      <c r="ES46" s="231">
        <v>325044</v>
      </c>
      <c r="ET46" s="231">
        <v>80031540</v>
      </c>
      <c r="EU46" s="231">
        <v>415848</v>
      </c>
      <c r="EV46" s="231">
        <v>404231</v>
      </c>
      <c r="EW46" s="231">
        <v>11617</v>
      </c>
      <c r="EX46" s="229">
        <v>2.87E-2</v>
      </c>
      <c r="EY46" s="229">
        <v>0.2949</v>
      </c>
    </row>
    <row r="47" spans="1:155" ht="17.25" thickBot="1" x14ac:dyDescent="0.3">
      <c r="A47" s="226">
        <v>46050</v>
      </c>
      <c r="B47" s="227" t="s">
        <v>168</v>
      </c>
      <c r="C47" s="227" t="s">
        <v>297</v>
      </c>
      <c r="D47" s="231">
        <v>3990.6</v>
      </c>
      <c r="E47" s="231">
        <v>4025.5</v>
      </c>
      <c r="F47" s="228">
        <v>-34.9</v>
      </c>
      <c r="G47" s="229">
        <v>-8.6999999999999994E-3</v>
      </c>
      <c r="H47" s="231">
        <v>3975.2</v>
      </c>
      <c r="I47" s="231">
        <v>3997</v>
      </c>
      <c r="J47" s="228">
        <v>-21.8</v>
      </c>
      <c r="K47" s="229">
        <v>-5.4999999999999997E-3</v>
      </c>
      <c r="L47" s="231">
        <v>3990.6</v>
      </c>
      <c r="M47" s="231">
        <v>3998</v>
      </c>
      <c r="N47" s="228">
        <v>-7.4</v>
      </c>
      <c r="O47" s="229">
        <v>-1.9E-3</v>
      </c>
      <c r="P47" s="231">
        <v>4013.8</v>
      </c>
      <c r="Q47" s="231">
        <v>4025.5</v>
      </c>
      <c r="R47" s="228">
        <v>-11.7</v>
      </c>
      <c r="S47" s="229">
        <v>-2.8999999999999998E-3</v>
      </c>
      <c r="T47" s="231">
        <v>4033</v>
      </c>
      <c r="U47" s="231">
        <v>4053.2</v>
      </c>
      <c r="V47" s="228">
        <v>-20.2</v>
      </c>
      <c r="W47" s="229">
        <v>-5.0000000000000001E-3</v>
      </c>
      <c r="X47" s="228">
        <v>15.4</v>
      </c>
      <c r="Y47" s="228">
        <v>28.5</v>
      </c>
      <c r="Z47" s="228">
        <v>-13.1</v>
      </c>
      <c r="AA47" s="229">
        <v>3.8999999999999998E-3</v>
      </c>
      <c r="AB47" s="228">
        <v>15.4</v>
      </c>
      <c r="AC47" s="228">
        <v>1</v>
      </c>
      <c r="AD47" s="228">
        <v>14.4</v>
      </c>
      <c r="AE47" s="229">
        <v>3.8999999999999998E-3</v>
      </c>
      <c r="AF47" s="228">
        <v>38.6</v>
      </c>
      <c r="AG47" s="228">
        <v>28.5</v>
      </c>
      <c r="AH47" s="228">
        <v>10.1</v>
      </c>
      <c r="AI47" s="229">
        <v>9.7000000000000003E-3</v>
      </c>
      <c r="AJ47" s="228">
        <v>57.8</v>
      </c>
      <c r="AK47" s="228">
        <v>56.2</v>
      </c>
      <c r="AL47" s="228">
        <v>1.6</v>
      </c>
      <c r="AM47" s="229">
        <v>1.4500000000000001E-2</v>
      </c>
      <c r="AN47" s="231">
        <v>3995.81</v>
      </c>
      <c r="AO47" s="231">
        <v>4026.37</v>
      </c>
      <c r="AP47" s="228">
        <v>0</v>
      </c>
      <c r="AQ47" s="230">
        <v>5026</v>
      </c>
      <c r="AR47" s="230">
        <v>19856</v>
      </c>
      <c r="AS47" s="230">
        <v>-14830</v>
      </c>
      <c r="AT47" s="229">
        <v>-0.74690000000000001</v>
      </c>
      <c r="AU47" s="230">
        <v>4906</v>
      </c>
      <c r="AV47" s="230">
        <v>6050</v>
      </c>
      <c r="AW47" s="230">
        <v>-1144</v>
      </c>
      <c r="AX47" s="229">
        <v>-0.18909999999999999</v>
      </c>
      <c r="AY47" s="228">
        <v>104</v>
      </c>
      <c r="AZ47" s="230">
        <v>13556</v>
      </c>
      <c r="BA47" s="230">
        <v>-13452</v>
      </c>
      <c r="BB47" s="229">
        <v>-0.99229999999999996</v>
      </c>
      <c r="BC47" s="228">
        <v>16</v>
      </c>
      <c r="BD47" s="228">
        <v>250</v>
      </c>
      <c r="BE47" s="228">
        <v>-234</v>
      </c>
      <c r="BF47" s="229">
        <v>-0.93600000000000005</v>
      </c>
      <c r="BG47" s="230">
        <v>8916</v>
      </c>
      <c r="BH47" s="230">
        <v>23854</v>
      </c>
      <c r="BI47" s="230">
        <v>-14938</v>
      </c>
      <c r="BJ47" s="229">
        <v>-0.62619999999999998</v>
      </c>
      <c r="BK47" s="230">
        <v>5906</v>
      </c>
      <c r="BL47" s="230">
        <v>17869</v>
      </c>
      <c r="BM47" s="230">
        <v>-11963</v>
      </c>
      <c r="BN47" s="229">
        <v>-0.66949999999999998</v>
      </c>
      <c r="BO47" s="230">
        <v>19848</v>
      </c>
      <c r="BP47" s="230">
        <v>61579</v>
      </c>
      <c r="BQ47" s="230">
        <v>-41731</v>
      </c>
      <c r="BR47" s="229">
        <v>-0.67769999999999997</v>
      </c>
      <c r="BS47" s="230">
        <v>821631</v>
      </c>
      <c r="BT47" s="230">
        <v>1785028</v>
      </c>
      <c r="BU47" s="230">
        <v>-963397</v>
      </c>
      <c r="BV47" s="229">
        <v>-0.53969999999999996</v>
      </c>
      <c r="BW47" s="230">
        <v>8454250</v>
      </c>
      <c r="BX47" s="230">
        <v>8474375</v>
      </c>
      <c r="BY47" s="230">
        <v>-20125</v>
      </c>
      <c r="BZ47" s="229">
        <v>-2.3999999999999998E-3</v>
      </c>
      <c r="CA47" s="230">
        <v>8094450</v>
      </c>
      <c r="CB47" s="230">
        <v>657125</v>
      </c>
      <c r="CC47" s="230">
        <v>7437325</v>
      </c>
      <c r="CD47" s="229">
        <v>11.318</v>
      </c>
      <c r="CE47" s="230">
        <v>357525</v>
      </c>
      <c r="CF47" s="230">
        <v>8119125</v>
      </c>
      <c r="CG47" s="230">
        <v>-7761600</v>
      </c>
      <c r="CH47" s="229">
        <v>-0.95599999999999996</v>
      </c>
      <c r="CI47" s="230">
        <v>2275</v>
      </c>
      <c r="CJ47" s="230">
        <v>355250</v>
      </c>
      <c r="CK47" s="230">
        <v>-352975</v>
      </c>
      <c r="CL47" s="229">
        <v>-0.99360000000000004</v>
      </c>
      <c r="CM47" s="230">
        <v>1478225</v>
      </c>
      <c r="CN47" s="230">
        <v>1359750</v>
      </c>
      <c r="CO47" s="230">
        <v>118475</v>
      </c>
      <c r="CP47" s="229">
        <v>8.7099999999999997E-2</v>
      </c>
      <c r="CQ47" s="230">
        <v>1307775</v>
      </c>
      <c r="CR47" s="230">
        <v>965125</v>
      </c>
      <c r="CS47" s="230">
        <v>342650</v>
      </c>
      <c r="CT47" s="229">
        <v>0.35499999999999998</v>
      </c>
      <c r="CU47" s="230">
        <v>11240250</v>
      </c>
      <c r="CV47" s="230">
        <v>10799250</v>
      </c>
      <c r="CW47" s="230">
        <v>441000</v>
      </c>
      <c r="CX47" s="229">
        <v>4.0800000000000003E-2</v>
      </c>
      <c r="CY47" s="228">
        <v>26.99</v>
      </c>
      <c r="CZ47" s="228">
        <v>25.95</v>
      </c>
      <c r="DA47" s="228">
        <v>1.04</v>
      </c>
      <c r="DB47" s="228">
        <v>1.04</v>
      </c>
      <c r="DC47" s="228">
        <v>24.43</v>
      </c>
      <c r="DD47" s="228">
        <v>24.48</v>
      </c>
      <c r="DE47" s="228">
        <v>2.56</v>
      </c>
      <c r="DF47" s="228">
        <v>-0.05</v>
      </c>
      <c r="DG47" s="228">
        <v>26.36</v>
      </c>
      <c r="DH47" s="228">
        <v>25.4</v>
      </c>
      <c r="DI47" s="228">
        <v>0.96</v>
      </c>
      <c r="DJ47" s="228">
        <v>0.96</v>
      </c>
      <c r="DK47" s="228">
        <v>27.94</v>
      </c>
      <c r="DL47" s="228">
        <v>26.66</v>
      </c>
      <c r="DM47" s="228">
        <v>1.28</v>
      </c>
      <c r="DN47" s="228">
        <v>1.28</v>
      </c>
      <c r="DO47" s="228">
        <v>0.88</v>
      </c>
      <c r="DP47" s="228">
        <v>0.71</v>
      </c>
      <c r="DQ47" s="228">
        <v>0.17</v>
      </c>
      <c r="DR47" s="229">
        <v>0.2394</v>
      </c>
      <c r="DS47" s="231">
        <v>4200</v>
      </c>
      <c r="DT47" s="231">
        <v>4000</v>
      </c>
      <c r="DU47" s="228">
        <v>0.66</v>
      </c>
      <c r="DV47" s="228">
        <v>0.75</v>
      </c>
      <c r="DW47" s="228">
        <v>-0.09</v>
      </c>
      <c r="DX47" s="229">
        <v>-0.12</v>
      </c>
      <c r="DY47" s="229">
        <v>4.2599999999999999E-2</v>
      </c>
      <c r="DZ47" s="230">
        <v>8474375</v>
      </c>
      <c r="EA47" s="229">
        <v>5.7999999999999996E-3</v>
      </c>
      <c r="EB47" s="229">
        <v>4.2599999999999999E-2</v>
      </c>
      <c r="EC47" s="228">
        <v>30.56</v>
      </c>
      <c r="ED47" s="229">
        <v>7.6E-3</v>
      </c>
      <c r="EE47" s="230">
        <v>602257</v>
      </c>
      <c r="EF47" s="230">
        <v>1129159</v>
      </c>
      <c r="EG47" s="229">
        <v>-0.46660000000000001</v>
      </c>
      <c r="EH47" s="229">
        <v>0.73299999999999998</v>
      </c>
      <c r="EI47" s="231">
        <v>65546.97</v>
      </c>
      <c r="EJ47" s="231">
        <v>41060.870000000003</v>
      </c>
      <c r="EK47" s="231">
        <v>35152.019999999997</v>
      </c>
      <c r="EL47" s="231">
        <v>32077</v>
      </c>
      <c r="EM47" s="231">
        <v>141759.85999999999</v>
      </c>
      <c r="EN47" s="231">
        <v>439214.9</v>
      </c>
      <c r="EO47" s="231">
        <v>-297455.03999999998</v>
      </c>
      <c r="EP47" s="229">
        <v>-0.67720000000000002</v>
      </c>
      <c r="EQ47" s="231">
        <v>61658</v>
      </c>
      <c r="ER47" s="231">
        <v>51497</v>
      </c>
      <c r="ES47" s="231">
        <v>337459</v>
      </c>
      <c r="ET47" s="231">
        <v>45680146</v>
      </c>
      <c r="EU47" s="231">
        <v>450614</v>
      </c>
      <c r="EV47" s="231">
        <v>436404</v>
      </c>
      <c r="EW47" s="231">
        <v>14210</v>
      </c>
      <c r="EX47" s="229">
        <v>3.2599999999999997E-2</v>
      </c>
      <c r="EY47" s="229">
        <v>0.24610000000000001</v>
      </c>
    </row>
    <row r="48" spans="1:155" ht="17.25" thickBot="1" x14ac:dyDescent="0.3">
      <c r="A48" s="226">
        <v>46050</v>
      </c>
      <c r="B48" s="227" t="s">
        <v>162</v>
      </c>
      <c r="C48" s="227" t="s">
        <v>688</v>
      </c>
      <c r="D48" s="228">
        <v>341.95</v>
      </c>
      <c r="E48" s="228">
        <v>341.7</v>
      </c>
      <c r="F48" s="228">
        <v>0.25</v>
      </c>
      <c r="G48" s="229">
        <v>6.9999999999999999E-4</v>
      </c>
      <c r="H48" s="228">
        <v>340.45</v>
      </c>
      <c r="I48" s="228">
        <v>340.55</v>
      </c>
      <c r="J48" s="228">
        <v>-0.1</v>
      </c>
      <c r="K48" s="229">
        <v>-2.9999999999999997E-4</v>
      </c>
      <c r="L48" s="228">
        <v>341.95</v>
      </c>
      <c r="M48" s="228">
        <v>339.95</v>
      </c>
      <c r="N48" s="228">
        <v>2</v>
      </c>
      <c r="O48" s="229">
        <v>5.8999999999999999E-3</v>
      </c>
      <c r="P48" s="228">
        <v>343.95</v>
      </c>
      <c r="Q48" s="228">
        <v>341.7</v>
      </c>
      <c r="R48" s="228">
        <v>2.25</v>
      </c>
      <c r="S48" s="229">
        <v>6.6E-3</v>
      </c>
      <c r="T48" s="228">
        <v>345.95</v>
      </c>
      <c r="U48" s="228">
        <v>343.85</v>
      </c>
      <c r="V48" s="228">
        <v>2.1</v>
      </c>
      <c r="W48" s="229">
        <v>6.1000000000000004E-3</v>
      </c>
      <c r="X48" s="228">
        <v>1.5</v>
      </c>
      <c r="Y48" s="228">
        <v>1.1499999999999999</v>
      </c>
      <c r="Z48" s="228">
        <v>0.35</v>
      </c>
      <c r="AA48" s="229">
        <v>4.4000000000000003E-3</v>
      </c>
      <c r="AB48" s="228">
        <v>1.5</v>
      </c>
      <c r="AC48" s="228">
        <v>-0.6</v>
      </c>
      <c r="AD48" s="228">
        <v>2.1</v>
      </c>
      <c r="AE48" s="229">
        <v>4.4000000000000003E-3</v>
      </c>
      <c r="AF48" s="228">
        <v>3.5</v>
      </c>
      <c r="AG48" s="228">
        <v>1.1499999999999999</v>
      </c>
      <c r="AH48" s="228">
        <v>2.35</v>
      </c>
      <c r="AI48" s="229">
        <v>1.03E-2</v>
      </c>
      <c r="AJ48" s="228">
        <v>5.5</v>
      </c>
      <c r="AK48" s="228">
        <v>3.3</v>
      </c>
      <c r="AL48" s="228">
        <v>2.2000000000000002</v>
      </c>
      <c r="AM48" s="229">
        <v>1.6199999999999999E-2</v>
      </c>
      <c r="AN48" s="228">
        <v>342.07</v>
      </c>
      <c r="AO48" s="228">
        <v>343.69</v>
      </c>
      <c r="AP48" s="228">
        <v>0</v>
      </c>
      <c r="AQ48" s="230">
        <v>15399</v>
      </c>
      <c r="AR48" s="230">
        <v>61317</v>
      </c>
      <c r="AS48" s="230">
        <v>-45918</v>
      </c>
      <c r="AT48" s="229">
        <v>-0.74890000000000001</v>
      </c>
      <c r="AU48" s="230">
        <v>14007</v>
      </c>
      <c r="AV48" s="230">
        <v>24625</v>
      </c>
      <c r="AW48" s="230">
        <v>-10618</v>
      </c>
      <c r="AX48" s="229">
        <v>-0.43120000000000003</v>
      </c>
      <c r="AY48" s="230">
        <v>1199</v>
      </c>
      <c r="AZ48" s="230">
        <v>34854</v>
      </c>
      <c r="BA48" s="230">
        <v>-33655</v>
      </c>
      <c r="BB48" s="229">
        <v>-0.96560000000000001</v>
      </c>
      <c r="BC48" s="228">
        <v>193</v>
      </c>
      <c r="BD48" s="230">
        <v>1838</v>
      </c>
      <c r="BE48" s="230">
        <v>-1645</v>
      </c>
      <c r="BF48" s="229">
        <v>-0.89500000000000002</v>
      </c>
      <c r="BG48" s="230">
        <v>37288</v>
      </c>
      <c r="BH48" s="230">
        <v>56960</v>
      </c>
      <c r="BI48" s="230">
        <v>-19672</v>
      </c>
      <c r="BJ48" s="229">
        <v>-0.34539999999999998</v>
      </c>
      <c r="BK48" s="230">
        <v>33818</v>
      </c>
      <c r="BL48" s="230">
        <v>46281</v>
      </c>
      <c r="BM48" s="230">
        <v>-12463</v>
      </c>
      <c r="BN48" s="229">
        <v>-0.26929999999999998</v>
      </c>
      <c r="BO48" s="230">
        <v>86505</v>
      </c>
      <c r="BP48" s="230">
        <v>164558</v>
      </c>
      <c r="BQ48" s="230">
        <v>-78053</v>
      </c>
      <c r="BR48" s="229">
        <v>-0.4743</v>
      </c>
      <c r="BS48" s="230">
        <v>9425163</v>
      </c>
      <c r="BT48" s="230">
        <v>12510469</v>
      </c>
      <c r="BU48" s="230">
        <v>-3085306</v>
      </c>
      <c r="BV48" s="229">
        <v>-0.24660000000000001</v>
      </c>
      <c r="BW48" s="230">
        <v>82676800</v>
      </c>
      <c r="BX48" s="230">
        <v>83362400</v>
      </c>
      <c r="BY48" s="230">
        <v>-685600</v>
      </c>
      <c r="BZ48" s="229">
        <v>-8.2000000000000007E-3</v>
      </c>
      <c r="CA48" s="230">
        <v>78584800</v>
      </c>
      <c r="CB48" s="230">
        <v>8701600</v>
      </c>
      <c r="CC48" s="230">
        <v>69883200</v>
      </c>
      <c r="CD48" s="229">
        <v>8.0311000000000003</v>
      </c>
      <c r="CE48" s="230">
        <v>4024000</v>
      </c>
      <c r="CF48" s="230">
        <v>79503200</v>
      </c>
      <c r="CG48" s="230">
        <v>-75479200</v>
      </c>
      <c r="CH48" s="229">
        <v>-0.94940000000000002</v>
      </c>
      <c r="CI48" s="230">
        <v>68000</v>
      </c>
      <c r="CJ48" s="230">
        <v>3859200</v>
      </c>
      <c r="CK48" s="230">
        <v>-3791200</v>
      </c>
      <c r="CL48" s="229">
        <v>-0.98240000000000005</v>
      </c>
      <c r="CM48" s="230">
        <v>18353600</v>
      </c>
      <c r="CN48" s="230">
        <v>15729600</v>
      </c>
      <c r="CO48" s="230">
        <v>2624000</v>
      </c>
      <c r="CP48" s="229">
        <v>0.1668</v>
      </c>
      <c r="CQ48" s="230">
        <v>18994400</v>
      </c>
      <c r="CR48" s="230">
        <v>14958400</v>
      </c>
      <c r="CS48" s="230">
        <v>4036000</v>
      </c>
      <c r="CT48" s="229">
        <v>0.26979999999999998</v>
      </c>
      <c r="CU48" s="230">
        <v>120024800</v>
      </c>
      <c r="CV48" s="230">
        <v>114050400</v>
      </c>
      <c r="CW48" s="230">
        <v>5974400</v>
      </c>
      <c r="CX48" s="229">
        <v>5.2400000000000002E-2</v>
      </c>
      <c r="CY48" s="228">
        <v>36.549999999999997</v>
      </c>
      <c r="CZ48" s="228">
        <v>37.33</v>
      </c>
      <c r="DA48" s="228">
        <v>-0.78</v>
      </c>
      <c r="DB48" s="228">
        <v>-0.78</v>
      </c>
      <c r="DC48" s="228">
        <v>33.090000000000003</v>
      </c>
      <c r="DD48" s="228">
        <v>33.17</v>
      </c>
      <c r="DE48" s="228">
        <v>3.46</v>
      </c>
      <c r="DF48" s="228">
        <v>-0.08</v>
      </c>
      <c r="DG48" s="228">
        <v>36.450000000000003</v>
      </c>
      <c r="DH48" s="228">
        <v>36.799999999999997</v>
      </c>
      <c r="DI48" s="228">
        <v>-0.35</v>
      </c>
      <c r="DJ48" s="228">
        <v>-0.35</v>
      </c>
      <c r="DK48" s="228">
        <v>36.659999999999997</v>
      </c>
      <c r="DL48" s="228">
        <v>37.94</v>
      </c>
      <c r="DM48" s="228">
        <v>-1.28</v>
      </c>
      <c r="DN48" s="228">
        <v>-1.28</v>
      </c>
      <c r="DO48" s="228">
        <v>1.03</v>
      </c>
      <c r="DP48" s="228">
        <v>0.95</v>
      </c>
      <c r="DQ48" s="228">
        <v>0.08</v>
      </c>
      <c r="DR48" s="229">
        <v>8.4199999999999997E-2</v>
      </c>
      <c r="DS48" s="228">
        <v>400</v>
      </c>
      <c r="DT48" s="228">
        <v>300</v>
      </c>
      <c r="DU48" s="228">
        <v>0.91</v>
      </c>
      <c r="DV48" s="228">
        <v>0.81</v>
      </c>
      <c r="DW48" s="228">
        <v>0.1</v>
      </c>
      <c r="DX48" s="229">
        <v>0.1235</v>
      </c>
      <c r="DY48" s="229">
        <v>4.9500000000000002E-2</v>
      </c>
      <c r="DZ48" s="230">
        <v>83362400</v>
      </c>
      <c r="EA48" s="229">
        <v>5.7999999999999996E-3</v>
      </c>
      <c r="EB48" s="229">
        <v>4.9500000000000002E-2</v>
      </c>
      <c r="EC48" s="228">
        <v>1.62</v>
      </c>
      <c r="ED48" s="229">
        <v>4.7000000000000002E-3</v>
      </c>
      <c r="EE48" s="230">
        <v>4775819</v>
      </c>
      <c r="EF48" s="230">
        <v>5802876</v>
      </c>
      <c r="EG48" s="229">
        <v>-0.17699999999999999</v>
      </c>
      <c r="EH48" s="229">
        <v>0.50670000000000004</v>
      </c>
      <c r="EI48" s="231">
        <v>109921.75</v>
      </c>
      <c r="EJ48" s="231">
        <v>95586.86</v>
      </c>
      <c r="EK48" s="231">
        <v>42159.32</v>
      </c>
      <c r="EL48" s="231">
        <v>77946</v>
      </c>
      <c r="EM48" s="231">
        <v>247667.93</v>
      </c>
      <c r="EN48" s="231">
        <v>459512.85</v>
      </c>
      <c r="EO48" s="231">
        <v>-211844.92</v>
      </c>
      <c r="EP48" s="229">
        <v>-0.46100000000000002</v>
      </c>
      <c r="EQ48" s="231">
        <v>68377</v>
      </c>
      <c r="ER48" s="231">
        <v>64176</v>
      </c>
      <c r="ES48" s="231">
        <v>282797</v>
      </c>
      <c r="ET48" s="231">
        <v>317235726</v>
      </c>
      <c r="EU48" s="231">
        <v>415350</v>
      </c>
      <c r="EV48" s="231">
        <v>394819</v>
      </c>
      <c r="EW48" s="231">
        <v>20531</v>
      </c>
      <c r="EX48" s="229">
        <v>5.1999999999999998E-2</v>
      </c>
      <c r="EY48" s="229">
        <v>0.37830000000000003</v>
      </c>
    </row>
    <row r="49" spans="1:155" ht="17.25" thickBot="1" x14ac:dyDescent="0.3">
      <c r="A49" s="226">
        <v>46050</v>
      </c>
      <c r="B49" s="227" t="s">
        <v>197</v>
      </c>
      <c r="C49" s="227" t="s">
        <v>482</v>
      </c>
      <c r="D49" s="231">
        <v>3878.1</v>
      </c>
      <c r="E49" s="231">
        <v>3821.1</v>
      </c>
      <c r="F49" s="228">
        <v>57</v>
      </c>
      <c r="G49" s="229">
        <v>1.49E-2</v>
      </c>
      <c r="H49" s="231">
        <v>3864</v>
      </c>
      <c r="I49" s="231">
        <v>3795.1</v>
      </c>
      <c r="J49" s="228">
        <v>68.900000000000006</v>
      </c>
      <c r="K49" s="229">
        <v>1.8200000000000001E-2</v>
      </c>
      <c r="L49" s="231">
        <v>3878.1</v>
      </c>
      <c r="M49" s="231">
        <v>3796.8</v>
      </c>
      <c r="N49" s="228">
        <v>81.3</v>
      </c>
      <c r="O49" s="229">
        <v>2.1399999999999999E-2</v>
      </c>
      <c r="P49" s="231">
        <v>3899.9</v>
      </c>
      <c r="Q49" s="231">
        <v>3821.1</v>
      </c>
      <c r="R49" s="228">
        <v>78.8</v>
      </c>
      <c r="S49" s="229">
        <v>2.06E-2</v>
      </c>
      <c r="T49" s="231">
        <v>3929</v>
      </c>
      <c r="U49" s="231">
        <v>3854.3</v>
      </c>
      <c r="V49" s="228">
        <v>74.7</v>
      </c>
      <c r="W49" s="229">
        <v>1.9400000000000001E-2</v>
      </c>
      <c r="X49" s="228">
        <v>14.1</v>
      </c>
      <c r="Y49" s="228">
        <v>26</v>
      </c>
      <c r="Z49" s="228">
        <v>-11.9</v>
      </c>
      <c r="AA49" s="229">
        <v>3.5999999999999999E-3</v>
      </c>
      <c r="AB49" s="228">
        <v>14.1</v>
      </c>
      <c r="AC49" s="228">
        <v>1.7</v>
      </c>
      <c r="AD49" s="228">
        <v>12.4</v>
      </c>
      <c r="AE49" s="229">
        <v>3.5999999999999999E-3</v>
      </c>
      <c r="AF49" s="228">
        <v>35.9</v>
      </c>
      <c r="AG49" s="228">
        <v>26</v>
      </c>
      <c r="AH49" s="228">
        <v>9.9</v>
      </c>
      <c r="AI49" s="229">
        <v>9.2999999999999992E-3</v>
      </c>
      <c r="AJ49" s="228">
        <v>65</v>
      </c>
      <c r="AK49" s="228">
        <v>59.2</v>
      </c>
      <c r="AL49" s="228">
        <v>5.8</v>
      </c>
      <c r="AM49" s="229">
        <v>1.6799999999999999E-2</v>
      </c>
      <c r="AN49" s="231">
        <v>3854.95</v>
      </c>
      <c r="AO49" s="231">
        <v>3880.98</v>
      </c>
      <c r="AP49" s="228">
        <v>0</v>
      </c>
      <c r="AQ49" s="230">
        <v>7749</v>
      </c>
      <c r="AR49" s="230">
        <v>56592</v>
      </c>
      <c r="AS49" s="230">
        <v>-48843</v>
      </c>
      <c r="AT49" s="229">
        <v>-0.86309999999999998</v>
      </c>
      <c r="AU49" s="230">
        <v>7178</v>
      </c>
      <c r="AV49" s="230">
        <v>27228</v>
      </c>
      <c r="AW49" s="230">
        <v>-20050</v>
      </c>
      <c r="AX49" s="229">
        <v>-0.73640000000000005</v>
      </c>
      <c r="AY49" s="228">
        <v>541</v>
      </c>
      <c r="AZ49" s="230">
        <v>27974</v>
      </c>
      <c r="BA49" s="230">
        <v>-27433</v>
      </c>
      <c r="BB49" s="229">
        <v>-0.98070000000000002</v>
      </c>
      <c r="BC49" s="228">
        <v>30</v>
      </c>
      <c r="BD49" s="230">
        <v>1390</v>
      </c>
      <c r="BE49" s="230">
        <v>-1360</v>
      </c>
      <c r="BF49" s="229">
        <v>-0.97840000000000005</v>
      </c>
      <c r="BG49" s="230">
        <v>22069</v>
      </c>
      <c r="BH49" s="230">
        <v>45565</v>
      </c>
      <c r="BI49" s="230">
        <v>-23496</v>
      </c>
      <c r="BJ49" s="229">
        <v>-0.51570000000000005</v>
      </c>
      <c r="BK49" s="230">
        <v>8374</v>
      </c>
      <c r="BL49" s="230">
        <v>31891</v>
      </c>
      <c r="BM49" s="230">
        <v>-23517</v>
      </c>
      <c r="BN49" s="229">
        <v>-0.73740000000000006</v>
      </c>
      <c r="BO49" s="230">
        <v>38192</v>
      </c>
      <c r="BP49" s="230">
        <v>134048</v>
      </c>
      <c r="BQ49" s="230">
        <v>-95856</v>
      </c>
      <c r="BR49" s="229">
        <v>-0.71509999999999996</v>
      </c>
      <c r="BS49" s="230">
        <v>667507</v>
      </c>
      <c r="BT49" s="230">
        <v>1018293</v>
      </c>
      <c r="BU49" s="230">
        <v>-350786</v>
      </c>
      <c r="BV49" s="229">
        <v>-0.34449999999999997</v>
      </c>
      <c r="BW49" s="230">
        <v>7882200</v>
      </c>
      <c r="BX49" s="230">
        <v>7949400</v>
      </c>
      <c r="BY49" s="230">
        <v>-67200</v>
      </c>
      <c r="BZ49" s="229">
        <v>-8.5000000000000006E-3</v>
      </c>
      <c r="CA49" s="230">
        <v>7533100</v>
      </c>
      <c r="CB49" s="230">
        <v>816200</v>
      </c>
      <c r="CC49" s="230">
        <v>6716900</v>
      </c>
      <c r="CD49" s="229">
        <v>8.2294999999999998</v>
      </c>
      <c r="CE49" s="230">
        <v>346300</v>
      </c>
      <c r="CF49" s="230">
        <v>7597100</v>
      </c>
      <c r="CG49" s="230">
        <v>-7250800</v>
      </c>
      <c r="CH49" s="229">
        <v>-0.95440000000000003</v>
      </c>
      <c r="CI49" s="230">
        <v>2800</v>
      </c>
      <c r="CJ49" s="230">
        <v>352300</v>
      </c>
      <c r="CK49" s="230">
        <v>-349500</v>
      </c>
      <c r="CL49" s="229">
        <v>-0.99209999999999998</v>
      </c>
      <c r="CM49" s="230">
        <v>1644200</v>
      </c>
      <c r="CN49" s="230">
        <v>1319200</v>
      </c>
      <c r="CO49" s="230">
        <v>325000</v>
      </c>
      <c r="CP49" s="229">
        <v>0.24640000000000001</v>
      </c>
      <c r="CQ49" s="230">
        <v>1616200</v>
      </c>
      <c r="CR49" s="230">
        <v>1583600</v>
      </c>
      <c r="CS49" s="230">
        <v>32600</v>
      </c>
      <c r="CT49" s="229">
        <v>2.06E-2</v>
      </c>
      <c r="CU49" s="230">
        <v>11142600</v>
      </c>
      <c r="CV49" s="230">
        <v>10852200</v>
      </c>
      <c r="CW49" s="230">
        <v>290400</v>
      </c>
      <c r="CX49" s="229">
        <v>2.6800000000000001E-2</v>
      </c>
      <c r="CY49" s="228">
        <v>36.450000000000003</v>
      </c>
      <c r="CZ49" s="228">
        <v>39.520000000000003</v>
      </c>
      <c r="DA49" s="228">
        <v>-3.07</v>
      </c>
      <c r="DB49" s="228">
        <v>-3.07</v>
      </c>
      <c r="DC49" s="228">
        <v>42.79</v>
      </c>
      <c r="DD49" s="228">
        <v>42.85</v>
      </c>
      <c r="DE49" s="228">
        <v>-6.34</v>
      </c>
      <c r="DF49" s="228">
        <v>-0.06</v>
      </c>
      <c r="DG49" s="228">
        <v>35.85</v>
      </c>
      <c r="DH49" s="228">
        <v>39.07</v>
      </c>
      <c r="DI49" s="228">
        <v>-3.22</v>
      </c>
      <c r="DJ49" s="228">
        <v>-3.22</v>
      </c>
      <c r="DK49" s="228">
        <v>38.04</v>
      </c>
      <c r="DL49" s="228">
        <v>39.979999999999997</v>
      </c>
      <c r="DM49" s="228">
        <v>-1.94</v>
      </c>
      <c r="DN49" s="228">
        <v>-1.94</v>
      </c>
      <c r="DO49" s="228">
        <v>0.98</v>
      </c>
      <c r="DP49" s="228">
        <v>1.2</v>
      </c>
      <c r="DQ49" s="228">
        <v>-0.22</v>
      </c>
      <c r="DR49" s="229">
        <v>-0.18329999999999999</v>
      </c>
      <c r="DS49" s="231">
        <v>4000</v>
      </c>
      <c r="DT49" s="231">
        <v>3800</v>
      </c>
      <c r="DU49" s="228">
        <v>0.38</v>
      </c>
      <c r="DV49" s="228">
        <v>0.7</v>
      </c>
      <c r="DW49" s="228">
        <v>-0.32</v>
      </c>
      <c r="DX49" s="229">
        <v>-0.45710000000000001</v>
      </c>
      <c r="DY49" s="229">
        <v>4.4299999999999999E-2</v>
      </c>
      <c r="DZ49" s="230">
        <v>7949400</v>
      </c>
      <c r="EA49" s="229">
        <v>5.5999999999999999E-3</v>
      </c>
      <c r="EB49" s="229">
        <v>4.4299999999999999E-2</v>
      </c>
      <c r="EC49" s="228">
        <v>26.03</v>
      </c>
      <c r="ED49" s="229">
        <v>6.7999999999999996E-3</v>
      </c>
      <c r="EE49" s="230">
        <v>350991</v>
      </c>
      <c r="EF49" s="230">
        <v>542352</v>
      </c>
      <c r="EG49" s="229">
        <v>-0.3528</v>
      </c>
      <c r="EH49" s="229">
        <v>0.52580000000000005</v>
      </c>
      <c r="EI49" s="231">
        <v>91373.05</v>
      </c>
      <c r="EJ49" s="231">
        <v>31982.28</v>
      </c>
      <c r="EK49" s="231">
        <v>29887.62</v>
      </c>
      <c r="EL49" s="231">
        <v>49839</v>
      </c>
      <c r="EM49" s="231">
        <v>153242.95000000001</v>
      </c>
      <c r="EN49" s="231">
        <v>525126.85</v>
      </c>
      <c r="EO49" s="231">
        <v>-371883.9</v>
      </c>
      <c r="EP49" s="229">
        <v>-0.70820000000000005</v>
      </c>
      <c r="EQ49" s="231">
        <v>67286</v>
      </c>
      <c r="ER49" s="231">
        <v>61958</v>
      </c>
      <c r="ES49" s="231">
        <v>305757</v>
      </c>
      <c r="ET49" s="231">
        <v>33590487</v>
      </c>
      <c r="EU49" s="231">
        <v>435000</v>
      </c>
      <c r="EV49" s="231">
        <v>418508</v>
      </c>
      <c r="EW49" s="231">
        <v>16492</v>
      </c>
      <c r="EX49" s="229">
        <v>3.9399999999999998E-2</v>
      </c>
      <c r="EY49" s="229">
        <v>0.33169999999999999</v>
      </c>
    </row>
    <row r="50" spans="1:155" ht="17.25" thickBot="1" x14ac:dyDescent="0.3">
      <c r="A50" s="226">
        <v>46050</v>
      </c>
      <c r="B50" s="227" t="s">
        <v>157</v>
      </c>
      <c r="C50" s="227" t="s">
        <v>302</v>
      </c>
      <c r="D50" s="231">
        <v>12812</v>
      </c>
      <c r="E50" s="231">
        <v>12676</v>
      </c>
      <c r="F50" s="228">
        <v>136</v>
      </c>
      <c r="G50" s="229">
        <v>1.0699999999999999E-2</v>
      </c>
      <c r="H50" s="231">
        <v>12767</v>
      </c>
      <c r="I50" s="231">
        <v>12589</v>
      </c>
      <c r="J50" s="228">
        <v>178</v>
      </c>
      <c r="K50" s="229">
        <v>1.41E-2</v>
      </c>
      <c r="L50" s="231">
        <v>12812</v>
      </c>
      <c r="M50" s="231">
        <v>12599</v>
      </c>
      <c r="N50" s="228">
        <v>213</v>
      </c>
      <c r="O50" s="229">
        <v>1.6899999999999998E-2</v>
      </c>
      <c r="P50" s="231">
        <v>12899</v>
      </c>
      <c r="Q50" s="231">
        <v>12676</v>
      </c>
      <c r="R50" s="228">
        <v>223</v>
      </c>
      <c r="S50" s="229">
        <v>1.7600000000000001E-2</v>
      </c>
      <c r="T50" s="231">
        <v>12990</v>
      </c>
      <c r="U50" s="231">
        <v>12758</v>
      </c>
      <c r="V50" s="228">
        <v>232</v>
      </c>
      <c r="W50" s="229">
        <v>1.8200000000000001E-2</v>
      </c>
      <c r="X50" s="228">
        <v>45</v>
      </c>
      <c r="Y50" s="228">
        <v>87</v>
      </c>
      <c r="Z50" s="228">
        <v>-42</v>
      </c>
      <c r="AA50" s="229">
        <v>3.5000000000000001E-3</v>
      </c>
      <c r="AB50" s="228">
        <v>45</v>
      </c>
      <c r="AC50" s="228">
        <v>10</v>
      </c>
      <c r="AD50" s="228">
        <v>35</v>
      </c>
      <c r="AE50" s="229">
        <v>3.5000000000000001E-3</v>
      </c>
      <c r="AF50" s="228">
        <v>132</v>
      </c>
      <c r="AG50" s="228">
        <v>87</v>
      </c>
      <c r="AH50" s="228">
        <v>45</v>
      </c>
      <c r="AI50" s="229">
        <v>1.03E-2</v>
      </c>
      <c r="AJ50" s="228">
        <v>223</v>
      </c>
      <c r="AK50" s="228">
        <v>169</v>
      </c>
      <c r="AL50" s="228">
        <v>54</v>
      </c>
      <c r="AM50" s="229">
        <v>1.7500000000000002E-2</v>
      </c>
      <c r="AN50" s="231">
        <v>12762.55</v>
      </c>
      <c r="AO50" s="231">
        <v>12845.94</v>
      </c>
      <c r="AP50" s="228">
        <v>0</v>
      </c>
      <c r="AQ50" s="230">
        <v>6653</v>
      </c>
      <c r="AR50" s="230">
        <v>36435</v>
      </c>
      <c r="AS50" s="230">
        <v>-29782</v>
      </c>
      <c r="AT50" s="229">
        <v>-0.81740000000000002</v>
      </c>
      <c r="AU50" s="230">
        <v>6504</v>
      </c>
      <c r="AV50" s="230">
        <v>14506</v>
      </c>
      <c r="AW50" s="230">
        <v>-8002</v>
      </c>
      <c r="AX50" s="229">
        <v>-0.55159999999999998</v>
      </c>
      <c r="AY50" s="228">
        <v>128</v>
      </c>
      <c r="AZ50" s="230">
        <v>21565</v>
      </c>
      <c r="BA50" s="230">
        <v>-21437</v>
      </c>
      <c r="BB50" s="229">
        <v>-0.99409999999999998</v>
      </c>
      <c r="BC50" s="228">
        <v>21</v>
      </c>
      <c r="BD50" s="228">
        <v>364</v>
      </c>
      <c r="BE50" s="228">
        <v>-343</v>
      </c>
      <c r="BF50" s="229">
        <v>-0.94230000000000003</v>
      </c>
      <c r="BG50" s="230">
        <v>16510</v>
      </c>
      <c r="BH50" s="230">
        <v>83169</v>
      </c>
      <c r="BI50" s="230">
        <v>-66659</v>
      </c>
      <c r="BJ50" s="229">
        <v>-0.80149999999999999</v>
      </c>
      <c r="BK50" s="230">
        <v>8876</v>
      </c>
      <c r="BL50" s="230">
        <v>29893</v>
      </c>
      <c r="BM50" s="230">
        <v>-21017</v>
      </c>
      <c r="BN50" s="229">
        <v>-0.70309999999999995</v>
      </c>
      <c r="BO50" s="230">
        <v>32039</v>
      </c>
      <c r="BP50" s="230">
        <v>149497</v>
      </c>
      <c r="BQ50" s="230">
        <v>-117458</v>
      </c>
      <c r="BR50" s="229">
        <v>-0.78569999999999995</v>
      </c>
      <c r="BS50" s="230">
        <v>467859</v>
      </c>
      <c r="BT50" s="230">
        <v>956515</v>
      </c>
      <c r="BU50" s="230">
        <v>-488656</v>
      </c>
      <c r="BV50" s="229">
        <v>-0.51090000000000002</v>
      </c>
      <c r="BW50" s="230">
        <v>2695700</v>
      </c>
      <c r="BX50" s="230">
        <v>2793950</v>
      </c>
      <c r="BY50" s="230">
        <v>-98250</v>
      </c>
      <c r="BZ50" s="229">
        <v>-3.5200000000000002E-2</v>
      </c>
      <c r="CA50" s="230">
        <v>2532350</v>
      </c>
      <c r="CB50" s="230">
        <v>208600</v>
      </c>
      <c r="CC50" s="230">
        <v>2323750</v>
      </c>
      <c r="CD50" s="229">
        <v>11.139699999999999</v>
      </c>
      <c r="CE50" s="230">
        <v>162400</v>
      </c>
      <c r="CF50" s="230">
        <v>2631800</v>
      </c>
      <c r="CG50" s="230">
        <v>-2469400</v>
      </c>
      <c r="CH50" s="229">
        <v>-0.93830000000000002</v>
      </c>
      <c r="CI50" s="228">
        <v>950</v>
      </c>
      <c r="CJ50" s="230">
        <v>162150</v>
      </c>
      <c r="CK50" s="230">
        <v>-161200</v>
      </c>
      <c r="CL50" s="229">
        <v>-0.99409999999999998</v>
      </c>
      <c r="CM50" s="230">
        <v>349750</v>
      </c>
      <c r="CN50" s="230">
        <v>298150</v>
      </c>
      <c r="CO50" s="230">
        <v>51600</v>
      </c>
      <c r="CP50" s="229">
        <v>0.1731</v>
      </c>
      <c r="CQ50" s="230">
        <v>247950</v>
      </c>
      <c r="CR50" s="230">
        <v>183750</v>
      </c>
      <c r="CS50" s="230">
        <v>64200</v>
      </c>
      <c r="CT50" s="229">
        <v>0.34939999999999999</v>
      </c>
      <c r="CU50" s="230">
        <v>3293400</v>
      </c>
      <c r="CV50" s="230">
        <v>3275850</v>
      </c>
      <c r="CW50" s="230">
        <v>17550</v>
      </c>
      <c r="CX50" s="229">
        <v>5.4000000000000003E-3</v>
      </c>
      <c r="CY50" s="228">
        <v>23.51</v>
      </c>
      <c r="CZ50" s="228">
        <v>25.13</v>
      </c>
      <c r="DA50" s="228">
        <v>-1.62</v>
      </c>
      <c r="DB50" s="228">
        <v>-1.62</v>
      </c>
      <c r="DC50" s="228">
        <v>23.58</v>
      </c>
      <c r="DD50" s="228">
        <v>23.56</v>
      </c>
      <c r="DE50" s="228">
        <v>-7.0000000000000007E-2</v>
      </c>
      <c r="DF50" s="228">
        <v>0.02</v>
      </c>
      <c r="DG50" s="228">
        <v>23.01</v>
      </c>
      <c r="DH50" s="228">
        <v>25.11</v>
      </c>
      <c r="DI50" s="228">
        <v>-2.1</v>
      </c>
      <c r="DJ50" s="228">
        <v>-2.1</v>
      </c>
      <c r="DK50" s="228">
        <v>24.44</v>
      </c>
      <c r="DL50" s="228">
        <v>25.2</v>
      </c>
      <c r="DM50" s="228">
        <v>-0.76</v>
      </c>
      <c r="DN50" s="228">
        <v>-0.76</v>
      </c>
      <c r="DO50" s="228">
        <v>0.71</v>
      </c>
      <c r="DP50" s="228">
        <v>0.62</v>
      </c>
      <c r="DQ50" s="228">
        <v>0.09</v>
      </c>
      <c r="DR50" s="229">
        <v>0.1452</v>
      </c>
      <c r="DS50" s="231">
        <v>13000</v>
      </c>
      <c r="DT50" s="231">
        <v>12000</v>
      </c>
      <c r="DU50" s="228">
        <v>0.54</v>
      </c>
      <c r="DV50" s="228">
        <v>0.36</v>
      </c>
      <c r="DW50" s="228">
        <v>0.18</v>
      </c>
      <c r="DX50" s="229">
        <v>0.5</v>
      </c>
      <c r="DY50" s="229">
        <v>6.0600000000000001E-2</v>
      </c>
      <c r="DZ50" s="230">
        <v>2793950</v>
      </c>
      <c r="EA50" s="229">
        <v>6.7999999999999996E-3</v>
      </c>
      <c r="EB50" s="229">
        <v>6.0600000000000001E-2</v>
      </c>
      <c r="EC50" s="228">
        <v>83.39</v>
      </c>
      <c r="ED50" s="229">
        <v>6.4999999999999997E-3</v>
      </c>
      <c r="EE50" s="230">
        <v>333661</v>
      </c>
      <c r="EF50" s="230">
        <v>483463</v>
      </c>
      <c r="EG50" s="229">
        <v>-0.30990000000000001</v>
      </c>
      <c r="EH50" s="229">
        <v>0.71319999999999995</v>
      </c>
      <c r="EI50" s="231">
        <v>110666.35</v>
      </c>
      <c r="EJ50" s="231">
        <v>55032.68</v>
      </c>
      <c r="EK50" s="231">
        <v>42461.91</v>
      </c>
      <c r="EL50" s="231">
        <v>37409</v>
      </c>
      <c r="EM50" s="231">
        <v>208160.94</v>
      </c>
      <c r="EN50" s="231">
        <v>961865.76</v>
      </c>
      <c r="EO50" s="231">
        <v>-753704.82</v>
      </c>
      <c r="EP50" s="229">
        <v>-0.78359999999999996</v>
      </c>
      <c r="EQ50" s="231">
        <v>46299</v>
      </c>
      <c r="ER50" s="231">
        <v>30128</v>
      </c>
      <c r="ES50" s="231">
        <v>345516</v>
      </c>
      <c r="ET50" s="231">
        <v>11955674</v>
      </c>
      <c r="EU50" s="231">
        <v>421943</v>
      </c>
      <c r="EV50" s="231">
        <v>415676</v>
      </c>
      <c r="EW50" s="231">
        <v>6267</v>
      </c>
      <c r="EX50" s="229">
        <v>1.5100000000000001E-2</v>
      </c>
      <c r="EY50" s="229">
        <v>0.27550000000000002</v>
      </c>
    </row>
    <row r="51" spans="1:155" ht="17.25" thickBot="1" x14ac:dyDescent="0.3">
      <c r="A51" s="226">
        <v>46050</v>
      </c>
      <c r="B51" s="227" t="s">
        <v>221</v>
      </c>
      <c r="C51" s="227" t="s">
        <v>306</v>
      </c>
      <c r="D51" s="228">
        <v>238.5</v>
      </c>
      <c r="E51" s="228">
        <v>236.3</v>
      </c>
      <c r="F51" s="228">
        <v>2.2000000000000002</v>
      </c>
      <c r="G51" s="229">
        <v>9.2999999999999992E-3</v>
      </c>
      <c r="H51" s="228">
        <v>237.35</v>
      </c>
      <c r="I51" s="228">
        <v>234.8</v>
      </c>
      <c r="J51" s="228">
        <v>2.5499999999999998</v>
      </c>
      <c r="K51" s="229">
        <v>1.09E-2</v>
      </c>
      <c r="L51" s="228">
        <v>238.5</v>
      </c>
      <c r="M51" s="228">
        <v>234.85</v>
      </c>
      <c r="N51" s="228">
        <v>3.65</v>
      </c>
      <c r="O51" s="229">
        <v>1.55E-2</v>
      </c>
      <c r="P51" s="228">
        <v>238.3</v>
      </c>
      <c r="Q51" s="228">
        <v>236.3</v>
      </c>
      <c r="R51" s="228">
        <v>2</v>
      </c>
      <c r="S51" s="229">
        <v>8.5000000000000006E-3</v>
      </c>
      <c r="T51" s="228">
        <v>238.9</v>
      </c>
      <c r="U51" s="228">
        <v>236.35</v>
      </c>
      <c r="V51" s="228">
        <v>2.5499999999999998</v>
      </c>
      <c r="W51" s="229">
        <v>1.0800000000000001E-2</v>
      </c>
      <c r="X51" s="228">
        <v>1.1499999999999999</v>
      </c>
      <c r="Y51" s="228">
        <v>1.5</v>
      </c>
      <c r="Z51" s="228">
        <v>-0.35</v>
      </c>
      <c r="AA51" s="229">
        <v>4.7999999999999996E-3</v>
      </c>
      <c r="AB51" s="228">
        <v>1.1499999999999999</v>
      </c>
      <c r="AC51" s="228">
        <v>0.05</v>
      </c>
      <c r="AD51" s="228">
        <v>1.1000000000000001</v>
      </c>
      <c r="AE51" s="229">
        <v>4.7999999999999996E-3</v>
      </c>
      <c r="AF51" s="228">
        <v>0.95</v>
      </c>
      <c r="AG51" s="228">
        <v>1.5</v>
      </c>
      <c r="AH51" s="228">
        <v>-0.55000000000000004</v>
      </c>
      <c r="AI51" s="229">
        <v>4.0000000000000001E-3</v>
      </c>
      <c r="AJ51" s="228">
        <v>1.55</v>
      </c>
      <c r="AK51" s="228">
        <v>1.55</v>
      </c>
      <c r="AL51" s="228">
        <v>0</v>
      </c>
      <c r="AM51" s="229">
        <v>6.4999999999999997E-3</v>
      </c>
      <c r="AN51" s="228">
        <v>237.75</v>
      </c>
      <c r="AO51" s="228">
        <v>237.76</v>
      </c>
      <c r="AP51" s="228">
        <v>0</v>
      </c>
      <c r="AQ51" s="230">
        <v>5408</v>
      </c>
      <c r="AR51" s="230">
        <v>25164</v>
      </c>
      <c r="AS51" s="230">
        <v>-19756</v>
      </c>
      <c r="AT51" s="229">
        <v>-0.78510000000000002</v>
      </c>
      <c r="AU51" s="230">
        <v>4982</v>
      </c>
      <c r="AV51" s="230">
        <v>10213</v>
      </c>
      <c r="AW51" s="230">
        <v>-5231</v>
      </c>
      <c r="AX51" s="229">
        <v>-0.51219999999999999</v>
      </c>
      <c r="AY51" s="228">
        <v>360</v>
      </c>
      <c r="AZ51" s="230">
        <v>14321</v>
      </c>
      <c r="BA51" s="230">
        <v>-13961</v>
      </c>
      <c r="BB51" s="229">
        <v>-0.97489999999999999</v>
      </c>
      <c r="BC51" s="228">
        <v>66</v>
      </c>
      <c r="BD51" s="228">
        <v>630</v>
      </c>
      <c r="BE51" s="228">
        <v>-564</v>
      </c>
      <c r="BF51" s="229">
        <v>-0.8952</v>
      </c>
      <c r="BG51" s="230">
        <v>12496</v>
      </c>
      <c r="BH51" s="230">
        <v>13029</v>
      </c>
      <c r="BI51" s="228">
        <v>-533</v>
      </c>
      <c r="BJ51" s="229">
        <v>-4.0899999999999999E-2</v>
      </c>
      <c r="BK51" s="230">
        <v>5818</v>
      </c>
      <c r="BL51" s="230">
        <v>9201</v>
      </c>
      <c r="BM51" s="230">
        <v>-3383</v>
      </c>
      <c r="BN51" s="229">
        <v>-0.36770000000000003</v>
      </c>
      <c r="BO51" s="230">
        <v>23722</v>
      </c>
      <c r="BP51" s="230">
        <v>47394</v>
      </c>
      <c r="BQ51" s="230">
        <v>-23672</v>
      </c>
      <c r="BR51" s="229">
        <v>-0.4995</v>
      </c>
      <c r="BS51" s="230">
        <v>10605643</v>
      </c>
      <c r="BT51" s="230">
        <v>15977821</v>
      </c>
      <c r="BU51" s="230">
        <v>-5372178</v>
      </c>
      <c r="BV51" s="229">
        <v>-0.3362</v>
      </c>
      <c r="BW51" s="230">
        <v>121008000</v>
      </c>
      <c r="BX51" s="230">
        <v>123492000</v>
      </c>
      <c r="BY51" s="230">
        <v>-2484000</v>
      </c>
      <c r="BZ51" s="229">
        <v>-2.01E-2</v>
      </c>
      <c r="CA51" s="230">
        <v>117618000</v>
      </c>
      <c r="CB51" s="230">
        <v>18303000</v>
      </c>
      <c r="CC51" s="230">
        <v>99315000</v>
      </c>
      <c r="CD51" s="229">
        <v>5.4261999999999997</v>
      </c>
      <c r="CE51" s="230">
        <v>3234000</v>
      </c>
      <c r="CF51" s="230">
        <v>120393000</v>
      </c>
      <c r="CG51" s="230">
        <v>-117159000</v>
      </c>
      <c r="CH51" s="229">
        <v>-0.97309999999999997</v>
      </c>
      <c r="CI51" s="230">
        <v>156000</v>
      </c>
      <c r="CJ51" s="230">
        <v>3099000</v>
      </c>
      <c r="CK51" s="230">
        <v>-2943000</v>
      </c>
      <c r="CL51" s="229">
        <v>-0.94969999999999999</v>
      </c>
      <c r="CM51" s="230">
        <v>35040000</v>
      </c>
      <c r="CN51" s="230">
        <v>27282000</v>
      </c>
      <c r="CO51" s="230">
        <v>7758000</v>
      </c>
      <c r="CP51" s="229">
        <v>0.28439999999999999</v>
      </c>
      <c r="CQ51" s="230">
        <v>22959000</v>
      </c>
      <c r="CR51" s="230">
        <v>20652000</v>
      </c>
      <c r="CS51" s="230">
        <v>2307000</v>
      </c>
      <c r="CT51" s="229">
        <v>0.11169999999999999</v>
      </c>
      <c r="CU51" s="230">
        <v>179007000</v>
      </c>
      <c r="CV51" s="230">
        <v>171426000</v>
      </c>
      <c r="CW51" s="230">
        <v>7581000</v>
      </c>
      <c r="CX51" s="229">
        <v>4.4200000000000003E-2</v>
      </c>
      <c r="CY51" s="228">
        <v>23.96</v>
      </c>
      <c r="CZ51" s="228">
        <v>25.1</v>
      </c>
      <c r="DA51" s="228">
        <v>-1.1399999999999999</v>
      </c>
      <c r="DB51" s="228">
        <v>-1.1399999999999999</v>
      </c>
      <c r="DC51" s="228">
        <v>31.01</v>
      </c>
      <c r="DD51" s="228">
        <v>31.06</v>
      </c>
      <c r="DE51" s="228">
        <v>-7.05</v>
      </c>
      <c r="DF51" s="228">
        <v>-0.05</v>
      </c>
      <c r="DG51" s="228">
        <v>23.85</v>
      </c>
      <c r="DH51" s="228">
        <v>25.16</v>
      </c>
      <c r="DI51" s="228">
        <v>-1.31</v>
      </c>
      <c r="DJ51" s="228">
        <v>-1.31</v>
      </c>
      <c r="DK51" s="228">
        <v>24.2</v>
      </c>
      <c r="DL51" s="228">
        <v>24.99</v>
      </c>
      <c r="DM51" s="228">
        <v>-0.79</v>
      </c>
      <c r="DN51" s="228">
        <v>-0.79</v>
      </c>
      <c r="DO51" s="228">
        <v>0.66</v>
      </c>
      <c r="DP51" s="228">
        <v>0.76</v>
      </c>
      <c r="DQ51" s="228">
        <v>-0.1</v>
      </c>
      <c r="DR51" s="229">
        <v>-0.13159999999999999</v>
      </c>
      <c r="DS51" s="228">
        <v>254</v>
      </c>
      <c r="DT51" s="228">
        <v>234</v>
      </c>
      <c r="DU51" s="228">
        <v>0.47</v>
      </c>
      <c r="DV51" s="228">
        <v>0.71</v>
      </c>
      <c r="DW51" s="228">
        <v>-0.24</v>
      </c>
      <c r="DX51" s="229">
        <v>-0.33800000000000002</v>
      </c>
      <c r="DY51" s="229">
        <v>2.8000000000000001E-2</v>
      </c>
      <c r="DZ51" s="230">
        <v>123492000</v>
      </c>
      <c r="EA51" s="229">
        <v>-8.0000000000000004E-4</v>
      </c>
      <c r="EB51" s="229">
        <v>2.8000000000000001E-2</v>
      </c>
      <c r="EC51" s="228">
        <v>0.01</v>
      </c>
      <c r="ED51" s="229">
        <v>0</v>
      </c>
      <c r="EE51" s="230">
        <v>6562348</v>
      </c>
      <c r="EF51" s="230">
        <v>9341157</v>
      </c>
      <c r="EG51" s="229">
        <v>-0.29749999999999999</v>
      </c>
      <c r="EH51" s="229">
        <v>0.61880000000000002</v>
      </c>
      <c r="EI51" s="231">
        <v>94663.98</v>
      </c>
      <c r="EJ51" s="231">
        <v>40743.64</v>
      </c>
      <c r="EK51" s="231">
        <v>38574.410000000003</v>
      </c>
      <c r="EL51" s="231">
        <v>32156</v>
      </c>
      <c r="EM51" s="231">
        <v>173982.03</v>
      </c>
      <c r="EN51" s="231">
        <v>340718.26</v>
      </c>
      <c r="EO51" s="231">
        <v>-166736.23000000001</v>
      </c>
      <c r="EP51" s="229">
        <v>-0.4894</v>
      </c>
      <c r="EQ51" s="231">
        <v>88832</v>
      </c>
      <c r="ER51" s="231">
        <v>54173</v>
      </c>
      <c r="ES51" s="231">
        <v>288598</v>
      </c>
      <c r="ET51" s="231">
        <v>358423198</v>
      </c>
      <c r="EU51" s="231">
        <v>431604</v>
      </c>
      <c r="EV51" s="231">
        <v>409713</v>
      </c>
      <c r="EW51" s="231">
        <v>21891</v>
      </c>
      <c r="EX51" s="229">
        <v>5.3400000000000003E-2</v>
      </c>
      <c r="EY51" s="229">
        <v>0.49940000000000001</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C354"/>
  <sheetViews>
    <sheetView topLeftCell="A132" zoomScale="86" zoomScaleNormal="86" workbookViewId="0">
      <selection activeCell="C140" sqref="C140"/>
    </sheetView>
  </sheetViews>
  <sheetFormatPr defaultRowHeight="15" x14ac:dyDescent="0.25"/>
  <cols>
    <col min="1" max="1" width="12" customWidth="1"/>
    <col min="2" max="2" width="16.5703125" customWidth="1"/>
    <col min="3" max="3" width="17.7109375" customWidth="1"/>
    <col min="4" max="4" width="8.28515625" customWidth="1"/>
    <col min="5" max="5" width="4.85546875" customWidth="1"/>
    <col min="6" max="6" width="11.5703125" customWidth="1"/>
    <col min="7" max="7" width="12.5703125" customWidth="1"/>
    <col min="8" max="8" width="11.42578125" customWidth="1"/>
    <col min="9" max="9" width="9.42578125" customWidth="1"/>
    <col min="10" max="10" width="11.5703125" customWidth="1"/>
    <col min="11" max="11" width="11.7109375" customWidth="1"/>
    <col min="12" max="12" width="10.5703125" customWidth="1"/>
    <col min="13" max="13" width="9.140625" customWidth="1"/>
    <col min="14" max="14" width="20.140625" customWidth="1"/>
    <col min="15" max="15" width="19.42578125" customWidth="1"/>
    <col min="16" max="16" width="18.28515625" customWidth="1"/>
    <col min="17" max="17" width="16.28515625" customWidth="1"/>
    <col min="18" max="18" width="19.7109375" customWidth="1"/>
    <col min="19" max="19" width="19.28515625" customWidth="1"/>
    <col min="20" max="20" width="18.28515625" customWidth="1"/>
    <col min="21" max="21" width="16.140625" customWidth="1"/>
    <col min="22" max="22" width="18.140625" customWidth="1"/>
    <col min="23" max="23" width="17.5703125" customWidth="1"/>
    <col min="24" max="24" width="16.42578125" customWidth="1"/>
    <col min="25" max="25" width="14.28515625" customWidth="1"/>
    <col min="26" max="26" width="9.42578125" customWidth="1"/>
    <col min="27" max="27" width="12.42578125" customWidth="1"/>
    <col min="28" max="28" width="11.28515625" customWidth="1"/>
    <col min="29" max="29" width="9.28515625" customWidth="1"/>
    <col min="30" max="30" width="10.5703125" customWidth="1"/>
    <col min="31" max="31" width="16.5703125" customWidth="1"/>
    <col min="32" max="32" width="15.42578125" customWidth="1"/>
    <col min="33" max="33" width="13.28515625" customWidth="1"/>
    <col min="34" max="34" width="10.42578125" customWidth="1"/>
    <col min="35" max="35" width="16.42578125" customWidth="1"/>
    <col min="36" max="36" width="15.28515625" customWidth="1"/>
    <col min="37" max="37" width="13.140625" customWidth="1"/>
    <col min="38" max="38" width="11.28515625" customWidth="1"/>
    <col min="39" max="39" width="14.5703125" customWidth="1"/>
    <col min="40" max="40" width="13.42578125" customWidth="1"/>
    <col min="41" max="41" width="11.42578125" customWidth="1"/>
    <col min="42" max="42" width="11.5703125" customWidth="1"/>
    <col min="43" max="44" width="12.5703125" customWidth="1"/>
    <col min="45" max="45" width="9.5703125" customWidth="1"/>
    <col min="46" max="46" width="15.42578125" customWidth="1"/>
    <col min="47" max="47" width="14.28515625" customWidth="1"/>
    <col min="48" max="48" width="12.140625" customWidth="1"/>
    <col min="49" max="49" width="15.28515625" customWidth="1"/>
    <col min="50" max="50" width="21.28515625" customWidth="1"/>
    <col min="51" max="51" width="20.140625" customWidth="1"/>
    <col min="52" max="52" width="17.85546875" customWidth="1"/>
    <col min="53" max="53" width="15.140625" customWidth="1"/>
    <col min="54" max="54" width="21.140625" customWidth="1"/>
    <col min="55" max="55" width="19.85546875" customWidth="1"/>
    <col min="56" max="56" width="17.85546875" customWidth="1"/>
    <col min="57" max="57" width="13.28515625" customWidth="1"/>
    <col min="58" max="58" width="19.28515625" customWidth="1"/>
    <col min="59" max="59" width="18.140625" customWidth="1"/>
    <col min="60" max="60" width="16.140625" customWidth="1"/>
    <col min="61" max="61" width="14.140625" customWidth="1"/>
    <col min="62" max="62" width="20.140625" customWidth="1"/>
    <col min="63" max="63" width="18.85546875" customWidth="1"/>
    <col min="64" max="64" width="16.7109375" customWidth="1"/>
    <col min="65" max="65" width="14" customWidth="1"/>
    <col min="66" max="66" width="19.7109375" customWidth="1"/>
    <col min="67" max="67" width="18.7109375" customWidth="1"/>
    <col min="68" max="68" width="16.5703125" customWidth="1"/>
    <col min="69" max="69" width="15.42578125" customWidth="1"/>
    <col min="70" max="70" width="21.42578125" customWidth="1"/>
    <col min="71" max="71" width="20.28515625" customWidth="1"/>
    <col min="72" max="72" width="18.140625" customWidth="1"/>
    <col min="73" max="73" width="15" customWidth="1"/>
    <col min="74" max="74" width="21.140625" customWidth="1"/>
    <col min="75" max="75" width="19.7109375" customWidth="1"/>
    <col min="76" max="76" width="17.7109375" customWidth="1"/>
    <col min="77" max="77" width="8.7109375" customWidth="1"/>
    <col min="78" max="78" width="9.140625" customWidth="1"/>
    <col min="79" max="79" width="8" customWidth="1"/>
    <col min="80" max="80" width="9.42578125" customWidth="1"/>
    <col min="81" max="81" width="9" customWidth="1"/>
    <col min="82" max="82" width="14.7109375" customWidth="1"/>
    <col min="83" max="83" width="13.5703125" customWidth="1"/>
    <col min="84" max="84" width="11.7109375" customWidth="1"/>
    <col min="85" max="85" width="8.85546875" customWidth="1"/>
    <col min="86" max="86" width="14.5703125" customWidth="1"/>
    <col min="87" max="87" width="13.5703125" customWidth="1"/>
    <col min="88" max="88" width="11.42578125" customWidth="1"/>
    <col min="89" max="89" width="7.140625" customWidth="1"/>
    <col min="90" max="90" width="13" customWidth="1"/>
    <col min="91" max="91" width="11.7109375" customWidth="1"/>
    <col min="92" max="92" width="11.42578125" customWidth="1"/>
    <col min="93" max="93" width="10.42578125" customWidth="1"/>
    <col min="94" max="94" width="13.5703125" customWidth="1"/>
    <col min="95" max="95" width="12.42578125" customWidth="1"/>
    <col min="96" max="96" width="11.7109375" customWidth="1"/>
    <col min="97" max="97" width="10.42578125" customWidth="1"/>
    <col min="98" max="98" width="13.42578125" customWidth="1"/>
    <col min="99" max="99" width="12.28515625" customWidth="1"/>
    <col min="100" max="100" width="13" customWidth="1"/>
    <col min="101" max="101" width="10.42578125" customWidth="1"/>
    <col min="102" max="102" width="14.85546875" customWidth="1"/>
    <col min="103" max="103" width="13.85546875" customWidth="1"/>
    <col min="104" max="104" width="11.7109375" customWidth="1"/>
    <col min="105" max="105" width="8.28515625" customWidth="1"/>
    <col min="106" max="106" width="9" customWidth="1"/>
    <col min="107" max="108" width="8" customWidth="1"/>
    <col min="109" max="109" width="8.28515625" customWidth="1"/>
    <col min="110" max="110" width="9.5703125" customWidth="1"/>
    <col min="111" max="111" width="11.85546875" customWidth="1"/>
    <col min="112" max="112" width="8" customWidth="1"/>
    <col min="113" max="113" width="8.28515625" customWidth="1"/>
    <col min="114" max="114" width="13.42578125" customWidth="1"/>
    <col min="115" max="115" width="12.28515625" customWidth="1"/>
    <col min="116" max="116" width="10.28515625" customWidth="1"/>
    <col min="117" max="117" width="8.28515625" customWidth="1"/>
    <col min="118" max="118" width="13.28515625" customWidth="1"/>
    <col min="119" max="119" width="12.140625" customWidth="1"/>
    <col min="120" max="120" width="10.140625" customWidth="1"/>
    <col min="121" max="121" width="7.5703125" customWidth="1"/>
    <col min="122" max="122" width="13.42578125" customWidth="1"/>
    <col min="123" max="123" width="12.28515625" customWidth="1"/>
    <col min="124" max="124" width="10.5703125" customWidth="1"/>
    <col min="125" max="126" width="11.5703125" customWidth="1"/>
    <col min="127" max="127" width="9" customWidth="1"/>
    <col min="128" max="128" width="14.7109375" customWidth="1"/>
    <col min="129" max="129" width="13.5703125" customWidth="1"/>
    <col min="130" max="130" width="11.5703125" customWidth="1"/>
    <col min="131" max="131" width="10.140625" customWidth="1"/>
    <col min="132" max="132" width="16.28515625" customWidth="1"/>
    <col min="133" max="133" width="15.42578125" customWidth="1"/>
    <col min="134" max="134" width="12.7109375" customWidth="1"/>
    <col min="135" max="135" width="11.5703125" customWidth="1"/>
    <col min="136" max="136" width="13.5703125" customWidth="1"/>
    <col min="137" max="137" width="14.42578125" customWidth="1"/>
    <col min="138" max="138" width="16.28515625" customWidth="1"/>
    <col min="139" max="139" width="11.28515625" customWidth="1"/>
    <col min="140" max="140" width="13" customWidth="1"/>
    <col min="141" max="141" width="20.85546875" customWidth="1"/>
    <col min="142" max="142" width="20.7109375" customWidth="1"/>
    <col min="143" max="143" width="23.85546875" customWidth="1"/>
    <col min="144" max="144" width="15" customWidth="1"/>
    <col min="145" max="146" width="22.28515625" customWidth="1"/>
    <col min="147" max="147" width="21.140625" customWidth="1"/>
    <col min="148" max="148" width="19" customWidth="1"/>
    <col min="149" max="149" width="14.5703125" customWidth="1"/>
    <col min="150" max="150" width="14.42578125" customWidth="1"/>
    <col min="151" max="151" width="17.5703125" customWidth="1"/>
    <col min="152" max="152" width="20.42578125" customWidth="1"/>
    <col min="153" max="154" width="15.85546875" customWidth="1"/>
    <col min="155" max="155" width="14.7109375" customWidth="1"/>
    <col min="156" max="156" width="12.5703125" customWidth="1"/>
    <col min="157" max="157" width="14.140625" customWidth="1"/>
    <col min="158" max="158" width="18.42578125" customWidth="1"/>
  </cols>
  <sheetData>
    <row r="1" spans="1:159" ht="18" thickBot="1" x14ac:dyDescent="0.3">
      <c r="A1" s="164" t="s">
        <v>0</v>
      </c>
      <c r="B1" s="164" t="s">
        <v>1</v>
      </c>
      <c r="C1" s="164" t="s">
        <v>2</v>
      </c>
      <c r="D1" s="164" t="s">
        <v>3</v>
      </c>
      <c r="E1" s="164" t="s">
        <v>4</v>
      </c>
      <c r="F1" s="164" t="s">
        <v>5</v>
      </c>
      <c r="G1" s="164" t="s">
        <v>6</v>
      </c>
      <c r="H1" s="164" t="s">
        <v>7</v>
      </c>
      <c r="I1" s="164" t="s">
        <v>8</v>
      </c>
      <c r="J1" s="164" t="s">
        <v>9</v>
      </c>
      <c r="K1" s="164" t="s">
        <v>10</v>
      </c>
      <c r="L1" s="164" t="s">
        <v>11</v>
      </c>
      <c r="M1" s="164" t="s">
        <v>12</v>
      </c>
      <c r="N1" s="164" t="s">
        <v>13</v>
      </c>
      <c r="O1" s="164" t="s">
        <v>14</v>
      </c>
      <c r="P1" s="164" t="s">
        <v>15</v>
      </c>
      <c r="Q1" s="164" t="s">
        <v>16</v>
      </c>
      <c r="R1" s="164" t="s">
        <v>17</v>
      </c>
      <c r="S1" s="164" t="s">
        <v>18</v>
      </c>
      <c r="T1" s="164" t="s">
        <v>19</v>
      </c>
      <c r="U1" s="164" t="s">
        <v>20</v>
      </c>
      <c r="V1" s="164" t="s">
        <v>21</v>
      </c>
      <c r="W1" s="164" t="s">
        <v>22</v>
      </c>
      <c r="X1" s="164" t="s">
        <v>23</v>
      </c>
      <c r="Y1" s="164" t="s">
        <v>24</v>
      </c>
      <c r="Z1" s="164" t="s">
        <v>25</v>
      </c>
      <c r="AA1" s="164" t="s">
        <v>26</v>
      </c>
      <c r="AB1" s="164" t="s">
        <v>27</v>
      </c>
      <c r="AC1" s="164" t="s">
        <v>28</v>
      </c>
      <c r="AD1" s="164" t="s">
        <v>29</v>
      </c>
      <c r="AE1" s="164" t="s">
        <v>30</v>
      </c>
      <c r="AF1" s="164" t="s">
        <v>31</v>
      </c>
      <c r="AG1" s="164" t="s">
        <v>32</v>
      </c>
      <c r="AH1" s="164" t="s">
        <v>33</v>
      </c>
      <c r="AI1" s="164" t="s">
        <v>34</v>
      </c>
      <c r="AJ1" s="164" t="s">
        <v>35</v>
      </c>
      <c r="AK1" s="164" t="s">
        <v>36</v>
      </c>
      <c r="AL1" s="164" t="s">
        <v>37</v>
      </c>
      <c r="AM1" s="164" t="s">
        <v>38</v>
      </c>
      <c r="AN1" s="164" t="s">
        <v>39</v>
      </c>
      <c r="AO1" s="164" t="s">
        <v>40</v>
      </c>
      <c r="AP1" s="164" t="s">
        <v>41</v>
      </c>
      <c r="AQ1" s="164" t="s">
        <v>42</v>
      </c>
      <c r="AR1" s="164" t="s">
        <v>43</v>
      </c>
      <c r="AS1" s="164" t="s">
        <v>44</v>
      </c>
      <c r="AT1" s="164" t="s">
        <v>45</v>
      </c>
      <c r="AU1" s="164" t="s">
        <v>46</v>
      </c>
      <c r="AV1" s="164" t="s">
        <v>47</v>
      </c>
      <c r="AW1" s="164" t="s">
        <v>48</v>
      </c>
      <c r="AX1" s="164" t="s">
        <v>49</v>
      </c>
      <c r="AY1" s="164" t="s">
        <v>50</v>
      </c>
      <c r="AZ1" s="164" t="s">
        <v>51</v>
      </c>
      <c r="BA1" s="164" t="s">
        <v>52</v>
      </c>
      <c r="BB1" s="164" t="s">
        <v>53</v>
      </c>
      <c r="BC1" s="164" t="s">
        <v>54</v>
      </c>
      <c r="BD1" s="164" t="s">
        <v>55</v>
      </c>
      <c r="BE1" s="164" t="s">
        <v>56</v>
      </c>
      <c r="BF1" s="164" t="s">
        <v>57</v>
      </c>
      <c r="BG1" s="164" t="s">
        <v>58</v>
      </c>
      <c r="BH1" s="164" t="s">
        <v>59</v>
      </c>
      <c r="BI1" s="164" t="s">
        <v>60</v>
      </c>
      <c r="BJ1" s="164" t="s">
        <v>61</v>
      </c>
      <c r="BK1" s="164" t="s">
        <v>62</v>
      </c>
      <c r="BL1" s="164" t="s">
        <v>63</v>
      </c>
      <c r="BM1" s="164" t="s">
        <v>64</v>
      </c>
      <c r="BN1" s="164" t="s">
        <v>65</v>
      </c>
      <c r="BO1" s="164" t="s">
        <v>66</v>
      </c>
      <c r="BP1" s="164" t="s">
        <v>67</v>
      </c>
      <c r="BQ1" s="164" t="s">
        <v>68</v>
      </c>
      <c r="BR1" s="164" t="s">
        <v>69</v>
      </c>
      <c r="BS1" s="164" t="s">
        <v>70</v>
      </c>
      <c r="BT1" s="164" t="s">
        <v>71</v>
      </c>
      <c r="BU1" s="164" t="s">
        <v>72</v>
      </c>
      <c r="BV1" s="164" t="s">
        <v>73</v>
      </c>
      <c r="BW1" s="164" t="s">
        <v>74</v>
      </c>
      <c r="BX1" s="164" t="s">
        <v>75</v>
      </c>
      <c r="BY1" s="164" t="s">
        <v>76</v>
      </c>
      <c r="BZ1" s="164" t="s">
        <v>77</v>
      </c>
      <c r="CA1" s="164" t="s">
        <v>78</v>
      </c>
      <c r="CB1" s="164" t="s">
        <v>79</v>
      </c>
      <c r="CC1" s="164" t="s">
        <v>80</v>
      </c>
      <c r="CD1" s="164" t="s">
        <v>81</v>
      </c>
      <c r="CE1" s="164" t="s">
        <v>82</v>
      </c>
      <c r="CF1" s="164" t="s">
        <v>83</v>
      </c>
      <c r="CG1" s="164" t="s">
        <v>84</v>
      </c>
      <c r="CH1" s="164" t="s">
        <v>85</v>
      </c>
      <c r="CI1" s="164" t="s">
        <v>86</v>
      </c>
      <c r="CJ1" s="164" t="s">
        <v>87</v>
      </c>
      <c r="CK1" s="164" t="s">
        <v>88</v>
      </c>
      <c r="CL1" s="164" t="s">
        <v>89</v>
      </c>
      <c r="CM1" s="164" t="s">
        <v>90</v>
      </c>
      <c r="CN1" s="164" t="s">
        <v>91</v>
      </c>
      <c r="CO1" s="164" t="s">
        <v>92</v>
      </c>
      <c r="CP1" s="164" t="s">
        <v>93</v>
      </c>
      <c r="CQ1" s="164" t="s">
        <v>94</v>
      </c>
      <c r="CR1" s="164" t="s">
        <v>95</v>
      </c>
      <c r="CS1" s="164" t="s">
        <v>96</v>
      </c>
      <c r="CT1" s="164" t="s">
        <v>97</v>
      </c>
      <c r="CU1" s="164" t="s">
        <v>98</v>
      </c>
      <c r="CV1" s="164" t="s">
        <v>99</v>
      </c>
      <c r="CW1" s="164" t="s">
        <v>100</v>
      </c>
      <c r="CX1" s="164" t="s">
        <v>101</v>
      </c>
      <c r="CY1" s="164" t="s">
        <v>102</v>
      </c>
      <c r="CZ1" s="164" t="s">
        <v>103</v>
      </c>
      <c r="DA1" s="164" t="s">
        <v>104</v>
      </c>
      <c r="DB1" s="164" t="s">
        <v>105</v>
      </c>
      <c r="DC1" s="164" t="s">
        <v>106</v>
      </c>
      <c r="DD1" s="164" t="s">
        <v>107</v>
      </c>
      <c r="DE1" s="164" t="s">
        <v>108</v>
      </c>
      <c r="DF1" s="164" t="s">
        <v>109</v>
      </c>
      <c r="DG1" s="164" t="s">
        <v>110</v>
      </c>
      <c r="DH1" s="164" t="s">
        <v>111</v>
      </c>
      <c r="DI1" s="164" t="s">
        <v>112</v>
      </c>
      <c r="DJ1" s="164" t="s">
        <v>113</v>
      </c>
      <c r="DK1" s="164" t="s">
        <v>114</v>
      </c>
      <c r="DL1" s="164" t="s">
        <v>115</v>
      </c>
      <c r="DM1" s="164" t="s">
        <v>116</v>
      </c>
      <c r="DN1" s="164" t="s">
        <v>117</v>
      </c>
      <c r="DO1" s="164" t="s">
        <v>118</v>
      </c>
      <c r="DP1" s="164" t="s">
        <v>119</v>
      </c>
      <c r="DQ1" s="164" t="s">
        <v>120</v>
      </c>
      <c r="DR1" s="164" t="s">
        <v>121</v>
      </c>
      <c r="DS1" s="164" t="s">
        <v>122</v>
      </c>
      <c r="DT1" s="164" t="s">
        <v>123</v>
      </c>
      <c r="DU1" s="164" t="s">
        <v>124</v>
      </c>
      <c r="DV1" s="164" t="s">
        <v>125</v>
      </c>
      <c r="DW1" s="164" t="s">
        <v>126</v>
      </c>
      <c r="DX1" s="164" t="s">
        <v>127</v>
      </c>
      <c r="DY1" s="164" t="s">
        <v>128</v>
      </c>
      <c r="DZ1" s="164" t="s">
        <v>129</v>
      </c>
      <c r="EA1" s="164" t="s">
        <v>130</v>
      </c>
      <c r="EB1" s="164" t="s">
        <v>131</v>
      </c>
      <c r="EC1" s="164" t="s">
        <v>132</v>
      </c>
      <c r="ED1" s="164" t="s">
        <v>133</v>
      </c>
      <c r="EE1" s="164" t="s">
        <v>134</v>
      </c>
      <c r="EF1" s="164" t="s">
        <v>135</v>
      </c>
      <c r="EG1" s="164" t="s">
        <v>136</v>
      </c>
      <c r="EH1" s="164" t="s">
        <v>137</v>
      </c>
      <c r="EI1" s="164" t="s">
        <v>138</v>
      </c>
      <c r="EJ1" s="164" t="s">
        <v>139</v>
      </c>
      <c r="EK1" s="164" t="s">
        <v>140</v>
      </c>
      <c r="EL1" s="164" t="s">
        <v>141</v>
      </c>
      <c r="EM1" s="164" t="s">
        <v>142</v>
      </c>
      <c r="EN1" s="164" t="s">
        <v>72</v>
      </c>
      <c r="EO1" s="164" t="s">
        <v>143</v>
      </c>
      <c r="EP1" s="164" t="s">
        <v>144</v>
      </c>
      <c r="EQ1" s="164" t="s">
        <v>145</v>
      </c>
      <c r="ER1" s="164" t="s">
        <v>146</v>
      </c>
      <c r="ES1" s="164" t="s">
        <v>147</v>
      </c>
      <c r="ET1" s="164" t="s">
        <v>148</v>
      </c>
      <c r="EU1" s="164" t="s">
        <v>149</v>
      </c>
      <c r="EV1" s="164" t="s">
        <v>150</v>
      </c>
      <c r="EW1" s="164" t="s">
        <v>151</v>
      </c>
      <c r="EX1" s="164" t="s">
        <v>152</v>
      </c>
      <c r="EY1" s="164" t="s">
        <v>153</v>
      </c>
      <c r="EZ1" s="164" t="s">
        <v>154</v>
      </c>
      <c r="FA1" s="164" t="s">
        <v>155</v>
      </c>
      <c r="FB1" s="164" t="s">
        <v>156</v>
      </c>
      <c r="FC1" s="160" t="s">
        <v>469</v>
      </c>
    </row>
    <row r="2" spans="1:159" ht="17.25" thickBot="1" x14ac:dyDescent="0.3">
      <c r="A2" s="226">
        <v>46050</v>
      </c>
      <c r="B2" s="227" t="s">
        <v>175</v>
      </c>
      <c r="C2" s="227" t="s">
        <v>681</v>
      </c>
      <c r="D2" s="228">
        <v>500</v>
      </c>
      <c r="E2" s="228">
        <v>27</v>
      </c>
      <c r="F2" s="231">
        <v>1142.0999999999999</v>
      </c>
      <c r="G2" s="231">
        <v>1118.5999999999999</v>
      </c>
      <c r="H2" s="228">
        <v>23.5</v>
      </c>
      <c r="I2" s="229">
        <v>2.1000000000000001E-2</v>
      </c>
      <c r="J2" s="231">
        <v>1139.9000000000001</v>
      </c>
      <c r="K2" s="231">
        <v>1113.7</v>
      </c>
      <c r="L2" s="228">
        <v>26.2</v>
      </c>
      <c r="M2" s="229">
        <v>2.35E-2</v>
      </c>
      <c r="N2" s="231">
        <v>1142.0999999999999</v>
      </c>
      <c r="O2" s="231">
        <v>1115.5</v>
      </c>
      <c r="P2" s="228">
        <v>26.6</v>
      </c>
      <c r="Q2" s="229">
        <v>2.3800000000000002E-2</v>
      </c>
      <c r="R2" s="231">
        <v>1141.8</v>
      </c>
      <c r="S2" s="231">
        <v>1118.5999999999999</v>
      </c>
      <c r="T2" s="228">
        <v>23.2</v>
      </c>
      <c r="U2" s="229">
        <v>2.07E-2</v>
      </c>
      <c r="V2" s="228">
        <v>0</v>
      </c>
      <c r="W2" s="231">
        <v>1116.8</v>
      </c>
      <c r="X2" s="228">
        <v>0</v>
      </c>
      <c r="Y2" s="229">
        <v>0</v>
      </c>
      <c r="Z2" s="228">
        <v>2.2000000000000002</v>
      </c>
      <c r="AA2" s="228">
        <v>4.9000000000000004</v>
      </c>
      <c r="AB2" s="228">
        <v>-2.7</v>
      </c>
      <c r="AC2" s="229">
        <v>1.9E-3</v>
      </c>
      <c r="AD2" s="228">
        <v>2.2000000000000002</v>
      </c>
      <c r="AE2" s="228">
        <v>1.8</v>
      </c>
      <c r="AF2" s="228">
        <v>0.4</v>
      </c>
      <c r="AG2" s="229">
        <v>1.9E-3</v>
      </c>
      <c r="AH2" s="228">
        <v>1.9</v>
      </c>
      <c r="AI2" s="228">
        <v>4.9000000000000004</v>
      </c>
      <c r="AJ2" s="228">
        <v>-3</v>
      </c>
      <c r="AK2" s="229">
        <v>1.6999999999999999E-3</v>
      </c>
      <c r="AL2" s="228">
        <v>0</v>
      </c>
      <c r="AM2" s="228">
        <v>3.1</v>
      </c>
      <c r="AN2" s="228">
        <v>0</v>
      </c>
      <c r="AO2" s="229">
        <v>0</v>
      </c>
      <c r="AP2" s="231">
        <v>1139.44</v>
      </c>
      <c r="AQ2" s="231">
        <v>1136.3800000000001</v>
      </c>
      <c r="AR2" s="228">
        <v>0</v>
      </c>
      <c r="AS2" s="228">
        <v>114</v>
      </c>
      <c r="AT2" s="228">
        <v>261</v>
      </c>
      <c r="AU2" s="228">
        <v>-147</v>
      </c>
      <c r="AV2" s="229">
        <v>-0.56389999999999996</v>
      </c>
      <c r="AW2" s="228">
        <v>110</v>
      </c>
      <c r="AX2" s="228">
        <v>108</v>
      </c>
      <c r="AY2" s="228">
        <v>2</v>
      </c>
      <c r="AZ2" s="229">
        <v>1.5800000000000002E-2</v>
      </c>
      <c r="BA2" s="228">
        <v>4</v>
      </c>
      <c r="BB2" s="228">
        <v>152</v>
      </c>
      <c r="BC2" s="228">
        <v>-148</v>
      </c>
      <c r="BD2" s="229">
        <v>-0.97589999999999999</v>
      </c>
      <c r="BE2" s="228">
        <v>0</v>
      </c>
      <c r="BF2" s="228">
        <v>1</v>
      </c>
      <c r="BG2" s="228">
        <v>0</v>
      </c>
      <c r="BH2" s="229">
        <v>0</v>
      </c>
      <c r="BI2" s="228">
        <v>57</v>
      </c>
      <c r="BJ2" s="228">
        <v>112</v>
      </c>
      <c r="BK2" s="228">
        <v>-55</v>
      </c>
      <c r="BL2" s="229">
        <v>-0.49340000000000001</v>
      </c>
      <c r="BM2" s="228">
        <v>25</v>
      </c>
      <c r="BN2" s="228">
        <v>49</v>
      </c>
      <c r="BO2" s="228">
        <v>-24</v>
      </c>
      <c r="BP2" s="229">
        <v>-0.4965</v>
      </c>
      <c r="BQ2" s="228">
        <v>195</v>
      </c>
      <c r="BR2" s="228">
        <v>422</v>
      </c>
      <c r="BS2" s="228">
        <v>-227</v>
      </c>
      <c r="BT2" s="229">
        <v>-0.53739999999999999</v>
      </c>
      <c r="BU2" s="230">
        <v>1610318</v>
      </c>
      <c r="BV2" s="230">
        <v>2610699</v>
      </c>
      <c r="BW2" s="230">
        <v>-1000381</v>
      </c>
      <c r="BX2" s="229">
        <v>-0.38319999999999999</v>
      </c>
      <c r="BY2" s="228">
        <v>333</v>
      </c>
      <c r="BZ2" s="228">
        <v>347</v>
      </c>
      <c r="CA2" s="228">
        <v>-14</v>
      </c>
      <c r="CB2" s="229">
        <v>-4.1000000000000002E-2</v>
      </c>
      <c r="CC2" s="228">
        <v>329</v>
      </c>
      <c r="CD2" s="228">
        <v>97</v>
      </c>
      <c r="CE2" s="228">
        <v>233</v>
      </c>
      <c r="CF2" s="229">
        <v>2.4035000000000002</v>
      </c>
      <c r="CG2" s="228">
        <v>3</v>
      </c>
      <c r="CH2" s="228">
        <v>345</v>
      </c>
      <c r="CI2" s="228">
        <v>-342</v>
      </c>
      <c r="CJ2" s="229">
        <v>-0.99009999999999998</v>
      </c>
      <c r="CK2" s="228">
        <v>0</v>
      </c>
      <c r="CL2" s="228">
        <v>2</v>
      </c>
      <c r="CM2" s="228">
        <v>-2</v>
      </c>
      <c r="CN2" s="229">
        <v>-1</v>
      </c>
      <c r="CO2" s="228">
        <v>36</v>
      </c>
      <c r="CP2" s="228">
        <v>31</v>
      </c>
      <c r="CQ2" s="228">
        <v>5</v>
      </c>
      <c r="CR2" s="229">
        <v>0.17710000000000001</v>
      </c>
      <c r="CS2" s="228">
        <v>22</v>
      </c>
      <c r="CT2" s="228">
        <v>17</v>
      </c>
      <c r="CU2" s="228">
        <v>5</v>
      </c>
      <c r="CV2" s="229">
        <v>0.32300000000000001</v>
      </c>
      <c r="CW2" s="228">
        <v>391</v>
      </c>
      <c r="CX2" s="228">
        <v>395</v>
      </c>
      <c r="CY2" s="228">
        <v>-3</v>
      </c>
      <c r="CZ2" s="229">
        <v>-8.5000000000000006E-3</v>
      </c>
      <c r="DA2" s="228">
        <v>33.6</v>
      </c>
      <c r="DB2" s="228">
        <v>35.74</v>
      </c>
      <c r="DC2" s="228">
        <v>-2.14</v>
      </c>
      <c r="DD2" s="228">
        <v>-2.14</v>
      </c>
      <c r="DE2" s="228">
        <v>42.43</v>
      </c>
      <c r="DF2" s="228">
        <v>42.42</v>
      </c>
      <c r="DG2" s="228">
        <v>-8.83</v>
      </c>
      <c r="DH2" s="228">
        <v>0.01</v>
      </c>
      <c r="DI2" s="228">
        <v>33.15</v>
      </c>
      <c r="DJ2" s="228">
        <v>35.6</v>
      </c>
      <c r="DK2" s="228">
        <v>-2.4500000000000002</v>
      </c>
      <c r="DL2" s="228">
        <v>-2.4500000000000002</v>
      </c>
      <c r="DM2" s="228">
        <v>34.630000000000003</v>
      </c>
      <c r="DN2" s="228">
        <v>35.92</v>
      </c>
      <c r="DO2" s="228">
        <v>-1.29</v>
      </c>
      <c r="DP2" s="228">
        <v>-1.29</v>
      </c>
      <c r="DQ2" s="228">
        <v>0.6</v>
      </c>
      <c r="DR2" s="228">
        <v>0.54</v>
      </c>
      <c r="DS2" s="228">
        <v>0.06</v>
      </c>
      <c r="DT2" s="229">
        <v>0.1111</v>
      </c>
      <c r="DU2" s="231">
        <v>1200</v>
      </c>
      <c r="DV2" s="231">
        <v>1200</v>
      </c>
      <c r="DW2" s="228">
        <v>0.43</v>
      </c>
      <c r="DX2" s="228">
        <v>0.44</v>
      </c>
      <c r="DY2" s="228">
        <v>-0.01</v>
      </c>
      <c r="DZ2" s="229">
        <v>-2.2700000000000001E-2</v>
      </c>
      <c r="EA2" s="229">
        <v>1.03E-2</v>
      </c>
      <c r="EB2" s="230">
        <v>3039000</v>
      </c>
      <c r="EC2" s="229">
        <v>-2.9999999999999997E-4</v>
      </c>
      <c r="ED2" s="229">
        <v>1.03E-2</v>
      </c>
      <c r="EE2" s="228">
        <v>-3.06</v>
      </c>
      <c r="EF2" s="229">
        <v>-2.7000000000000001E-3</v>
      </c>
      <c r="EG2" s="230">
        <v>1145646</v>
      </c>
      <c r="EH2" s="230">
        <v>1981774</v>
      </c>
      <c r="EI2" s="229">
        <v>-0.4219</v>
      </c>
      <c r="EJ2" s="229">
        <v>0.71140000000000003</v>
      </c>
      <c r="EK2" s="228">
        <v>60.39</v>
      </c>
      <c r="EL2" s="228">
        <v>24.23</v>
      </c>
      <c r="EM2" s="228">
        <v>113.48</v>
      </c>
      <c r="EN2" s="228">
        <v>67.05</v>
      </c>
      <c r="EO2" s="228">
        <v>198.1</v>
      </c>
      <c r="EP2" s="228">
        <v>419.34</v>
      </c>
      <c r="EQ2" s="228">
        <v>-221.24</v>
      </c>
      <c r="ER2" s="229">
        <v>-0.52759999999999996</v>
      </c>
      <c r="ES2" s="228">
        <v>38.46</v>
      </c>
      <c r="ET2" s="228">
        <v>21.42</v>
      </c>
      <c r="EU2" s="228">
        <v>332.86</v>
      </c>
      <c r="EV2" s="231">
        <v>36943219</v>
      </c>
      <c r="EW2" s="228">
        <v>392.74</v>
      </c>
      <c r="EX2" s="228">
        <v>388.97</v>
      </c>
      <c r="EY2" s="228">
        <v>3.77</v>
      </c>
      <c r="EZ2" s="229">
        <v>9.7000000000000003E-3</v>
      </c>
      <c r="FA2" s="229">
        <v>9.2700000000000005E-2</v>
      </c>
      <c r="FB2" s="227" t="s">
        <v>556</v>
      </c>
      <c r="FC2">
        <f>BY2-CC2</f>
        <v>4</v>
      </c>
    </row>
    <row r="3" spans="1:159" ht="17.25" thickBot="1" x14ac:dyDescent="0.3">
      <c r="A3" s="226">
        <v>46050</v>
      </c>
      <c r="B3" s="227" t="s">
        <v>184</v>
      </c>
      <c r="C3" s="227" t="s">
        <v>553</v>
      </c>
      <c r="D3" s="228">
        <v>125</v>
      </c>
      <c r="E3" s="228">
        <v>27</v>
      </c>
      <c r="F3" s="231">
        <v>5068</v>
      </c>
      <c r="G3" s="231">
        <v>4736.5</v>
      </c>
      <c r="H3" s="228">
        <v>331.5</v>
      </c>
      <c r="I3" s="229">
        <v>7.0000000000000007E-2</v>
      </c>
      <c r="J3" s="231">
        <v>5043.5</v>
      </c>
      <c r="K3" s="231">
        <v>4707.5</v>
      </c>
      <c r="L3" s="228">
        <v>336</v>
      </c>
      <c r="M3" s="229">
        <v>7.1400000000000005E-2</v>
      </c>
      <c r="N3" s="231">
        <v>5068</v>
      </c>
      <c r="O3" s="231">
        <v>4709</v>
      </c>
      <c r="P3" s="228">
        <v>359</v>
      </c>
      <c r="Q3" s="229">
        <v>7.6200000000000004E-2</v>
      </c>
      <c r="R3" s="231">
        <v>5083</v>
      </c>
      <c r="S3" s="231">
        <v>4736.5</v>
      </c>
      <c r="T3" s="228">
        <v>346.5</v>
      </c>
      <c r="U3" s="229">
        <v>7.3200000000000001E-2</v>
      </c>
      <c r="V3" s="231">
        <v>5092</v>
      </c>
      <c r="W3" s="231">
        <v>4755</v>
      </c>
      <c r="X3" s="228">
        <v>337</v>
      </c>
      <c r="Y3" s="229">
        <v>7.0900000000000005E-2</v>
      </c>
      <c r="Z3" s="228">
        <v>24.5</v>
      </c>
      <c r="AA3" s="228">
        <v>29</v>
      </c>
      <c r="AB3" s="228">
        <v>-4.5</v>
      </c>
      <c r="AC3" s="229">
        <v>4.8999999999999998E-3</v>
      </c>
      <c r="AD3" s="228">
        <v>24.5</v>
      </c>
      <c r="AE3" s="228">
        <v>1.5</v>
      </c>
      <c r="AF3" s="228">
        <v>23</v>
      </c>
      <c r="AG3" s="229">
        <v>4.8999999999999998E-3</v>
      </c>
      <c r="AH3" s="228">
        <v>39.5</v>
      </c>
      <c r="AI3" s="228">
        <v>29</v>
      </c>
      <c r="AJ3" s="228">
        <v>10.5</v>
      </c>
      <c r="AK3" s="229">
        <v>7.7999999999999996E-3</v>
      </c>
      <c r="AL3" s="228">
        <v>48.5</v>
      </c>
      <c r="AM3" s="228">
        <v>47.5</v>
      </c>
      <c r="AN3" s="228">
        <v>1</v>
      </c>
      <c r="AO3" s="229">
        <v>9.5999999999999992E-3</v>
      </c>
      <c r="AP3" s="231">
        <v>4991</v>
      </c>
      <c r="AQ3" s="231">
        <v>4995.8999999999996</v>
      </c>
      <c r="AR3" s="228">
        <v>0</v>
      </c>
      <c r="AS3" s="228">
        <v>490</v>
      </c>
      <c r="AT3" s="228">
        <v>710</v>
      </c>
      <c r="AU3" s="228">
        <v>-220</v>
      </c>
      <c r="AV3" s="229">
        <v>-0.30980000000000002</v>
      </c>
      <c r="AW3" s="228">
        <v>472</v>
      </c>
      <c r="AX3" s="228">
        <v>336</v>
      </c>
      <c r="AY3" s="228">
        <v>135</v>
      </c>
      <c r="AZ3" s="229">
        <v>0.40250000000000002</v>
      </c>
      <c r="BA3" s="228">
        <v>17</v>
      </c>
      <c r="BB3" s="228">
        <v>361</v>
      </c>
      <c r="BC3" s="228">
        <v>-343</v>
      </c>
      <c r="BD3" s="229">
        <v>-0.95209999999999995</v>
      </c>
      <c r="BE3" s="228">
        <v>1</v>
      </c>
      <c r="BF3" s="228">
        <v>13</v>
      </c>
      <c r="BG3" s="228">
        <v>-12</v>
      </c>
      <c r="BH3" s="229">
        <v>-0.93469999999999998</v>
      </c>
      <c r="BI3" s="230">
        <v>2442</v>
      </c>
      <c r="BJ3" s="228">
        <v>460</v>
      </c>
      <c r="BK3" s="230">
        <v>1982</v>
      </c>
      <c r="BL3" s="229">
        <v>4.3042999999999996</v>
      </c>
      <c r="BM3" s="228">
        <v>804</v>
      </c>
      <c r="BN3" s="228">
        <v>395</v>
      </c>
      <c r="BO3" s="228">
        <v>409</v>
      </c>
      <c r="BP3" s="229">
        <v>1.0368999999999999</v>
      </c>
      <c r="BQ3" s="230">
        <v>3735</v>
      </c>
      <c r="BR3" s="230">
        <v>1565</v>
      </c>
      <c r="BS3" s="230">
        <v>2171</v>
      </c>
      <c r="BT3" s="229">
        <v>1.3874</v>
      </c>
      <c r="BU3" s="230">
        <v>432749</v>
      </c>
      <c r="BV3" s="230">
        <v>187081</v>
      </c>
      <c r="BW3" s="230">
        <v>245668</v>
      </c>
      <c r="BX3" s="229">
        <v>1.3131999999999999</v>
      </c>
      <c r="BY3" s="230">
        <v>1117</v>
      </c>
      <c r="BZ3" s="230">
        <v>1107</v>
      </c>
      <c r="CA3" s="228">
        <v>10</v>
      </c>
      <c r="CB3" s="229">
        <v>8.6E-3</v>
      </c>
      <c r="CC3" s="230">
        <v>1088</v>
      </c>
      <c r="CD3" s="228">
        <v>127</v>
      </c>
      <c r="CE3" s="228">
        <v>961</v>
      </c>
      <c r="CF3" s="229">
        <v>7.5865</v>
      </c>
      <c r="CG3" s="228">
        <v>28</v>
      </c>
      <c r="CH3" s="230">
        <v>1080</v>
      </c>
      <c r="CI3" s="230">
        <v>-1052</v>
      </c>
      <c r="CJ3" s="229">
        <v>-0.97399999999999998</v>
      </c>
      <c r="CK3" s="228">
        <v>1</v>
      </c>
      <c r="CL3" s="228">
        <v>27</v>
      </c>
      <c r="CM3" s="228">
        <v>-26</v>
      </c>
      <c r="CN3" s="229">
        <v>-0.97889999999999999</v>
      </c>
      <c r="CO3" s="228">
        <v>278</v>
      </c>
      <c r="CP3" s="228">
        <v>155</v>
      </c>
      <c r="CQ3" s="228">
        <v>123</v>
      </c>
      <c r="CR3" s="229">
        <v>0.79269999999999996</v>
      </c>
      <c r="CS3" s="228">
        <v>270</v>
      </c>
      <c r="CT3" s="228">
        <v>207</v>
      </c>
      <c r="CU3" s="228">
        <v>63</v>
      </c>
      <c r="CV3" s="229">
        <v>0.30320000000000003</v>
      </c>
      <c r="CW3" s="230">
        <v>1664</v>
      </c>
      <c r="CX3" s="230">
        <v>1469</v>
      </c>
      <c r="CY3" s="228">
        <v>195</v>
      </c>
      <c r="CZ3" s="229">
        <v>0.13289999999999999</v>
      </c>
      <c r="DA3" s="228">
        <v>32.65</v>
      </c>
      <c r="DB3" s="228">
        <v>32.81</v>
      </c>
      <c r="DC3" s="228">
        <v>-0.16</v>
      </c>
      <c r="DD3" s="228">
        <v>-0.16</v>
      </c>
      <c r="DE3" s="228">
        <v>35.090000000000003</v>
      </c>
      <c r="DF3" s="228">
        <v>33.909999999999997</v>
      </c>
      <c r="DG3" s="228">
        <v>-2.44</v>
      </c>
      <c r="DH3" s="228">
        <v>1.18</v>
      </c>
      <c r="DI3" s="228">
        <v>32.1</v>
      </c>
      <c r="DJ3" s="228">
        <v>32.159999999999997</v>
      </c>
      <c r="DK3" s="228">
        <v>-0.06</v>
      </c>
      <c r="DL3" s="228">
        <v>-0.06</v>
      </c>
      <c r="DM3" s="228">
        <v>34.31</v>
      </c>
      <c r="DN3" s="228">
        <v>33.67</v>
      </c>
      <c r="DO3" s="228">
        <v>0.64</v>
      </c>
      <c r="DP3" s="228">
        <v>0.64</v>
      </c>
      <c r="DQ3" s="228">
        <v>0.97</v>
      </c>
      <c r="DR3" s="228">
        <v>1.34</v>
      </c>
      <c r="DS3" s="228">
        <v>-0.37</v>
      </c>
      <c r="DT3" s="229">
        <v>-0.27610000000000001</v>
      </c>
      <c r="DU3" s="231">
        <v>5000</v>
      </c>
      <c r="DV3" s="231">
        <v>5000</v>
      </c>
      <c r="DW3" s="228">
        <v>0.33</v>
      </c>
      <c r="DX3" s="228">
        <v>0.86</v>
      </c>
      <c r="DY3" s="228">
        <v>-0.53</v>
      </c>
      <c r="DZ3" s="229">
        <v>-0.61629999999999996</v>
      </c>
      <c r="EA3" s="229">
        <v>2.5600000000000001E-2</v>
      </c>
      <c r="EB3" s="230">
        <v>2184250</v>
      </c>
      <c r="EC3" s="229">
        <v>3.0000000000000001E-3</v>
      </c>
      <c r="ED3" s="229">
        <v>2.5600000000000001E-2</v>
      </c>
      <c r="EE3" s="228">
        <v>4.9000000000000004</v>
      </c>
      <c r="EF3" s="229">
        <v>1E-3</v>
      </c>
      <c r="EG3" s="230">
        <v>142770</v>
      </c>
      <c r="EH3" s="230">
        <v>98131</v>
      </c>
      <c r="EI3" s="229">
        <v>0.45490000000000003</v>
      </c>
      <c r="EJ3" s="229">
        <v>0.32990000000000003</v>
      </c>
      <c r="EK3" s="231">
        <v>2555.1999999999998</v>
      </c>
      <c r="EL3" s="228">
        <v>777.02</v>
      </c>
      <c r="EM3" s="228">
        <v>482.4</v>
      </c>
      <c r="EN3" s="228">
        <v>144.06</v>
      </c>
      <c r="EO3" s="231">
        <v>3814.63</v>
      </c>
      <c r="EP3" s="231">
        <v>1491.97</v>
      </c>
      <c r="EQ3" s="231">
        <v>2322.65</v>
      </c>
      <c r="ER3" s="229">
        <v>1.5568</v>
      </c>
      <c r="ES3" s="228">
        <v>286.39999999999998</v>
      </c>
      <c r="ET3" s="228">
        <v>261.43</v>
      </c>
      <c r="EU3" s="231">
        <v>1116.6300000000001</v>
      </c>
      <c r="EV3" s="231">
        <v>7946564</v>
      </c>
      <c r="EW3" s="231">
        <v>1664.46</v>
      </c>
      <c r="EX3" s="231">
        <v>1391.89</v>
      </c>
      <c r="EY3" s="228">
        <v>272.57</v>
      </c>
      <c r="EZ3" s="229">
        <v>0.1958</v>
      </c>
      <c r="FA3" s="229">
        <v>0.4133</v>
      </c>
      <c r="FB3" s="227" t="s">
        <v>555</v>
      </c>
      <c r="FC3">
        <f t="shared" ref="FC3:FC66" si="0">BY3-CC3</f>
        <v>29</v>
      </c>
    </row>
    <row r="4" spans="1:159" ht="17.25" thickBot="1" x14ac:dyDescent="0.3">
      <c r="A4" s="226">
        <v>46050</v>
      </c>
      <c r="B4" s="227" t="s">
        <v>175</v>
      </c>
      <c r="C4" s="227" t="s">
        <v>544</v>
      </c>
      <c r="D4" s="228">
        <v>3100</v>
      </c>
      <c r="E4" s="228">
        <v>27</v>
      </c>
      <c r="F4" s="228">
        <v>350.65</v>
      </c>
      <c r="G4" s="228">
        <v>351.2</v>
      </c>
      <c r="H4" s="228">
        <v>-0.55000000000000004</v>
      </c>
      <c r="I4" s="229">
        <v>-1.6000000000000001E-3</v>
      </c>
      <c r="J4" s="228">
        <v>348.3</v>
      </c>
      <c r="K4" s="228">
        <v>348.9</v>
      </c>
      <c r="L4" s="228">
        <v>-0.6</v>
      </c>
      <c r="M4" s="229">
        <v>-1.6999999999999999E-3</v>
      </c>
      <c r="N4" s="228">
        <v>350.65</v>
      </c>
      <c r="O4" s="228">
        <v>348.75</v>
      </c>
      <c r="P4" s="228">
        <v>1.9</v>
      </c>
      <c r="Q4" s="229">
        <v>5.4000000000000003E-3</v>
      </c>
      <c r="R4" s="228">
        <v>352.4</v>
      </c>
      <c r="S4" s="228">
        <v>351.2</v>
      </c>
      <c r="T4" s="228">
        <v>1.2</v>
      </c>
      <c r="U4" s="229">
        <v>3.3999999999999998E-3</v>
      </c>
      <c r="V4" s="228">
        <v>357</v>
      </c>
      <c r="W4" s="228">
        <v>353.2</v>
      </c>
      <c r="X4" s="228">
        <v>3.8</v>
      </c>
      <c r="Y4" s="229">
        <v>1.0800000000000001E-2</v>
      </c>
      <c r="Z4" s="228">
        <v>2.35</v>
      </c>
      <c r="AA4" s="228">
        <v>2.2999999999999998</v>
      </c>
      <c r="AB4" s="228">
        <v>0.05</v>
      </c>
      <c r="AC4" s="229">
        <v>6.7000000000000002E-3</v>
      </c>
      <c r="AD4" s="228">
        <v>2.35</v>
      </c>
      <c r="AE4" s="228">
        <v>-0.15</v>
      </c>
      <c r="AF4" s="228">
        <v>2.5</v>
      </c>
      <c r="AG4" s="229">
        <v>6.7000000000000002E-3</v>
      </c>
      <c r="AH4" s="228">
        <v>4.0999999999999996</v>
      </c>
      <c r="AI4" s="228">
        <v>2.2999999999999998</v>
      </c>
      <c r="AJ4" s="228">
        <v>1.8</v>
      </c>
      <c r="AK4" s="229">
        <v>1.18E-2</v>
      </c>
      <c r="AL4" s="228">
        <v>8.6999999999999993</v>
      </c>
      <c r="AM4" s="228">
        <v>4.3</v>
      </c>
      <c r="AN4" s="228">
        <v>4.4000000000000004</v>
      </c>
      <c r="AO4" s="229">
        <v>2.5000000000000001E-2</v>
      </c>
      <c r="AP4" s="228">
        <v>350.1</v>
      </c>
      <c r="AQ4" s="228">
        <v>351.36</v>
      </c>
      <c r="AR4" s="228">
        <v>0</v>
      </c>
      <c r="AS4" s="228">
        <v>313</v>
      </c>
      <c r="AT4" s="230">
        <v>1079</v>
      </c>
      <c r="AU4" s="228">
        <v>-766</v>
      </c>
      <c r="AV4" s="229">
        <v>-0.7097</v>
      </c>
      <c r="AW4" s="228">
        <v>295</v>
      </c>
      <c r="AX4" s="228">
        <v>419</v>
      </c>
      <c r="AY4" s="228">
        <v>-124</v>
      </c>
      <c r="AZ4" s="229">
        <v>-0.29549999999999998</v>
      </c>
      <c r="BA4" s="228">
        <v>18</v>
      </c>
      <c r="BB4" s="228">
        <v>652</v>
      </c>
      <c r="BC4" s="228">
        <v>-634</v>
      </c>
      <c r="BD4" s="229">
        <v>-0.97199999999999998</v>
      </c>
      <c r="BE4" s="228">
        <v>0</v>
      </c>
      <c r="BF4" s="228">
        <v>9</v>
      </c>
      <c r="BG4" s="228">
        <v>-9</v>
      </c>
      <c r="BH4" s="229">
        <v>-0.98780000000000001</v>
      </c>
      <c r="BI4" s="228">
        <v>546</v>
      </c>
      <c r="BJ4" s="228">
        <v>769</v>
      </c>
      <c r="BK4" s="228">
        <v>-223</v>
      </c>
      <c r="BL4" s="229">
        <v>-0.29049999999999998</v>
      </c>
      <c r="BM4" s="228">
        <v>270</v>
      </c>
      <c r="BN4" s="228">
        <v>845</v>
      </c>
      <c r="BO4" s="228">
        <v>-574</v>
      </c>
      <c r="BP4" s="229">
        <v>-0.67989999999999995</v>
      </c>
      <c r="BQ4" s="230">
        <v>1130</v>
      </c>
      <c r="BR4" s="230">
        <v>2693</v>
      </c>
      <c r="BS4" s="230">
        <v>-1564</v>
      </c>
      <c r="BT4" s="229">
        <v>-0.5806</v>
      </c>
      <c r="BU4" s="230">
        <v>5455728</v>
      </c>
      <c r="BV4" s="230">
        <v>3582049</v>
      </c>
      <c r="BW4" s="230">
        <v>1873679</v>
      </c>
      <c r="BX4" s="229">
        <v>0.52310000000000001</v>
      </c>
      <c r="BY4" s="230">
        <v>2676</v>
      </c>
      <c r="BZ4" s="230">
        <v>2669</v>
      </c>
      <c r="CA4" s="228">
        <v>7</v>
      </c>
      <c r="CB4" s="229">
        <v>2.8E-3</v>
      </c>
      <c r="CC4" s="230">
        <v>2643</v>
      </c>
      <c r="CD4" s="228">
        <v>58</v>
      </c>
      <c r="CE4" s="230">
        <v>2586</v>
      </c>
      <c r="CF4" s="229">
        <v>44.881100000000004</v>
      </c>
      <c r="CG4" s="228">
        <v>33</v>
      </c>
      <c r="CH4" s="230">
        <v>2639</v>
      </c>
      <c r="CI4" s="230">
        <v>-2606</v>
      </c>
      <c r="CJ4" s="229">
        <v>-0.98750000000000004</v>
      </c>
      <c r="CK4" s="228">
        <v>0</v>
      </c>
      <c r="CL4" s="228">
        <v>30</v>
      </c>
      <c r="CM4" s="228">
        <v>-30</v>
      </c>
      <c r="CN4" s="229">
        <v>-0.99639999999999995</v>
      </c>
      <c r="CO4" s="228">
        <v>278</v>
      </c>
      <c r="CP4" s="228">
        <v>223</v>
      </c>
      <c r="CQ4" s="228">
        <v>54</v>
      </c>
      <c r="CR4" s="229">
        <v>0.2437</v>
      </c>
      <c r="CS4" s="228">
        <v>209</v>
      </c>
      <c r="CT4" s="228">
        <v>178</v>
      </c>
      <c r="CU4" s="228">
        <v>31</v>
      </c>
      <c r="CV4" s="229">
        <v>0.1734</v>
      </c>
      <c r="CW4" s="230">
        <v>3163</v>
      </c>
      <c r="CX4" s="230">
        <v>3070</v>
      </c>
      <c r="CY4" s="228">
        <v>93</v>
      </c>
      <c r="CZ4" s="229">
        <v>3.0200000000000001E-2</v>
      </c>
      <c r="DA4" s="228">
        <v>36.119999999999997</v>
      </c>
      <c r="DB4" s="228">
        <v>37.35</v>
      </c>
      <c r="DC4" s="228">
        <v>-1.23</v>
      </c>
      <c r="DD4" s="228">
        <v>-1.23</v>
      </c>
      <c r="DE4" s="228">
        <v>37.33</v>
      </c>
      <c r="DF4" s="228">
        <v>37.42</v>
      </c>
      <c r="DG4" s="228">
        <v>-1.21</v>
      </c>
      <c r="DH4" s="228">
        <v>-0.09</v>
      </c>
      <c r="DI4" s="228">
        <v>35.75</v>
      </c>
      <c r="DJ4" s="228">
        <v>36.630000000000003</v>
      </c>
      <c r="DK4" s="228">
        <v>-0.88</v>
      </c>
      <c r="DL4" s="228">
        <v>-0.88</v>
      </c>
      <c r="DM4" s="228">
        <v>36.86</v>
      </c>
      <c r="DN4" s="228">
        <v>38.159999999999997</v>
      </c>
      <c r="DO4" s="228">
        <v>-1.3</v>
      </c>
      <c r="DP4" s="228">
        <v>-1.3</v>
      </c>
      <c r="DQ4" s="228">
        <v>0.75</v>
      </c>
      <c r="DR4" s="228">
        <v>0.8</v>
      </c>
      <c r="DS4" s="228">
        <v>-0.05</v>
      </c>
      <c r="DT4" s="229">
        <v>-6.25E-2</v>
      </c>
      <c r="DU4" s="228">
        <v>360</v>
      </c>
      <c r="DV4" s="228">
        <v>350</v>
      </c>
      <c r="DW4" s="228">
        <v>0.5</v>
      </c>
      <c r="DX4" s="228">
        <v>1.1000000000000001</v>
      </c>
      <c r="DY4" s="228">
        <v>-0.6</v>
      </c>
      <c r="DZ4" s="229">
        <v>-0.54549999999999998</v>
      </c>
      <c r="EA4" s="229">
        <v>1.23E-2</v>
      </c>
      <c r="EB4" s="230">
        <v>76114300</v>
      </c>
      <c r="EC4" s="229">
        <v>5.0000000000000001E-3</v>
      </c>
      <c r="ED4" s="229">
        <v>1.23E-2</v>
      </c>
      <c r="EE4" s="228">
        <v>1.26</v>
      </c>
      <c r="EF4" s="229">
        <v>3.5999999999999999E-3</v>
      </c>
      <c r="EG4" s="230">
        <v>2973593</v>
      </c>
      <c r="EH4" s="230">
        <v>1194094</v>
      </c>
      <c r="EI4" s="229">
        <v>1.4903</v>
      </c>
      <c r="EJ4" s="229">
        <v>0.54500000000000004</v>
      </c>
      <c r="EK4" s="228">
        <v>580.08000000000004</v>
      </c>
      <c r="EL4" s="228">
        <v>267.83999999999997</v>
      </c>
      <c r="EM4" s="228">
        <v>312.85000000000002</v>
      </c>
      <c r="EN4" s="228">
        <v>184.28</v>
      </c>
      <c r="EO4" s="231">
        <v>1160.77</v>
      </c>
      <c r="EP4" s="231">
        <v>2699.28</v>
      </c>
      <c r="EQ4" s="231">
        <v>-1538.51</v>
      </c>
      <c r="ER4" s="229">
        <v>-0.56999999999999995</v>
      </c>
      <c r="ES4" s="228">
        <v>286.3</v>
      </c>
      <c r="ET4" s="228">
        <v>199.29</v>
      </c>
      <c r="EU4" s="231">
        <v>2676.51</v>
      </c>
      <c r="EV4" s="231">
        <v>122657000</v>
      </c>
      <c r="EW4" s="231">
        <v>3162.1</v>
      </c>
      <c r="EX4" s="231">
        <v>3072.83</v>
      </c>
      <c r="EY4" s="228">
        <v>89.27</v>
      </c>
      <c r="EZ4" s="229">
        <v>2.9100000000000001E-2</v>
      </c>
      <c r="FA4" s="229">
        <v>0.73550000000000004</v>
      </c>
      <c r="FB4" s="227" t="s">
        <v>567</v>
      </c>
      <c r="FC4">
        <f t="shared" si="0"/>
        <v>33</v>
      </c>
    </row>
    <row r="5" spans="1:159" ht="17.25" thickBot="1" x14ac:dyDescent="0.3">
      <c r="A5" s="226">
        <v>46050</v>
      </c>
      <c r="B5" s="227" t="s">
        <v>161</v>
      </c>
      <c r="C5" s="227" t="s">
        <v>579</v>
      </c>
      <c r="D5" s="228">
        <v>675</v>
      </c>
      <c r="E5" s="228">
        <v>27</v>
      </c>
      <c r="F5" s="228">
        <v>885.4</v>
      </c>
      <c r="G5" s="228">
        <v>853.4</v>
      </c>
      <c r="H5" s="228">
        <v>32</v>
      </c>
      <c r="I5" s="229">
        <v>3.7499999999999999E-2</v>
      </c>
      <c r="J5" s="228">
        <v>882</v>
      </c>
      <c r="K5" s="228">
        <v>849.1</v>
      </c>
      <c r="L5" s="228">
        <v>32.9</v>
      </c>
      <c r="M5" s="229">
        <v>3.8699999999999998E-2</v>
      </c>
      <c r="N5" s="228">
        <v>885.4</v>
      </c>
      <c r="O5" s="228">
        <v>847.5</v>
      </c>
      <c r="P5" s="228">
        <v>37.9</v>
      </c>
      <c r="Q5" s="229">
        <v>4.4699999999999997E-2</v>
      </c>
      <c r="R5" s="228">
        <v>891.4</v>
      </c>
      <c r="S5" s="228">
        <v>853.4</v>
      </c>
      <c r="T5" s="228">
        <v>38</v>
      </c>
      <c r="U5" s="229">
        <v>4.4499999999999998E-2</v>
      </c>
      <c r="V5" s="228">
        <v>892.7</v>
      </c>
      <c r="W5" s="228">
        <v>857.2</v>
      </c>
      <c r="X5" s="228">
        <v>35.5</v>
      </c>
      <c r="Y5" s="229">
        <v>4.1399999999999999E-2</v>
      </c>
      <c r="Z5" s="228">
        <v>3.4</v>
      </c>
      <c r="AA5" s="228">
        <v>4.3</v>
      </c>
      <c r="AB5" s="228">
        <v>-0.9</v>
      </c>
      <c r="AC5" s="229">
        <v>3.8999999999999998E-3</v>
      </c>
      <c r="AD5" s="228">
        <v>3.4</v>
      </c>
      <c r="AE5" s="228">
        <v>-1.6</v>
      </c>
      <c r="AF5" s="228">
        <v>5</v>
      </c>
      <c r="AG5" s="229">
        <v>3.8999999999999998E-3</v>
      </c>
      <c r="AH5" s="228">
        <v>9.4</v>
      </c>
      <c r="AI5" s="228">
        <v>4.3</v>
      </c>
      <c r="AJ5" s="228">
        <v>5.0999999999999996</v>
      </c>
      <c r="AK5" s="229">
        <v>1.0699999999999999E-2</v>
      </c>
      <c r="AL5" s="228">
        <v>10.7</v>
      </c>
      <c r="AM5" s="228">
        <v>8.1</v>
      </c>
      <c r="AN5" s="228">
        <v>2.6</v>
      </c>
      <c r="AO5" s="229">
        <v>1.21E-2</v>
      </c>
      <c r="AP5" s="228">
        <v>867.31</v>
      </c>
      <c r="AQ5" s="228">
        <v>868.94</v>
      </c>
      <c r="AR5" s="228">
        <v>0</v>
      </c>
      <c r="AS5" s="228">
        <v>311</v>
      </c>
      <c r="AT5" s="230">
        <v>1036</v>
      </c>
      <c r="AU5" s="228">
        <v>-725</v>
      </c>
      <c r="AV5" s="229">
        <v>-0.7</v>
      </c>
      <c r="AW5" s="228">
        <v>300</v>
      </c>
      <c r="AX5" s="228">
        <v>359</v>
      </c>
      <c r="AY5" s="228">
        <v>-59</v>
      </c>
      <c r="AZ5" s="229">
        <v>-0.1638</v>
      </c>
      <c r="BA5" s="228">
        <v>10</v>
      </c>
      <c r="BB5" s="228">
        <v>664</v>
      </c>
      <c r="BC5" s="228">
        <v>-654</v>
      </c>
      <c r="BD5" s="229">
        <v>-0.98440000000000005</v>
      </c>
      <c r="BE5" s="228">
        <v>0</v>
      </c>
      <c r="BF5" s="228">
        <v>13</v>
      </c>
      <c r="BG5" s="228">
        <v>-13</v>
      </c>
      <c r="BH5" s="229">
        <v>-0.96830000000000005</v>
      </c>
      <c r="BI5" s="228">
        <v>494</v>
      </c>
      <c r="BJ5" s="228">
        <v>871</v>
      </c>
      <c r="BK5" s="228">
        <v>-377</v>
      </c>
      <c r="BL5" s="229">
        <v>-0.43280000000000002</v>
      </c>
      <c r="BM5" s="228">
        <v>240</v>
      </c>
      <c r="BN5" s="228">
        <v>596</v>
      </c>
      <c r="BO5" s="228">
        <v>-356</v>
      </c>
      <c r="BP5" s="229">
        <v>-0.59709999999999996</v>
      </c>
      <c r="BQ5" s="230">
        <v>1045</v>
      </c>
      <c r="BR5" s="230">
        <v>2504</v>
      </c>
      <c r="BS5" s="230">
        <v>-1459</v>
      </c>
      <c r="BT5" s="229">
        <v>-0.58250000000000002</v>
      </c>
      <c r="BU5" s="230">
        <v>1949349</v>
      </c>
      <c r="BV5" s="230">
        <v>3898418</v>
      </c>
      <c r="BW5" s="230">
        <v>-1949069</v>
      </c>
      <c r="BX5" s="229">
        <v>-0.5</v>
      </c>
      <c r="BY5" s="230">
        <v>1921</v>
      </c>
      <c r="BZ5" s="230">
        <v>1870</v>
      </c>
      <c r="CA5" s="228">
        <v>51</v>
      </c>
      <c r="CB5" s="229">
        <v>2.7300000000000001E-2</v>
      </c>
      <c r="CC5" s="230">
        <v>1901</v>
      </c>
      <c r="CD5" s="228">
        <v>80</v>
      </c>
      <c r="CE5" s="230">
        <v>1821</v>
      </c>
      <c r="CF5" s="229">
        <v>22.721800000000002</v>
      </c>
      <c r="CG5" s="228">
        <v>20</v>
      </c>
      <c r="CH5" s="230">
        <v>1852</v>
      </c>
      <c r="CI5" s="230">
        <v>-1832</v>
      </c>
      <c r="CJ5" s="229">
        <v>-0.98939999999999995</v>
      </c>
      <c r="CK5" s="228">
        <v>0</v>
      </c>
      <c r="CL5" s="228">
        <v>18</v>
      </c>
      <c r="CM5" s="228">
        <v>-18</v>
      </c>
      <c r="CN5" s="229">
        <v>-0.99339999999999995</v>
      </c>
      <c r="CO5" s="228">
        <v>240</v>
      </c>
      <c r="CP5" s="228">
        <v>231</v>
      </c>
      <c r="CQ5" s="228">
        <v>9</v>
      </c>
      <c r="CR5" s="229">
        <v>3.7400000000000003E-2</v>
      </c>
      <c r="CS5" s="228">
        <v>158</v>
      </c>
      <c r="CT5" s="228">
        <v>148</v>
      </c>
      <c r="CU5" s="228">
        <v>11</v>
      </c>
      <c r="CV5" s="229">
        <v>7.2499999999999995E-2</v>
      </c>
      <c r="CW5" s="230">
        <v>2319</v>
      </c>
      <c r="CX5" s="230">
        <v>2249</v>
      </c>
      <c r="CY5" s="228">
        <v>70</v>
      </c>
      <c r="CZ5" s="229">
        <v>3.1300000000000001E-2</v>
      </c>
      <c r="DA5" s="228">
        <v>42.78</v>
      </c>
      <c r="DB5" s="228">
        <v>46.68</v>
      </c>
      <c r="DC5" s="228">
        <v>-3.9</v>
      </c>
      <c r="DD5" s="228">
        <v>-3.9</v>
      </c>
      <c r="DE5" s="228">
        <v>53.59</v>
      </c>
      <c r="DF5" s="228">
        <v>53.49</v>
      </c>
      <c r="DG5" s="228">
        <v>-10.81</v>
      </c>
      <c r="DH5" s="228">
        <v>0.1</v>
      </c>
      <c r="DI5" s="228">
        <v>42.11</v>
      </c>
      <c r="DJ5" s="228">
        <v>45.95</v>
      </c>
      <c r="DK5" s="228">
        <v>-3.84</v>
      </c>
      <c r="DL5" s="228">
        <v>-3.84</v>
      </c>
      <c r="DM5" s="228">
        <v>44.15</v>
      </c>
      <c r="DN5" s="228">
        <v>47.78</v>
      </c>
      <c r="DO5" s="228">
        <v>-3.63</v>
      </c>
      <c r="DP5" s="228">
        <v>-3.63</v>
      </c>
      <c r="DQ5" s="228">
        <v>0.66</v>
      </c>
      <c r="DR5" s="228">
        <v>0.64</v>
      </c>
      <c r="DS5" s="228">
        <v>0.02</v>
      </c>
      <c r="DT5" s="229">
        <v>3.1300000000000001E-2</v>
      </c>
      <c r="DU5" s="228">
        <v>900</v>
      </c>
      <c r="DV5" s="228">
        <v>800</v>
      </c>
      <c r="DW5" s="228">
        <v>0.49</v>
      </c>
      <c r="DX5" s="228">
        <v>0.68</v>
      </c>
      <c r="DY5" s="228">
        <v>-0.19</v>
      </c>
      <c r="DZ5" s="229">
        <v>-0.27939999999999998</v>
      </c>
      <c r="EA5" s="229">
        <v>1.03E-2</v>
      </c>
      <c r="EB5" s="230">
        <v>21120075</v>
      </c>
      <c r="EC5" s="229">
        <v>6.7999999999999996E-3</v>
      </c>
      <c r="ED5" s="229">
        <v>1.03E-2</v>
      </c>
      <c r="EE5" s="228">
        <v>1.63</v>
      </c>
      <c r="EF5" s="229">
        <v>1.9E-3</v>
      </c>
      <c r="EG5" s="230">
        <v>644265</v>
      </c>
      <c r="EH5" s="230">
        <v>1019998</v>
      </c>
      <c r="EI5" s="229">
        <v>-0.36840000000000001</v>
      </c>
      <c r="EJ5" s="229">
        <v>0.33050000000000002</v>
      </c>
      <c r="EK5" s="228">
        <v>519.58000000000004</v>
      </c>
      <c r="EL5" s="228">
        <v>232.03</v>
      </c>
      <c r="EM5" s="228">
        <v>304.57</v>
      </c>
      <c r="EN5" s="228">
        <v>224.86</v>
      </c>
      <c r="EO5" s="231">
        <v>1056.18</v>
      </c>
      <c r="EP5" s="231">
        <v>2438.91</v>
      </c>
      <c r="EQ5" s="231">
        <v>-1382.73</v>
      </c>
      <c r="ER5" s="229">
        <v>-0.56689999999999996</v>
      </c>
      <c r="ES5" s="228">
        <v>251.8</v>
      </c>
      <c r="ET5" s="228">
        <v>151.72</v>
      </c>
      <c r="EU5" s="231">
        <v>1921.08</v>
      </c>
      <c r="EV5" s="231">
        <v>43791427</v>
      </c>
      <c r="EW5" s="231">
        <v>2324.6</v>
      </c>
      <c r="EX5" s="231">
        <v>2186.04</v>
      </c>
      <c r="EY5" s="228">
        <v>138.56</v>
      </c>
      <c r="EZ5" s="229">
        <v>6.3399999999999998E-2</v>
      </c>
      <c r="FA5" s="229">
        <v>0.59819999999999995</v>
      </c>
      <c r="FB5" s="227" t="s">
        <v>555</v>
      </c>
      <c r="FC5">
        <f t="shared" si="0"/>
        <v>20</v>
      </c>
    </row>
    <row r="6" spans="1:159" ht="17.25" thickBot="1" x14ac:dyDescent="0.3">
      <c r="A6" s="226">
        <v>46050</v>
      </c>
      <c r="B6" s="227" t="s">
        <v>215</v>
      </c>
      <c r="C6" s="227" t="s">
        <v>159</v>
      </c>
      <c r="D6" s="228">
        <v>309</v>
      </c>
      <c r="E6" s="228">
        <v>27</v>
      </c>
      <c r="F6" s="231">
        <v>2004.4</v>
      </c>
      <c r="G6" s="231">
        <v>1969.6</v>
      </c>
      <c r="H6" s="228">
        <v>34.799999999999997</v>
      </c>
      <c r="I6" s="229">
        <v>1.77E-2</v>
      </c>
      <c r="J6" s="231">
        <v>1994.7</v>
      </c>
      <c r="K6" s="231">
        <v>1959.5</v>
      </c>
      <c r="L6" s="228">
        <v>35.200000000000003</v>
      </c>
      <c r="M6" s="229">
        <v>1.7999999999999999E-2</v>
      </c>
      <c r="N6" s="231">
        <v>2004.4</v>
      </c>
      <c r="O6" s="231">
        <v>1956.3</v>
      </c>
      <c r="P6" s="228">
        <v>48.1</v>
      </c>
      <c r="Q6" s="229">
        <v>2.46E-2</v>
      </c>
      <c r="R6" s="231">
        <v>2009.4</v>
      </c>
      <c r="S6" s="231">
        <v>1969.6</v>
      </c>
      <c r="T6" s="228">
        <v>39.799999999999997</v>
      </c>
      <c r="U6" s="229">
        <v>2.0199999999999999E-2</v>
      </c>
      <c r="V6" s="231">
        <v>2018.6</v>
      </c>
      <c r="W6" s="231">
        <v>1974.6</v>
      </c>
      <c r="X6" s="228">
        <v>44</v>
      </c>
      <c r="Y6" s="229">
        <v>2.23E-2</v>
      </c>
      <c r="Z6" s="228">
        <v>9.6999999999999993</v>
      </c>
      <c r="AA6" s="228">
        <v>10.1</v>
      </c>
      <c r="AB6" s="228">
        <v>-0.4</v>
      </c>
      <c r="AC6" s="229">
        <v>4.8999999999999998E-3</v>
      </c>
      <c r="AD6" s="228">
        <v>9.6999999999999993</v>
      </c>
      <c r="AE6" s="228">
        <v>-3.2</v>
      </c>
      <c r="AF6" s="228">
        <v>12.9</v>
      </c>
      <c r="AG6" s="229">
        <v>4.8999999999999998E-3</v>
      </c>
      <c r="AH6" s="228">
        <v>14.7</v>
      </c>
      <c r="AI6" s="228">
        <v>10.1</v>
      </c>
      <c r="AJ6" s="228">
        <v>4.5999999999999996</v>
      </c>
      <c r="AK6" s="229">
        <v>7.4000000000000003E-3</v>
      </c>
      <c r="AL6" s="228">
        <v>23.9</v>
      </c>
      <c r="AM6" s="228">
        <v>15.1</v>
      </c>
      <c r="AN6" s="228">
        <v>8.8000000000000007</v>
      </c>
      <c r="AO6" s="229">
        <v>1.2E-2</v>
      </c>
      <c r="AP6" s="231">
        <v>1993.15</v>
      </c>
      <c r="AQ6" s="231">
        <v>1992.59</v>
      </c>
      <c r="AR6" s="228">
        <v>0</v>
      </c>
      <c r="AS6" s="228">
        <v>597</v>
      </c>
      <c r="AT6" s="230">
        <v>3980</v>
      </c>
      <c r="AU6" s="230">
        <v>-3383</v>
      </c>
      <c r="AV6" s="229">
        <v>-0.85009999999999997</v>
      </c>
      <c r="AW6" s="228">
        <v>556</v>
      </c>
      <c r="AX6" s="230">
        <v>1732</v>
      </c>
      <c r="AY6" s="230">
        <v>-1176</v>
      </c>
      <c r="AZ6" s="229">
        <v>-0.67910000000000004</v>
      </c>
      <c r="BA6" s="228">
        <v>35</v>
      </c>
      <c r="BB6" s="230">
        <v>2183</v>
      </c>
      <c r="BC6" s="230">
        <v>-2148</v>
      </c>
      <c r="BD6" s="229">
        <v>-0.9839</v>
      </c>
      <c r="BE6" s="228">
        <v>6</v>
      </c>
      <c r="BF6" s="228">
        <v>64</v>
      </c>
      <c r="BG6" s="228">
        <v>-59</v>
      </c>
      <c r="BH6" s="229">
        <v>-0.91259999999999997</v>
      </c>
      <c r="BI6" s="230">
        <v>1785</v>
      </c>
      <c r="BJ6" s="230">
        <v>7776</v>
      </c>
      <c r="BK6" s="230">
        <v>-5990</v>
      </c>
      <c r="BL6" s="229">
        <v>-0.77039999999999997</v>
      </c>
      <c r="BM6" s="230">
        <v>1217</v>
      </c>
      <c r="BN6" s="230">
        <v>4208</v>
      </c>
      <c r="BO6" s="230">
        <v>-2991</v>
      </c>
      <c r="BP6" s="229">
        <v>-0.71079999999999999</v>
      </c>
      <c r="BQ6" s="230">
        <v>3599</v>
      </c>
      <c r="BR6" s="230">
        <v>15964</v>
      </c>
      <c r="BS6" s="230">
        <v>-12365</v>
      </c>
      <c r="BT6" s="229">
        <v>-0.77459999999999996</v>
      </c>
      <c r="BU6" s="230">
        <v>2215349</v>
      </c>
      <c r="BV6" s="230">
        <v>5762975</v>
      </c>
      <c r="BW6" s="230">
        <v>-3547626</v>
      </c>
      <c r="BX6" s="229">
        <v>-0.61560000000000004</v>
      </c>
      <c r="BY6" s="230">
        <v>4033</v>
      </c>
      <c r="BZ6" s="230">
        <v>4025</v>
      </c>
      <c r="CA6" s="228">
        <v>9</v>
      </c>
      <c r="CB6" s="229">
        <v>2.0999999999999999E-3</v>
      </c>
      <c r="CC6" s="230">
        <v>3905</v>
      </c>
      <c r="CD6" s="228">
        <v>361</v>
      </c>
      <c r="CE6" s="230">
        <v>3543</v>
      </c>
      <c r="CF6" s="229">
        <v>9.8042999999999996</v>
      </c>
      <c r="CG6" s="228">
        <v>124</v>
      </c>
      <c r="CH6" s="230">
        <v>3903</v>
      </c>
      <c r="CI6" s="230">
        <v>-3779</v>
      </c>
      <c r="CJ6" s="229">
        <v>-0.96830000000000005</v>
      </c>
      <c r="CK6" s="228">
        <v>5</v>
      </c>
      <c r="CL6" s="228">
        <v>122</v>
      </c>
      <c r="CM6" s="228">
        <v>-117</v>
      </c>
      <c r="CN6" s="229">
        <v>-0.96089999999999998</v>
      </c>
      <c r="CO6" s="230">
        <v>1062</v>
      </c>
      <c r="CP6" s="228">
        <v>990</v>
      </c>
      <c r="CQ6" s="228">
        <v>72</v>
      </c>
      <c r="CR6" s="229">
        <v>7.2599999999999998E-2</v>
      </c>
      <c r="CS6" s="230">
        <v>1152</v>
      </c>
      <c r="CT6" s="230">
        <v>1007</v>
      </c>
      <c r="CU6" s="228">
        <v>145</v>
      </c>
      <c r="CV6" s="229">
        <v>0.14410000000000001</v>
      </c>
      <c r="CW6" s="230">
        <v>6247</v>
      </c>
      <c r="CX6" s="230">
        <v>6021</v>
      </c>
      <c r="CY6" s="228">
        <v>226</v>
      </c>
      <c r="CZ6" s="229">
        <v>3.7499999999999999E-2</v>
      </c>
      <c r="DA6" s="228">
        <v>43.61</v>
      </c>
      <c r="DB6" s="228">
        <v>49.76</v>
      </c>
      <c r="DC6" s="228">
        <v>-6.15</v>
      </c>
      <c r="DD6" s="228">
        <v>-6.15</v>
      </c>
      <c r="DE6" s="228">
        <v>48.03</v>
      </c>
      <c r="DF6" s="228">
        <v>48.09</v>
      </c>
      <c r="DG6" s="228">
        <v>-4.42</v>
      </c>
      <c r="DH6" s="228">
        <v>-0.06</v>
      </c>
      <c r="DI6" s="228">
        <v>42.02</v>
      </c>
      <c r="DJ6" s="228">
        <v>48.2</v>
      </c>
      <c r="DK6" s="228">
        <v>-6.18</v>
      </c>
      <c r="DL6" s="228">
        <v>-6.18</v>
      </c>
      <c r="DM6" s="228">
        <v>45.94</v>
      </c>
      <c r="DN6" s="228">
        <v>52.22</v>
      </c>
      <c r="DO6" s="228">
        <v>-6.28</v>
      </c>
      <c r="DP6" s="228">
        <v>-6.28</v>
      </c>
      <c r="DQ6" s="228">
        <v>1.08</v>
      </c>
      <c r="DR6" s="228">
        <v>1.02</v>
      </c>
      <c r="DS6" s="228">
        <v>0.06</v>
      </c>
      <c r="DT6" s="229">
        <v>5.8799999999999998E-2</v>
      </c>
      <c r="DU6" s="231">
        <v>2200</v>
      </c>
      <c r="DV6" s="231">
        <v>2200</v>
      </c>
      <c r="DW6" s="228">
        <v>0.68</v>
      </c>
      <c r="DX6" s="228">
        <v>0.54</v>
      </c>
      <c r="DY6" s="228">
        <v>0.14000000000000001</v>
      </c>
      <c r="DZ6" s="229">
        <v>0.25929999999999997</v>
      </c>
      <c r="EA6" s="229">
        <v>3.1899999999999998E-2</v>
      </c>
      <c r="EB6" s="230">
        <v>20078511</v>
      </c>
      <c r="EC6" s="229">
        <v>2.5000000000000001E-3</v>
      </c>
      <c r="ED6" s="229">
        <v>3.1899999999999998E-2</v>
      </c>
      <c r="EE6" s="228">
        <v>-0.56000000000000005</v>
      </c>
      <c r="EF6" s="229">
        <v>-2.9999999999999997E-4</v>
      </c>
      <c r="EG6" s="230">
        <v>649441</v>
      </c>
      <c r="EH6" s="230">
        <v>878100</v>
      </c>
      <c r="EI6" s="229">
        <v>-0.26040000000000002</v>
      </c>
      <c r="EJ6" s="229">
        <v>0.29320000000000002</v>
      </c>
      <c r="EK6" s="231">
        <v>1915.11</v>
      </c>
      <c r="EL6" s="231">
        <v>1201.76</v>
      </c>
      <c r="EM6" s="228">
        <v>593.37</v>
      </c>
      <c r="EN6" s="228">
        <v>545.69000000000005</v>
      </c>
      <c r="EO6" s="231">
        <v>3710.24</v>
      </c>
      <c r="EP6" s="231">
        <v>16156.23</v>
      </c>
      <c r="EQ6" s="231">
        <v>-12445.99</v>
      </c>
      <c r="ER6" s="229">
        <v>-0.77039999999999997</v>
      </c>
      <c r="ES6" s="231">
        <v>1129.54</v>
      </c>
      <c r="ET6" s="231">
        <v>1155.8499999999999</v>
      </c>
      <c r="EU6" s="231">
        <v>4033.49</v>
      </c>
      <c r="EV6" s="231">
        <v>49117354</v>
      </c>
      <c r="EW6" s="231">
        <v>6318.88</v>
      </c>
      <c r="EX6" s="231">
        <v>6024.08</v>
      </c>
      <c r="EY6" s="228">
        <v>294.8</v>
      </c>
      <c r="EZ6" s="229">
        <v>4.8899999999999999E-2</v>
      </c>
      <c r="FA6" s="229">
        <v>0.63449999999999995</v>
      </c>
      <c r="FB6" s="227" t="s">
        <v>555</v>
      </c>
      <c r="FC6">
        <f t="shared" si="0"/>
        <v>128</v>
      </c>
    </row>
    <row r="7" spans="1:159" ht="17.25" thickBot="1" x14ac:dyDescent="0.3">
      <c r="A7" s="226">
        <v>46050</v>
      </c>
      <c r="B7" s="227" t="s">
        <v>161</v>
      </c>
      <c r="C7" s="227" t="s">
        <v>606</v>
      </c>
      <c r="D7" s="228">
        <v>600</v>
      </c>
      <c r="E7" s="228">
        <v>27</v>
      </c>
      <c r="F7" s="228">
        <v>825.8</v>
      </c>
      <c r="G7" s="228">
        <v>804.4</v>
      </c>
      <c r="H7" s="228">
        <v>21.4</v>
      </c>
      <c r="I7" s="229">
        <v>2.6599999999999999E-2</v>
      </c>
      <c r="J7" s="228">
        <v>822.9</v>
      </c>
      <c r="K7" s="228">
        <v>799.1</v>
      </c>
      <c r="L7" s="228">
        <v>23.8</v>
      </c>
      <c r="M7" s="229">
        <v>2.98E-2</v>
      </c>
      <c r="N7" s="228">
        <v>825.8</v>
      </c>
      <c r="O7" s="228">
        <v>799.1</v>
      </c>
      <c r="P7" s="228">
        <v>26.7</v>
      </c>
      <c r="Q7" s="229">
        <v>3.3399999999999999E-2</v>
      </c>
      <c r="R7" s="228">
        <v>831</v>
      </c>
      <c r="S7" s="228">
        <v>804.4</v>
      </c>
      <c r="T7" s="228">
        <v>26.6</v>
      </c>
      <c r="U7" s="229">
        <v>3.3099999999999997E-2</v>
      </c>
      <c r="V7" s="228">
        <v>836.9</v>
      </c>
      <c r="W7" s="228">
        <v>809.7</v>
      </c>
      <c r="X7" s="228">
        <v>27.2</v>
      </c>
      <c r="Y7" s="229">
        <v>3.3599999999999998E-2</v>
      </c>
      <c r="Z7" s="228">
        <v>2.9</v>
      </c>
      <c r="AA7" s="228">
        <v>5.3</v>
      </c>
      <c r="AB7" s="228">
        <v>-2.4</v>
      </c>
      <c r="AC7" s="229">
        <v>3.5000000000000001E-3</v>
      </c>
      <c r="AD7" s="228">
        <v>2.9</v>
      </c>
      <c r="AE7" s="228">
        <v>0</v>
      </c>
      <c r="AF7" s="228">
        <v>2.9</v>
      </c>
      <c r="AG7" s="229">
        <v>3.5000000000000001E-3</v>
      </c>
      <c r="AH7" s="228">
        <v>8.1</v>
      </c>
      <c r="AI7" s="228">
        <v>5.3</v>
      </c>
      <c r="AJ7" s="228">
        <v>2.8</v>
      </c>
      <c r="AK7" s="229">
        <v>9.7999999999999997E-3</v>
      </c>
      <c r="AL7" s="228">
        <v>14</v>
      </c>
      <c r="AM7" s="228">
        <v>10.6</v>
      </c>
      <c r="AN7" s="228">
        <v>3.4</v>
      </c>
      <c r="AO7" s="229">
        <v>1.7000000000000001E-2</v>
      </c>
      <c r="AP7" s="228">
        <v>813.46</v>
      </c>
      <c r="AQ7" s="228">
        <v>815.93</v>
      </c>
      <c r="AR7" s="228">
        <v>0</v>
      </c>
      <c r="AS7" s="228">
        <v>363</v>
      </c>
      <c r="AT7" s="230">
        <v>2147</v>
      </c>
      <c r="AU7" s="230">
        <v>-1785</v>
      </c>
      <c r="AV7" s="229">
        <v>-0.83109999999999995</v>
      </c>
      <c r="AW7" s="228">
        <v>341</v>
      </c>
      <c r="AX7" s="228">
        <v>846</v>
      </c>
      <c r="AY7" s="228">
        <v>-505</v>
      </c>
      <c r="AZ7" s="229">
        <v>-0.59670000000000001</v>
      </c>
      <c r="BA7" s="228">
        <v>18</v>
      </c>
      <c r="BB7" s="230">
        <v>1269</v>
      </c>
      <c r="BC7" s="230">
        <v>-1251</v>
      </c>
      <c r="BD7" s="229">
        <v>-0.98560000000000003</v>
      </c>
      <c r="BE7" s="228">
        <v>3</v>
      </c>
      <c r="BF7" s="228">
        <v>33</v>
      </c>
      <c r="BG7" s="228">
        <v>-29</v>
      </c>
      <c r="BH7" s="229">
        <v>-0.9002</v>
      </c>
      <c r="BI7" s="230">
        <v>1000</v>
      </c>
      <c r="BJ7" s="230">
        <v>3731</v>
      </c>
      <c r="BK7" s="230">
        <v>-2731</v>
      </c>
      <c r="BL7" s="229">
        <v>-0.73209999999999997</v>
      </c>
      <c r="BM7" s="228">
        <v>509</v>
      </c>
      <c r="BN7" s="230">
        <v>2203</v>
      </c>
      <c r="BO7" s="230">
        <v>-1694</v>
      </c>
      <c r="BP7" s="229">
        <v>-0.76890000000000003</v>
      </c>
      <c r="BQ7" s="230">
        <v>1871</v>
      </c>
      <c r="BR7" s="230">
        <v>8081</v>
      </c>
      <c r="BS7" s="230">
        <v>-6210</v>
      </c>
      <c r="BT7" s="229">
        <v>-0.76839999999999997</v>
      </c>
      <c r="BU7" s="230">
        <v>4723424</v>
      </c>
      <c r="BV7" s="230">
        <v>15184194</v>
      </c>
      <c r="BW7" s="230">
        <v>-10460770</v>
      </c>
      <c r="BX7" s="229">
        <v>-0.68889999999999996</v>
      </c>
      <c r="BY7" s="230">
        <v>1899</v>
      </c>
      <c r="BZ7" s="230">
        <v>1895</v>
      </c>
      <c r="CA7" s="228">
        <v>4</v>
      </c>
      <c r="CB7" s="229">
        <v>2.0999999999999999E-3</v>
      </c>
      <c r="CC7" s="230">
        <v>1857</v>
      </c>
      <c r="CD7" s="228">
        <v>66</v>
      </c>
      <c r="CE7" s="230">
        <v>1791</v>
      </c>
      <c r="CF7" s="229">
        <v>27.260200000000001</v>
      </c>
      <c r="CG7" s="228">
        <v>40</v>
      </c>
      <c r="CH7" s="230">
        <v>1858</v>
      </c>
      <c r="CI7" s="230">
        <v>-1817</v>
      </c>
      <c r="CJ7" s="229">
        <v>-0.97829999999999995</v>
      </c>
      <c r="CK7" s="228">
        <v>2</v>
      </c>
      <c r="CL7" s="228">
        <v>37</v>
      </c>
      <c r="CM7" s="228">
        <v>-35</v>
      </c>
      <c r="CN7" s="229">
        <v>-0.95469999999999999</v>
      </c>
      <c r="CO7" s="228">
        <v>549</v>
      </c>
      <c r="CP7" s="228">
        <v>448</v>
      </c>
      <c r="CQ7" s="228">
        <v>102</v>
      </c>
      <c r="CR7" s="229">
        <v>0.22689999999999999</v>
      </c>
      <c r="CS7" s="228">
        <v>443</v>
      </c>
      <c r="CT7" s="228">
        <v>369</v>
      </c>
      <c r="CU7" s="228">
        <v>74</v>
      </c>
      <c r="CV7" s="229">
        <v>0.20169999999999999</v>
      </c>
      <c r="CW7" s="230">
        <v>2891</v>
      </c>
      <c r="CX7" s="230">
        <v>2711</v>
      </c>
      <c r="CY7" s="228">
        <v>180</v>
      </c>
      <c r="CZ7" s="229">
        <v>6.6400000000000001E-2</v>
      </c>
      <c r="DA7" s="228">
        <v>46.93</v>
      </c>
      <c r="DB7" s="228">
        <v>54.95</v>
      </c>
      <c r="DC7" s="228">
        <v>-8.02</v>
      </c>
      <c r="DD7" s="228">
        <v>-8.02</v>
      </c>
      <c r="DE7" s="228">
        <v>57.5</v>
      </c>
      <c r="DF7" s="228">
        <v>57.54</v>
      </c>
      <c r="DG7" s="228">
        <v>-10.57</v>
      </c>
      <c r="DH7" s="228">
        <v>-0.04</v>
      </c>
      <c r="DI7" s="228">
        <v>45.96</v>
      </c>
      <c r="DJ7" s="228">
        <v>54.75</v>
      </c>
      <c r="DK7" s="228">
        <v>-8.7899999999999991</v>
      </c>
      <c r="DL7" s="228">
        <v>-8.7899999999999991</v>
      </c>
      <c r="DM7" s="228">
        <v>48.86</v>
      </c>
      <c r="DN7" s="228">
        <v>55.33</v>
      </c>
      <c r="DO7" s="228">
        <v>-6.47</v>
      </c>
      <c r="DP7" s="228">
        <v>-6.47</v>
      </c>
      <c r="DQ7" s="228">
        <v>0.81</v>
      </c>
      <c r="DR7" s="228">
        <v>0.82</v>
      </c>
      <c r="DS7" s="228">
        <v>-0.01</v>
      </c>
      <c r="DT7" s="229">
        <v>-1.2200000000000001E-2</v>
      </c>
      <c r="DU7" s="231">
        <v>1000</v>
      </c>
      <c r="DV7" s="228">
        <v>800</v>
      </c>
      <c r="DW7" s="228">
        <v>0.51</v>
      </c>
      <c r="DX7" s="228">
        <v>0.59</v>
      </c>
      <c r="DY7" s="228">
        <v>-0.08</v>
      </c>
      <c r="DZ7" s="229">
        <v>-0.1356</v>
      </c>
      <c r="EA7" s="229">
        <v>2.2100000000000002E-2</v>
      </c>
      <c r="EB7" s="230">
        <v>22944000</v>
      </c>
      <c r="EC7" s="229">
        <v>6.3E-3</v>
      </c>
      <c r="ED7" s="229">
        <v>2.2100000000000002E-2</v>
      </c>
      <c r="EE7" s="228">
        <v>2.4700000000000002</v>
      </c>
      <c r="EF7" s="229">
        <v>3.0000000000000001E-3</v>
      </c>
      <c r="EG7" s="230">
        <v>1438575</v>
      </c>
      <c r="EH7" s="230">
        <v>2332050</v>
      </c>
      <c r="EI7" s="229">
        <v>-0.3831</v>
      </c>
      <c r="EJ7" s="229">
        <v>0.30459999999999998</v>
      </c>
      <c r="EK7" s="231">
        <v>1082.29</v>
      </c>
      <c r="EL7" s="228">
        <v>490.3</v>
      </c>
      <c r="EM7" s="228">
        <v>357.27</v>
      </c>
      <c r="EN7" s="228">
        <v>335.97</v>
      </c>
      <c r="EO7" s="231">
        <v>1929.86</v>
      </c>
      <c r="EP7" s="231">
        <v>8178.99</v>
      </c>
      <c r="EQ7" s="231">
        <v>-6249.12</v>
      </c>
      <c r="ER7" s="229">
        <v>-0.76400000000000001</v>
      </c>
      <c r="ES7" s="228">
        <v>605.1</v>
      </c>
      <c r="ET7" s="228">
        <v>437.99</v>
      </c>
      <c r="EU7" s="231">
        <v>1898.96</v>
      </c>
      <c r="EV7" s="231">
        <v>92816927</v>
      </c>
      <c r="EW7" s="231">
        <v>2942.05</v>
      </c>
      <c r="EX7" s="231">
        <v>2708.24</v>
      </c>
      <c r="EY7" s="228">
        <v>233.81</v>
      </c>
      <c r="EZ7" s="229">
        <v>8.6300000000000002E-2</v>
      </c>
      <c r="FA7" s="229">
        <v>0.37719999999999998</v>
      </c>
      <c r="FB7" s="227" t="s">
        <v>555</v>
      </c>
      <c r="FC7">
        <f t="shared" si="0"/>
        <v>42</v>
      </c>
    </row>
    <row r="8" spans="1:159" ht="17.25" thickBot="1" x14ac:dyDescent="0.3">
      <c r="A8" s="226">
        <v>46050</v>
      </c>
      <c r="B8" s="227" t="s">
        <v>215</v>
      </c>
      <c r="C8" s="227" t="s">
        <v>160</v>
      </c>
      <c r="D8" s="228">
        <v>475</v>
      </c>
      <c r="E8" s="228">
        <v>27</v>
      </c>
      <c r="F8" s="231">
        <v>1386.9</v>
      </c>
      <c r="G8" s="231">
        <v>1371.3</v>
      </c>
      <c r="H8" s="228">
        <v>15.6</v>
      </c>
      <c r="I8" s="229">
        <v>1.14E-2</v>
      </c>
      <c r="J8" s="231">
        <v>1381.9</v>
      </c>
      <c r="K8" s="231">
        <v>1363.9</v>
      </c>
      <c r="L8" s="228">
        <v>18</v>
      </c>
      <c r="M8" s="229">
        <v>1.32E-2</v>
      </c>
      <c r="N8" s="231">
        <v>1386.9</v>
      </c>
      <c r="O8" s="231">
        <v>1362.5</v>
      </c>
      <c r="P8" s="228">
        <v>24.4</v>
      </c>
      <c r="Q8" s="229">
        <v>1.7899999999999999E-2</v>
      </c>
      <c r="R8" s="231">
        <v>1396.1</v>
      </c>
      <c r="S8" s="231">
        <v>1371.3</v>
      </c>
      <c r="T8" s="228">
        <v>24.8</v>
      </c>
      <c r="U8" s="229">
        <v>1.8100000000000002E-2</v>
      </c>
      <c r="V8" s="231">
        <v>1407.2</v>
      </c>
      <c r="W8" s="231">
        <v>1380.5</v>
      </c>
      <c r="X8" s="228">
        <v>26.7</v>
      </c>
      <c r="Y8" s="229">
        <v>1.9300000000000001E-2</v>
      </c>
      <c r="Z8" s="228">
        <v>5</v>
      </c>
      <c r="AA8" s="228">
        <v>7.4</v>
      </c>
      <c r="AB8" s="228">
        <v>-2.4</v>
      </c>
      <c r="AC8" s="229">
        <v>3.5999999999999999E-3</v>
      </c>
      <c r="AD8" s="228">
        <v>5</v>
      </c>
      <c r="AE8" s="228">
        <v>-1.4</v>
      </c>
      <c r="AF8" s="228">
        <v>6.4</v>
      </c>
      <c r="AG8" s="229">
        <v>3.5999999999999999E-3</v>
      </c>
      <c r="AH8" s="228">
        <v>14.2</v>
      </c>
      <c r="AI8" s="228">
        <v>7.4</v>
      </c>
      <c r="AJ8" s="228">
        <v>6.8</v>
      </c>
      <c r="AK8" s="229">
        <v>1.03E-2</v>
      </c>
      <c r="AL8" s="228">
        <v>25.3</v>
      </c>
      <c r="AM8" s="228">
        <v>16.600000000000001</v>
      </c>
      <c r="AN8" s="228">
        <v>8.6999999999999993</v>
      </c>
      <c r="AO8" s="229">
        <v>1.83E-2</v>
      </c>
      <c r="AP8" s="231">
        <v>1382.62</v>
      </c>
      <c r="AQ8" s="231">
        <v>1390.58</v>
      </c>
      <c r="AR8" s="228">
        <v>0</v>
      </c>
      <c r="AS8" s="228">
        <v>497</v>
      </c>
      <c r="AT8" s="230">
        <v>2275</v>
      </c>
      <c r="AU8" s="230">
        <v>-1778</v>
      </c>
      <c r="AV8" s="229">
        <v>-0.78159999999999996</v>
      </c>
      <c r="AW8" s="228">
        <v>478</v>
      </c>
      <c r="AX8" s="228">
        <v>926</v>
      </c>
      <c r="AY8" s="228">
        <v>-448</v>
      </c>
      <c r="AZ8" s="229">
        <v>-0.48420000000000002</v>
      </c>
      <c r="BA8" s="228">
        <v>17</v>
      </c>
      <c r="BB8" s="230">
        <v>1317</v>
      </c>
      <c r="BC8" s="230">
        <v>-1300</v>
      </c>
      <c r="BD8" s="229">
        <v>-0.98699999999999999</v>
      </c>
      <c r="BE8" s="228">
        <v>2</v>
      </c>
      <c r="BF8" s="228">
        <v>32</v>
      </c>
      <c r="BG8" s="228">
        <v>-30</v>
      </c>
      <c r="BH8" s="229">
        <v>-0.93799999999999994</v>
      </c>
      <c r="BI8" s="230">
        <v>1041</v>
      </c>
      <c r="BJ8" s="230">
        <v>3281</v>
      </c>
      <c r="BK8" s="230">
        <v>-2240</v>
      </c>
      <c r="BL8" s="229">
        <v>-0.68269999999999997</v>
      </c>
      <c r="BM8" s="228">
        <v>646</v>
      </c>
      <c r="BN8" s="230">
        <v>2488</v>
      </c>
      <c r="BO8" s="230">
        <v>-1842</v>
      </c>
      <c r="BP8" s="229">
        <v>-0.74029999999999996</v>
      </c>
      <c r="BQ8" s="230">
        <v>2184</v>
      </c>
      <c r="BR8" s="230">
        <v>8045</v>
      </c>
      <c r="BS8" s="230">
        <v>-5860</v>
      </c>
      <c r="BT8" s="229">
        <v>-0.72850000000000004</v>
      </c>
      <c r="BU8" s="230">
        <v>3888581</v>
      </c>
      <c r="BV8" s="230">
        <v>4006173</v>
      </c>
      <c r="BW8" s="230">
        <v>-117592</v>
      </c>
      <c r="BX8" s="229">
        <v>-2.9399999999999999E-2</v>
      </c>
      <c r="BY8" s="230">
        <v>3444</v>
      </c>
      <c r="BZ8" s="230">
        <v>3523</v>
      </c>
      <c r="CA8" s="228">
        <v>-79</v>
      </c>
      <c r="CB8" s="229">
        <v>-2.2499999999999999E-2</v>
      </c>
      <c r="CC8" s="230">
        <v>3343</v>
      </c>
      <c r="CD8" s="228">
        <v>251</v>
      </c>
      <c r="CE8" s="230">
        <v>3091</v>
      </c>
      <c r="CF8" s="229">
        <v>12.293699999999999</v>
      </c>
      <c r="CG8" s="228">
        <v>99</v>
      </c>
      <c r="CH8" s="230">
        <v>3424</v>
      </c>
      <c r="CI8" s="230">
        <v>-3325</v>
      </c>
      <c r="CJ8" s="229">
        <v>-0.97109999999999996</v>
      </c>
      <c r="CK8" s="228">
        <v>2</v>
      </c>
      <c r="CL8" s="228">
        <v>99</v>
      </c>
      <c r="CM8" s="228">
        <v>-97</v>
      </c>
      <c r="CN8" s="229">
        <v>-0.98209999999999997</v>
      </c>
      <c r="CO8" s="228">
        <v>656</v>
      </c>
      <c r="CP8" s="228">
        <v>530</v>
      </c>
      <c r="CQ8" s="228">
        <v>126</v>
      </c>
      <c r="CR8" s="229">
        <v>0.23799999999999999</v>
      </c>
      <c r="CS8" s="228">
        <v>620</v>
      </c>
      <c r="CT8" s="228">
        <v>554</v>
      </c>
      <c r="CU8" s="228">
        <v>66</v>
      </c>
      <c r="CV8" s="229">
        <v>0.1196</v>
      </c>
      <c r="CW8" s="230">
        <v>4720</v>
      </c>
      <c r="CX8" s="230">
        <v>4607</v>
      </c>
      <c r="CY8" s="228">
        <v>113</v>
      </c>
      <c r="CZ8" s="229">
        <v>2.46E-2</v>
      </c>
      <c r="DA8" s="228">
        <v>32.409999999999997</v>
      </c>
      <c r="DB8" s="228">
        <v>36.08</v>
      </c>
      <c r="DC8" s="228">
        <v>-3.67</v>
      </c>
      <c r="DD8" s="228">
        <v>-3.67</v>
      </c>
      <c r="DE8" s="228">
        <v>36.58</v>
      </c>
      <c r="DF8" s="228">
        <v>36.64</v>
      </c>
      <c r="DG8" s="228">
        <v>-4.17</v>
      </c>
      <c r="DH8" s="228">
        <v>-0.06</v>
      </c>
      <c r="DI8" s="228">
        <v>31.27</v>
      </c>
      <c r="DJ8" s="228">
        <v>34.770000000000003</v>
      </c>
      <c r="DK8" s="228">
        <v>-3.5</v>
      </c>
      <c r="DL8" s="228">
        <v>-3.5</v>
      </c>
      <c r="DM8" s="228">
        <v>34.229999999999997</v>
      </c>
      <c r="DN8" s="228">
        <v>38.25</v>
      </c>
      <c r="DO8" s="228">
        <v>-4.0199999999999996</v>
      </c>
      <c r="DP8" s="228">
        <v>-4.0199999999999996</v>
      </c>
      <c r="DQ8" s="228">
        <v>0.95</v>
      </c>
      <c r="DR8" s="228">
        <v>1.05</v>
      </c>
      <c r="DS8" s="228">
        <v>-0.1</v>
      </c>
      <c r="DT8" s="229">
        <v>-9.5200000000000007E-2</v>
      </c>
      <c r="DU8" s="231">
        <v>1500</v>
      </c>
      <c r="DV8" s="231">
        <v>1400</v>
      </c>
      <c r="DW8" s="228">
        <v>0.62</v>
      </c>
      <c r="DX8" s="228">
        <v>0.76</v>
      </c>
      <c r="DY8" s="228">
        <v>-0.14000000000000001</v>
      </c>
      <c r="DZ8" s="229">
        <v>-0.1842</v>
      </c>
      <c r="EA8" s="229">
        <v>2.93E-2</v>
      </c>
      <c r="EB8" s="230">
        <v>25401575</v>
      </c>
      <c r="EC8" s="229">
        <v>6.6E-3</v>
      </c>
      <c r="ED8" s="229">
        <v>2.93E-2</v>
      </c>
      <c r="EE8" s="228">
        <v>7.96</v>
      </c>
      <c r="EF8" s="229">
        <v>5.7999999999999996E-3</v>
      </c>
      <c r="EG8" s="230">
        <v>2392464</v>
      </c>
      <c r="EH8" s="230">
        <v>1316287</v>
      </c>
      <c r="EI8" s="229">
        <v>0.81759999999999999</v>
      </c>
      <c r="EJ8" s="229">
        <v>0.61529999999999996</v>
      </c>
      <c r="EK8" s="231">
        <v>1100.54</v>
      </c>
      <c r="EL8" s="228">
        <v>635.07000000000005</v>
      </c>
      <c r="EM8" s="228">
        <v>495.44</v>
      </c>
      <c r="EN8" s="228">
        <v>404.99</v>
      </c>
      <c r="EO8" s="231">
        <v>2231.06</v>
      </c>
      <c r="EP8" s="231">
        <v>7983.55</v>
      </c>
      <c r="EQ8" s="231">
        <v>-5752.49</v>
      </c>
      <c r="ER8" s="229">
        <v>-0.72050000000000003</v>
      </c>
      <c r="ES8" s="228">
        <v>683.02</v>
      </c>
      <c r="ET8" s="228">
        <v>601.76</v>
      </c>
      <c r="EU8" s="231">
        <v>3444.31</v>
      </c>
      <c r="EV8" s="231">
        <v>84394936</v>
      </c>
      <c r="EW8" s="231">
        <v>4729.09</v>
      </c>
      <c r="EX8" s="231">
        <v>4570.62</v>
      </c>
      <c r="EY8" s="228">
        <v>158.47</v>
      </c>
      <c r="EZ8" s="229">
        <v>3.4700000000000002E-2</v>
      </c>
      <c r="FA8" s="229">
        <v>0.40329999999999999</v>
      </c>
      <c r="FB8" s="227" t="s">
        <v>556</v>
      </c>
      <c r="FC8">
        <f t="shared" si="0"/>
        <v>101</v>
      </c>
    </row>
    <row r="9" spans="1:159" ht="17.25" thickBot="1" x14ac:dyDescent="0.3">
      <c r="A9" s="226">
        <v>46050</v>
      </c>
      <c r="B9" s="227" t="s">
        <v>170</v>
      </c>
      <c r="C9" s="227" t="s">
        <v>497</v>
      </c>
      <c r="D9" s="228">
        <v>125</v>
      </c>
      <c r="E9" s="228">
        <v>27</v>
      </c>
      <c r="F9" s="231">
        <v>5703</v>
      </c>
      <c r="G9" s="231">
        <v>5750</v>
      </c>
      <c r="H9" s="228">
        <v>-47</v>
      </c>
      <c r="I9" s="229">
        <v>-8.2000000000000007E-3</v>
      </c>
      <c r="J9" s="231">
        <v>5722.5</v>
      </c>
      <c r="K9" s="231">
        <v>5754</v>
      </c>
      <c r="L9" s="228">
        <v>-31.5</v>
      </c>
      <c r="M9" s="229">
        <v>-5.4999999999999997E-3</v>
      </c>
      <c r="N9" s="231">
        <v>5703</v>
      </c>
      <c r="O9" s="231">
        <v>5753.5</v>
      </c>
      <c r="P9" s="228">
        <v>-50.5</v>
      </c>
      <c r="Q9" s="229">
        <v>-8.8000000000000005E-3</v>
      </c>
      <c r="R9" s="231">
        <v>5718</v>
      </c>
      <c r="S9" s="231">
        <v>5750</v>
      </c>
      <c r="T9" s="228">
        <v>-32</v>
      </c>
      <c r="U9" s="229">
        <v>-5.5999999999999999E-3</v>
      </c>
      <c r="V9" s="231">
        <v>5740</v>
      </c>
      <c r="W9" s="231">
        <v>5750</v>
      </c>
      <c r="X9" s="228">
        <v>-10</v>
      </c>
      <c r="Y9" s="229">
        <v>-1.6999999999999999E-3</v>
      </c>
      <c r="Z9" s="228">
        <v>-19.5</v>
      </c>
      <c r="AA9" s="228">
        <v>-4</v>
      </c>
      <c r="AB9" s="228">
        <v>-15.5</v>
      </c>
      <c r="AC9" s="229">
        <v>-3.3999999999999998E-3</v>
      </c>
      <c r="AD9" s="228">
        <v>-19.5</v>
      </c>
      <c r="AE9" s="228">
        <v>-0.5</v>
      </c>
      <c r="AF9" s="228">
        <v>-19</v>
      </c>
      <c r="AG9" s="229">
        <v>-3.3999999999999998E-3</v>
      </c>
      <c r="AH9" s="228">
        <v>-4.5</v>
      </c>
      <c r="AI9" s="228">
        <v>-4</v>
      </c>
      <c r="AJ9" s="228">
        <v>-0.5</v>
      </c>
      <c r="AK9" s="229">
        <v>-8.0000000000000004E-4</v>
      </c>
      <c r="AL9" s="228">
        <v>17.5</v>
      </c>
      <c r="AM9" s="228">
        <v>-4</v>
      </c>
      <c r="AN9" s="228">
        <v>21.5</v>
      </c>
      <c r="AO9" s="229">
        <v>3.0999999999999999E-3</v>
      </c>
      <c r="AP9" s="231">
        <v>5705.68</v>
      </c>
      <c r="AQ9" s="231">
        <v>5704.89</v>
      </c>
      <c r="AR9" s="228">
        <v>0</v>
      </c>
      <c r="AS9" s="228">
        <v>75</v>
      </c>
      <c r="AT9" s="228">
        <v>393</v>
      </c>
      <c r="AU9" s="228">
        <v>-317</v>
      </c>
      <c r="AV9" s="229">
        <v>-0.80800000000000005</v>
      </c>
      <c r="AW9" s="228">
        <v>74</v>
      </c>
      <c r="AX9" s="228">
        <v>190</v>
      </c>
      <c r="AY9" s="228">
        <v>-116</v>
      </c>
      <c r="AZ9" s="229">
        <v>-0.61119999999999997</v>
      </c>
      <c r="BA9" s="228">
        <v>1</v>
      </c>
      <c r="BB9" s="228">
        <v>202</v>
      </c>
      <c r="BC9" s="228">
        <v>-201</v>
      </c>
      <c r="BD9" s="229">
        <v>-0.99360000000000004</v>
      </c>
      <c r="BE9" s="228">
        <v>0</v>
      </c>
      <c r="BF9" s="228">
        <v>0</v>
      </c>
      <c r="BG9" s="228">
        <v>0</v>
      </c>
      <c r="BH9" s="229">
        <v>-0.83330000000000004</v>
      </c>
      <c r="BI9" s="228">
        <v>62</v>
      </c>
      <c r="BJ9" s="228">
        <v>336</v>
      </c>
      <c r="BK9" s="228">
        <v>-274</v>
      </c>
      <c r="BL9" s="229">
        <v>-0.81430000000000002</v>
      </c>
      <c r="BM9" s="228">
        <v>53</v>
      </c>
      <c r="BN9" s="228">
        <v>581</v>
      </c>
      <c r="BO9" s="228">
        <v>-528</v>
      </c>
      <c r="BP9" s="229">
        <v>-0.90839999999999999</v>
      </c>
      <c r="BQ9" s="228">
        <v>191</v>
      </c>
      <c r="BR9" s="230">
        <v>1310</v>
      </c>
      <c r="BS9" s="230">
        <v>-1119</v>
      </c>
      <c r="BT9" s="229">
        <v>-0.85409999999999997</v>
      </c>
      <c r="BU9" s="230">
        <v>171730</v>
      </c>
      <c r="BV9" s="230">
        <v>118419</v>
      </c>
      <c r="BW9" s="230">
        <v>53311</v>
      </c>
      <c r="BX9" s="229">
        <v>0.45019999999999999</v>
      </c>
      <c r="BY9" s="228">
        <v>709</v>
      </c>
      <c r="BZ9" s="228">
        <v>719</v>
      </c>
      <c r="CA9" s="228">
        <v>-9</v>
      </c>
      <c r="CB9" s="229">
        <v>-1.2999999999999999E-2</v>
      </c>
      <c r="CC9" s="228">
        <v>708</v>
      </c>
      <c r="CD9" s="228">
        <v>75</v>
      </c>
      <c r="CE9" s="228">
        <v>633</v>
      </c>
      <c r="CF9" s="229">
        <v>8.4914000000000005</v>
      </c>
      <c r="CG9" s="228">
        <v>1</v>
      </c>
      <c r="CH9" s="228">
        <v>718</v>
      </c>
      <c r="CI9" s="228">
        <v>-716</v>
      </c>
      <c r="CJ9" s="229">
        <v>-0.99790000000000001</v>
      </c>
      <c r="CK9" s="228">
        <v>0</v>
      </c>
      <c r="CL9" s="228">
        <v>1</v>
      </c>
      <c r="CM9" s="228">
        <v>-1</v>
      </c>
      <c r="CN9" s="229">
        <v>-0.92859999999999998</v>
      </c>
      <c r="CO9" s="228">
        <v>35</v>
      </c>
      <c r="CP9" s="228">
        <v>23</v>
      </c>
      <c r="CQ9" s="228">
        <v>12</v>
      </c>
      <c r="CR9" s="229">
        <v>0.54749999999999999</v>
      </c>
      <c r="CS9" s="228">
        <v>32</v>
      </c>
      <c r="CT9" s="228">
        <v>18</v>
      </c>
      <c r="CU9" s="228">
        <v>14</v>
      </c>
      <c r="CV9" s="229">
        <v>0.77170000000000005</v>
      </c>
      <c r="CW9" s="228">
        <v>776</v>
      </c>
      <c r="CX9" s="228">
        <v>759</v>
      </c>
      <c r="CY9" s="228">
        <v>17</v>
      </c>
      <c r="CZ9" s="229">
        <v>2.23E-2</v>
      </c>
      <c r="DA9" s="228">
        <v>28.34</v>
      </c>
      <c r="DB9" s="228">
        <v>29.33</v>
      </c>
      <c r="DC9" s="228">
        <v>-0.99</v>
      </c>
      <c r="DD9" s="228">
        <v>-0.99</v>
      </c>
      <c r="DE9" s="228">
        <v>25.48</v>
      </c>
      <c r="DF9" s="228">
        <v>25.52</v>
      </c>
      <c r="DG9" s="228">
        <v>2.86</v>
      </c>
      <c r="DH9" s="228">
        <v>-0.04</v>
      </c>
      <c r="DI9" s="228">
        <v>28.48</v>
      </c>
      <c r="DJ9" s="228">
        <v>28.72</v>
      </c>
      <c r="DK9" s="228">
        <v>-0.24</v>
      </c>
      <c r="DL9" s="228">
        <v>-0.24</v>
      </c>
      <c r="DM9" s="228">
        <v>28.16</v>
      </c>
      <c r="DN9" s="228">
        <v>30.96</v>
      </c>
      <c r="DO9" s="228">
        <v>-2.8</v>
      </c>
      <c r="DP9" s="228">
        <v>-2.8</v>
      </c>
      <c r="DQ9" s="228">
        <v>0.92</v>
      </c>
      <c r="DR9" s="228">
        <v>0.8</v>
      </c>
      <c r="DS9" s="228">
        <v>0.12</v>
      </c>
      <c r="DT9" s="229">
        <v>0.15</v>
      </c>
      <c r="DU9" s="231">
        <v>5800</v>
      </c>
      <c r="DV9" s="231">
        <v>5800</v>
      </c>
      <c r="DW9" s="228">
        <v>0.85</v>
      </c>
      <c r="DX9" s="228">
        <v>1.73</v>
      </c>
      <c r="DY9" s="228">
        <v>-0.88</v>
      </c>
      <c r="DZ9" s="229">
        <v>-0.50870000000000004</v>
      </c>
      <c r="EA9" s="229">
        <v>2.2000000000000001E-3</v>
      </c>
      <c r="EB9" s="230">
        <v>1260125</v>
      </c>
      <c r="EC9" s="229">
        <v>2.5999999999999999E-3</v>
      </c>
      <c r="ED9" s="229">
        <v>2.2000000000000001E-3</v>
      </c>
      <c r="EE9" s="228">
        <v>-0.79</v>
      </c>
      <c r="EF9" s="229">
        <v>-1E-4</v>
      </c>
      <c r="EG9" s="230">
        <v>131931</v>
      </c>
      <c r="EH9" s="230">
        <v>70739</v>
      </c>
      <c r="EI9" s="229">
        <v>0.86499999999999999</v>
      </c>
      <c r="EJ9" s="229">
        <v>0.76819999999999999</v>
      </c>
      <c r="EK9" s="228">
        <v>65.61</v>
      </c>
      <c r="EL9" s="228">
        <v>54.02</v>
      </c>
      <c r="EM9" s="228">
        <v>75.459999999999994</v>
      </c>
      <c r="EN9" s="228">
        <v>78.900000000000006</v>
      </c>
      <c r="EO9" s="228">
        <v>195.09</v>
      </c>
      <c r="EP9" s="231">
        <v>1308.3699999999999</v>
      </c>
      <c r="EQ9" s="231">
        <v>-1113.28</v>
      </c>
      <c r="ER9" s="229">
        <v>-0.85089999999999999</v>
      </c>
      <c r="ES9" s="228">
        <v>36.450000000000003</v>
      </c>
      <c r="ET9" s="228">
        <v>31.47</v>
      </c>
      <c r="EU9" s="228">
        <v>709.32</v>
      </c>
      <c r="EV9" s="231">
        <v>7334235</v>
      </c>
      <c r="EW9" s="228">
        <v>777.24</v>
      </c>
      <c r="EX9" s="228">
        <v>765.8</v>
      </c>
      <c r="EY9" s="228">
        <v>11.44</v>
      </c>
      <c r="EZ9" s="229">
        <v>1.49E-2</v>
      </c>
      <c r="FA9" s="229">
        <v>0.18559999999999999</v>
      </c>
      <c r="FB9" s="227" t="s">
        <v>568</v>
      </c>
      <c r="FC9">
        <f t="shared" si="0"/>
        <v>1</v>
      </c>
    </row>
    <row r="10" spans="1:159" ht="17.25" thickBot="1" x14ac:dyDescent="0.3">
      <c r="A10" s="226">
        <v>46050</v>
      </c>
      <c r="B10" s="227" t="s">
        <v>184</v>
      </c>
      <c r="C10" s="227" t="s">
        <v>680</v>
      </c>
      <c r="D10" s="228">
        <v>100</v>
      </c>
      <c r="E10" s="228">
        <v>27</v>
      </c>
      <c r="F10" s="231">
        <v>5650</v>
      </c>
      <c r="G10" s="231">
        <v>5555.5</v>
      </c>
      <c r="H10" s="228">
        <v>94.5</v>
      </c>
      <c r="I10" s="229">
        <v>1.7000000000000001E-2</v>
      </c>
      <c r="J10" s="231">
        <v>5614</v>
      </c>
      <c r="K10" s="231">
        <v>5510</v>
      </c>
      <c r="L10" s="228">
        <v>104</v>
      </c>
      <c r="M10" s="229">
        <v>1.89E-2</v>
      </c>
      <c r="N10" s="231">
        <v>5650</v>
      </c>
      <c r="O10" s="231">
        <v>5511.5</v>
      </c>
      <c r="P10" s="228">
        <v>138.5</v>
      </c>
      <c r="Q10" s="229">
        <v>2.5100000000000001E-2</v>
      </c>
      <c r="R10" s="231">
        <v>5637</v>
      </c>
      <c r="S10" s="231">
        <v>5555.5</v>
      </c>
      <c r="T10" s="228">
        <v>81.5</v>
      </c>
      <c r="U10" s="229">
        <v>1.47E-2</v>
      </c>
      <c r="V10" s="228">
        <v>0</v>
      </c>
      <c r="W10" s="231">
        <v>5574.5</v>
      </c>
      <c r="X10" s="228">
        <v>0</v>
      </c>
      <c r="Y10" s="229">
        <v>0</v>
      </c>
      <c r="Z10" s="228">
        <v>36</v>
      </c>
      <c r="AA10" s="228">
        <v>45.5</v>
      </c>
      <c r="AB10" s="228">
        <v>-9.5</v>
      </c>
      <c r="AC10" s="229">
        <v>6.4000000000000003E-3</v>
      </c>
      <c r="AD10" s="228">
        <v>36</v>
      </c>
      <c r="AE10" s="228">
        <v>1.5</v>
      </c>
      <c r="AF10" s="228">
        <v>34.5</v>
      </c>
      <c r="AG10" s="229">
        <v>6.4000000000000003E-3</v>
      </c>
      <c r="AH10" s="228">
        <v>23</v>
      </c>
      <c r="AI10" s="228">
        <v>45.5</v>
      </c>
      <c r="AJ10" s="228">
        <v>-22.5</v>
      </c>
      <c r="AK10" s="229">
        <v>4.1000000000000003E-3</v>
      </c>
      <c r="AL10" s="228">
        <v>0</v>
      </c>
      <c r="AM10" s="228">
        <v>64.5</v>
      </c>
      <c r="AN10" s="228">
        <v>0</v>
      </c>
      <c r="AO10" s="229">
        <v>0</v>
      </c>
      <c r="AP10" s="231">
        <v>5610.1</v>
      </c>
      <c r="AQ10" s="231">
        <v>5587.05</v>
      </c>
      <c r="AR10" s="228">
        <v>0</v>
      </c>
      <c r="AS10" s="228">
        <v>125</v>
      </c>
      <c r="AT10" s="228">
        <v>819</v>
      </c>
      <c r="AU10" s="228">
        <v>-694</v>
      </c>
      <c r="AV10" s="229">
        <v>-0.84740000000000004</v>
      </c>
      <c r="AW10" s="228">
        <v>117</v>
      </c>
      <c r="AX10" s="228">
        <v>315</v>
      </c>
      <c r="AY10" s="228">
        <v>-198</v>
      </c>
      <c r="AZ10" s="229">
        <v>-0.62860000000000005</v>
      </c>
      <c r="BA10" s="228">
        <v>8</v>
      </c>
      <c r="BB10" s="228">
        <v>499</v>
      </c>
      <c r="BC10" s="228">
        <v>-492</v>
      </c>
      <c r="BD10" s="229">
        <v>-0.98429999999999995</v>
      </c>
      <c r="BE10" s="228">
        <v>0</v>
      </c>
      <c r="BF10" s="228">
        <v>4</v>
      </c>
      <c r="BG10" s="228">
        <v>0</v>
      </c>
      <c r="BH10" s="229">
        <v>0</v>
      </c>
      <c r="BI10" s="228">
        <v>88</v>
      </c>
      <c r="BJ10" s="228">
        <v>299</v>
      </c>
      <c r="BK10" s="228">
        <v>-210</v>
      </c>
      <c r="BL10" s="229">
        <v>-0.70399999999999996</v>
      </c>
      <c r="BM10" s="228">
        <v>34</v>
      </c>
      <c r="BN10" s="228">
        <v>267</v>
      </c>
      <c r="BO10" s="228">
        <v>-233</v>
      </c>
      <c r="BP10" s="229">
        <v>-0.87270000000000003</v>
      </c>
      <c r="BQ10" s="228">
        <v>247</v>
      </c>
      <c r="BR10" s="230">
        <v>1385</v>
      </c>
      <c r="BS10" s="230">
        <v>-1137</v>
      </c>
      <c r="BT10" s="229">
        <v>-0.82140000000000002</v>
      </c>
      <c r="BU10" s="230">
        <v>163575</v>
      </c>
      <c r="BV10" s="230">
        <v>720716</v>
      </c>
      <c r="BW10" s="230">
        <v>-557141</v>
      </c>
      <c r="BX10" s="229">
        <v>-0.77300000000000002</v>
      </c>
      <c r="BY10" s="228">
        <v>751</v>
      </c>
      <c r="BZ10" s="228">
        <v>740</v>
      </c>
      <c r="CA10" s="228">
        <v>11</v>
      </c>
      <c r="CB10" s="229">
        <v>1.54E-2</v>
      </c>
      <c r="CC10" s="228">
        <v>733</v>
      </c>
      <c r="CD10" s="228">
        <v>48</v>
      </c>
      <c r="CE10" s="228">
        <v>684</v>
      </c>
      <c r="CF10" s="229">
        <v>14.2529</v>
      </c>
      <c r="CG10" s="228">
        <v>19</v>
      </c>
      <c r="CH10" s="228">
        <v>723</v>
      </c>
      <c r="CI10" s="228">
        <v>-705</v>
      </c>
      <c r="CJ10" s="229">
        <v>-0.97409999999999997</v>
      </c>
      <c r="CK10" s="228">
        <v>0</v>
      </c>
      <c r="CL10" s="228">
        <v>16</v>
      </c>
      <c r="CM10" s="228">
        <v>-16</v>
      </c>
      <c r="CN10" s="229">
        <v>-1</v>
      </c>
      <c r="CO10" s="228">
        <v>64</v>
      </c>
      <c r="CP10" s="228">
        <v>51</v>
      </c>
      <c r="CQ10" s="228">
        <v>13</v>
      </c>
      <c r="CR10" s="229">
        <v>0.24529999999999999</v>
      </c>
      <c r="CS10" s="228">
        <v>52</v>
      </c>
      <c r="CT10" s="228">
        <v>48</v>
      </c>
      <c r="CU10" s="228">
        <v>3</v>
      </c>
      <c r="CV10" s="229">
        <v>6.7799999999999999E-2</v>
      </c>
      <c r="CW10" s="228">
        <v>867</v>
      </c>
      <c r="CX10" s="228">
        <v>839</v>
      </c>
      <c r="CY10" s="228">
        <v>27</v>
      </c>
      <c r="CZ10" s="229">
        <v>3.2500000000000001E-2</v>
      </c>
      <c r="DA10" s="228">
        <v>41.45</v>
      </c>
      <c r="DB10" s="228">
        <v>45.82</v>
      </c>
      <c r="DC10" s="228">
        <v>-4.37</v>
      </c>
      <c r="DD10" s="228">
        <v>-4.37</v>
      </c>
      <c r="DE10" s="228">
        <v>50.71</v>
      </c>
      <c r="DF10" s="228">
        <v>50.78</v>
      </c>
      <c r="DG10" s="228">
        <v>-9.26</v>
      </c>
      <c r="DH10" s="228">
        <v>-7.0000000000000007E-2</v>
      </c>
      <c r="DI10" s="228">
        <v>40.9</v>
      </c>
      <c r="DJ10" s="228">
        <v>43.23</v>
      </c>
      <c r="DK10" s="228">
        <v>-2.33</v>
      </c>
      <c r="DL10" s="228">
        <v>-2.33</v>
      </c>
      <c r="DM10" s="228">
        <v>42.89</v>
      </c>
      <c r="DN10" s="228">
        <v>48.99</v>
      </c>
      <c r="DO10" s="228">
        <v>-6.1</v>
      </c>
      <c r="DP10" s="228">
        <v>-6.1</v>
      </c>
      <c r="DQ10" s="228">
        <v>0.81</v>
      </c>
      <c r="DR10" s="228">
        <v>0.94</v>
      </c>
      <c r="DS10" s="228">
        <v>-0.13</v>
      </c>
      <c r="DT10" s="229">
        <v>-0.13830000000000001</v>
      </c>
      <c r="DU10" s="231">
        <v>6200</v>
      </c>
      <c r="DV10" s="231">
        <v>5600</v>
      </c>
      <c r="DW10" s="228">
        <v>0.38</v>
      </c>
      <c r="DX10" s="228">
        <v>0.89</v>
      </c>
      <c r="DY10" s="228">
        <v>-0.51</v>
      </c>
      <c r="DZ10" s="229">
        <v>-0.57299999999999995</v>
      </c>
      <c r="EA10" s="229">
        <v>2.4899999999999999E-2</v>
      </c>
      <c r="EB10" s="230">
        <v>1309400</v>
      </c>
      <c r="EC10" s="229">
        <v>-2.3E-3</v>
      </c>
      <c r="ED10" s="229">
        <v>2.4899999999999999E-2</v>
      </c>
      <c r="EE10" s="228">
        <v>-23.05</v>
      </c>
      <c r="EF10" s="229">
        <v>-4.1000000000000003E-3</v>
      </c>
      <c r="EG10" s="230">
        <v>61106</v>
      </c>
      <c r="EH10" s="230">
        <v>411969</v>
      </c>
      <c r="EI10" s="229">
        <v>-0.85170000000000001</v>
      </c>
      <c r="EJ10" s="229">
        <v>0.37359999999999999</v>
      </c>
      <c r="EK10" s="228">
        <v>95.38</v>
      </c>
      <c r="EL10" s="228">
        <v>33.880000000000003</v>
      </c>
      <c r="EM10" s="228">
        <v>124.06</v>
      </c>
      <c r="EN10" s="228">
        <v>118.37</v>
      </c>
      <c r="EO10" s="228">
        <v>253.32</v>
      </c>
      <c r="EP10" s="231">
        <v>1384.09</v>
      </c>
      <c r="EQ10" s="231">
        <v>-1130.78</v>
      </c>
      <c r="ER10" s="229">
        <v>-0.81699999999999995</v>
      </c>
      <c r="ES10" s="228">
        <v>68.08</v>
      </c>
      <c r="ET10" s="228">
        <v>54.28</v>
      </c>
      <c r="EU10" s="228">
        <v>751.18</v>
      </c>
      <c r="EV10" s="231">
        <v>3257355</v>
      </c>
      <c r="EW10" s="228">
        <v>873.54</v>
      </c>
      <c r="EX10" s="228">
        <v>833.34</v>
      </c>
      <c r="EY10" s="228">
        <v>40.200000000000003</v>
      </c>
      <c r="EZ10" s="229">
        <v>4.82E-2</v>
      </c>
      <c r="FA10" s="229">
        <v>0.47099999999999997</v>
      </c>
      <c r="FB10" s="227" t="s">
        <v>555</v>
      </c>
      <c r="FC10">
        <f t="shared" si="0"/>
        <v>18</v>
      </c>
    </row>
    <row r="11" spans="1:159" ht="17.25" thickBot="1" x14ac:dyDescent="0.3">
      <c r="A11" s="226">
        <v>46050</v>
      </c>
      <c r="B11" s="227" t="s">
        <v>157</v>
      </c>
      <c r="C11" s="227" t="s">
        <v>164</v>
      </c>
      <c r="D11" s="228">
        <v>1050</v>
      </c>
      <c r="E11" s="228">
        <v>27</v>
      </c>
      <c r="F11" s="228">
        <v>537.25</v>
      </c>
      <c r="G11" s="228">
        <v>536.15</v>
      </c>
      <c r="H11" s="228">
        <v>1.1000000000000001</v>
      </c>
      <c r="I11" s="229">
        <v>2.0999999999999999E-3</v>
      </c>
      <c r="J11" s="228">
        <v>533.95000000000005</v>
      </c>
      <c r="K11" s="228">
        <v>532.25</v>
      </c>
      <c r="L11" s="228">
        <v>1.7</v>
      </c>
      <c r="M11" s="229">
        <v>3.2000000000000002E-3</v>
      </c>
      <c r="N11" s="228">
        <v>537.25</v>
      </c>
      <c r="O11" s="228">
        <v>532.45000000000005</v>
      </c>
      <c r="P11" s="228">
        <v>4.8</v>
      </c>
      <c r="Q11" s="229">
        <v>8.9999999999999993E-3</v>
      </c>
      <c r="R11" s="228">
        <v>541</v>
      </c>
      <c r="S11" s="228">
        <v>536.15</v>
      </c>
      <c r="T11" s="228">
        <v>4.8499999999999996</v>
      </c>
      <c r="U11" s="229">
        <v>8.9999999999999993E-3</v>
      </c>
      <c r="V11" s="228">
        <v>543.75</v>
      </c>
      <c r="W11" s="228">
        <v>539.20000000000005</v>
      </c>
      <c r="X11" s="228">
        <v>4.55</v>
      </c>
      <c r="Y11" s="229">
        <v>8.3999999999999995E-3</v>
      </c>
      <c r="Z11" s="228">
        <v>3.3</v>
      </c>
      <c r="AA11" s="228">
        <v>3.9</v>
      </c>
      <c r="AB11" s="228">
        <v>-0.6</v>
      </c>
      <c r="AC11" s="229">
        <v>6.1999999999999998E-3</v>
      </c>
      <c r="AD11" s="228">
        <v>3.3</v>
      </c>
      <c r="AE11" s="228">
        <v>0.2</v>
      </c>
      <c r="AF11" s="228">
        <v>3.1</v>
      </c>
      <c r="AG11" s="229">
        <v>6.1999999999999998E-3</v>
      </c>
      <c r="AH11" s="228">
        <v>7.05</v>
      </c>
      <c r="AI11" s="228">
        <v>3.9</v>
      </c>
      <c r="AJ11" s="228">
        <v>3.15</v>
      </c>
      <c r="AK11" s="229">
        <v>1.32E-2</v>
      </c>
      <c r="AL11" s="228">
        <v>9.8000000000000007</v>
      </c>
      <c r="AM11" s="228">
        <v>6.95</v>
      </c>
      <c r="AN11" s="228">
        <v>2.85</v>
      </c>
      <c r="AO11" s="229">
        <v>1.84E-2</v>
      </c>
      <c r="AP11" s="228">
        <v>536.97</v>
      </c>
      <c r="AQ11" s="228">
        <v>540.95000000000005</v>
      </c>
      <c r="AR11" s="228">
        <v>0</v>
      </c>
      <c r="AS11" s="228">
        <v>169</v>
      </c>
      <c r="AT11" s="230">
        <v>1791</v>
      </c>
      <c r="AU11" s="230">
        <v>-1622</v>
      </c>
      <c r="AV11" s="229">
        <v>-0.90580000000000005</v>
      </c>
      <c r="AW11" s="228">
        <v>160</v>
      </c>
      <c r="AX11" s="228">
        <v>791</v>
      </c>
      <c r="AY11" s="228">
        <v>-631</v>
      </c>
      <c r="AZ11" s="229">
        <v>-0.79769999999999996</v>
      </c>
      <c r="BA11" s="228">
        <v>8</v>
      </c>
      <c r="BB11" s="228">
        <v>987</v>
      </c>
      <c r="BC11" s="228">
        <v>-979</v>
      </c>
      <c r="BD11" s="229">
        <v>-0.9919</v>
      </c>
      <c r="BE11" s="228">
        <v>1</v>
      </c>
      <c r="BF11" s="228">
        <v>13</v>
      </c>
      <c r="BG11" s="228">
        <v>-12</v>
      </c>
      <c r="BH11" s="229">
        <v>-0.93510000000000004</v>
      </c>
      <c r="BI11" s="228">
        <v>275</v>
      </c>
      <c r="BJ11" s="228">
        <v>922</v>
      </c>
      <c r="BK11" s="228">
        <v>-646</v>
      </c>
      <c r="BL11" s="229">
        <v>-0.70120000000000005</v>
      </c>
      <c r="BM11" s="228">
        <v>162</v>
      </c>
      <c r="BN11" s="228">
        <v>987</v>
      </c>
      <c r="BO11" s="228">
        <v>-825</v>
      </c>
      <c r="BP11" s="229">
        <v>-0.83630000000000004</v>
      </c>
      <c r="BQ11" s="228">
        <v>606</v>
      </c>
      <c r="BR11" s="230">
        <v>3699</v>
      </c>
      <c r="BS11" s="230">
        <v>-3094</v>
      </c>
      <c r="BT11" s="229">
        <v>-0.83630000000000004</v>
      </c>
      <c r="BU11" s="230">
        <v>2629663</v>
      </c>
      <c r="BV11" s="230">
        <v>3676579</v>
      </c>
      <c r="BW11" s="230">
        <v>-1046916</v>
      </c>
      <c r="BX11" s="229">
        <v>-0.2848</v>
      </c>
      <c r="BY11" s="230">
        <v>2505</v>
      </c>
      <c r="BZ11" s="230">
        <v>2493</v>
      </c>
      <c r="CA11" s="228">
        <v>12</v>
      </c>
      <c r="CB11" s="229">
        <v>4.7000000000000002E-3</v>
      </c>
      <c r="CC11" s="230">
        <v>2469</v>
      </c>
      <c r="CD11" s="228">
        <v>94</v>
      </c>
      <c r="CE11" s="230">
        <v>2375</v>
      </c>
      <c r="CF11" s="229">
        <v>25.273700000000002</v>
      </c>
      <c r="CG11" s="228">
        <v>35</v>
      </c>
      <c r="CH11" s="230">
        <v>2460</v>
      </c>
      <c r="CI11" s="230">
        <v>-2425</v>
      </c>
      <c r="CJ11" s="229">
        <v>-0.98580000000000001</v>
      </c>
      <c r="CK11" s="228">
        <v>1</v>
      </c>
      <c r="CL11" s="228">
        <v>33</v>
      </c>
      <c r="CM11" s="228">
        <v>-32</v>
      </c>
      <c r="CN11" s="229">
        <v>-0.97789999999999999</v>
      </c>
      <c r="CO11" s="228">
        <v>400</v>
      </c>
      <c r="CP11" s="228">
        <v>362</v>
      </c>
      <c r="CQ11" s="228">
        <v>38</v>
      </c>
      <c r="CR11" s="229">
        <v>0.1046</v>
      </c>
      <c r="CS11" s="228">
        <v>462</v>
      </c>
      <c r="CT11" s="228">
        <v>453</v>
      </c>
      <c r="CU11" s="228">
        <v>10</v>
      </c>
      <c r="CV11" s="229">
        <v>2.1600000000000001E-2</v>
      </c>
      <c r="CW11" s="230">
        <v>3367</v>
      </c>
      <c r="CX11" s="230">
        <v>3307</v>
      </c>
      <c r="CY11" s="228">
        <v>59</v>
      </c>
      <c r="CZ11" s="229">
        <v>1.7899999999999999E-2</v>
      </c>
      <c r="DA11" s="228">
        <v>29.49</v>
      </c>
      <c r="DB11" s="228">
        <v>31.34</v>
      </c>
      <c r="DC11" s="228">
        <v>-1.85</v>
      </c>
      <c r="DD11" s="228">
        <v>-1.85</v>
      </c>
      <c r="DE11" s="228">
        <v>31.86</v>
      </c>
      <c r="DF11" s="228">
        <v>31.94</v>
      </c>
      <c r="DG11" s="228">
        <v>-2.37</v>
      </c>
      <c r="DH11" s="228">
        <v>-0.08</v>
      </c>
      <c r="DI11" s="228">
        <v>28.97</v>
      </c>
      <c r="DJ11" s="228">
        <v>30</v>
      </c>
      <c r="DK11" s="228">
        <v>-1.03</v>
      </c>
      <c r="DL11" s="228">
        <v>-1.03</v>
      </c>
      <c r="DM11" s="228">
        <v>30.37</v>
      </c>
      <c r="DN11" s="228">
        <v>32.619999999999997</v>
      </c>
      <c r="DO11" s="228">
        <v>-2.25</v>
      </c>
      <c r="DP11" s="228">
        <v>-2.25</v>
      </c>
      <c r="DQ11" s="228">
        <v>1.1599999999999999</v>
      </c>
      <c r="DR11" s="228">
        <v>1.25</v>
      </c>
      <c r="DS11" s="228">
        <v>-0.09</v>
      </c>
      <c r="DT11" s="229">
        <v>-7.1999999999999995E-2</v>
      </c>
      <c r="DU11" s="228">
        <v>550</v>
      </c>
      <c r="DV11" s="228">
        <v>520</v>
      </c>
      <c r="DW11" s="228">
        <v>0.59</v>
      </c>
      <c r="DX11" s="228">
        <v>1.07</v>
      </c>
      <c r="DY11" s="228">
        <v>-0.48</v>
      </c>
      <c r="DZ11" s="229">
        <v>-0.4486</v>
      </c>
      <c r="EA11" s="229">
        <v>1.4200000000000001E-2</v>
      </c>
      <c r="EB11" s="230">
        <v>46406850</v>
      </c>
      <c r="EC11" s="229">
        <v>7.0000000000000001E-3</v>
      </c>
      <c r="ED11" s="229">
        <v>1.4200000000000001E-2</v>
      </c>
      <c r="EE11" s="228">
        <v>3.98</v>
      </c>
      <c r="EF11" s="229">
        <v>7.4000000000000003E-3</v>
      </c>
      <c r="EG11" s="230">
        <v>1895439</v>
      </c>
      <c r="EH11" s="230">
        <v>2247630</v>
      </c>
      <c r="EI11" s="229">
        <v>-0.15670000000000001</v>
      </c>
      <c r="EJ11" s="229">
        <v>0.7208</v>
      </c>
      <c r="EK11" s="228">
        <v>291.64</v>
      </c>
      <c r="EL11" s="228">
        <v>160.83000000000001</v>
      </c>
      <c r="EM11" s="228">
        <v>168.71</v>
      </c>
      <c r="EN11" s="228">
        <v>314.74</v>
      </c>
      <c r="EO11" s="228">
        <v>621.17999999999995</v>
      </c>
      <c r="EP11" s="231">
        <v>3739.53</v>
      </c>
      <c r="EQ11" s="231">
        <v>-3118.35</v>
      </c>
      <c r="ER11" s="229">
        <v>-0.83389999999999997</v>
      </c>
      <c r="ES11" s="228">
        <v>418.61</v>
      </c>
      <c r="ET11" s="228">
        <v>468.58</v>
      </c>
      <c r="EU11" s="231">
        <v>2505.08</v>
      </c>
      <c r="EV11" s="231">
        <v>79841849</v>
      </c>
      <c r="EW11" s="231">
        <v>3392.27</v>
      </c>
      <c r="EX11" s="231">
        <v>3326.37</v>
      </c>
      <c r="EY11" s="228">
        <v>65.900000000000006</v>
      </c>
      <c r="EZ11" s="229">
        <v>1.9800000000000002E-2</v>
      </c>
      <c r="FA11" s="229">
        <v>0.78490000000000004</v>
      </c>
      <c r="FB11" s="227" t="s">
        <v>555</v>
      </c>
      <c r="FC11">
        <f t="shared" si="0"/>
        <v>36</v>
      </c>
    </row>
    <row r="12" spans="1:159" ht="17.25" thickBot="1" x14ac:dyDescent="0.3">
      <c r="A12" s="226">
        <v>46050</v>
      </c>
      <c r="B12" s="227" t="s">
        <v>175</v>
      </c>
      <c r="C12" s="227" t="s">
        <v>609</v>
      </c>
      <c r="D12" s="228">
        <v>250</v>
      </c>
      <c r="E12" s="228">
        <v>27</v>
      </c>
      <c r="F12" s="231">
        <v>2629.1</v>
      </c>
      <c r="G12" s="231">
        <v>2551.4</v>
      </c>
      <c r="H12" s="228">
        <v>77.7</v>
      </c>
      <c r="I12" s="229">
        <v>3.0499999999999999E-2</v>
      </c>
      <c r="J12" s="231">
        <v>2615.1</v>
      </c>
      <c r="K12" s="231">
        <v>2543.1</v>
      </c>
      <c r="L12" s="228">
        <v>72</v>
      </c>
      <c r="M12" s="229">
        <v>2.8299999999999999E-2</v>
      </c>
      <c r="N12" s="231">
        <v>2629.1</v>
      </c>
      <c r="O12" s="231">
        <v>2539.5</v>
      </c>
      <c r="P12" s="228">
        <v>89.6</v>
      </c>
      <c r="Q12" s="229">
        <v>3.5299999999999998E-2</v>
      </c>
      <c r="R12" s="231">
        <v>2625</v>
      </c>
      <c r="S12" s="231">
        <v>2551.4</v>
      </c>
      <c r="T12" s="228">
        <v>73.599999999999994</v>
      </c>
      <c r="U12" s="229">
        <v>2.8799999999999999E-2</v>
      </c>
      <c r="V12" s="231">
        <v>2618</v>
      </c>
      <c r="W12" s="231">
        <v>2554</v>
      </c>
      <c r="X12" s="228">
        <v>64</v>
      </c>
      <c r="Y12" s="229">
        <v>2.5100000000000001E-2</v>
      </c>
      <c r="Z12" s="228">
        <v>14</v>
      </c>
      <c r="AA12" s="228">
        <v>8.3000000000000007</v>
      </c>
      <c r="AB12" s="228">
        <v>5.7</v>
      </c>
      <c r="AC12" s="229">
        <v>5.4000000000000003E-3</v>
      </c>
      <c r="AD12" s="228">
        <v>14</v>
      </c>
      <c r="AE12" s="228">
        <v>-3.6</v>
      </c>
      <c r="AF12" s="228">
        <v>17.600000000000001</v>
      </c>
      <c r="AG12" s="229">
        <v>5.4000000000000003E-3</v>
      </c>
      <c r="AH12" s="228">
        <v>9.9</v>
      </c>
      <c r="AI12" s="228">
        <v>8.3000000000000007</v>
      </c>
      <c r="AJ12" s="228">
        <v>1.6</v>
      </c>
      <c r="AK12" s="229">
        <v>3.8E-3</v>
      </c>
      <c r="AL12" s="228">
        <v>2.9</v>
      </c>
      <c r="AM12" s="228">
        <v>10.9</v>
      </c>
      <c r="AN12" s="228">
        <v>-8</v>
      </c>
      <c r="AO12" s="229">
        <v>1.1000000000000001E-3</v>
      </c>
      <c r="AP12" s="231">
        <v>2615.8200000000002</v>
      </c>
      <c r="AQ12" s="231">
        <v>2611.5500000000002</v>
      </c>
      <c r="AR12" s="228">
        <v>0</v>
      </c>
      <c r="AS12" s="228">
        <v>207</v>
      </c>
      <c r="AT12" s="228">
        <v>572</v>
      </c>
      <c r="AU12" s="228">
        <v>-366</v>
      </c>
      <c r="AV12" s="229">
        <v>-0.63919999999999999</v>
      </c>
      <c r="AW12" s="228">
        <v>197</v>
      </c>
      <c r="AX12" s="228">
        <v>263</v>
      </c>
      <c r="AY12" s="228">
        <v>-66</v>
      </c>
      <c r="AZ12" s="229">
        <v>-0.25230000000000002</v>
      </c>
      <c r="BA12" s="228">
        <v>9</v>
      </c>
      <c r="BB12" s="228">
        <v>302</v>
      </c>
      <c r="BC12" s="228">
        <v>-293</v>
      </c>
      <c r="BD12" s="229">
        <v>-0.9708</v>
      </c>
      <c r="BE12" s="228">
        <v>1</v>
      </c>
      <c r="BF12" s="228">
        <v>8</v>
      </c>
      <c r="BG12" s="228">
        <v>-7</v>
      </c>
      <c r="BH12" s="229">
        <v>-0.85829999999999995</v>
      </c>
      <c r="BI12" s="228">
        <v>941</v>
      </c>
      <c r="BJ12" s="228">
        <v>773</v>
      </c>
      <c r="BK12" s="228">
        <v>168</v>
      </c>
      <c r="BL12" s="229">
        <v>0.2175</v>
      </c>
      <c r="BM12" s="228">
        <v>332</v>
      </c>
      <c r="BN12" s="228">
        <v>712</v>
      </c>
      <c r="BO12" s="228">
        <v>-380</v>
      </c>
      <c r="BP12" s="229">
        <v>-0.53310000000000002</v>
      </c>
      <c r="BQ12" s="230">
        <v>1480</v>
      </c>
      <c r="BR12" s="230">
        <v>2058</v>
      </c>
      <c r="BS12" s="228">
        <v>-577</v>
      </c>
      <c r="BT12" s="229">
        <v>-0.28050000000000003</v>
      </c>
      <c r="BU12" s="230">
        <v>611098</v>
      </c>
      <c r="BV12" s="230">
        <v>482478</v>
      </c>
      <c r="BW12" s="230">
        <v>128620</v>
      </c>
      <c r="BX12" s="229">
        <v>0.2666</v>
      </c>
      <c r="BY12" s="228">
        <v>793</v>
      </c>
      <c r="BZ12" s="228">
        <v>805</v>
      </c>
      <c r="CA12" s="228">
        <v>-11</v>
      </c>
      <c r="CB12" s="229">
        <v>-1.4200000000000001E-2</v>
      </c>
      <c r="CC12" s="228">
        <v>776</v>
      </c>
      <c r="CD12" s="228">
        <v>156</v>
      </c>
      <c r="CE12" s="228">
        <v>620</v>
      </c>
      <c r="CF12" s="229">
        <v>3.9655</v>
      </c>
      <c r="CG12" s="228">
        <v>16</v>
      </c>
      <c r="CH12" s="228">
        <v>790</v>
      </c>
      <c r="CI12" s="228">
        <v>-775</v>
      </c>
      <c r="CJ12" s="229">
        <v>-0.98</v>
      </c>
      <c r="CK12" s="228">
        <v>1</v>
      </c>
      <c r="CL12" s="228">
        <v>14</v>
      </c>
      <c r="CM12" s="228">
        <v>-13</v>
      </c>
      <c r="CN12" s="229">
        <v>-0.9355</v>
      </c>
      <c r="CO12" s="228">
        <v>255</v>
      </c>
      <c r="CP12" s="228">
        <v>194</v>
      </c>
      <c r="CQ12" s="228">
        <v>61</v>
      </c>
      <c r="CR12" s="229">
        <v>0.31630000000000003</v>
      </c>
      <c r="CS12" s="228">
        <v>183</v>
      </c>
      <c r="CT12" s="228">
        <v>187</v>
      </c>
      <c r="CU12" s="228">
        <v>-4</v>
      </c>
      <c r="CV12" s="229">
        <v>-2.2800000000000001E-2</v>
      </c>
      <c r="CW12" s="230">
        <v>1231</v>
      </c>
      <c r="CX12" s="230">
        <v>1186</v>
      </c>
      <c r="CY12" s="228">
        <v>46</v>
      </c>
      <c r="CZ12" s="229">
        <v>3.85E-2</v>
      </c>
      <c r="DA12" s="228">
        <v>38.590000000000003</v>
      </c>
      <c r="DB12" s="228">
        <v>40</v>
      </c>
      <c r="DC12" s="228">
        <v>-1.41</v>
      </c>
      <c r="DD12" s="228">
        <v>-1.41</v>
      </c>
      <c r="DE12" s="228">
        <v>52.52</v>
      </c>
      <c r="DF12" s="228">
        <v>52.49</v>
      </c>
      <c r="DG12" s="228">
        <v>-13.93</v>
      </c>
      <c r="DH12" s="228">
        <v>0.03</v>
      </c>
      <c r="DI12" s="228">
        <v>37.94</v>
      </c>
      <c r="DJ12" s="228">
        <v>38.520000000000003</v>
      </c>
      <c r="DK12" s="228">
        <v>-0.57999999999999996</v>
      </c>
      <c r="DL12" s="228">
        <v>-0.57999999999999996</v>
      </c>
      <c r="DM12" s="228">
        <v>40.450000000000003</v>
      </c>
      <c r="DN12" s="228">
        <v>41.53</v>
      </c>
      <c r="DO12" s="228">
        <v>-1.08</v>
      </c>
      <c r="DP12" s="228">
        <v>-1.08</v>
      </c>
      <c r="DQ12" s="228">
        <v>0.72</v>
      </c>
      <c r="DR12" s="228">
        <v>0.96</v>
      </c>
      <c r="DS12" s="228">
        <v>-0.24</v>
      </c>
      <c r="DT12" s="229">
        <v>-0.25</v>
      </c>
      <c r="DU12" s="231">
        <v>2800</v>
      </c>
      <c r="DV12" s="231">
        <v>2500</v>
      </c>
      <c r="DW12" s="228">
        <v>0.35</v>
      </c>
      <c r="DX12" s="228">
        <v>0.92</v>
      </c>
      <c r="DY12" s="228">
        <v>-0.56999999999999995</v>
      </c>
      <c r="DZ12" s="229">
        <v>-0.61960000000000004</v>
      </c>
      <c r="EA12" s="229">
        <v>2.1100000000000001E-2</v>
      </c>
      <c r="EB12" s="230">
        <v>3060500</v>
      </c>
      <c r="EC12" s="229">
        <v>-1.6000000000000001E-3</v>
      </c>
      <c r="ED12" s="229">
        <v>2.1100000000000001E-2</v>
      </c>
      <c r="EE12" s="228">
        <v>-4.2699999999999996</v>
      </c>
      <c r="EF12" s="229">
        <v>-1.6000000000000001E-3</v>
      </c>
      <c r="EG12" s="230">
        <v>204489</v>
      </c>
      <c r="EH12" s="230">
        <v>108739</v>
      </c>
      <c r="EI12" s="229">
        <v>0.88049999999999995</v>
      </c>
      <c r="EJ12" s="229">
        <v>0.33460000000000001</v>
      </c>
      <c r="EK12" s="228">
        <v>997.19</v>
      </c>
      <c r="EL12" s="228">
        <v>317.52</v>
      </c>
      <c r="EM12" s="228">
        <v>205.46</v>
      </c>
      <c r="EN12" s="228">
        <v>124.26</v>
      </c>
      <c r="EO12" s="231">
        <v>1520.17</v>
      </c>
      <c r="EP12" s="231">
        <v>2021.77</v>
      </c>
      <c r="EQ12" s="228">
        <v>-501.6</v>
      </c>
      <c r="ER12" s="229">
        <v>-0.24809999999999999</v>
      </c>
      <c r="ES12" s="228">
        <v>270.42</v>
      </c>
      <c r="ET12" s="228">
        <v>169.88</v>
      </c>
      <c r="EU12" s="228">
        <v>793.17</v>
      </c>
      <c r="EV12" s="231">
        <v>9673308</v>
      </c>
      <c r="EW12" s="231">
        <v>1233.46</v>
      </c>
      <c r="EX12" s="231">
        <v>1158.5</v>
      </c>
      <c r="EY12" s="228">
        <v>74.959999999999994</v>
      </c>
      <c r="EZ12" s="229">
        <v>6.4699999999999994E-2</v>
      </c>
      <c r="FA12" s="229">
        <v>0.48420000000000002</v>
      </c>
      <c r="FB12" s="227" t="s">
        <v>556</v>
      </c>
      <c r="FC12">
        <f t="shared" si="0"/>
        <v>17</v>
      </c>
    </row>
    <row r="13" spans="1:159" ht="17.25" thickBot="1" x14ac:dyDescent="0.3">
      <c r="A13" s="226">
        <v>46050</v>
      </c>
      <c r="B13" s="227" t="s">
        <v>227</v>
      </c>
      <c r="C13" s="227" t="s">
        <v>598</v>
      </c>
      <c r="D13" s="228">
        <v>350</v>
      </c>
      <c r="E13" s="228">
        <v>27</v>
      </c>
      <c r="F13" s="231">
        <v>2098.5</v>
      </c>
      <c r="G13" s="231">
        <v>2069.1999999999998</v>
      </c>
      <c r="H13" s="228">
        <v>29.3</v>
      </c>
      <c r="I13" s="229">
        <v>1.4200000000000001E-2</v>
      </c>
      <c r="J13" s="231">
        <v>2091</v>
      </c>
      <c r="K13" s="231">
        <v>2060.6</v>
      </c>
      <c r="L13" s="228">
        <v>30.4</v>
      </c>
      <c r="M13" s="229">
        <v>1.4800000000000001E-2</v>
      </c>
      <c r="N13" s="231">
        <v>2098.5</v>
      </c>
      <c r="O13" s="231">
        <v>2056.3000000000002</v>
      </c>
      <c r="P13" s="228">
        <v>42.2</v>
      </c>
      <c r="Q13" s="229">
        <v>2.0500000000000001E-2</v>
      </c>
      <c r="R13" s="231">
        <v>2110.8000000000002</v>
      </c>
      <c r="S13" s="231">
        <v>2069.1999999999998</v>
      </c>
      <c r="T13" s="228">
        <v>41.6</v>
      </c>
      <c r="U13" s="229">
        <v>2.01E-2</v>
      </c>
      <c r="V13" s="231">
        <v>2118.1</v>
      </c>
      <c r="W13" s="231">
        <v>2082.1999999999998</v>
      </c>
      <c r="X13" s="228">
        <v>35.9</v>
      </c>
      <c r="Y13" s="229">
        <v>1.72E-2</v>
      </c>
      <c r="Z13" s="228">
        <v>7.5</v>
      </c>
      <c r="AA13" s="228">
        <v>8.6</v>
      </c>
      <c r="AB13" s="228">
        <v>-1.1000000000000001</v>
      </c>
      <c r="AC13" s="229">
        <v>3.5999999999999999E-3</v>
      </c>
      <c r="AD13" s="228">
        <v>7.5</v>
      </c>
      <c r="AE13" s="228">
        <v>-4.3</v>
      </c>
      <c r="AF13" s="228">
        <v>11.8</v>
      </c>
      <c r="AG13" s="229">
        <v>3.5999999999999999E-3</v>
      </c>
      <c r="AH13" s="228">
        <v>19.8</v>
      </c>
      <c r="AI13" s="228">
        <v>8.6</v>
      </c>
      <c r="AJ13" s="228">
        <v>11.2</v>
      </c>
      <c r="AK13" s="229">
        <v>9.4999999999999998E-3</v>
      </c>
      <c r="AL13" s="228">
        <v>27.1</v>
      </c>
      <c r="AM13" s="228">
        <v>21.6</v>
      </c>
      <c r="AN13" s="228">
        <v>5.5</v>
      </c>
      <c r="AO13" s="229">
        <v>1.2999999999999999E-2</v>
      </c>
      <c r="AP13" s="231">
        <v>2093.34</v>
      </c>
      <c r="AQ13" s="231">
        <v>2105.48</v>
      </c>
      <c r="AR13" s="228">
        <v>0</v>
      </c>
      <c r="AS13" s="228">
        <v>302</v>
      </c>
      <c r="AT13" s="230">
        <v>2424</v>
      </c>
      <c r="AU13" s="230">
        <v>-2122</v>
      </c>
      <c r="AV13" s="229">
        <v>-0.87539999999999996</v>
      </c>
      <c r="AW13" s="228">
        <v>294</v>
      </c>
      <c r="AX13" s="230">
        <v>1140</v>
      </c>
      <c r="AY13" s="228">
        <v>-846</v>
      </c>
      <c r="AZ13" s="229">
        <v>-0.74229999999999996</v>
      </c>
      <c r="BA13" s="228">
        <v>8</v>
      </c>
      <c r="BB13" s="230">
        <v>1280</v>
      </c>
      <c r="BC13" s="230">
        <v>-1272</v>
      </c>
      <c r="BD13" s="229">
        <v>-0.99370000000000003</v>
      </c>
      <c r="BE13" s="228">
        <v>0</v>
      </c>
      <c r="BF13" s="228">
        <v>5</v>
      </c>
      <c r="BG13" s="228">
        <v>-4</v>
      </c>
      <c r="BH13" s="229">
        <v>-0.95240000000000002</v>
      </c>
      <c r="BI13" s="228">
        <v>556</v>
      </c>
      <c r="BJ13" s="230">
        <v>2035</v>
      </c>
      <c r="BK13" s="230">
        <v>-1479</v>
      </c>
      <c r="BL13" s="229">
        <v>-0.72689999999999999</v>
      </c>
      <c r="BM13" s="228">
        <v>180</v>
      </c>
      <c r="BN13" s="228">
        <v>793</v>
      </c>
      <c r="BO13" s="228">
        <v>-613</v>
      </c>
      <c r="BP13" s="229">
        <v>-0.77249999999999996</v>
      </c>
      <c r="BQ13" s="230">
        <v>1038</v>
      </c>
      <c r="BR13" s="230">
        <v>5253</v>
      </c>
      <c r="BS13" s="230">
        <v>-4214</v>
      </c>
      <c r="BT13" s="229">
        <v>-0.80230000000000001</v>
      </c>
      <c r="BU13" s="230">
        <v>884363</v>
      </c>
      <c r="BV13" s="230">
        <v>2743168</v>
      </c>
      <c r="BW13" s="230">
        <v>-1858805</v>
      </c>
      <c r="BX13" s="229">
        <v>-0.67759999999999998</v>
      </c>
      <c r="BY13" s="230">
        <v>2069</v>
      </c>
      <c r="BZ13" s="230">
        <v>2157</v>
      </c>
      <c r="CA13" s="228">
        <v>-88</v>
      </c>
      <c r="CB13" s="229">
        <v>-4.0899999999999999E-2</v>
      </c>
      <c r="CC13" s="230">
        <v>2059</v>
      </c>
      <c r="CD13" s="228">
        <v>42</v>
      </c>
      <c r="CE13" s="230">
        <v>2017</v>
      </c>
      <c r="CF13" s="229">
        <v>47.584099999999999</v>
      </c>
      <c r="CG13" s="228">
        <v>10</v>
      </c>
      <c r="CH13" s="230">
        <v>2151</v>
      </c>
      <c r="CI13" s="230">
        <v>-2141</v>
      </c>
      <c r="CJ13" s="229">
        <v>-0.99560000000000004</v>
      </c>
      <c r="CK13" s="228">
        <v>0</v>
      </c>
      <c r="CL13" s="228">
        <v>6</v>
      </c>
      <c r="CM13" s="228">
        <v>-6</v>
      </c>
      <c r="CN13" s="229">
        <v>-0.96509999999999996</v>
      </c>
      <c r="CO13" s="228">
        <v>225</v>
      </c>
      <c r="CP13" s="228">
        <v>234</v>
      </c>
      <c r="CQ13" s="228">
        <v>-10</v>
      </c>
      <c r="CR13" s="229">
        <v>-4.1700000000000001E-2</v>
      </c>
      <c r="CS13" s="228">
        <v>123</v>
      </c>
      <c r="CT13" s="228">
        <v>112</v>
      </c>
      <c r="CU13" s="228">
        <v>12</v>
      </c>
      <c r="CV13" s="229">
        <v>0.1032</v>
      </c>
      <c r="CW13" s="230">
        <v>2416</v>
      </c>
      <c r="CX13" s="230">
        <v>2503</v>
      </c>
      <c r="CY13" s="228">
        <v>-87</v>
      </c>
      <c r="CZ13" s="229">
        <v>-3.4599999999999999E-2</v>
      </c>
      <c r="DA13" s="228">
        <v>29.11</v>
      </c>
      <c r="DB13" s="228">
        <v>32.61</v>
      </c>
      <c r="DC13" s="228">
        <v>-3.5</v>
      </c>
      <c r="DD13" s="228">
        <v>-3.5</v>
      </c>
      <c r="DE13" s="228">
        <v>32.409999999999997</v>
      </c>
      <c r="DF13" s="228">
        <v>32.43</v>
      </c>
      <c r="DG13" s="228">
        <v>-3.3</v>
      </c>
      <c r="DH13" s="228">
        <v>-0.02</v>
      </c>
      <c r="DI13" s="228">
        <v>28.88</v>
      </c>
      <c r="DJ13" s="228">
        <v>32.68</v>
      </c>
      <c r="DK13" s="228">
        <v>-3.8</v>
      </c>
      <c r="DL13" s="228">
        <v>-3.8</v>
      </c>
      <c r="DM13" s="228">
        <v>29.8</v>
      </c>
      <c r="DN13" s="228">
        <v>32.35</v>
      </c>
      <c r="DO13" s="228">
        <v>-2.5499999999999998</v>
      </c>
      <c r="DP13" s="228">
        <v>-2.5499999999999998</v>
      </c>
      <c r="DQ13" s="228">
        <v>0.55000000000000004</v>
      </c>
      <c r="DR13" s="228">
        <v>0.48</v>
      </c>
      <c r="DS13" s="228">
        <v>7.0000000000000007E-2</v>
      </c>
      <c r="DT13" s="229">
        <v>0.14580000000000001</v>
      </c>
      <c r="DU13" s="231">
        <v>2100</v>
      </c>
      <c r="DV13" s="231">
        <v>2000</v>
      </c>
      <c r="DW13" s="228">
        <v>0.32</v>
      </c>
      <c r="DX13" s="228">
        <v>0.39</v>
      </c>
      <c r="DY13" s="228">
        <v>-7.0000000000000007E-2</v>
      </c>
      <c r="DZ13" s="229">
        <v>-0.17949999999999999</v>
      </c>
      <c r="EA13" s="229">
        <v>4.7000000000000002E-3</v>
      </c>
      <c r="EB13" s="230">
        <v>10278800</v>
      </c>
      <c r="EC13" s="229">
        <v>5.8999999999999999E-3</v>
      </c>
      <c r="ED13" s="229">
        <v>4.7000000000000002E-3</v>
      </c>
      <c r="EE13" s="228">
        <v>12.14</v>
      </c>
      <c r="EF13" s="229">
        <v>5.7999999999999996E-3</v>
      </c>
      <c r="EG13" s="230">
        <v>523099</v>
      </c>
      <c r="EH13" s="230">
        <v>1530638</v>
      </c>
      <c r="EI13" s="229">
        <v>-0.65820000000000001</v>
      </c>
      <c r="EJ13" s="229">
        <v>0.59150000000000003</v>
      </c>
      <c r="EK13" s="228">
        <v>579.52</v>
      </c>
      <c r="EL13" s="228">
        <v>175.85</v>
      </c>
      <c r="EM13" s="228">
        <v>301.39999999999998</v>
      </c>
      <c r="EN13" s="228">
        <v>234.36</v>
      </c>
      <c r="EO13" s="231">
        <v>1056.77</v>
      </c>
      <c r="EP13" s="231">
        <v>5221.5600000000004</v>
      </c>
      <c r="EQ13" s="231">
        <v>-4164.79</v>
      </c>
      <c r="ER13" s="229">
        <v>-0.79759999999999998</v>
      </c>
      <c r="ES13" s="228">
        <v>228.88</v>
      </c>
      <c r="ET13" s="228">
        <v>116.1</v>
      </c>
      <c r="EU13" s="231">
        <v>2068.7800000000002</v>
      </c>
      <c r="EV13" s="231">
        <v>23068453</v>
      </c>
      <c r="EW13" s="231">
        <v>2413.7600000000002</v>
      </c>
      <c r="EX13" s="231">
        <v>2468.25</v>
      </c>
      <c r="EY13" s="228">
        <v>-54.49</v>
      </c>
      <c r="EZ13" s="229">
        <v>-2.2100000000000002E-2</v>
      </c>
      <c r="FA13" s="229">
        <v>0.49919999999999998</v>
      </c>
      <c r="FB13" s="227" t="s">
        <v>556</v>
      </c>
      <c r="FC13">
        <f t="shared" si="0"/>
        <v>10</v>
      </c>
    </row>
    <row r="14" spans="1:159" ht="17.25" thickBot="1" x14ac:dyDescent="0.3">
      <c r="A14" s="226">
        <v>46050</v>
      </c>
      <c r="B14" s="227" t="s">
        <v>170</v>
      </c>
      <c r="C14" s="227" t="s">
        <v>165</v>
      </c>
      <c r="D14" s="228">
        <v>125</v>
      </c>
      <c r="E14" s="228">
        <v>27</v>
      </c>
      <c r="F14" s="231">
        <v>6892</v>
      </c>
      <c r="G14" s="231">
        <v>6831.5</v>
      </c>
      <c r="H14" s="228">
        <v>60.5</v>
      </c>
      <c r="I14" s="229">
        <v>8.8999999999999999E-3</v>
      </c>
      <c r="J14" s="231">
        <v>6877.5</v>
      </c>
      <c r="K14" s="231">
        <v>6793.5</v>
      </c>
      <c r="L14" s="228">
        <v>84</v>
      </c>
      <c r="M14" s="229">
        <v>1.24E-2</v>
      </c>
      <c r="N14" s="231">
        <v>6892</v>
      </c>
      <c r="O14" s="231">
        <v>6804</v>
      </c>
      <c r="P14" s="228">
        <v>88</v>
      </c>
      <c r="Q14" s="229">
        <v>1.29E-2</v>
      </c>
      <c r="R14" s="231">
        <v>6935.5</v>
      </c>
      <c r="S14" s="231">
        <v>6831.5</v>
      </c>
      <c r="T14" s="228">
        <v>104</v>
      </c>
      <c r="U14" s="229">
        <v>1.52E-2</v>
      </c>
      <c r="V14" s="231">
        <v>6979</v>
      </c>
      <c r="W14" s="231">
        <v>6883</v>
      </c>
      <c r="X14" s="228">
        <v>96</v>
      </c>
      <c r="Y14" s="229">
        <v>1.3899999999999999E-2</v>
      </c>
      <c r="Z14" s="228">
        <v>14.5</v>
      </c>
      <c r="AA14" s="228">
        <v>38</v>
      </c>
      <c r="AB14" s="228">
        <v>-23.5</v>
      </c>
      <c r="AC14" s="229">
        <v>2.0999999999999999E-3</v>
      </c>
      <c r="AD14" s="228">
        <v>14.5</v>
      </c>
      <c r="AE14" s="228">
        <v>10.5</v>
      </c>
      <c r="AF14" s="228">
        <v>4</v>
      </c>
      <c r="AG14" s="229">
        <v>2.0999999999999999E-3</v>
      </c>
      <c r="AH14" s="228">
        <v>58</v>
      </c>
      <c r="AI14" s="228">
        <v>38</v>
      </c>
      <c r="AJ14" s="228">
        <v>20</v>
      </c>
      <c r="AK14" s="229">
        <v>8.3999999999999995E-3</v>
      </c>
      <c r="AL14" s="228">
        <v>101.5</v>
      </c>
      <c r="AM14" s="228">
        <v>89.5</v>
      </c>
      <c r="AN14" s="228">
        <v>12</v>
      </c>
      <c r="AO14" s="229">
        <v>1.4800000000000001E-2</v>
      </c>
      <c r="AP14" s="231">
        <v>6878.77</v>
      </c>
      <c r="AQ14" s="231">
        <v>6914.38</v>
      </c>
      <c r="AR14" s="228">
        <v>0</v>
      </c>
      <c r="AS14" s="228">
        <v>290</v>
      </c>
      <c r="AT14" s="230">
        <v>1339</v>
      </c>
      <c r="AU14" s="230">
        <v>-1049</v>
      </c>
      <c r="AV14" s="229">
        <v>-0.78349999999999997</v>
      </c>
      <c r="AW14" s="228">
        <v>282</v>
      </c>
      <c r="AX14" s="228">
        <v>612</v>
      </c>
      <c r="AY14" s="228">
        <v>-330</v>
      </c>
      <c r="AZ14" s="229">
        <v>-0.53969999999999996</v>
      </c>
      <c r="BA14" s="228">
        <v>6</v>
      </c>
      <c r="BB14" s="228">
        <v>715</v>
      </c>
      <c r="BC14" s="228">
        <v>-709</v>
      </c>
      <c r="BD14" s="229">
        <v>-0.99109999999999998</v>
      </c>
      <c r="BE14" s="228">
        <v>2</v>
      </c>
      <c r="BF14" s="228">
        <v>12</v>
      </c>
      <c r="BG14" s="228">
        <v>-10</v>
      </c>
      <c r="BH14" s="229">
        <v>-0.8417</v>
      </c>
      <c r="BI14" s="230">
        <v>1115</v>
      </c>
      <c r="BJ14" s="230">
        <v>1525</v>
      </c>
      <c r="BK14" s="228">
        <v>-410</v>
      </c>
      <c r="BL14" s="229">
        <v>-0.26860000000000001</v>
      </c>
      <c r="BM14" s="228">
        <v>346</v>
      </c>
      <c r="BN14" s="228">
        <v>778</v>
      </c>
      <c r="BO14" s="228">
        <v>-432</v>
      </c>
      <c r="BP14" s="229">
        <v>-0.55510000000000004</v>
      </c>
      <c r="BQ14" s="230">
        <v>1751</v>
      </c>
      <c r="BR14" s="230">
        <v>3641</v>
      </c>
      <c r="BS14" s="230">
        <v>-1890</v>
      </c>
      <c r="BT14" s="229">
        <v>-0.51910000000000001</v>
      </c>
      <c r="BU14" s="230">
        <v>404947</v>
      </c>
      <c r="BV14" s="230">
        <v>519541</v>
      </c>
      <c r="BW14" s="230">
        <v>-114594</v>
      </c>
      <c r="BX14" s="229">
        <v>-0.22059999999999999</v>
      </c>
      <c r="BY14" s="230">
        <v>2599</v>
      </c>
      <c r="BZ14" s="230">
        <v>2670</v>
      </c>
      <c r="CA14" s="228">
        <v>-70</v>
      </c>
      <c r="CB14" s="229">
        <v>-2.64E-2</v>
      </c>
      <c r="CC14" s="230">
        <v>2568</v>
      </c>
      <c r="CD14" s="228">
        <v>323</v>
      </c>
      <c r="CE14" s="230">
        <v>2245</v>
      </c>
      <c r="CF14" s="229">
        <v>6.9512</v>
      </c>
      <c r="CG14" s="228">
        <v>30</v>
      </c>
      <c r="CH14" s="230">
        <v>2639</v>
      </c>
      <c r="CI14" s="230">
        <v>-2609</v>
      </c>
      <c r="CJ14" s="229">
        <v>-0.98850000000000005</v>
      </c>
      <c r="CK14" s="228">
        <v>1</v>
      </c>
      <c r="CL14" s="228">
        <v>31</v>
      </c>
      <c r="CM14" s="228">
        <v>-30</v>
      </c>
      <c r="CN14" s="229">
        <v>-0.96630000000000005</v>
      </c>
      <c r="CO14" s="228">
        <v>442</v>
      </c>
      <c r="CP14" s="228">
        <v>294</v>
      </c>
      <c r="CQ14" s="228">
        <v>148</v>
      </c>
      <c r="CR14" s="229">
        <v>0.50229999999999997</v>
      </c>
      <c r="CS14" s="228">
        <v>336</v>
      </c>
      <c r="CT14" s="228">
        <v>236</v>
      </c>
      <c r="CU14" s="228">
        <v>100</v>
      </c>
      <c r="CV14" s="229">
        <v>0.42420000000000002</v>
      </c>
      <c r="CW14" s="230">
        <v>3378</v>
      </c>
      <c r="CX14" s="230">
        <v>3200</v>
      </c>
      <c r="CY14" s="228">
        <v>178</v>
      </c>
      <c r="CZ14" s="229">
        <v>5.5500000000000001E-2</v>
      </c>
      <c r="DA14" s="228">
        <v>26.2</v>
      </c>
      <c r="DB14" s="228">
        <v>25.63</v>
      </c>
      <c r="DC14" s="228">
        <v>0.56999999999999995</v>
      </c>
      <c r="DD14" s="228">
        <v>0.56999999999999995</v>
      </c>
      <c r="DE14" s="228">
        <v>24.9</v>
      </c>
      <c r="DF14" s="228">
        <v>24.91</v>
      </c>
      <c r="DG14" s="228">
        <v>1.3</v>
      </c>
      <c r="DH14" s="228">
        <v>-0.01</v>
      </c>
      <c r="DI14" s="228">
        <v>26.02</v>
      </c>
      <c r="DJ14" s="228">
        <v>25.75</v>
      </c>
      <c r="DK14" s="228">
        <v>0.27</v>
      </c>
      <c r="DL14" s="228">
        <v>0.27</v>
      </c>
      <c r="DM14" s="228">
        <v>26.78</v>
      </c>
      <c r="DN14" s="228">
        <v>25.44</v>
      </c>
      <c r="DO14" s="228">
        <v>1.34</v>
      </c>
      <c r="DP14" s="228">
        <v>1.34</v>
      </c>
      <c r="DQ14" s="228">
        <v>0.76</v>
      </c>
      <c r="DR14" s="228">
        <v>0.8</v>
      </c>
      <c r="DS14" s="228">
        <v>-0.04</v>
      </c>
      <c r="DT14" s="229">
        <v>-0.05</v>
      </c>
      <c r="DU14" s="231">
        <v>7000</v>
      </c>
      <c r="DV14" s="231">
        <v>6800</v>
      </c>
      <c r="DW14" s="228">
        <v>0.31</v>
      </c>
      <c r="DX14" s="228">
        <v>0.51</v>
      </c>
      <c r="DY14" s="228">
        <v>-0.2</v>
      </c>
      <c r="DZ14" s="229">
        <v>-0.39219999999999999</v>
      </c>
      <c r="EA14" s="229">
        <v>1.21E-2</v>
      </c>
      <c r="EB14" s="230">
        <v>3873875</v>
      </c>
      <c r="EC14" s="229">
        <v>6.3E-3</v>
      </c>
      <c r="ED14" s="229">
        <v>1.21E-2</v>
      </c>
      <c r="EE14" s="228">
        <v>35.61</v>
      </c>
      <c r="EF14" s="229">
        <v>5.1999999999999998E-3</v>
      </c>
      <c r="EG14" s="230">
        <v>273255</v>
      </c>
      <c r="EH14" s="230">
        <v>306357</v>
      </c>
      <c r="EI14" s="229">
        <v>-0.1081</v>
      </c>
      <c r="EJ14" s="229">
        <v>0.67479999999999996</v>
      </c>
      <c r="EK14" s="231">
        <v>1165.74</v>
      </c>
      <c r="EL14" s="228">
        <v>341.79</v>
      </c>
      <c r="EM14" s="228">
        <v>289.39999999999998</v>
      </c>
      <c r="EN14" s="228">
        <v>185.03</v>
      </c>
      <c r="EO14" s="231">
        <v>1796.93</v>
      </c>
      <c r="EP14" s="231">
        <v>3671.98</v>
      </c>
      <c r="EQ14" s="231">
        <v>-1875.05</v>
      </c>
      <c r="ER14" s="229">
        <v>-0.51060000000000005</v>
      </c>
      <c r="ES14" s="228">
        <v>460.59</v>
      </c>
      <c r="ET14" s="228">
        <v>330.7</v>
      </c>
      <c r="EU14" s="231">
        <v>2599.61</v>
      </c>
      <c r="EV14" s="231">
        <v>15524629</v>
      </c>
      <c r="EW14" s="231">
        <v>3390.89</v>
      </c>
      <c r="EX14" s="231">
        <v>3187.25</v>
      </c>
      <c r="EY14" s="228">
        <v>203.64</v>
      </c>
      <c r="EZ14" s="229">
        <v>6.3899999999999998E-2</v>
      </c>
      <c r="FA14" s="229">
        <v>0.31569999999999998</v>
      </c>
      <c r="FB14" s="227" t="s">
        <v>556</v>
      </c>
      <c r="FC14">
        <f t="shared" si="0"/>
        <v>31</v>
      </c>
    </row>
    <row r="15" spans="1:159" ht="17.25" thickBot="1" x14ac:dyDescent="0.3">
      <c r="A15" s="226">
        <v>46050</v>
      </c>
      <c r="B15" s="227" t="s">
        <v>162</v>
      </c>
      <c r="C15" s="227" t="s">
        <v>167</v>
      </c>
      <c r="D15" s="228">
        <v>5000</v>
      </c>
      <c r="E15" s="228">
        <v>27</v>
      </c>
      <c r="F15" s="228">
        <v>193.64</v>
      </c>
      <c r="G15" s="228">
        <v>192.87</v>
      </c>
      <c r="H15" s="228">
        <v>0.77</v>
      </c>
      <c r="I15" s="229">
        <v>4.0000000000000001E-3</v>
      </c>
      <c r="J15" s="228">
        <v>195.33</v>
      </c>
      <c r="K15" s="228">
        <v>193</v>
      </c>
      <c r="L15" s="228">
        <v>2.33</v>
      </c>
      <c r="M15" s="229">
        <v>1.21E-2</v>
      </c>
      <c r="N15" s="228">
        <v>193.64</v>
      </c>
      <c r="O15" s="228">
        <v>193</v>
      </c>
      <c r="P15" s="228">
        <v>0.64</v>
      </c>
      <c r="Q15" s="229">
        <v>3.3E-3</v>
      </c>
      <c r="R15" s="228">
        <v>191.96</v>
      </c>
      <c r="S15" s="228">
        <v>192.87</v>
      </c>
      <c r="T15" s="228">
        <v>-0.91</v>
      </c>
      <c r="U15" s="229">
        <v>-4.7000000000000002E-3</v>
      </c>
      <c r="V15" s="228">
        <v>190.8</v>
      </c>
      <c r="W15" s="228">
        <v>191.91</v>
      </c>
      <c r="X15" s="228">
        <v>-1.1100000000000001</v>
      </c>
      <c r="Y15" s="229">
        <v>-5.7999999999999996E-3</v>
      </c>
      <c r="Z15" s="228">
        <v>-1.69</v>
      </c>
      <c r="AA15" s="228">
        <v>-0.13</v>
      </c>
      <c r="AB15" s="228">
        <v>-1.56</v>
      </c>
      <c r="AC15" s="229">
        <v>-8.6999999999999994E-3</v>
      </c>
      <c r="AD15" s="228">
        <v>-1.69</v>
      </c>
      <c r="AE15" s="228">
        <v>0</v>
      </c>
      <c r="AF15" s="228">
        <v>-1.69</v>
      </c>
      <c r="AG15" s="229">
        <v>-8.6999999999999994E-3</v>
      </c>
      <c r="AH15" s="228">
        <v>-3.37</v>
      </c>
      <c r="AI15" s="228">
        <v>-0.13</v>
      </c>
      <c r="AJ15" s="228">
        <v>-3.24</v>
      </c>
      <c r="AK15" s="229">
        <v>-1.7299999999999999E-2</v>
      </c>
      <c r="AL15" s="228">
        <v>-4.53</v>
      </c>
      <c r="AM15" s="228">
        <v>-1.0900000000000001</v>
      </c>
      <c r="AN15" s="228">
        <v>-3.44</v>
      </c>
      <c r="AO15" s="229">
        <v>-2.3199999999999998E-2</v>
      </c>
      <c r="AP15" s="228">
        <v>191.26</v>
      </c>
      <c r="AQ15" s="228">
        <v>190.05</v>
      </c>
      <c r="AR15" s="228">
        <v>0</v>
      </c>
      <c r="AS15" s="228">
        <v>950</v>
      </c>
      <c r="AT15" s="230">
        <v>1472</v>
      </c>
      <c r="AU15" s="228">
        <v>-522</v>
      </c>
      <c r="AV15" s="229">
        <v>-0.35489999999999999</v>
      </c>
      <c r="AW15" s="228">
        <v>893</v>
      </c>
      <c r="AX15" s="228">
        <v>596</v>
      </c>
      <c r="AY15" s="228">
        <v>297</v>
      </c>
      <c r="AZ15" s="229">
        <v>0.49809999999999999</v>
      </c>
      <c r="BA15" s="228">
        <v>54</v>
      </c>
      <c r="BB15" s="228">
        <v>859</v>
      </c>
      <c r="BC15" s="228">
        <v>-805</v>
      </c>
      <c r="BD15" s="229">
        <v>-0.93679999999999997</v>
      </c>
      <c r="BE15" s="228">
        <v>2</v>
      </c>
      <c r="BF15" s="228">
        <v>17</v>
      </c>
      <c r="BG15" s="228">
        <v>-15</v>
      </c>
      <c r="BH15" s="229">
        <v>-0.87280000000000002</v>
      </c>
      <c r="BI15" s="230">
        <v>1719</v>
      </c>
      <c r="BJ15" s="230">
        <v>1773</v>
      </c>
      <c r="BK15" s="228">
        <v>-55</v>
      </c>
      <c r="BL15" s="229">
        <v>-3.0800000000000001E-2</v>
      </c>
      <c r="BM15" s="228">
        <v>614</v>
      </c>
      <c r="BN15" s="228">
        <v>863</v>
      </c>
      <c r="BO15" s="228">
        <v>-249</v>
      </c>
      <c r="BP15" s="229">
        <v>-0.28810000000000002</v>
      </c>
      <c r="BQ15" s="230">
        <v>3282</v>
      </c>
      <c r="BR15" s="230">
        <v>4108</v>
      </c>
      <c r="BS15" s="228">
        <v>-826</v>
      </c>
      <c r="BT15" s="229">
        <v>-0.20100000000000001</v>
      </c>
      <c r="BU15" s="230">
        <v>21273162</v>
      </c>
      <c r="BV15" s="230">
        <v>23855749</v>
      </c>
      <c r="BW15" s="230">
        <v>-2582587</v>
      </c>
      <c r="BX15" s="229">
        <v>-0.10829999999999999</v>
      </c>
      <c r="BY15" s="230">
        <v>3083</v>
      </c>
      <c r="BZ15" s="230">
        <v>3160</v>
      </c>
      <c r="CA15" s="228">
        <v>-77</v>
      </c>
      <c r="CB15" s="229">
        <v>-2.4299999999999999E-2</v>
      </c>
      <c r="CC15" s="230">
        <v>3049</v>
      </c>
      <c r="CD15" s="228">
        <v>248</v>
      </c>
      <c r="CE15" s="230">
        <v>2801</v>
      </c>
      <c r="CF15" s="229">
        <v>11.2736</v>
      </c>
      <c r="CG15" s="228">
        <v>33</v>
      </c>
      <c r="CH15" s="230">
        <v>3135</v>
      </c>
      <c r="CI15" s="230">
        <v>-3102</v>
      </c>
      <c r="CJ15" s="229">
        <v>-0.98960000000000004</v>
      </c>
      <c r="CK15" s="228">
        <v>1</v>
      </c>
      <c r="CL15" s="228">
        <v>25</v>
      </c>
      <c r="CM15" s="228">
        <v>-24</v>
      </c>
      <c r="CN15" s="229">
        <v>-0.94269999999999998</v>
      </c>
      <c r="CO15" s="228">
        <v>747</v>
      </c>
      <c r="CP15" s="228">
        <v>684</v>
      </c>
      <c r="CQ15" s="228">
        <v>63</v>
      </c>
      <c r="CR15" s="229">
        <v>9.2399999999999996E-2</v>
      </c>
      <c r="CS15" s="228">
        <v>454</v>
      </c>
      <c r="CT15" s="228">
        <v>394</v>
      </c>
      <c r="CU15" s="228">
        <v>60</v>
      </c>
      <c r="CV15" s="229">
        <v>0.1527</v>
      </c>
      <c r="CW15" s="230">
        <v>4285</v>
      </c>
      <c r="CX15" s="230">
        <v>4238</v>
      </c>
      <c r="CY15" s="228">
        <v>47</v>
      </c>
      <c r="CZ15" s="229">
        <v>1.0999999999999999E-2</v>
      </c>
      <c r="DA15" s="228">
        <v>39.049999999999997</v>
      </c>
      <c r="DB15" s="228">
        <v>39.520000000000003</v>
      </c>
      <c r="DC15" s="228">
        <v>-0.47</v>
      </c>
      <c r="DD15" s="228">
        <v>-0.47</v>
      </c>
      <c r="DE15" s="228">
        <v>35.119999999999997</v>
      </c>
      <c r="DF15" s="228">
        <v>35.17</v>
      </c>
      <c r="DG15" s="228">
        <v>3.93</v>
      </c>
      <c r="DH15" s="228">
        <v>-0.05</v>
      </c>
      <c r="DI15" s="228">
        <v>38.81</v>
      </c>
      <c r="DJ15" s="228">
        <v>39.04</v>
      </c>
      <c r="DK15" s="228">
        <v>-0.23</v>
      </c>
      <c r="DL15" s="228">
        <v>-0.23</v>
      </c>
      <c r="DM15" s="228">
        <v>39.729999999999997</v>
      </c>
      <c r="DN15" s="228">
        <v>40.69</v>
      </c>
      <c r="DO15" s="228">
        <v>-0.96</v>
      </c>
      <c r="DP15" s="228">
        <v>-0.96</v>
      </c>
      <c r="DQ15" s="228">
        <v>0.61</v>
      </c>
      <c r="DR15" s="228">
        <v>0.57999999999999996</v>
      </c>
      <c r="DS15" s="228">
        <v>0.03</v>
      </c>
      <c r="DT15" s="229">
        <v>5.1700000000000003E-2</v>
      </c>
      <c r="DU15" s="228">
        <v>200</v>
      </c>
      <c r="DV15" s="228">
        <v>180</v>
      </c>
      <c r="DW15" s="228">
        <v>0.36</v>
      </c>
      <c r="DX15" s="228">
        <v>0.49</v>
      </c>
      <c r="DY15" s="228">
        <v>-0.13</v>
      </c>
      <c r="DZ15" s="229">
        <v>-0.26529999999999998</v>
      </c>
      <c r="EA15" s="229">
        <v>1.11E-2</v>
      </c>
      <c r="EB15" s="230">
        <v>163195000</v>
      </c>
      <c r="EC15" s="229">
        <v>-8.6999999999999994E-3</v>
      </c>
      <c r="ED15" s="229">
        <v>1.11E-2</v>
      </c>
      <c r="EE15" s="228">
        <v>-1.21</v>
      </c>
      <c r="EF15" s="229">
        <v>-6.3E-3</v>
      </c>
      <c r="EG15" s="230">
        <v>8123397</v>
      </c>
      <c r="EH15" s="230">
        <v>11922019</v>
      </c>
      <c r="EI15" s="229">
        <v>-0.31859999999999999</v>
      </c>
      <c r="EJ15" s="229">
        <v>0.38190000000000002</v>
      </c>
      <c r="EK15" s="231">
        <v>1836.15</v>
      </c>
      <c r="EL15" s="228">
        <v>598.91</v>
      </c>
      <c r="EM15" s="228">
        <v>937.48</v>
      </c>
      <c r="EN15" s="228">
        <v>286</v>
      </c>
      <c r="EO15" s="231">
        <v>3372.54</v>
      </c>
      <c r="EP15" s="231">
        <v>4133.95</v>
      </c>
      <c r="EQ15" s="228">
        <v>-761.41</v>
      </c>
      <c r="ER15" s="229">
        <v>-0.1842</v>
      </c>
      <c r="ES15" s="228">
        <v>772.86</v>
      </c>
      <c r="ET15" s="228">
        <v>424.8</v>
      </c>
      <c r="EU15" s="231">
        <v>3083.03</v>
      </c>
      <c r="EV15" s="231">
        <v>423719104</v>
      </c>
      <c r="EW15" s="231">
        <v>4280.6899999999996</v>
      </c>
      <c r="EX15" s="231">
        <v>4223.58</v>
      </c>
      <c r="EY15" s="228">
        <v>57.11</v>
      </c>
      <c r="EZ15" s="229">
        <v>1.35E-2</v>
      </c>
      <c r="FA15" s="229">
        <v>0.5222</v>
      </c>
      <c r="FB15" s="227" t="s">
        <v>556</v>
      </c>
      <c r="FC15">
        <f t="shared" si="0"/>
        <v>34</v>
      </c>
    </row>
    <row r="16" spans="1:159" ht="17.25" thickBot="1" x14ac:dyDescent="0.3">
      <c r="A16" s="226">
        <v>46050</v>
      </c>
      <c r="B16" s="227" t="s">
        <v>168</v>
      </c>
      <c r="C16" s="227" t="s">
        <v>169</v>
      </c>
      <c r="D16" s="228">
        <v>250</v>
      </c>
      <c r="E16" s="228">
        <v>27</v>
      </c>
      <c r="F16" s="231">
        <v>2513.9</v>
      </c>
      <c r="G16" s="231">
        <v>2630</v>
      </c>
      <c r="H16" s="228">
        <v>-116.1</v>
      </c>
      <c r="I16" s="229">
        <v>-4.41E-2</v>
      </c>
      <c r="J16" s="231">
        <v>2511.8000000000002</v>
      </c>
      <c r="K16" s="231">
        <v>2622.8</v>
      </c>
      <c r="L16" s="228">
        <v>-111</v>
      </c>
      <c r="M16" s="229">
        <v>-4.2299999999999997E-2</v>
      </c>
      <c r="N16" s="231">
        <v>2513.9</v>
      </c>
      <c r="O16" s="231">
        <v>2617.1999999999998</v>
      </c>
      <c r="P16" s="228">
        <v>-103.3</v>
      </c>
      <c r="Q16" s="229">
        <v>-3.95E-2</v>
      </c>
      <c r="R16" s="231">
        <v>2524.5</v>
      </c>
      <c r="S16" s="231">
        <v>2630</v>
      </c>
      <c r="T16" s="228">
        <v>-105.5</v>
      </c>
      <c r="U16" s="229">
        <v>-4.0099999999999997E-2</v>
      </c>
      <c r="V16" s="231">
        <v>2539.1999999999998</v>
      </c>
      <c r="W16" s="231">
        <v>2642</v>
      </c>
      <c r="X16" s="228">
        <v>-102.8</v>
      </c>
      <c r="Y16" s="229">
        <v>-3.8899999999999997E-2</v>
      </c>
      <c r="Z16" s="228">
        <v>2.1</v>
      </c>
      <c r="AA16" s="228">
        <v>7.2</v>
      </c>
      <c r="AB16" s="228">
        <v>-5.0999999999999996</v>
      </c>
      <c r="AC16" s="229">
        <v>8.0000000000000004E-4</v>
      </c>
      <c r="AD16" s="228">
        <v>2.1</v>
      </c>
      <c r="AE16" s="228">
        <v>-5.6</v>
      </c>
      <c r="AF16" s="228">
        <v>7.7</v>
      </c>
      <c r="AG16" s="229">
        <v>8.0000000000000004E-4</v>
      </c>
      <c r="AH16" s="228">
        <v>12.7</v>
      </c>
      <c r="AI16" s="228">
        <v>7.2</v>
      </c>
      <c r="AJ16" s="228">
        <v>5.5</v>
      </c>
      <c r="AK16" s="229">
        <v>5.1000000000000004E-3</v>
      </c>
      <c r="AL16" s="228">
        <v>27.4</v>
      </c>
      <c r="AM16" s="228">
        <v>19.2</v>
      </c>
      <c r="AN16" s="228">
        <v>8.1999999999999993</v>
      </c>
      <c r="AO16" s="229">
        <v>1.09E-2</v>
      </c>
      <c r="AP16" s="231">
        <v>2496.25</v>
      </c>
      <c r="AQ16" s="231">
        <v>2506.37</v>
      </c>
      <c r="AR16" s="228">
        <v>0</v>
      </c>
      <c r="AS16" s="230">
        <v>1495</v>
      </c>
      <c r="AT16" s="230">
        <v>2979</v>
      </c>
      <c r="AU16" s="230">
        <v>-1484</v>
      </c>
      <c r="AV16" s="229">
        <v>-0.49819999999999998</v>
      </c>
      <c r="AW16" s="230">
        <v>1419</v>
      </c>
      <c r="AX16" s="228">
        <v>820</v>
      </c>
      <c r="AY16" s="228">
        <v>599</v>
      </c>
      <c r="AZ16" s="229">
        <v>0.73050000000000004</v>
      </c>
      <c r="BA16" s="228">
        <v>72</v>
      </c>
      <c r="BB16" s="230">
        <v>2131</v>
      </c>
      <c r="BC16" s="230">
        <v>-2059</v>
      </c>
      <c r="BD16" s="229">
        <v>-0.96630000000000005</v>
      </c>
      <c r="BE16" s="228">
        <v>4</v>
      </c>
      <c r="BF16" s="228">
        <v>29</v>
      </c>
      <c r="BG16" s="228">
        <v>-24</v>
      </c>
      <c r="BH16" s="229">
        <v>-0.85460000000000003</v>
      </c>
      <c r="BI16" s="230">
        <v>6434</v>
      </c>
      <c r="BJ16" s="230">
        <v>6955</v>
      </c>
      <c r="BK16" s="228">
        <v>-521</v>
      </c>
      <c r="BL16" s="229">
        <v>-7.4899999999999994E-2</v>
      </c>
      <c r="BM16" s="230">
        <v>4513</v>
      </c>
      <c r="BN16" s="230">
        <v>6712</v>
      </c>
      <c r="BO16" s="230">
        <v>-2199</v>
      </c>
      <c r="BP16" s="229">
        <v>-0.3276</v>
      </c>
      <c r="BQ16" s="230">
        <v>12441</v>
      </c>
      <c r="BR16" s="230">
        <v>16645</v>
      </c>
      <c r="BS16" s="230">
        <v>-4204</v>
      </c>
      <c r="BT16" s="229">
        <v>-0.25259999999999999</v>
      </c>
      <c r="BU16" s="230">
        <v>3591437</v>
      </c>
      <c r="BV16" s="230">
        <v>3944578</v>
      </c>
      <c r="BW16" s="230">
        <v>-353141</v>
      </c>
      <c r="BX16" s="229">
        <v>-8.9499999999999996E-2</v>
      </c>
      <c r="BY16" s="230">
        <v>3545</v>
      </c>
      <c r="BZ16" s="230">
        <v>3279</v>
      </c>
      <c r="CA16" s="228">
        <v>266</v>
      </c>
      <c r="CB16" s="229">
        <v>8.1199999999999994E-2</v>
      </c>
      <c r="CC16" s="230">
        <v>3474</v>
      </c>
      <c r="CD16" s="228">
        <v>170</v>
      </c>
      <c r="CE16" s="230">
        <v>3304</v>
      </c>
      <c r="CF16" s="229">
        <v>19.425000000000001</v>
      </c>
      <c r="CG16" s="228">
        <v>69</v>
      </c>
      <c r="CH16" s="230">
        <v>3244</v>
      </c>
      <c r="CI16" s="230">
        <v>-3175</v>
      </c>
      <c r="CJ16" s="229">
        <v>-0.9788</v>
      </c>
      <c r="CK16" s="228">
        <v>3</v>
      </c>
      <c r="CL16" s="228">
        <v>35</v>
      </c>
      <c r="CM16" s="228">
        <v>-32</v>
      </c>
      <c r="CN16" s="229">
        <v>-0.9264</v>
      </c>
      <c r="CO16" s="230">
        <v>1250</v>
      </c>
      <c r="CP16" s="228">
        <v>733</v>
      </c>
      <c r="CQ16" s="228">
        <v>517</v>
      </c>
      <c r="CR16" s="229">
        <v>0.7056</v>
      </c>
      <c r="CS16" s="228">
        <v>798</v>
      </c>
      <c r="CT16" s="228">
        <v>667</v>
      </c>
      <c r="CU16" s="228">
        <v>131</v>
      </c>
      <c r="CV16" s="229">
        <v>0.1963</v>
      </c>
      <c r="CW16" s="230">
        <v>5593</v>
      </c>
      <c r="CX16" s="230">
        <v>4678</v>
      </c>
      <c r="CY16" s="228">
        <v>914</v>
      </c>
      <c r="CZ16" s="229">
        <v>0.19539999999999999</v>
      </c>
      <c r="DA16" s="228">
        <v>25.33</v>
      </c>
      <c r="DB16" s="228">
        <v>28.19</v>
      </c>
      <c r="DC16" s="228">
        <v>-2.86</v>
      </c>
      <c r="DD16" s="228">
        <v>-2.86</v>
      </c>
      <c r="DE16" s="228">
        <v>26.1</v>
      </c>
      <c r="DF16" s="228">
        <v>25.51</v>
      </c>
      <c r="DG16" s="228">
        <v>-0.77</v>
      </c>
      <c r="DH16" s="228">
        <v>0.59</v>
      </c>
      <c r="DI16" s="228">
        <v>25.1</v>
      </c>
      <c r="DJ16" s="228">
        <v>27.08</v>
      </c>
      <c r="DK16" s="228">
        <v>-1.98</v>
      </c>
      <c r="DL16" s="228">
        <v>-1.98</v>
      </c>
      <c r="DM16" s="228">
        <v>25.65</v>
      </c>
      <c r="DN16" s="228">
        <v>29.42</v>
      </c>
      <c r="DO16" s="228">
        <v>-3.77</v>
      </c>
      <c r="DP16" s="228">
        <v>-3.77</v>
      </c>
      <c r="DQ16" s="228">
        <v>0.64</v>
      </c>
      <c r="DR16" s="228">
        <v>0.91</v>
      </c>
      <c r="DS16" s="228">
        <v>-0.27</v>
      </c>
      <c r="DT16" s="229">
        <v>-0.29670000000000002</v>
      </c>
      <c r="DU16" s="231">
        <v>2800</v>
      </c>
      <c r="DV16" s="231">
        <v>2500</v>
      </c>
      <c r="DW16" s="228">
        <v>0.7</v>
      </c>
      <c r="DX16" s="228">
        <v>0.97</v>
      </c>
      <c r="DY16" s="228">
        <v>-0.27</v>
      </c>
      <c r="DZ16" s="229">
        <v>-0.27839999999999998</v>
      </c>
      <c r="EA16" s="229">
        <v>2.01E-2</v>
      </c>
      <c r="EB16" s="230">
        <v>13042750</v>
      </c>
      <c r="EC16" s="229">
        <v>4.1999999999999997E-3</v>
      </c>
      <c r="ED16" s="229">
        <v>2.01E-2</v>
      </c>
      <c r="EE16" s="228">
        <v>10.119999999999999</v>
      </c>
      <c r="EF16" s="229">
        <v>4.1000000000000003E-3</v>
      </c>
      <c r="EG16" s="230">
        <v>1378036</v>
      </c>
      <c r="EH16" s="230">
        <v>1382121</v>
      </c>
      <c r="EI16" s="229">
        <v>-3.0000000000000001E-3</v>
      </c>
      <c r="EJ16" s="229">
        <v>0.38369999999999999</v>
      </c>
      <c r="EK16" s="231">
        <v>6859.54</v>
      </c>
      <c r="EL16" s="231">
        <v>4486.68</v>
      </c>
      <c r="EM16" s="231">
        <v>1484.68</v>
      </c>
      <c r="EN16" s="228">
        <v>421.66</v>
      </c>
      <c r="EO16" s="231">
        <v>12830.9</v>
      </c>
      <c r="EP16" s="231">
        <v>17889.63</v>
      </c>
      <c r="EQ16" s="231">
        <v>-5058.7299999999996</v>
      </c>
      <c r="ER16" s="229">
        <v>-0.2828</v>
      </c>
      <c r="ES16" s="231">
        <v>1361.04</v>
      </c>
      <c r="ET16" s="228">
        <v>793.29</v>
      </c>
      <c r="EU16" s="231">
        <v>3545.23</v>
      </c>
      <c r="EV16" s="231">
        <v>49389162</v>
      </c>
      <c r="EW16" s="231">
        <v>5699.56</v>
      </c>
      <c r="EX16" s="231">
        <v>4935.09</v>
      </c>
      <c r="EY16" s="228">
        <v>764.47</v>
      </c>
      <c r="EZ16" s="229">
        <v>0.15490000000000001</v>
      </c>
      <c r="FA16" s="229">
        <v>0.45040000000000002</v>
      </c>
      <c r="FB16" s="227" t="s">
        <v>567</v>
      </c>
      <c r="FC16">
        <f t="shared" si="0"/>
        <v>71</v>
      </c>
    </row>
    <row r="17" spans="1:159" ht="17.25" thickBot="1" x14ac:dyDescent="0.3">
      <c r="A17" s="226">
        <v>46050</v>
      </c>
      <c r="B17" s="227" t="s">
        <v>184</v>
      </c>
      <c r="C17" s="227" t="s">
        <v>503</v>
      </c>
      <c r="D17" s="228">
        <v>425</v>
      </c>
      <c r="E17" s="228">
        <v>27</v>
      </c>
      <c r="F17" s="231">
        <v>1456.2</v>
      </c>
      <c r="G17" s="231">
        <v>1397.7</v>
      </c>
      <c r="H17" s="228">
        <v>58.5</v>
      </c>
      <c r="I17" s="229">
        <v>4.19E-2</v>
      </c>
      <c r="J17" s="231">
        <v>1452.9</v>
      </c>
      <c r="K17" s="231">
        <v>1400.5</v>
      </c>
      <c r="L17" s="228">
        <v>52.4</v>
      </c>
      <c r="M17" s="229">
        <v>3.7400000000000003E-2</v>
      </c>
      <c r="N17" s="231">
        <v>1456.2</v>
      </c>
      <c r="O17" s="231">
        <v>1399</v>
      </c>
      <c r="P17" s="228">
        <v>57.2</v>
      </c>
      <c r="Q17" s="229">
        <v>4.0899999999999999E-2</v>
      </c>
      <c r="R17" s="231">
        <v>1452.1</v>
      </c>
      <c r="S17" s="231">
        <v>1397.7</v>
      </c>
      <c r="T17" s="228">
        <v>54.4</v>
      </c>
      <c r="U17" s="229">
        <v>3.8899999999999997E-2</v>
      </c>
      <c r="V17" s="231">
        <v>1447.8</v>
      </c>
      <c r="W17" s="231">
        <v>1396.2</v>
      </c>
      <c r="X17" s="228">
        <v>51.6</v>
      </c>
      <c r="Y17" s="229">
        <v>3.6999999999999998E-2</v>
      </c>
      <c r="Z17" s="228">
        <v>3.3</v>
      </c>
      <c r="AA17" s="228">
        <v>-2.8</v>
      </c>
      <c r="AB17" s="228">
        <v>6.1</v>
      </c>
      <c r="AC17" s="229">
        <v>2.3E-3</v>
      </c>
      <c r="AD17" s="228">
        <v>3.3</v>
      </c>
      <c r="AE17" s="228">
        <v>-1.5</v>
      </c>
      <c r="AF17" s="228">
        <v>4.8</v>
      </c>
      <c r="AG17" s="229">
        <v>2.3E-3</v>
      </c>
      <c r="AH17" s="228">
        <v>-0.8</v>
      </c>
      <c r="AI17" s="228">
        <v>-2.8</v>
      </c>
      <c r="AJ17" s="228">
        <v>2</v>
      </c>
      <c r="AK17" s="229">
        <v>-5.9999999999999995E-4</v>
      </c>
      <c r="AL17" s="228">
        <v>-5.0999999999999996</v>
      </c>
      <c r="AM17" s="228">
        <v>-4.3</v>
      </c>
      <c r="AN17" s="228">
        <v>-0.8</v>
      </c>
      <c r="AO17" s="229">
        <v>-3.5000000000000001E-3</v>
      </c>
      <c r="AP17" s="231">
        <v>1442.44</v>
      </c>
      <c r="AQ17" s="231">
        <v>1438.37</v>
      </c>
      <c r="AR17" s="228">
        <v>0</v>
      </c>
      <c r="AS17" s="228">
        <v>267</v>
      </c>
      <c r="AT17" s="228">
        <v>513</v>
      </c>
      <c r="AU17" s="228">
        <v>-246</v>
      </c>
      <c r="AV17" s="229">
        <v>-0.47970000000000002</v>
      </c>
      <c r="AW17" s="228">
        <v>257</v>
      </c>
      <c r="AX17" s="228">
        <v>228</v>
      </c>
      <c r="AY17" s="228">
        <v>29</v>
      </c>
      <c r="AZ17" s="229">
        <v>0.1268</v>
      </c>
      <c r="BA17" s="228">
        <v>9</v>
      </c>
      <c r="BB17" s="228">
        <v>273</v>
      </c>
      <c r="BC17" s="228">
        <v>-264</v>
      </c>
      <c r="BD17" s="229">
        <v>-0.96609999999999996</v>
      </c>
      <c r="BE17" s="228">
        <v>0</v>
      </c>
      <c r="BF17" s="228">
        <v>12</v>
      </c>
      <c r="BG17" s="228">
        <v>-11</v>
      </c>
      <c r="BH17" s="229">
        <v>-0.95720000000000005</v>
      </c>
      <c r="BI17" s="228">
        <v>281</v>
      </c>
      <c r="BJ17" s="228">
        <v>279</v>
      </c>
      <c r="BK17" s="228">
        <v>2</v>
      </c>
      <c r="BL17" s="229">
        <v>5.4999999999999997E-3</v>
      </c>
      <c r="BM17" s="228">
        <v>157</v>
      </c>
      <c r="BN17" s="228">
        <v>151</v>
      </c>
      <c r="BO17" s="228">
        <v>6</v>
      </c>
      <c r="BP17" s="229">
        <v>4.1799999999999997E-2</v>
      </c>
      <c r="BQ17" s="228">
        <v>706</v>
      </c>
      <c r="BR17" s="228">
        <v>944</v>
      </c>
      <c r="BS17" s="228">
        <v>-238</v>
      </c>
      <c r="BT17" s="229">
        <v>-0.25259999999999999</v>
      </c>
      <c r="BU17" s="230">
        <v>429248</v>
      </c>
      <c r="BV17" s="230">
        <v>451966</v>
      </c>
      <c r="BW17" s="230">
        <v>-22718</v>
      </c>
      <c r="BX17" s="229">
        <v>-5.0299999999999997E-2</v>
      </c>
      <c r="BY17" s="230">
        <v>1048</v>
      </c>
      <c r="BZ17" s="230">
        <v>1054</v>
      </c>
      <c r="CA17" s="228">
        <v>-6</v>
      </c>
      <c r="CB17" s="229">
        <v>-5.4999999999999997E-3</v>
      </c>
      <c r="CC17" s="230">
        <v>1029</v>
      </c>
      <c r="CD17" s="228">
        <v>37</v>
      </c>
      <c r="CE17" s="228">
        <v>993</v>
      </c>
      <c r="CF17" s="229">
        <v>27.091200000000001</v>
      </c>
      <c r="CG17" s="228">
        <v>19</v>
      </c>
      <c r="CH17" s="230">
        <v>1035</v>
      </c>
      <c r="CI17" s="230">
        <v>-1017</v>
      </c>
      <c r="CJ17" s="229">
        <v>-0.98209999999999997</v>
      </c>
      <c r="CK17" s="228">
        <v>0</v>
      </c>
      <c r="CL17" s="228">
        <v>19</v>
      </c>
      <c r="CM17" s="228">
        <v>-18</v>
      </c>
      <c r="CN17" s="229">
        <v>-0.97660000000000002</v>
      </c>
      <c r="CO17" s="228">
        <v>159</v>
      </c>
      <c r="CP17" s="228">
        <v>110</v>
      </c>
      <c r="CQ17" s="228">
        <v>50</v>
      </c>
      <c r="CR17" s="229">
        <v>0.45229999999999998</v>
      </c>
      <c r="CS17" s="228">
        <v>102</v>
      </c>
      <c r="CT17" s="228">
        <v>87</v>
      </c>
      <c r="CU17" s="228">
        <v>15</v>
      </c>
      <c r="CV17" s="229">
        <v>0.17180000000000001</v>
      </c>
      <c r="CW17" s="230">
        <v>1310</v>
      </c>
      <c r="CX17" s="230">
        <v>1251</v>
      </c>
      <c r="CY17" s="228">
        <v>59</v>
      </c>
      <c r="CZ17" s="229">
        <v>4.7100000000000003E-2</v>
      </c>
      <c r="DA17" s="228">
        <v>31.78</v>
      </c>
      <c r="DB17" s="228">
        <v>33.130000000000003</v>
      </c>
      <c r="DC17" s="228">
        <v>-1.35</v>
      </c>
      <c r="DD17" s="228">
        <v>-1.35</v>
      </c>
      <c r="DE17" s="228">
        <v>34.6</v>
      </c>
      <c r="DF17" s="228">
        <v>34.24</v>
      </c>
      <c r="DG17" s="228">
        <v>-2.82</v>
      </c>
      <c r="DH17" s="228">
        <v>0.36</v>
      </c>
      <c r="DI17" s="228">
        <v>31.16</v>
      </c>
      <c r="DJ17" s="228">
        <v>32.549999999999997</v>
      </c>
      <c r="DK17" s="228">
        <v>-1.39</v>
      </c>
      <c r="DL17" s="228">
        <v>-1.39</v>
      </c>
      <c r="DM17" s="228">
        <v>32.89</v>
      </c>
      <c r="DN17" s="228">
        <v>33.79</v>
      </c>
      <c r="DO17" s="228">
        <v>-0.9</v>
      </c>
      <c r="DP17" s="228">
        <v>-0.9</v>
      </c>
      <c r="DQ17" s="228">
        <v>0.64</v>
      </c>
      <c r="DR17" s="228">
        <v>0.79</v>
      </c>
      <c r="DS17" s="228">
        <v>-0.15</v>
      </c>
      <c r="DT17" s="229">
        <v>-0.18990000000000001</v>
      </c>
      <c r="DU17" s="231">
        <v>1600</v>
      </c>
      <c r="DV17" s="231">
        <v>1400</v>
      </c>
      <c r="DW17" s="228">
        <v>0.56000000000000005</v>
      </c>
      <c r="DX17" s="228">
        <v>0.54</v>
      </c>
      <c r="DY17" s="228">
        <v>0.02</v>
      </c>
      <c r="DZ17" s="229">
        <v>3.6999999999999998E-2</v>
      </c>
      <c r="EA17" s="229">
        <v>1.8100000000000002E-2</v>
      </c>
      <c r="EB17" s="230">
        <v>7237750</v>
      </c>
      <c r="EC17" s="229">
        <v>-2.8E-3</v>
      </c>
      <c r="ED17" s="229">
        <v>1.8100000000000002E-2</v>
      </c>
      <c r="EE17" s="228">
        <v>-4.07</v>
      </c>
      <c r="EF17" s="229">
        <v>-2.8E-3</v>
      </c>
      <c r="EG17" s="230">
        <v>168034</v>
      </c>
      <c r="EH17" s="230">
        <v>228425</v>
      </c>
      <c r="EI17" s="229">
        <v>-0.26440000000000002</v>
      </c>
      <c r="EJ17" s="229">
        <v>0.39150000000000001</v>
      </c>
      <c r="EK17" s="228">
        <v>295.67</v>
      </c>
      <c r="EL17" s="228">
        <v>153.59</v>
      </c>
      <c r="EM17" s="228">
        <v>264.62</v>
      </c>
      <c r="EN17" s="228">
        <v>157.16</v>
      </c>
      <c r="EO17" s="228">
        <v>713.88</v>
      </c>
      <c r="EP17" s="228">
        <v>911.83</v>
      </c>
      <c r="EQ17" s="228">
        <v>-197.95</v>
      </c>
      <c r="ER17" s="229">
        <v>-0.21709999999999999</v>
      </c>
      <c r="ES17" s="228">
        <v>165.19</v>
      </c>
      <c r="ET17" s="228">
        <v>97.38</v>
      </c>
      <c r="EU17" s="231">
        <v>1048.1500000000001</v>
      </c>
      <c r="EV17" s="231">
        <v>18450534</v>
      </c>
      <c r="EW17" s="231">
        <v>1310.71</v>
      </c>
      <c r="EX17" s="231">
        <v>1207.6600000000001</v>
      </c>
      <c r="EY17" s="228">
        <v>103.05</v>
      </c>
      <c r="EZ17" s="229">
        <v>8.5300000000000001E-2</v>
      </c>
      <c r="FA17" s="229">
        <v>0.48749999999999999</v>
      </c>
      <c r="FB17" s="227" t="s">
        <v>556</v>
      </c>
      <c r="FC17">
        <f t="shared" si="0"/>
        <v>19</v>
      </c>
    </row>
    <row r="18" spans="1:159" ht="17.25" thickBot="1" x14ac:dyDescent="0.3">
      <c r="A18" s="226">
        <v>46050</v>
      </c>
      <c r="B18" s="227" t="s">
        <v>172</v>
      </c>
      <c r="C18" s="227" t="s">
        <v>495</v>
      </c>
      <c r="D18" s="228">
        <v>1000</v>
      </c>
      <c r="E18" s="228">
        <v>27</v>
      </c>
      <c r="F18" s="228">
        <v>967.6</v>
      </c>
      <c r="G18" s="228">
        <v>968.3</v>
      </c>
      <c r="H18" s="228">
        <v>-0.7</v>
      </c>
      <c r="I18" s="229">
        <v>-6.9999999999999999E-4</v>
      </c>
      <c r="J18" s="228">
        <v>962.35</v>
      </c>
      <c r="K18" s="228">
        <v>963.55</v>
      </c>
      <c r="L18" s="228">
        <v>-1.2</v>
      </c>
      <c r="M18" s="229">
        <v>-1.1999999999999999E-3</v>
      </c>
      <c r="N18" s="228">
        <v>967.6</v>
      </c>
      <c r="O18" s="228">
        <v>963.35</v>
      </c>
      <c r="P18" s="228">
        <v>4.25</v>
      </c>
      <c r="Q18" s="229">
        <v>4.4000000000000003E-3</v>
      </c>
      <c r="R18" s="228">
        <v>972.45</v>
      </c>
      <c r="S18" s="228">
        <v>968.3</v>
      </c>
      <c r="T18" s="228">
        <v>4.1500000000000004</v>
      </c>
      <c r="U18" s="229">
        <v>4.3E-3</v>
      </c>
      <c r="V18" s="228">
        <v>975</v>
      </c>
      <c r="W18" s="228">
        <v>973.65</v>
      </c>
      <c r="X18" s="228">
        <v>1.35</v>
      </c>
      <c r="Y18" s="229">
        <v>1.4E-3</v>
      </c>
      <c r="Z18" s="228">
        <v>5.25</v>
      </c>
      <c r="AA18" s="228">
        <v>4.75</v>
      </c>
      <c r="AB18" s="228">
        <v>0.5</v>
      </c>
      <c r="AC18" s="229">
        <v>5.4999999999999997E-3</v>
      </c>
      <c r="AD18" s="228">
        <v>5.25</v>
      </c>
      <c r="AE18" s="228">
        <v>-0.2</v>
      </c>
      <c r="AF18" s="228">
        <v>5.45</v>
      </c>
      <c r="AG18" s="229">
        <v>5.4999999999999997E-3</v>
      </c>
      <c r="AH18" s="228">
        <v>10.1</v>
      </c>
      <c r="AI18" s="228">
        <v>4.75</v>
      </c>
      <c r="AJ18" s="228">
        <v>5.35</v>
      </c>
      <c r="AK18" s="229">
        <v>1.0500000000000001E-2</v>
      </c>
      <c r="AL18" s="228">
        <v>12.65</v>
      </c>
      <c r="AM18" s="228">
        <v>10.1</v>
      </c>
      <c r="AN18" s="228">
        <v>2.5499999999999998</v>
      </c>
      <c r="AO18" s="229">
        <v>1.3100000000000001E-2</v>
      </c>
      <c r="AP18" s="228">
        <v>966.98</v>
      </c>
      <c r="AQ18" s="228">
        <v>972.39</v>
      </c>
      <c r="AR18" s="228">
        <v>0</v>
      </c>
      <c r="AS18" s="228">
        <v>325</v>
      </c>
      <c r="AT18" s="230">
        <v>1267</v>
      </c>
      <c r="AU18" s="228">
        <v>-942</v>
      </c>
      <c r="AV18" s="229">
        <v>-0.74339999999999995</v>
      </c>
      <c r="AW18" s="228">
        <v>318</v>
      </c>
      <c r="AX18" s="228">
        <v>406</v>
      </c>
      <c r="AY18" s="228">
        <v>-88</v>
      </c>
      <c r="AZ18" s="229">
        <v>-0.21690000000000001</v>
      </c>
      <c r="BA18" s="228">
        <v>7</v>
      </c>
      <c r="BB18" s="228">
        <v>849</v>
      </c>
      <c r="BC18" s="228">
        <v>-842</v>
      </c>
      <c r="BD18" s="229">
        <v>-0.99150000000000005</v>
      </c>
      <c r="BE18" s="228">
        <v>0</v>
      </c>
      <c r="BF18" s="228">
        <v>13</v>
      </c>
      <c r="BG18" s="228">
        <v>-12</v>
      </c>
      <c r="BH18" s="229">
        <v>-0.96950000000000003</v>
      </c>
      <c r="BI18" s="228">
        <v>466</v>
      </c>
      <c r="BJ18" s="230">
        <v>1075</v>
      </c>
      <c r="BK18" s="228">
        <v>-609</v>
      </c>
      <c r="BL18" s="229">
        <v>-0.56669999999999998</v>
      </c>
      <c r="BM18" s="228">
        <v>235</v>
      </c>
      <c r="BN18" s="230">
        <v>1022</v>
      </c>
      <c r="BO18" s="228">
        <v>-787</v>
      </c>
      <c r="BP18" s="229">
        <v>-0.76990000000000003</v>
      </c>
      <c r="BQ18" s="230">
        <v>1026</v>
      </c>
      <c r="BR18" s="230">
        <v>3365</v>
      </c>
      <c r="BS18" s="230">
        <v>-2338</v>
      </c>
      <c r="BT18" s="229">
        <v>-0.69499999999999995</v>
      </c>
      <c r="BU18" s="230">
        <v>1429588</v>
      </c>
      <c r="BV18" s="230">
        <v>1863588</v>
      </c>
      <c r="BW18" s="230">
        <v>-434000</v>
      </c>
      <c r="BX18" s="229">
        <v>-0.2329</v>
      </c>
      <c r="BY18" s="230">
        <v>2224</v>
      </c>
      <c r="BZ18" s="230">
        <v>2281</v>
      </c>
      <c r="CA18" s="228">
        <v>-57</v>
      </c>
      <c r="CB18" s="229">
        <v>-2.4799999999999999E-2</v>
      </c>
      <c r="CC18" s="230">
        <v>2199</v>
      </c>
      <c r="CD18" s="228">
        <v>60</v>
      </c>
      <c r="CE18" s="230">
        <v>2139</v>
      </c>
      <c r="CF18" s="229">
        <v>35.364800000000002</v>
      </c>
      <c r="CG18" s="228">
        <v>25</v>
      </c>
      <c r="CH18" s="230">
        <v>2258</v>
      </c>
      <c r="CI18" s="230">
        <v>-2234</v>
      </c>
      <c r="CJ18" s="229">
        <v>-0.98909999999999998</v>
      </c>
      <c r="CK18" s="228">
        <v>0</v>
      </c>
      <c r="CL18" s="228">
        <v>23</v>
      </c>
      <c r="CM18" s="228">
        <v>-22</v>
      </c>
      <c r="CN18" s="229">
        <v>-0.98709999999999998</v>
      </c>
      <c r="CO18" s="228">
        <v>413</v>
      </c>
      <c r="CP18" s="228">
        <v>339</v>
      </c>
      <c r="CQ18" s="228">
        <v>74</v>
      </c>
      <c r="CR18" s="229">
        <v>0.2195</v>
      </c>
      <c r="CS18" s="228">
        <v>307</v>
      </c>
      <c r="CT18" s="228">
        <v>278</v>
      </c>
      <c r="CU18" s="228">
        <v>28</v>
      </c>
      <c r="CV18" s="229">
        <v>0.10150000000000001</v>
      </c>
      <c r="CW18" s="230">
        <v>2943</v>
      </c>
      <c r="CX18" s="230">
        <v>2897</v>
      </c>
      <c r="CY18" s="228">
        <v>46</v>
      </c>
      <c r="CZ18" s="229">
        <v>1.5900000000000001E-2</v>
      </c>
      <c r="DA18" s="228">
        <v>30.19</v>
      </c>
      <c r="DB18" s="228">
        <v>30.7</v>
      </c>
      <c r="DC18" s="228">
        <v>-0.51</v>
      </c>
      <c r="DD18" s="228">
        <v>-0.51</v>
      </c>
      <c r="DE18" s="228">
        <v>35</v>
      </c>
      <c r="DF18" s="228">
        <v>35.08</v>
      </c>
      <c r="DG18" s="228">
        <v>-4.8099999999999996</v>
      </c>
      <c r="DH18" s="228">
        <v>-0.08</v>
      </c>
      <c r="DI18" s="228">
        <v>29.95</v>
      </c>
      <c r="DJ18" s="228">
        <v>29.81</v>
      </c>
      <c r="DK18" s="228">
        <v>0.14000000000000001</v>
      </c>
      <c r="DL18" s="228">
        <v>0.14000000000000001</v>
      </c>
      <c r="DM18" s="228">
        <v>30.68</v>
      </c>
      <c r="DN18" s="228">
        <v>31.55</v>
      </c>
      <c r="DO18" s="228">
        <v>-0.87</v>
      </c>
      <c r="DP18" s="228">
        <v>-0.87</v>
      </c>
      <c r="DQ18" s="228">
        <v>0.74</v>
      </c>
      <c r="DR18" s="228">
        <v>0.82</v>
      </c>
      <c r="DS18" s="228">
        <v>-0.08</v>
      </c>
      <c r="DT18" s="229">
        <v>-9.7600000000000006E-2</v>
      </c>
      <c r="DU18" s="231">
        <v>1000</v>
      </c>
      <c r="DV18" s="228">
        <v>950</v>
      </c>
      <c r="DW18" s="228">
        <v>0.5</v>
      </c>
      <c r="DX18" s="228">
        <v>0.95</v>
      </c>
      <c r="DY18" s="228">
        <v>-0.45</v>
      </c>
      <c r="DZ18" s="229">
        <v>-0.47370000000000001</v>
      </c>
      <c r="EA18" s="229">
        <v>1.12E-2</v>
      </c>
      <c r="EB18" s="230">
        <v>23570000</v>
      </c>
      <c r="EC18" s="229">
        <v>5.0000000000000001E-3</v>
      </c>
      <c r="ED18" s="229">
        <v>1.12E-2</v>
      </c>
      <c r="EE18" s="228">
        <v>5.41</v>
      </c>
      <c r="EF18" s="229">
        <v>5.5999999999999999E-3</v>
      </c>
      <c r="EG18" s="230">
        <v>807229</v>
      </c>
      <c r="EH18" s="230">
        <v>915481</v>
      </c>
      <c r="EI18" s="229">
        <v>-0.1182</v>
      </c>
      <c r="EJ18" s="229">
        <v>0.56469999999999998</v>
      </c>
      <c r="EK18" s="228">
        <v>494.64</v>
      </c>
      <c r="EL18" s="228">
        <v>231.37</v>
      </c>
      <c r="EM18" s="228">
        <v>325.05</v>
      </c>
      <c r="EN18" s="228">
        <v>221.07</v>
      </c>
      <c r="EO18" s="231">
        <v>1051.06</v>
      </c>
      <c r="EP18" s="231">
        <v>3400</v>
      </c>
      <c r="EQ18" s="231">
        <v>-2348.94</v>
      </c>
      <c r="ER18" s="229">
        <v>-0.69089999999999996</v>
      </c>
      <c r="ES18" s="228">
        <v>435.39</v>
      </c>
      <c r="ET18" s="228">
        <v>298.35000000000002</v>
      </c>
      <c r="EU18" s="231">
        <v>2224.15</v>
      </c>
      <c r="EV18" s="231">
        <v>86371921</v>
      </c>
      <c r="EW18" s="231">
        <v>2957.89</v>
      </c>
      <c r="EX18" s="231">
        <v>2911.37</v>
      </c>
      <c r="EY18" s="228">
        <v>46.52</v>
      </c>
      <c r="EZ18" s="229">
        <v>1.6E-2</v>
      </c>
      <c r="FA18" s="229">
        <v>0.35220000000000001</v>
      </c>
      <c r="FB18" s="227" t="s">
        <v>568</v>
      </c>
      <c r="FC18">
        <f t="shared" si="0"/>
        <v>25</v>
      </c>
    </row>
    <row r="19" spans="1:159" ht="17.25" thickBot="1" x14ac:dyDescent="0.3">
      <c r="A19" s="226">
        <v>46050</v>
      </c>
      <c r="B19" s="227" t="s">
        <v>170</v>
      </c>
      <c r="C19" s="227" t="s">
        <v>171</v>
      </c>
      <c r="D19" s="228">
        <v>550</v>
      </c>
      <c r="E19" s="228">
        <v>27</v>
      </c>
      <c r="F19" s="231">
        <v>1142</v>
      </c>
      <c r="G19" s="231">
        <v>1136.4000000000001</v>
      </c>
      <c r="H19" s="228">
        <v>5.6</v>
      </c>
      <c r="I19" s="229">
        <v>4.8999999999999998E-3</v>
      </c>
      <c r="J19" s="231">
        <v>1139.9000000000001</v>
      </c>
      <c r="K19" s="231">
        <v>1129.7</v>
      </c>
      <c r="L19" s="228">
        <v>10.199999999999999</v>
      </c>
      <c r="M19" s="229">
        <v>8.9999999999999993E-3</v>
      </c>
      <c r="N19" s="231">
        <v>1142</v>
      </c>
      <c r="O19" s="231">
        <v>1130.7</v>
      </c>
      <c r="P19" s="228">
        <v>11.3</v>
      </c>
      <c r="Q19" s="229">
        <v>0.01</v>
      </c>
      <c r="R19" s="231">
        <v>1149.2</v>
      </c>
      <c r="S19" s="231">
        <v>1136.4000000000001</v>
      </c>
      <c r="T19" s="228">
        <v>12.8</v>
      </c>
      <c r="U19" s="229">
        <v>1.1299999999999999E-2</v>
      </c>
      <c r="V19" s="228">
        <v>0</v>
      </c>
      <c r="W19" s="231">
        <v>1143</v>
      </c>
      <c r="X19" s="228">
        <v>0</v>
      </c>
      <c r="Y19" s="229">
        <v>0</v>
      </c>
      <c r="Z19" s="228">
        <v>2.1</v>
      </c>
      <c r="AA19" s="228">
        <v>6.7</v>
      </c>
      <c r="AB19" s="228">
        <v>-4.5999999999999996</v>
      </c>
      <c r="AC19" s="229">
        <v>1.8E-3</v>
      </c>
      <c r="AD19" s="228">
        <v>2.1</v>
      </c>
      <c r="AE19" s="228">
        <v>1</v>
      </c>
      <c r="AF19" s="228">
        <v>1.1000000000000001</v>
      </c>
      <c r="AG19" s="229">
        <v>1.8E-3</v>
      </c>
      <c r="AH19" s="228">
        <v>9.3000000000000007</v>
      </c>
      <c r="AI19" s="228">
        <v>6.7</v>
      </c>
      <c r="AJ19" s="228">
        <v>2.6</v>
      </c>
      <c r="AK19" s="229">
        <v>8.2000000000000007E-3</v>
      </c>
      <c r="AL19" s="228">
        <v>0</v>
      </c>
      <c r="AM19" s="228">
        <v>13.3</v>
      </c>
      <c r="AN19" s="228">
        <v>0</v>
      </c>
      <c r="AO19" s="229">
        <v>0</v>
      </c>
      <c r="AP19" s="231">
        <v>1135.95</v>
      </c>
      <c r="AQ19" s="231">
        <v>1141.7</v>
      </c>
      <c r="AR19" s="228">
        <v>0</v>
      </c>
      <c r="AS19" s="228">
        <v>143</v>
      </c>
      <c r="AT19" s="228">
        <v>948</v>
      </c>
      <c r="AU19" s="228">
        <v>-806</v>
      </c>
      <c r="AV19" s="229">
        <v>-0.84960000000000002</v>
      </c>
      <c r="AW19" s="228">
        <v>141</v>
      </c>
      <c r="AX19" s="228">
        <v>432</v>
      </c>
      <c r="AY19" s="228">
        <v>-292</v>
      </c>
      <c r="AZ19" s="229">
        <v>-0.67449999999999999</v>
      </c>
      <c r="BA19" s="228">
        <v>2</v>
      </c>
      <c r="BB19" s="228">
        <v>512</v>
      </c>
      <c r="BC19" s="228">
        <v>-511</v>
      </c>
      <c r="BD19" s="229">
        <v>-0.99629999999999996</v>
      </c>
      <c r="BE19" s="228">
        <v>0</v>
      </c>
      <c r="BF19" s="228">
        <v>4</v>
      </c>
      <c r="BG19" s="228">
        <v>0</v>
      </c>
      <c r="BH19" s="229">
        <v>0</v>
      </c>
      <c r="BI19" s="228">
        <v>126</v>
      </c>
      <c r="BJ19" s="228">
        <v>288</v>
      </c>
      <c r="BK19" s="228">
        <v>-162</v>
      </c>
      <c r="BL19" s="229">
        <v>-0.56240000000000001</v>
      </c>
      <c r="BM19" s="228">
        <v>65</v>
      </c>
      <c r="BN19" s="228">
        <v>209</v>
      </c>
      <c r="BO19" s="228">
        <v>-144</v>
      </c>
      <c r="BP19" s="229">
        <v>-0.68840000000000001</v>
      </c>
      <c r="BQ19" s="228">
        <v>334</v>
      </c>
      <c r="BR19" s="230">
        <v>1445</v>
      </c>
      <c r="BS19" s="230">
        <v>-1112</v>
      </c>
      <c r="BT19" s="229">
        <v>-0.76910000000000001</v>
      </c>
      <c r="BU19" s="230">
        <v>627152</v>
      </c>
      <c r="BV19" s="230">
        <v>668292</v>
      </c>
      <c r="BW19" s="230">
        <v>-41140</v>
      </c>
      <c r="BX19" s="229">
        <v>-6.1600000000000002E-2</v>
      </c>
      <c r="BY19" s="230">
        <v>2395</v>
      </c>
      <c r="BZ19" s="230">
        <v>2401</v>
      </c>
      <c r="CA19" s="228">
        <v>-6</v>
      </c>
      <c r="CB19" s="229">
        <v>-2.3999999999999998E-3</v>
      </c>
      <c r="CC19" s="230">
        <v>2386</v>
      </c>
      <c r="CD19" s="228">
        <v>130</v>
      </c>
      <c r="CE19" s="230">
        <v>2255</v>
      </c>
      <c r="CF19" s="229">
        <v>17.304600000000001</v>
      </c>
      <c r="CG19" s="228">
        <v>9</v>
      </c>
      <c r="CH19" s="230">
        <v>2392</v>
      </c>
      <c r="CI19" s="230">
        <v>-2383</v>
      </c>
      <c r="CJ19" s="229">
        <v>-0.99609999999999999</v>
      </c>
      <c r="CK19" s="228">
        <v>0</v>
      </c>
      <c r="CL19" s="228">
        <v>9</v>
      </c>
      <c r="CM19" s="228">
        <v>-9</v>
      </c>
      <c r="CN19" s="229">
        <v>-1</v>
      </c>
      <c r="CO19" s="228">
        <v>148</v>
      </c>
      <c r="CP19" s="228">
        <v>118</v>
      </c>
      <c r="CQ19" s="228">
        <v>30</v>
      </c>
      <c r="CR19" s="229">
        <v>0.2555</v>
      </c>
      <c r="CS19" s="228">
        <v>172</v>
      </c>
      <c r="CT19" s="228">
        <v>150</v>
      </c>
      <c r="CU19" s="228">
        <v>22</v>
      </c>
      <c r="CV19" s="229">
        <v>0.14349999999999999</v>
      </c>
      <c r="CW19" s="230">
        <v>2715</v>
      </c>
      <c r="CX19" s="230">
        <v>2669</v>
      </c>
      <c r="CY19" s="228">
        <v>46</v>
      </c>
      <c r="CZ19" s="229">
        <v>1.72E-2</v>
      </c>
      <c r="DA19" s="228">
        <v>33.65</v>
      </c>
      <c r="DB19" s="228">
        <v>33.659999999999997</v>
      </c>
      <c r="DC19" s="228">
        <v>-0.01</v>
      </c>
      <c r="DD19" s="228">
        <v>-0.01</v>
      </c>
      <c r="DE19" s="228">
        <v>32.130000000000003</v>
      </c>
      <c r="DF19" s="228">
        <v>32.200000000000003</v>
      </c>
      <c r="DG19" s="228">
        <v>1.52</v>
      </c>
      <c r="DH19" s="228">
        <v>-7.0000000000000007E-2</v>
      </c>
      <c r="DI19" s="228">
        <v>32.61</v>
      </c>
      <c r="DJ19" s="228">
        <v>32.869999999999997</v>
      </c>
      <c r="DK19" s="228">
        <v>-0.26</v>
      </c>
      <c r="DL19" s="228">
        <v>-0.26</v>
      </c>
      <c r="DM19" s="228">
        <v>35.64</v>
      </c>
      <c r="DN19" s="228">
        <v>34.68</v>
      </c>
      <c r="DO19" s="228">
        <v>0.96</v>
      </c>
      <c r="DP19" s="228">
        <v>0.96</v>
      </c>
      <c r="DQ19" s="228">
        <v>1.1599999999999999</v>
      </c>
      <c r="DR19" s="228">
        <v>1.27</v>
      </c>
      <c r="DS19" s="228">
        <v>-0.11</v>
      </c>
      <c r="DT19" s="229">
        <v>-8.6599999999999996E-2</v>
      </c>
      <c r="DU19" s="231">
        <v>1200</v>
      </c>
      <c r="DV19" s="231">
        <v>1200</v>
      </c>
      <c r="DW19" s="228">
        <v>0.52</v>
      </c>
      <c r="DX19" s="228">
        <v>0.73</v>
      </c>
      <c r="DY19" s="228">
        <v>-0.21</v>
      </c>
      <c r="DZ19" s="229">
        <v>-0.28770000000000001</v>
      </c>
      <c r="EA19" s="229">
        <v>3.8999999999999998E-3</v>
      </c>
      <c r="EB19" s="230">
        <v>21022650</v>
      </c>
      <c r="EC19" s="229">
        <v>6.3E-3</v>
      </c>
      <c r="ED19" s="229">
        <v>3.8999999999999998E-3</v>
      </c>
      <c r="EE19" s="228">
        <v>5.75</v>
      </c>
      <c r="EF19" s="229">
        <v>5.1000000000000004E-3</v>
      </c>
      <c r="EG19" s="230">
        <v>364114</v>
      </c>
      <c r="EH19" s="230">
        <v>307623</v>
      </c>
      <c r="EI19" s="229">
        <v>0.18360000000000001</v>
      </c>
      <c r="EJ19" s="229">
        <v>0.5806</v>
      </c>
      <c r="EK19" s="228">
        <v>132.87</v>
      </c>
      <c r="EL19" s="228">
        <v>63.27</v>
      </c>
      <c r="EM19" s="228">
        <v>141.9</v>
      </c>
      <c r="EN19" s="228">
        <v>212.94</v>
      </c>
      <c r="EO19" s="228">
        <v>338.03</v>
      </c>
      <c r="EP19" s="231">
        <v>1450.77</v>
      </c>
      <c r="EQ19" s="231">
        <v>-1112.74</v>
      </c>
      <c r="ER19" s="229">
        <v>-0.76700000000000002</v>
      </c>
      <c r="ES19" s="228">
        <v>156.58000000000001</v>
      </c>
      <c r="ET19" s="228">
        <v>170.42</v>
      </c>
      <c r="EU19" s="231">
        <v>2395</v>
      </c>
      <c r="EV19" s="231">
        <v>41977935</v>
      </c>
      <c r="EW19" s="231">
        <v>2722.01</v>
      </c>
      <c r="EX19" s="231">
        <v>2664.46</v>
      </c>
      <c r="EY19" s="228">
        <v>57.55</v>
      </c>
      <c r="EZ19" s="229">
        <v>2.1600000000000001E-2</v>
      </c>
      <c r="FA19" s="229">
        <v>0.56630000000000003</v>
      </c>
      <c r="FB19" s="227" t="s">
        <v>556</v>
      </c>
      <c r="FC19">
        <f t="shared" si="0"/>
        <v>9</v>
      </c>
    </row>
    <row r="20" spans="1:159" ht="17.25" thickBot="1" x14ac:dyDescent="0.3">
      <c r="A20" s="226">
        <v>46050</v>
      </c>
      <c r="B20" s="227" t="s">
        <v>172</v>
      </c>
      <c r="C20" s="227" t="s">
        <v>173</v>
      </c>
      <c r="D20" s="228">
        <v>625</v>
      </c>
      <c r="E20" s="228">
        <v>27</v>
      </c>
      <c r="F20" s="231">
        <v>1323.6</v>
      </c>
      <c r="G20" s="231">
        <v>1323</v>
      </c>
      <c r="H20" s="228">
        <v>0.6</v>
      </c>
      <c r="I20" s="229">
        <v>5.0000000000000001E-4</v>
      </c>
      <c r="J20" s="231">
        <v>1319.8</v>
      </c>
      <c r="K20" s="231">
        <v>1315.8</v>
      </c>
      <c r="L20" s="228">
        <v>4</v>
      </c>
      <c r="M20" s="229">
        <v>3.0000000000000001E-3</v>
      </c>
      <c r="N20" s="231">
        <v>1323.6</v>
      </c>
      <c r="O20" s="231">
        <v>1312.6</v>
      </c>
      <c r="P20" s="228">
        <v>11</v>
      </c>
      <c r="Q20" s="229">
        <v>8.3999999999999995E-3</v>
      </c>
      <c r="R20" s="231">
        <v>1329</v>
      </c>
      <c r="S20" s="231">
        <v>1323</v>
      </c>
      <c r="T20" s="228">
        <v>6</v>
      </c>
      <c r="U20" s="229">
        <v>4.4999999999999997E-3</v>
      </c>
      <c r="V20" s="231">
        <v>1341.6</v>
      </c>
      <c r="W20" s="231">
        <v>1333</v>
      </c>
      <c r="X20" s="228">
        <v>8.6</v>
      </c>
      <c r="Y20" s="229">
        <v>6.4999999999999997E-3</v>
      </c>
      <c r="Z20" s="228">
        <v>3.8</v>
      </c>
      <c r="AA20" s="228">
        <v>7.2</v>
      </c>
      <c r="AB20" s="228">
        <v>-3.4</v>
      </c>
      <c r="AC20" s="229">
        <v>2.8999999999999998E-3</v>
      </c>
      <c r="AD20" s="228">
        <v>3.8</v>
      </c>
      <c r="AE20" s="228">
        <v>-3.2</v>
      </c>
      <c r="AF20" s="228">
        <v>7</v>
      </c>
      <c r="AG20" s="229">
        <v>2.8999999999999998E-3</v>
      </c>
      <c r="AH20" s="228">
        <v>9.1999999999999993</v>
      </c>
      <c r="AI20" s="228">
        <v>7.2</v>
      </c>
      <c r="AJ20" s="228">
        <v>2</v>
      </c>
      <c r="AK20" s="229">
        <v>7.0000000000000001E-3</v>
      </c>
      <c r="AL20" s="228">
        <v>21.8</v>
      </c>
      <c r="AM20" s="228">
        <v>17.2</v>
      </c>
      <c r="AN20" s="228">
        <v>4.5999999999999996</v>
      </c>
      <c r="AO20" s="229">
        <v>1.6500000000000001E-2</v>
      </c>
      <c r="AP20" s="231">
        <v>1343.74</v>
      </c>
      <c r="AQ20" s="231">
        <v>1343.79</v>
      </c>
      <c r="AR20" s="228">
        <v>0</v>
      </c>
      <c r="AS20" s="230">
        <v>2226</v>
      </c>
      <c r="AT20" s="230">
        <v>9149</v>
      </c>
      <c r="AU20" s="230">
        <v>-6924</v>
      </c>
      <c r="AV20" s="229">
        <v>-0.75680000000000003</v>
      </c>
      <c r="AW20" s="230">
        <v>2152</v>
      </c>
      <c r="AX20" s="230">
        <v>4031</v>
      </c>
      <c r="AY20" s="230">
        <v>-1879</v>
      </c>
      <c r="AZ20" s="229">
        <v>-0.4662</v>
      </c>
      <c r="BA20" s="228">
        <v>68</v>
      </c>
      <c r="BB20" s="230">
        <v>5067</v>
      </c>
      <c r="BC20" s="230">
        <v>-4999</v>
      </c>
      <c r="BD20" s="229">
        <v>-0.98650000000000004</v>
      </c>
      <c r="BE20" s="228">
        <v>5</v>
      </c>
      <c r="BF20" s="228">
        <v>51</v>
      </c>
      <c r="BG20" s="228">
        <v>-46</v>
      </c>
      <c r="BH20" s="229">
        <v>-0.89770000000000005</v>
      </c>
      <c r="BI20" s="230">
        <v>7148</v>
      </c>
      <c r="BJ20" s="230">
        <v>28805</v>
      </c>
      <c r="BK20" s="230">
        <v>-21657</v>
      </c>
      <c r="BL20" s="229">
        <v>-0.75190000000000001</v>
      </c>
      <c r="BM20" s="230">
        <v>4916</v>
      </c>
      <c r="BN20" s="230">
        <v>13628</v>
      </c>
      <c r="BO20" s="230">
        <v>-8712</v>
      </c>
      <c r="BP20" s="229">
        <v>-0.63929999999999998</v>
      </c>
      <c r="BQ20" s="230">
        <v>14290</v>
      </c>
      <c r="BR20" s="230">
        <v>51582</v>
      </c>
      <c r="BS20" s="230">
        <v>-37293</v>
      </c>
      <c r="BT20" s="229">
        <v>-0.72299999999999998</v>
      </c>
      <c r="BU20" s="230">
        <v>16003571</v>
      </c>
      <c r="BV20" s="230">
        <v>28698217</v>
      </c>
      <c r="BW20" s="230">
        <v>-12694646</v>
      </c>
      <c r="BX20" s="229">
        <v>-0.44230000000000003</v>
      </c>
      <c r="BY20" s="230">
        <v>10785</v>
      </c>
      <c r="BZ20" s="230">
        <v>11362</v>
      </c>
      <c r="CA20" s="228">
        <v>-578</v>
      </c>
      <c r="CB20" s="229">
        <v>-5.0900000000000001E-2</v>
      </c>
      <c r="CC20" s="230">
        <v>10445</v>
      </c>
      <c r="CD20" s="230">
        <v>1612</v>
      </c>
      <c r="CE20" s="230">
        <v>8833</v>
      </c>
      <c r="CF20" s="229">
        <v>5.4782999999999999</v>
      </c>
      <c r="CG20" s="228">
        <v>336</v>
      </c>
      <c r="CH20" s="230">
        <v>11056</v>
      </c>
      <c r="CI20" s="230">
        <v>-10720</v>
      </c>
      <c r="CJ20" s="229">
        <v>-0.96960000000000002</v>
      </c>
      <c r="CK20" s="228">
        <v>3</v>
      </c>
      <c r="CL20" s="228">
        <v>306</v>
      </c>
      <c r="CM20" s="228">
        <v>-303</v>
      </c>
      <c r="CN20" s="229">
        <v>-0.98870000000000002</v>
      </c>
      <c r="CO20" s="230">
        <v>1689</v>
      </c>
      <c r="CP20" s="230">
        <v>1144</v>
      </c>
      <c r="CQ20" s="228">
        <v>545</v>
      </c>
      <c r="CR20" s="229">
        <v>0.47599999999999998</v>
      </c>
      <c r="CS20" s="230">
        <v>1483</v>
      </c>
      <c r="CT20" s="230">
        <v>1320</v>
      </c>
      <c r="CU20" s="228">
        <v>163</v>
      </c>
      <c r="CV20" s="229">
        <v>0.12330000000000001</v>
      </c>
      <c r="CW20" s="230">
        <v>13956</v>
      </c>
      <c r="CX20" s="230">
        <v>13827</v>
      </c>
      <c r="CY20" s="228">
        <v>130</v>
      </c>
      <c r="CZ20" s="229">
        <v>9.4000000000000004E-3</v>
      </c>
      <c r="DA20" s="228">
        <v>23.19</v>
      </c>
      <c r="DB20" s="228">
        <v>24.06</v>
      </c>
      <c r="DC20" s="228">
        <v>-0.87</v>
      </c>
      <c r="DD20" s="228">
        <v>-0.87</v>
      </c>
      <c r="DE20" s="228">
        <v>26.29</v>
      </c>
      <c r="DF20" s="228">
        <v>26.35</v>
      </c>
      <c r="DG20" s="228">
        <v>-3.1</v>
      </c>
      <c r="DH20" s="228">
        <v>-0.06</v>
      </c>
      <c r="DI20" s="228">
        <v>22.88</v>
      </c>
      <c r="DJ20" s="228">
        <v>23.69</v>
      </c>
      <c r="DK20" s="228">
        <v>-0.81</v>
      </c>
      <c r="DL20" s="228">
        <v>-0.81</v>
      </c>
      <c r="DM20" s="228">
        <v>23.63</v>
      </c>
      <c r="DN20" s="228">
        <v>24.65</v>
      </c>
      <c r="DO20" s="228">
        <v>-1.02</v>
      </c>
      <c r="DP20" s="228">
        <v>-1.02</v>
      </c>
      <c r="DQ20" s="228">
        <v>0.88</v>
      </c>
      <c r="DR20" s="228">
        <v>1.1499999999999999</v>
      </c>
      <c r="DS20" s="228">
        <v>-0.27</v>
      </c>
      <c r="DT20" s="229">
        <v>-0.23480000000000001</v>
      </c>
      <c r="DU20" s="231">
        <v>1300</v>
      </c>
      <c r="DV20" s="231">
        <v>1250</v>
      </c>
      <c r="DW20" s="228">
        <v>0.69</v>
      </c>
      <c r="DX20" s="228">
        <v>0.47</v>
      </c>
      <c r="DY20" s="228">
        <v>0.22</v>
      </c>
      <c r="DZ20" s="229">
        <v>0.46810000000000002</v>
      </c>
      <c r="EA20" s="229">
        <v>3.15E-2</v>
      </c>
      <c r="EB20" s="230">
        <v>85845000</v>
      </c>
      <c r="EC20" s="229">
        <v>4.1000000000000003E-3</v>
      </c>
      <c r="ED20" s="229">
        <v>3.15E-2</v>
      </c>
      <c r="EE20" s="228">
        <v>0.05</v>
      </c>
      <c r="EF20" s="229">
        <v>0</v>
      </c>
      <c r="EG20" s="230">
        <v>9836558</v>
      </c>
      <c r="EH20" s="230">
        <v>15567070</v>
      </c>
      <c r="EI20" s="229">
        <v>-0.36809999999999998</v>
      </c>
      <c r="EJ20" s="229">
        <v>0.61460000000000004</v>
      </c>
      <c r="EK20" s="231">
        <v>7581.36</v>
      </c>
      <c r="EL20" s="231">
        <v>4912.49</v>
      </c>
      <c r="EM20" s="231">
        <v>2259.46</v>
      </c>
      <c r="EN20" s="228">
        <v>942.97</v>
      </c>
      <c r="EO20" s="231">
        <v>14753.3</v>
      </c>
      <c r="EP20" s="231">
        <v>51724.9</v>
      </c>
      <c r="EQ20" s="231">
        <v>-36971.589999999997</v>
      </c>
      <c r="ER20" s="229">
        <v>-0.71479999999999999</v>
      </c>
      <c r="ES20" s="231">
        <v>1744.08</v>
      </c>
      <c r="ET20" s="231">
        <v>1427.46</v>
      </c>
      <c r="EU20" s="231">
        <v>10786.03</v>
      </c>
      <c r="EV20" s="231">
        <v>296371456</v>
      </c>
      <c r="EW20" s="231">
        <v>13957.56</v>
      </c>
      <c r="EX20" s="231">
        <v>13795.01</v>
      </c>
      <c r="EY20" s="228">
        <v>162.55000000000001</v>
      </c>
      <c r="EZ20" s="229">
        <v>1.18E-2</v>
      </c>
      <c r="FA20" s="229">
        <v>0.35580000000000001</v>
      </c>
      <c r="FB20" s="227" t="s">
        <v>556</v>
      </c>
      <c r="FC20">
        <f t="shared" si="0"/>
        <v>340</v>
      </c>
    </row>
    <row r="21" spans="1:159" ht="17.25" thickBot="1" x14ac:dyDescent="0.3">
      <c r="A21" s="226">
        <v>46050</v>
      </c>
      <c r="B21" s="227" t="s">
        <v>162</v>
      </c>
      <c r="C21" s="227" t="s">
        <v>174</v>
      </c>
      <c r="D21" s="228">
        <v>75</v>
      </c>
      <c r="E21" s="228">
        <v>27</v>
      </c>
      <c r="F21" s="231">
        <v>9459</v>
      </c>
      <c r="G21" s="231">
        <v>9531.5</v>
      </c>
      <c r="H21" s="228">
        <v>-72.5</v>
      </c>
      <c r="I21" s="229">
        <v>-7.6E-3</v>
      </c>
      <c r="J21" s="231">
        <v>9433.5</v>
      </c>
      <c r="K21" s="231">
        <v>9492</v>
      </c>
      <c r="L21" s="228">
        <v>-58.5</v>
      </c>
      <c r="M21" s="229">
        <v>-6.1999999999999998E-3</v>
      </c>
      <c r="N21" s="231">
        <v>9459</v>
      </c>
      <c r="O21" s="231">
        <v>9490.5</v>
      </c>
      <c r="P21" s="228">
        <v>-31.5</v>
      </c>
      <c r="Q21" s="229">
        <v>-3.3E-3</v>
      </c>
      <c r="R21" s="231">
        <v>9497</v>
      </c>
      <c r="S21" s="231">
        <v>9531.5</v>
      </c>
      <c r="T21" s="228">
        <v>-34.5</v>
      </c>
      <c r="U21" s="229">
        <v>-3.5999999999999999E-3</v>
      </c>
      <c r="V21" s="231">
        <v>9449</v>
      </c>
      <c r="W21" s="231">
        <v>9568</v>
      </c>
      <c r="X21" s="228">
        <v>-119</v>
      </c>
      <c r="Y21" s="229">
        <v>-1.24E-2</v>
      </c>
      <c r="Z21" s="228">
        <v>25.5</v>
      </c>
      <c r="AA21" s="228">
        <v>39.5</v>
      </c>
      <c r="AB21" s="228">
        <v>-14</v>
      </c>
      <c r="AC21" s="229">
        <v>2.7000000000000001E-3</v>
      </c>
      <c r="AD21" s="228">
        <v>25.5</v>
      </c>
      <c r="AE21" s="228">
        <v>-1.5</v>
      </c>
      <c r="AF21" s="228">
        <v>27</v>
      </c>
      <c r="AG21" s="229">
        <v>2.7000000000000001E-3</v>
      </c>
      <c r="AH21" s="228">
        <v>63.5</v>
      </c>
      <c r="AI21" s="228">
        <v>39.5</v>
      </c>
      <c r="AJ21" s="228">
        <v>24</v>
      </c>
      <c r="AK21" s="229">
        <v>6.7000000000000002E-3</v>
      </c>
      <c r="AL21" s="228">
        <v>15.5</v>
      </c>
      <c r="AM21" s="228">
        <v>76</v>
      </c>
      <c r="AN21" s="228">
        <v>-60.5</v>
      </c>
      <c r="AO21" s="229">
        <v>1.6000000000000001E-3</v>
      </c>
      <c r="AP21" s="231">
        <v>9376.32</v>
      </c>
      <c r="AQ21" s="231">
        <v>9407.33</v>
      </c>
      <c r="AR21" s="228">
        <v>0</v>
      </c>
      <c r="AS21" s="228">
        <v>608</v>
      </c>
      <c r="AT21" s="230">
        <v>1125</v>
      </c>
      <c r="AU21" s="228">
        <v>-517</v>
      </c>
      <c r="AV21" s="229">
        <v>-0.45939999999999998</v>
      </c>
      <c r="AW21" s="228">
        <v>584</v>
      </c>
      <c r="AX21" s="228">
        <v>458</v>
      </c>
      <c r="AY21" s="228">
        <v>127</v>
      </c>
      <c r="AZ21" s="229">
        <v>0.27739999999999998</v>
      </c>
      <c r="BA21" s="228">
        <v>23</v>
      </c>
      <c r="BB21" s="228">
        <v>654</v>
      </c>
      <c r="BC21" s="228">
        <v>-631</v>
      </c>
      <c r="BD21" s="229">
        <v>-0.96489999999999998</v>
      </c>
      <c r="BE21" s="228">
        <v>1</v>
      </c>
      <c r="BF21" s="228">
        <v>13</v>
      </c>
      <c r="BG21" s="228">
        <v>-13</v>
      </c>
      <c r="BH21" s="229">
        <v>-0.94710000000000005</v>
      </c>
      <c r="BI21" s="230">
        <v>1302</v>
      </c>
      <c r="BJ21" s="230">
        <v>2047</v>
      </c>
      <c r="BK21" s="228">
        <v>-746</v>
      </c>
      <c r="BL21" s="229">
        <v>-0.36430000000000001</v>
      </c>
      <c r="BM21" s="230">
        <v>1454</v>
      </c>
      <c r="BN21" s="230">
        <v>1269</v>
      </c>
      <c r="BO21" s="228">
        <v>186</v>
      </c>
      <c r="BP21" s="229">
        <v>0.14630000000000001</v>
      </c>
      <c r="BQ21" s="230">
        <v>3364</v>
      </c>
      <c r="BR21" s="230">
        <v>4441</v>
      </c>
      <c r="BS21" s="230">
        <v>-1077</v>
      </c>
      <c r="BT21" s="229">
        <v>-0.24249999999999999</v>
      </c>
      <c r="BU21" s="230">
        <v>360252</v>
      </c>
      <c r="BV21" s="230">
        <v>307406</v>
      </c>
      <c r="BW21" s="230">
        <v>52846</v>
      </c>
      <c r="BX21" s="229">
        <v>0.1719</v>
      </c>
      <c r="BY21" s="230">
        <v>3114</v>
      </c>
      <c r="BZ21" s="230">
        <v>3127</v>
      </c>
      <c r="CA21" s="228">
        <v>-13</v>
      </c>
      <c r="CB21" s="229">
        <v>-4.1000000000000003E-3</v>
      </c>
      <c r="CC21" s="230">
        <v>3062</v>
      </c>
      <c r="CD21" s="228">
        <v>147</v>
      </c>
      <c r="CE21" s="230">
        <v>2914</v>
      </c>
      <c r="CF21" s="229">
        <v>19.8081</v>
      </c>
      <c r="CG21" s="228">
        <v>52</v>
      </c>
      <c r="CH21" s="230">
        <v>3077</v>
      </c>
      <c r="CI21" s="230">
        <v>-3025</v>
      </c>
      <c r="CJ21" s="229">
        <v>-0.98309999999999997</v>
      </c>
      <c r="CK21" s="228">
        <v>1</v>
      </c>
      <c r="CL21" s="228">
        <v>50</v>
      </c>
      <c r="CM21" s="228">
        <v>-49</v>
      </c>
      <c r="CN21" s="229">
        <v>-0.98580000000000001</v>
      </c>
      <c r="CO21" s="228">
        <v>481</v>
      </c>
      <c r="CP21" s="228">
        <v>389</v>
      </c>
      <c r="CQ21" s="228">
        <v>92</v>
      </c>
      <c r="CR21" s="229">
        <v>0.23669999999999999</v>
      </c>
      <c r="CS21" s="228">
        <v>417</v>
      </c>
      <c r="CT21" s="228">
        <v>322</v>
      </c>
      <c r="CU21" s="228">
        <v>95</v>
      </c>
      <c r="CV21" s="229">
        <v>0.29459999999999997</v>
      </c>
      <c r="CW21" s="230">
        <v>4012</v>
      </c>
      <c r="CX21" s="230">
        <v>3838</v>
      </c>
      <c r="CY21" s="228">
        <v>174</v>
      </c>
      <c r="CZ21" s="229">
        <v>4.5400000000000003E-2</v>
      </c>
      <c r="DA21" s="228">
        <v>29.34</v>
      </c>
      <c r="DB21" s="228">
        <v>28.9</v>
      </c>
      <c r="DC21" s="228">
        <v>0.44</v>
      </c>
      <c r="DD21" s="228">
        <v>0.44</v>
      </c>
      <c r="DE21" s="228">
        <v>27.8</v>
      </c>
      <c r="DF21" s="228">
        <v>27.86</v>
      </c>
      <c r="DG21" s="228">
        <v>1.54</v>
      </c>
      <c r="DH21" s="228">
        <v>-0.06</v>
      </c>
      <c r="DI21" s="228">
        <v>28.45</v>
      </c>
      <c r="DJ21" s="228">
        <v>27.88</v>
      </c>
      <c r="DK21" s="228">
        <v>0.56999999999999995</v>
      </c>
      <c r="DL21" s="228">
        <v>0.56999999999999995</v>
      </c>
      <c r="DM21" s="228">
        <v>30.13</v>
      </c>
      <c r="DN21" s="228">
        <v>30.04</v>
      </c>
      <c r="DO21" s="228">
        <v>0.09</v>
      </c>
      <c r="DP21" s="228">
        <v>0.09</v>
      </c>
      <c r="DQ21" s="228">
        <v>0.87</v>
      </c>
      <c r="DR21" s="228">
        <v>0.83</v>
      </c>
      <c r="DS21" s="228">
        <v>0.04</v>
      </c>
      <c r="DT21" s="229">
        <v>4.82E-2</v>
      </c>
      <c r="DU21" s="231">
        <v>10000</v>
      </c>
      <c r="DV21" s="231">
        <v>8800</v>
      </c>
      <c r="DW21" s="228">
        <v>1.1200000000000001</v>
      </c>
      <c r="DX21" s="228">
        <v>0.62</v>
      </c>
      <c r="DY21" s="228">
        <v>0.5</v>
      </c>
      <c r="DZ21" s="229">
        <v>0.80649999999999999</v>
      </c>
      <c r="EA21" s="229">
        <v>1.6899999999999998E-2</v>
      </c>
      <c r="EB21" s="230">
        <v>3305700</v>
      </c>
      <c r="EC21" s="229">
        <v>4.0000000000000001E-3</v>
      </c>
      <c r="ED21" s="229">
        <v>1.6899999999999998E-2</v>
      </c>
      <c r="EE21" s="228">
        <v>31.01</v>
      </c>
      <c r="EF21" s="229">
        <v>3.3E-3</v>
      </c>
      <c r="EG21" s="230">
        <v>159254</v>
      </c>
      <c r="EH21" s="230">
        <v>133114</v>
      </c>
      <c r="EI21" s="229">
        <v>0.19639999999999999</v>
      </c>
      <c r="EJ21" s="229">
        <v>0.44209999999999999</v>
      </c>
      <c r="EK21" s="231">
        <v>1383.29</v>
      </c>
      <c r="EL21" s="231">
        <v>1407.39</v>
      </c>
      <c r="EM21" s="228">
        <v>602.95000000000005</v>
      </c>
      <c r="EN21" s="228">
        <v>345.87</v>
      </c>
      <c r="EO21" s="231">
        <v>3393.63</v>
      </c>
      <c r="EP21" s="231">
        <v>4474.75</v>
      </c>
      <c r="EQ21" s="231">
        <v>-1081.1199999999999</v>
      </c>
      <c r="ER21" s="229">
        <v>-0.24160000000000001</v>
      </c>
      <c r="ES21" s="228">
        <v>505.69</v>
      </c>
      <c r="ET21" s="228">
        <v>394.33</v>
      </c>
      <c r="EU21" s="231">
        <v>3114.37</v>
      </c>
      <c r="EV21" s="231">
        <v>15906526</v>
      </c>
      <c r="EW21" s="231">
        <v>4014.39</v>
      </c>
      <c r="EX21" s="231">
        <v>3866.21</v>
      </c>
      <c r="EY21" s="228">
        <v>148.18</v>
      </c>
      <c r="EZ21" s="229">
        <v>3.8300000000000001E-2</v>
      </c>
      <c r="FA21" s="229">
        <v>0.26669999999999999</v>
      </c>
      <c r="FB21" s="227" t="s">
        <v>568</v>
      </c>
      <c r="FC21">
        <f t="shared" si="0"/>
        <v>52</v>
      </c>
    </row>
    <row r="22" spans="1:159" ht="17.25" thickBot="1" x14ac:dyDescent="0.3">
      <c r="A22" s="226">
        <v>46050</v>
      </c>
      <c r="B22" s="227" t="s">
        <v>175</v>
      </c>
      <c r="C22" s="227" t="s">
        <v>176</v>
      </c>
      <c r="D22" s="228">
        <v>250</v>
      </c>
      <c r="E22" s="228">
        <v>27</v>
      </c>
      <c r="F22" s="231">
        <v>1951.2</v>
      </c>
      <c r="G22" s="231">
        <v>1927.7</v>
      </c>
      <c r="H22" s="228">
        <v>23.5</v>
      </c>
      <c r="I22" s="229">
        <v>1.2200000000000001E-2</v>
      </c>
      <c r="J22" s="231">
        <v>1940.3</v>
      </c>
      <c r="K22" s="231">
        <v>1917.7</v>
      </c>
      <c r="L22" s="228">
        <v>22.6</v>
      </c>
      <c r="M22" s="229">
        <v>1.18E-2</v>
      </c>
      <c r="N22" s="231">
        <v>1951.2</v>
      </c>
      <c r="O22" s="231">
        <v>1916.1</v>
      </c>
      <c r="P22" s="228">
        <v>35.1</v>
      </c>
      <c r="Q22" s="229">
        <v>1.83E-2</v>
      </c>
      <c r="R22" s="231">
        <v>1963.9</v>
      </c>
      <c r="S22" s="231">
        <v>1927.7</v>
      </c>
      <c r="T22" s="228">
        <v>36.200000000000003</v>
      </c>
      <c r="U22" s="229">
        <v>1.8800000000000001E-2</v>
      </c>
      <c r="V22" s="231">
        <v>1974.9</v>
      </c>
      <c r="W22" s="231">
        <v>1945.3</v>
      </c>
      <c r="X22" s="228">
        <v>29.6</v>
      </c>
      <c r="Y22" s="229">
        <v>1.52E-2</v>
      </c>
      <c r="Z22" s="228">
        <v>10.9</v>
      </c>
      <c r="AA22" s="228">
        <v>10</v>
      </c>
      <c r="AB22" s="228">
        <v>0.9</v>
      </c>
      <c r="AC22" s="229">
        <v>5.5999999999999999E-3</v>
      </c>
      <c r="AD22" s="228">
        <v>10.9</v>
      </c>
      <c r="AE22" s="228">
        <v>-1.6</v>
      </c>
      <c r="AF22" s="228">
        <v>12.5</v>
      </c>
      <c r="AG22" s="229">
        <v>5.5999999999999999E-3</v>
      </c>
      <c r="AH22" s="228">
        <v>23.6</v>
      </c>
      <c r="AI22" s="228">
        <v>10</v>
      </c>
      <c r="AJ22" s="228">
        <v>13.6</v>
      </c>
      <c r="AK22" s="229">
        <v>1.2200000000000001E-2</v>
      </c>
      <c r="AL22" s="228">
        <v>34.6</v>
      </c>
      <c r="AM22" s="228">
        <v>27.6</v>
      </c>
      <c r="AN22" s="228">
        <v>7</v>
      </c>
      <c r="AO22" s="229">
        <v>1.78E-2</v>
      </c>
      <c r="AP22" s="231">
        <v>1944.16</v>
      </c>
      <c r="AQ22" s="231">
        <v>1956.53</v>
      </c>
      <c r="AR22" s="228">
        <v>0</v>
      </c>
      <c r="AS22" s="228">
        <v>264</v>
      </c>
      <c r="AT22" s="230">
        <v>1984</v>
      </c>
      <c r="AU22" s="230">
        <v>-1720</v>
      </c>
      <c r="AV22" s="229">
        <v>-0.86699999999999999</v>
      </c>
      <c r="AW22" s="228">
        <v>250</v>
      </c>
      <c r="AX22" s="228">
        <v>913</v>
      </c>
      <c r="AY22" s="228">
        <v>-663</v>
      </c>
      <c r="AZ22" s="229">
        <v>-0.72599999999999998</v>
      </c>
      <c r="BA22" s="228">
        <v>12</v>
      </c>
      <c r="BB22" s="230">
        <v>1048</v>
      </c>
      <c r="BC22" s="230">
        <v>-1036</v>
      </c>
      <c r="BD22" s="229">
        <v>-0.98880000000000001</v>
      </c>
      <c r="BE22" s="228">
        <v>2</v>
      </c>
      <c r="BF22" s="228">
        <v>23</v>
      </c>
      <c r="BG22" s="228">
        <v>-21</v>
      </c>
      <c r="BH22" s="229">
        <v>-0.91720000000000002</v>
      </c>
      <c r="BI22" s="228">
        <v>354</v>
      </c>
      <c r="BJ22" s="228">
        <v>947</v>
      </c>
      <c r="BK22" s="228">
        <v>-593</v>
      </c>
      <c r="BL22" s="229">
        <v>-0.626</v>
      </c>
      <c r="BM22" s="228">
        <v>201</v>
      </c>
      <c r="BN22" s="228">
        <v>876</v>
      </c>
      <c r="BO22" s="228">
        <v>-675</v>
      </c>
      <c r="BP22" s="229">
        <v>-0.77010000000000001</v>
      </c>
      <c r="BQ22" s="228">
        <v>820</v>
      </c>
      <c r="BR22" s="230">
        <v>3808</v>
      </c>
      <c r="BS22" s="230">
        <v>-2988</v>
      </c>
      <c r="BT22" s="229">
        <v>-0.78480000000000005</v>
      </c>
      <c r="BU22" s="230">
        <v>3730150</v>
      </c>
      <c r="BV22" s="230">
        <v>4763923</v>
      </c>
      <c r="BW22" s="230">
        <v>-1033773</v>
      </c>
      <c r="BX22" s="229">
        <v>-0.217</v>
      </c>
      <c r="BY22" s="230">
        <v>2903</v>
      </c>
      <c r="BZ22" s="230">
        <v>2917</v>
      </c>
      <c r="CA22" s="228">
        <v>-14</v>
      </c>
      <c r="CB22" s="229">
        <v>-4.8999999999999998E-3</v>
      </c>
      <c r="CC22" s="230">
        <v>2847</v>
      </c>
      <c r="CD22" s="228">
        <v>373</v>
      </c>
      <c r="CE22" s="230">
        <v>2474</v>
      </c>
      <c r="CF22" s="229">
        <v>6.6338999999999997</v>
      </c>
      <c r="CG22" s="228">
        <v>54</v>
      </c>
      <c r="CH22" s="230">
        <v>2866</v>
      </c>
      <c r="CI22" s="230">
        <v>-2812</v>
      </c>
      <c r="CJ22" s="229">
        <v>-0.98109999999999997</v>
      </c>
      <c r="CK22" s="228">
        <v>1</v>
      </c>
      <c r="CL22" s="228">
        <v>51</v>
      </c>
      <c r="CM22" s="228">
        <v>-49</v>
      </c>
      <c r="CN22" s="229">
        <v>-0.97299999999999998</v>
      </c>
      <c r="CO22" s="228">
        <v>351</v>
      </c>
      <c r="CP22" s="228">
        <v>310</v>
      </c>
      <c r="CQ22" s="228">
        <v>41</v>
      </c>
      <c r="CR22" s="229">
        <v>0.13270000000000001</v>
      </c>
      <c r="CS22" s="228">
        <v>377</v>
      </c>
      <c r="CT22" s="228">
        <v>328</v>
      </c>
      <c r="CU22" s="228">
        <v>49</v>
      </c>
      <c r="CV22" s="229">
        <v>0.14860000000000001</v>
      </c>
      <c r="CW22" s="230">
        <v>3631</v>
      </c>
      <c r="CX22" s="230">
        <v>3555</v>
      </c>
      <c r="CY22" s="228">
        <v>76</v>
      </c>
      <c r="CZ22" s="229">
        <v>2.1299999999999999E-2</v>
      </c>
      <c r="DA22" s="228">
        <v>28.77</v>
      </c>
      <c r="DB22" s="228">
        <v>29.6</v>
      </c>
      <c r="DC22" s="228">
        <v>-0.83</v>
      </c>
      <c r="DD22" s="228">
        <v>-0.83</v>
      </c>
      <c r="DE22" s="228">
        <v>27.82</v>
      </c>
      <c r="DF22" s="228">
        <v>27.84</v>
      </c>
      <c r="DG22" s="228">
        <v>0.95</v>
      </c>
      <c r="DH22" s="228">
        <v>-0.02</v>
      </c>
      <c r="DI22" s="228">
        <v>28.06</v>
      </c>
      <c r="DJ22" s="228">
        <v>28.89</v>
      </c>
      <c r="DK22" s="228">
        <v>-0.83</v>
      </c>
      <c r="DL22" s="228">
        <v>-0.83</v>
      </c>
      <c r="DM22" s="228">
        <v>30.01</v>
      </c>
      <c r="DN22" s="228">
        <v>30.55</v>
      </c>
      <c r="DO22" s="228">
        <v>-0.54</v>
      </c>
      <c r="DP22" s="228">
        <v>-0.54</v>
      </c>
      <c r="DQ22" s="228">
        <v>1.07</v>
      </c>
      <c r="DR22" s="228">
        <v>1.06</v>
      </c>
      <c r="DS22" s="228">
        <v>0.01</v>
      </c>
      <c r="DT22" s="229">
        <v>9.4000000000000004E-3</v>
      </c>
      <c r="DU22" s="231">
        <v>2000</v>
      </c>
      <c r="DV22" s="231">
        <v>1820</v>
      </c>
      <c r="DW22" s="228">
        <v>0.56999999999999995</v>
      </c>
      <c r="DX22" s="228">
        <v>0.92</v>
      </c>
      <c r="DY22" s="228">
        <v>-0.35</v>
      </c>
      <c r="DZ22" s="229">
        <v>-0.38040000000000002</v>
      </c>
      <c r="EA22" s="229">
        <v>1.9199999999999998E-2</v>
      </c>
      <c r="EB22" s="230">
        <v>14950000</v>
      </c>
      <c r="EC22" s="229">
        <v>6.4999999999999997E-3</v>
      </c>
      <c r="ED22" s="229">
        <v>1.9199999999999998E-2</v>
      </c>
      <c r="EE22" s="228">
        <v>12.37</v>
      </c>
      <c r="EF22" s="229">
        <v>6.4000000000000003E-3</v>
      </c>
      <c r="EG22" s="230">
        <v>3143617</v>
      </c>
      <c r="EH22" s="230">
        <v>2915475</v>
      </c>
      <c r="EI22" s="229">
        <v>7.8299999999999995E-2</v>
      </c>
      <c r="EJ22" s="229">
        <v>0.84279999999999999</v>
      </c>
      <c r="EK22" s="228">
        <v>375.65</v>
      </c>
      <c r="EL22" s="228">
        <v>197.82</v>
      </c>
      <c r="EM22" s="228">
        <v>263</v>
      </c>
      <c r="EN22" s="228">
        <v>391.49</v>
      </c>
      <c r="EO22" s="228">
        <v>836.47</v>
      </c>
      <c r="EP22" s="231">
        <v>3829.54</v>
      </c>
      <c r="EQ22" s="231">
        <v>-2993.08</v>
      </c>
      <c r="ER22" s="229">
        <v>-0.78159999999999996</v>
      </c>
      <c r="ES22" s="228">
        <v>366.23</v>
      </c>
      <c r="ET22" s="228">
        <v>371.02</v>
      </c>
      <c r="EU22" s="231">
        <v>2903.22</v>
      </c>
      <c r="EV22" s="231">
        <v>65701623</v>
      </c>
      <c r="EW22" s="231">
        <v>3640.47</v>
      </c>
      <c r="EX22" s="231">
        <v>3530.42</v>
      </c>
      <c r="EY22" s="228">
        <v>110.05</v>
      </c>
      <c r="EZ22" s="229">
        <v>3.1199999999999999E-2</v>
      </c>
      <c r="FA22" s="229">
        <v>0.28320000000000001</v>
      </c>
      <c r="FB22" s="227" t="s">
        <v>556</v>
      </c>
      <c r="FC22">
        <f t="shared" si="0"/>
        <v>56</v>
      </c>
    </row>
    <row r="23" spans="1:159" ht="17.25" thickBot="1" x14ac:dyDescent="0.3">
      <c r="A23" s="226">
        <v>46050</v>
      </c>
      <c r="B23" s="227" t="s">
        <v>175</v>
      </c>
      <c r="C23" s="227" t="s">
        <v>690</v>
      </c>
      <c r="D23" s="228">
        <v>50</v>
      </c>
      <c r="E23" s="228">
        <v>27</v>
      </c>
      <c r="F23" s="231">
        <v>10732</v>
      </c>
      <c r="G23" s="231">
        <v>10678</v>
      </c>
      <c r="H23" s="228">
        <v>54</v>
      </c>
      <c r="I23" s="229">
        <v>5.1000000000000004E-3</v>
      </c>
      <c r="J23" s="231">
        <v>10704</v>
      </c>
      <c r="K23" s="231">
        <v>10609</v>
      </c>
      <c r="L23" s="228">
        <v>95</v>
      </c>
      <c r="M23" s="229">
        <v>8.9999999999999993E-3</v>
      </c>
      <c r="N23" s="231">
        <v>10732</v>
      </c>
      <c r="O23" s="231">
        <v>10626</v>
      </c>
      <c r="P23" s="228">
        <v>106</v>
      </c>
      <c r="Q23" s="229">
        <v>0.01</v>
      </c>
      <c r="R23" s="231">
        <v>10706</v>
      </c>
      <c r="S23" s="231">
        <v>10678</v>
      </c>
      <c r="T23" s="228">
        <v>28</v>
      </c>
      <c r="U23" s="229">
        <v>2.5999999999999999E-3</v>
      </c>
      <c r="V23" s="228">
        <v>0</v>
      </c>
      <c r="W23" s="231">
        <v>10667</v>
      </c>
      <c r="X23" s="228">
        <v>0</v>
      </c>
      <c r="Y23" s="229">
        <v>0</v>
      </c>
      <c r="Z23" s="228">
        <v>28</v>
      </c>
      <c r="AA23" s="228">
        <v>69</v>
      </c>
      <c r="AB23" s="228">
        <v>-41</v>
      </c>
      <c r="AC23" s="229">
        <v>2.5999999999999999E-3</v>
      </c>
      <c r="AD23" s="228">
        <v>28</v>
      </c>
      <c r="AE23" s="228">
        <v>17</v>
      </c>
      <c r="AF23" s="228">
        <v>11</v>
      </c>
      <c r="AG23" s="229">
        <v>2.5999999999999999E-3</v>
      </c>
      <c r="AH23" s="228">
        <v>2</v>
      </c>
      <c r="AI23" s="228">
        <v>69</v>
      </c>
      <c r="AJ23" s="228">
        <v>-67</v>
      </c>
      <c r="AK23" s="229">
        <v>2.0000000000000001E-4</v>
      </c>
      <c r="AL23" s="228">
        <v>0</v>
      </c>
      <c r="AM23" s="228">
        <v>58</v>
      </c>
      <c r="AN23" s="228">
        <v>0</v>
      </c>
      <c r="AO23" s="229">
        <v>0</v>
      </c>
      <c r="AP23" s="231">
        <v>10709.13</v>
      </c>
      <c r="AQ23" s="231">
        <v>10770</v>
      </c>
      <c r="AR23" s="228">
        <v>0</v>
      </c>
      <c r="AS23" s="228">
        <v>36</v>
      </c>
      <c r="AT23" s="228">
        <v>203</v>
      </c>
      <c r="AU23" s="228">
        <v>-167</v>
      </c>
      <c r="AV23" s="229">
        <v>-0.82340000000000002</v>
      </c>
      <c r="AW23" s="228">
        <v>36</v>
      </c>
      <c r="AX23" s="228">
        <v>98</v>
      </c>
      <c r="AY23" s="228">
        <v>-62</v>
      </c>
      <c r="AZ23" s="229">
        <v>-0.63519999999999999</v>
      </c>
      <c r="BA23" s="228">
        <v>0</v>
      </c>
      <c r="BB23" s="228">
        <v>105</v>
      </c>
      <c r="BC23" s="228">
        <v>-105</v>
      </c>
      <c r="BD23" s="229">
        <v>-0.998</v>
      </c>
      <c r="BE23" s="228">
        <v>0</v>
      </c>
      <c r="BF23" s="228">
        <v>0</v>
      </c>
      <c r="BG23" s="228">
        <v>0</v>
      </c>
      <c r="BH23" s="229">
        <v>0</v>
      </c>
      <c r="BI23" s="228">
        <v>47</v>
      </c>
      <c r="BJ23" s="228">
        <v>163</v>
      </c>
      <c r="BK23" s="228">
        <v>-116</v>
      </c>
      <c r="BL23" s="229">
        <v>-0.71340000000000003</v>
      </c>
      <c r="BM23" s="228">
        <v>17</v>
      </c>
      <c r="BN23" s="228">
        <v>318</v>
      </c>
      <c r="BO23" s="228">
        <v>-301</v>
      </c>
      <c r="BP23" s="229">
        <v>-0.94669999999999999</v>
      </c>
      <c r="BQ23" s="228">
        <v>99</v>
      </c>
      <c r="BR23" s="228">
        <v>684</v>
      </c>
      <c r="BS23" s="228">
        <v>-585</v>
      </c>
      <c r="BT23" s="229">
        <v>-0.85470000000000002</v>
      </c>
      <c r="BU23" s="230">
        <v>52190</v>
      </c>
      <c r="BV23" s="230">
        <v>77480</v>
      </c>
      <c r="BW23" s="230">
        <v>-25290</v>
      </c>
      <c r="BX23" s="229">
        <v>-0.32640000000000002</v>
      </c>
      <c r="BY23" s="228">
        <v>218</v>
      </c>
      <c r="BZ23" s="228">
        <v>221</v>
      </c>
      <c r="CA23" s="228">
        <v>-3</v>
      </c>
      <c r="CB23" s="229">
        <v>-1.17E-2</v>
      </c>
      <c r="CC23" s="228">
        <v>217</v>
      </c>
      <c r="CD23" s="228">
        <v>23</v>
      </c>
      <c r="CE23" s="228">
        <v>195</v>
      </c>
      <c r="CF23" s="229">
        <v>8.59</v>
      </c>
      <c r="CG23" s="228">
        <v>1</v>
      </c>
      <c r="CH23" s="228">
        <v>220</v>
      </c>
      <c r="CI23" s="228">
        <v>-219</v>
      </c>
      <c r="CJ23" s="229">
        <v>-0.99439999999999995</v>
      </c>
      <c r="CK23" s="228">
        <v>0</v>
      </c>
      <c r="CL23" s="228">
        <v>1</v>
      </c>
      <c r="CM23" s="228">
        <v>-1</v>
      </c>
      <c r="CN23" s="229">
        <v>-1</v>
      </c>
      <c r="CO23" s="228">
        <v>31</v>
      </c>
      <c r="CP23" s="228">
        <v>12</v>
      </c>
      <c r="CQ23" s="228">
        <v>19</v>
      </c>
      <c r="CR23" s="229">
        <v>1.5478000000000001</v>
      </c>
      <c r="CS23" s="228">
        <v>22</v>
      </c>
      <c r="CT23" s="228">
        <v>12</v>
      </c>
      <c r="CU23" s="228">
        <v>11</v>
      </c>
      <c r="CV23" s="229">
        <v>0.88290000000000002</v>
      </c>
      <c r="CW23" s="228">
        <v>272</v>
      </c>
      <c r="CX23" s="228">
        <v>245</v>
      </c>
      <c r="CY23" s="228">
        <v>27</v>
      </c>
      <c r="CZ23" s="229">
        <v>0.1103</v>
      </c>
      <c r="DA23" s="228">
        <v>32.56</v>
      </c>
      <c r="DB23" s="228">
        <v>34.36</v>
      </c>
      <c r="DC23" s="228">
        <v>-1.8</v>
      </c>
      <c r="DD23" s="228">
        <v>-1.8</v>
      </c>
      <c r="DE23" s="228">
        <v>38.18</v>
      </c>
      <c r="DF23" s="228">
        <v>38.270000000000003</v>
      </c>
      <c r="DG23" s="228">
        <v>-5.62</v>
      </c>
      <c r="DH23" s="228">
        <v>-0.09</v>
      </c>
      <c r="DI23" s="228">
        <v>32.53</v>
      </c>
      <c r="DJ23" s="228">
        <v>33.450000000000003</v>
      </c>
      <c r="DK23" s="228">
        <v>-0.92</v>
      </c>
      <c r="DL23" s="228">
        <v>-0.92</v>
      </c>
      <c r="DM23" s="228">
        <v>32.619999999999997</v>
      </c>
      <c r="DN23" s="228">
        <v>34.82</v>
      </c>
      <c r="DO23" s="228">
        <v>-2.2000000000000002</v>
      </c>
      <c r="DP23" s="228">
        <v>-2.2000000000000002</v>
      </c>
      <c r="DQ23" s="228">
        <v>0.71</v>
      </c>
      <c r="DR23" s="228">
        <v>0.97</v>
      </c>
      <c r="DS23" s="228">
        <v>-0.26</v>
      </c>
      <c r="DT23" s="229">
        <v>-0.26800000000000002</v>
      </c>
      <c r="DU23" s="231">
        <v>11000</v>
      </c>
      <c r="DV23" s="231">
        <v>10500</v>
      </c>
      <c r="DW23" s="228">
        <v>0.36</v>
      </c>
      <c r="DX23" s="228">
        <v>1.96</v>
      </c>
      <c r="DY23" s="228">
        <v>-1.6</v>
      </c>
      <c r="DZ23" s="229">
        <v>-0.81630000000000003</v>
      </c>
      <c r="EA23" s="229">
        <v>5.7000000000000002E-3</v>
      </c>
      <c r="EB23" s="230">
        <v>205900</v>
      </c>
      <c r="EC23" s="229">
        <v>-2.3999999999999998E-3</v>
      </c>
      <c r="ED23" s="229">
        <v>5.7000000000000002E-3</v>
      </c>
      <c r="EE23" s="228">
        <v>60.87</v>
      </c>
      <c r="EF23" s="229">
        <v>5.7000000000000002E-3</v>
      </c>
      <c r="EG23" s="230">
        <v>28366</v>
      </c>
      <c r="EH23" s="230">
        <v>42061</v>
      </c>
      <c r="EI23" s="229">
        <v>-0.3256</v>
      </c>
      <c r="EJ23" s="229">
        <v>0.54349999999999998</v>
      </c>
      <c r="EK23" s="228">
        <v>49.79</v>
      </c>
      <c r="EL23" s="228">
        <v>17.02</v>
      </c>
      <c r="EM23" s="228">
        <v>35.770000000000003</v>
      </c>
      <c r="EN23" s="228">
        <v>29.58</v>
      </c>
      <c r="EO23" s="228">
        <v>102.58</v>
      </c>
      <c r="EP23" s="228">
        <v>674.09</v>
      </c>
      <c r="EQ23" s="228">
        <v>-571.51</v>
      </c>
      <c r="ER23" s="229">
        <v>-0.8478</v>
      </c>
      <c r="ES23" s="228">
        <v>33.1</v>
      </c>
      <c r="ET23" s="228">
        <v>21.59</v>
      </c>
      <c r="EU23" s="228">
        <v>218.39</v>
      </c>
      <c r="EV23" s="231">
        <v>5401993</v>
      </c>
      <c r="EW23" s="228">
        <v>273.08999999999997</v>
      </c>
      <c r="EX23" s="228">
        <v>244.23</v>
      </c>
      <c r="EY23" s="228">
        <v>28.86</v>
      </c>
      <c r="EZ23" s="229">
        <v>0.1182</v>
      </c>
      <c r="FA23" s="229">
        <v>4.7E-2</v>
      </c>
      <c r="FB23" s="227" t="s">
        <v>556</v>
      </c>
      <c r="FC23">
        <f t="shared" si="0"/>
        <v>1</v>
      </c>
    </row>
    <row r="24" spans="1:159" ht="17.25" thickBot="1" x14ac:dyDescent="0.3">
      <c r="A24" s="226">
        <v>46050</v>
      </c>
      <c r="B24" s="227" t="s">
        <v>175</v>
      </c>
      <c r="C24" s="227" t="s">
        <v>177</v>
      </c>
      <c r="D24" s="228">
        <v>750</v>
      </c>
      <c r="E24" s="228">
        <v>27</v>
      </c>
      <c r="F24" s="228">
        <v>938.65</v>
      </c>
      <c r="G24" s="228">
        <v>921.25</v>
      </c>
      <c r="H24" s="228">
        <v>17.399999999999999</v>
      </c>
      <c r="I24" s="229">
        <v>1.89E-2</v>
      </c>
      <c r="J24" s="228">
        <v>935.15</v>
      </c>
      <c r="K24" s="228">
        <v>914.7</v>
      </c>
      <c r="L24" s="228">
        <v>20.45</v>
      </c>
      <c r="M24" s="229">
        <v>2.24E-2</v>
      </c>
      <c r="N24" s="228">
        <v>938.65</v>
      </c>
      <c r="O24" s="228">
        <v>914.7</v>
      </c>
      <c r="P24" s="228">
        <v>23.95</v>
      </c>
      <c r="Q24" s="229">
        <v>2.6200000000000001E-2</v>
      </c>
      <c r="R24" s="228">
        <v>944.55</v>
      </c>
      <c r="S24" s="228">
        <v>921.25</v>
      </c>
      <c r="T24" s="228">
        <v>23.3</v>
      </c>
      <c r="U24" s="229">
        <v>2.53E-2</v>
      </c>
      <c r="V24" s="228">
        <v>951</v>
      </c>
      <c r="W24" s="228">
        <v>927.5</v>
      </c>
      <c r="X24" s="228">
        <v>23.5</v>
      </c>
      <c r="Y24" s="229">
        <v>2.53E-2</v>
      </c>
      <c r="Z24" s="228">
        <v>3.5</v>
      </c>
      <c r="AA24" s="228">
        <v>6.55</v>
      </c>
      <c r="AB24" s="228">
        <v>-3.05</v>
      </c>
      <c r="AC24" s="229">
        <v>3.7000000000000002E-3</v>
      </c>
      <c r="AD24" s="228">
        <v>3.5</v>
      </c>
      <c r="AE24" s="228">
        <v>0</v>
      </c>
      <c r="AF24" s="228">
        <v>3.5</v>
      </c>
      <c r="AG24" s="229">
        <v>3.7000000000000002E-3</v>
      </c>
      <c r="AH24" s="228">
        <v>9.4</v>
      </c>
      <c r="AI24" s="228">
        <v>6.55</v>
      </c>
      <c r="AJ24" s="228">
        <v>2.85</v>
      </c>
      <c r="AK24" s="229">
        <v>1.01E-2</v>
      </c>
      <c r="AL24" s="228">
        <v>15.85</v>
      </c>
      <c r="AM24" s="228">
        <v>12.8</v>
      </c>
      <c r="AN24" s="228">
        <v>3.05</v>
      </c>
      <c r="AO24" s="229">
        <v>1.6899999999999998E-2</v>
      </c>
      <c r="AP24" s="228">
        <v>934.11</v>
      </c>
      <c r="AQ24" s="228">
        <v>938.05</v>
      </c>
      <c r="AR24" s="228">
        <v>0</v>
      </c>
      <c r="AS24" s="228">
        <v>627</v>
      </c>
      <c r="AT24" s="230">
        <v>4244</v>
      </c>
      <c r="AU24" s="230">
        <v>-3617</v>
      </c>
      <c r="AV24" s="229">
        <v>-0.85219999999999996</v>
      </c>
      <c r="AW24" s="228">
        <v>601</v>
      </c>
      <c r="AX24" s="230">
        <v>1685</v>
      </c>
      <c r="AY24" s="230">
        <v>-1085</v>
      </c>
      <c r="AZ24" s="229">
        <v>-0.64359999999999995</v>
      </c>
      <c r="BA24" s="228">
        <v>23</v>
      </c>
      <c r="BB24" s="230">
        <v>2462</v>
      </c>
      <c r="BC24" s="230">
        <v>-2439</v>
      </c>
      <c r="BD24" s="229">
        <v>-0.99050000000000005</v>
      </c>
      <c r="BE24" s="228">
        <v>3</v>
      </c>
      <c r="BF24" s="228">
        <v>97</v>
      </c>
      <c r="BG24" s="228">
        <v>-93</v>
      </c>
      <c r="BH24" s="229">
        <v>-0.96650000000000003</v>
      </c>
      <c r="BI24" s="230">
        <v>1637</v>
      </c>
      <c r="BJ24" s="230">
        <v>2680</v>
      </c>
      <c r="BK24" s="230">
        <v>-1043</v>
      </c>
      <c r="BL24" s="229">
        <v>-0.38929999999999998</v>
      </c>
      <c r="BM24" s="228">
        <v>744</v>
      </c>
      <c r="BN24" s="230">
        <v>2106</v>
      </c>
      <c r="BO24" s="230">
        <v>-1363</v>
      </c>
      <c r="BP24" s="229">
        <v>-0.64690000000000003</v>
      </c>
      <c r="BQ24" s="230">
        <v>3008</v>
      </c>
      <c r="BR24" s="230">
        <v>9030</v>
      </c>
      <c r="BS24" s="230">
        <v>-6023</v>
      </c>
      <c r="BT24" s="229">
        <v>-0.66690000000000005</v>
      </c>
      <c r="BU24" s="230">
        <v>6479718</v>
      </c>
      <c r="BV24" s="230">
        <v>15853119</v>
      </c>
      <c r="BW24" s="230">
        <v>-9373401</v>
      </c>
      <c r="BX24" s="229">
        <v>-0.59130000000000005</v>
      </c>
      <c r="BY24" s="230">
        <v>8636</v>
      </c>
      <c r="BZ24" s="230">
        <v>8805</v>
      </c>
      <c r="CA24" s="228">
        <v>-169</v>
      </c>
      <c r="CB24" s="229">
        <v>-1.9099999999999999E-2</v>
      </c>
      <c r="CC24" s="230">
        <v>8306</v>
      </c>
      <c r="CD24" s="228">
        <v>894</v>
      </c>
      <c r="CE24" s="230">
        <v>7413</v>
      </c>
      <c r="CF24" s="229">
        <v>8.2965999999999998</v>
      </c>
      <c r="CG24" s="228">
        <v>328</v>
      </c>
      <c r="CH24" s="230">
        <v>8479</v>
      </c>
      <c r="CI24" s="230">
        <v>-8152</v>
      </c>
      <c r="CJ24" s="229">
        <v>-0.96140000000000003</v>
      </c>
      <c r="CK24" s="228">
        <v>2</v>
      </c>
      <c r="CL24" s="228">
        <v>326</v>
      </c>
      <c r="CM24" s="228">
        <v>-324</v>
      </c>
      <c r="CN24" s="229">
        <v>-0.99390000000000001</v>
      </c>
      <c r="CO24" s="230">
        <v>1002</v>
      </c>
      <c r="CP24" s="228">
        <v>875</v>
      </c>
      <c r="CQ24" s="228">
        <v>126</v>
      </c>
      <c r="CR24" s="229">
        <v>0.1444</v>
      </c>
      <c r="CS24" s="230">
        <v>1160</v>
      </c>
      <c r="CT24" s="230">
        <v>1076</v>
      </c>
      <c r="CU24" s="228">
        <v>84</v>
      </c>
      <c r="CV24" s="229">
        <v>7.7799999999999994E-2</v>
      </c>
      <c r="CW24" s="230">
        <v>10798</v>
      </c>
      <c r="CX24" s="230">
        <v>10757</v>
      </c>
      <c r="CY24" s="228">
        <v>42</v>
      </c>
      <c r="CZ24" s="229">
        <v>3.8999999999999998E-3</v>
      </c>
      <c r="DA24" s="228">
        <v>32.14</v>
      </c>
      <c r="DB24" s="228">
        <v>33.28</v>
      </c>
      <c r="DC24" s="228">
        <v>-1.1399999999999999</v>
      </c>
      <c r="DD24" s="228">
        <v>-1.1399999999999999</v>
      </c>
      <c r="DE24" s="228">
        <v>30.75</v>
      </c>
      <c r="DF24" s="228">
        <v>30.68</v>
      </c>
      <c r="DG24" s="228">
        <v>1.39</v>
      </c>
      <c r="DH24" s="228">
        <v>7.0000000000000007E-2</v>
      </c>
      <c r="DI24" s="228">
        <v>31.43</v>
      </c>
      <c r="DJ24" s="228">
        <v>32.549999999999997</v>
      </c>
      <c r="DK24" s="228">
        <v>-1.1200000000000001</v>
      </c>
      <c r="DL24" s="228">
        <v>-1.1200000000000001</v>
      </c>
      <c r="DM24" s="228">
        <v>33.68</v>
      </c>
      <c r="DN24" s="228">
        <v>34.06</v>
      </c>
      <c r="DO24" s="228">
        <v>-0.38</v>
      </c>
      <c r="DP24" s="228">
        <v>-0.38</v>
      </c>
      <c r="DQ24" s="228">
        <v>1.1599999999999999</v>
      </c>
      <c r="DR24" s="228">
        <v>1.23</v>
      </c>
      <c r="DS24" s="228">
        <v>-7.0000000000000007E-2</v>
      </c>
      <c r="DT24" s="229">
        <v>-5.6899999999999999E-2</v>
      </c>
      <c r="DU24" s="228">
        <v>950</v>
      </c>
      <c r="DV24" s="228">
        <v>900</v>
      </c>
      <c r="DW24" s="228">
        <v>0.45</v>
      </c>
      <c r="DX24" s="228">
        <v>0.79</v>
      </c>
      <c r="DY24" s="228">
        <v>-0.34</v>
      </c>
      <c r="DZ24" s="229">
        <v>-0.4304</v>
      </c>
      <c r="EA24" s="229">
        <v>3.8199999999999998E-2</v>
      </c>
      <c r="EB24" s="230">
        <v>93801750</v>
      </c>
      <c r="EC24" s="229">
        <v>6.3E-3</v>
      </c>
      <c r="ED24" s="229">
        <v>3.8199999999999998E-2</v>
      </c>
      <c r="EE24" s="228">
        <v>3.94</v>
      </c>
      <c r="EF24" s="229">
        <v>4.1999999999999997E-3</v>
      </c>
      <c r="EG24" s="230">
        <v>4152851</v>
      </c>
      <c r="EH24" s="230">
        <v>10818025</v>
      </c>
      <c r="EI24" s="229">
        <v>-0.61609999999999998</v>
      </c>
      <c r="EJ24" s="229">
        <v>0.64090000000000003</v>
      </c>
      <c r="EK24" s="231">
        <v>1784.06</v>
      </c>
      <c r="EL24" s="228">
        <v>733.77</v>
      </c>
      <c r="EM24" s="228">
        <v>624.35</v>
      </c>
      <c r="EN24" s="228">
        <v>686.1</v>
      </c>
      <c r="EO24" s="231">
        <v>3142.19</v>
      </c>
      <c r="EP24" s="231">
        <v>9138.25</v>
      </c>
      <c r="EQ24" s="231">
        <v>-5996.07</v>
      </c>
      <c r="ER24" s="229">
        <v>-0.65620000000000001</v>
      </c>
      <c r="ES24" s="231">
        <v>1053.8</v>
      </c>
      <c r="ET24" s="231">
        <v>1157.06</v>
      </c>
      <c r="EU24" s="231">
        <v>8638.18</v>
      </c>
      <c r="EV24" s="231">
        <v>317526833</v>
      </c>
      <c r="EW24" s="231">
        <v>10849.03</v>
      </c>
      <c r="EX24" s="231">
        <v>10639.84</v>
      </c>
      <c r="EY24" s="228">
        <v>209.19</v>
      </c>
      <c r="EZ24" s="229">
        <v>1.9699999999999999E-2</v>
      </c>
      <c r="FA24" s="229">
        <v>0.36230000000000001</v>
      </c>
      <c r="FB24" s="227" t="s">
        <v>556</v>
      </c>
      <c r="FC24">
        <f t="shared" si="0"/>
        <v>330</v>
      </c>
    </row>
    <row r="25" spans="1:159" ht="17.25" thickBot="1" x14ac:dyDescent="0.3">
      <c r="A25" s="226">
        <v>46050</v>
      </c>
      <c r="B25" s="227" t="s">
        <v>172</v>
      </c>
      <c r="C25" s="227" t="s">
        <v>179</v>
      </c>
      <c r="D25" s="228">
        <v>3600</v>
      </c>
      <c r="E25" s="228">
        <v>27</v>
      </c>
      <c r="F25" s="228">
        <v>154.37</v>
      </c>
      <c r="G25" s="228">
        <v>149.81</v>
      </c>
      <c r="H25" s="228">
        <v>4.5599999999999996</v>
      </c>
      <c r="I25" s="229">
        <v>3.04E-2</v>
      </c>
      <c r="J25" s="228">
        <v>153.35</v>
      </c>
      <c r="K25" s="228">
        <v>149.02000000000001</v>
      </c>
      <c r="L25" s="228">
        <v>4.33</v>
      </c>
      <c r="M25" s="229">
        <v>2.9100000000000001E-2</v>
      </c>
      <c r="N25" s="228">
        <v>154.37</v>
      </c>
      <c r="O25" s="228">
        <v>148.6</v>
      </c>
      <c r="P25" s="228">
        <v>5.77</v>
      </c>
      <c r="Q25" s="229">
        <v>3.8800000000000001E-2</v>
      </c>
      <c r="R25" s="228">
        <v>155.36000000000001</v>
      </c>
      <c r="S25" s="228">
        <v>149.81</v>
      </c>
      <c r="T25" s="228">
        <v>5.55</v>
      </c>
      <c r="U25" s="229">
        <v>3.6999999999999998E-2</v>
      </c>
      <c r="V25" s="228">
        <v>156.22</v>
      </c>
      <c r="W25" s="228">
        <v>150.9</v>
      </c>
      <c r="X25" s="228">
        <v>5.32</v>
      </c>
      <c r="Y25" s="229">
        <v>3.5299999999999998E-2</v>
      </c>
      <c r="Z25" s="228">
        <v>1.02</v>
      </c>
      <c r="AA25" s="228">
        <v>0.79</v>
      </c>
      <c r="AB25" s="228">
        <v>0.23</v>
      </c>
      <c r="AC25" s="229">
        <v>6.7000000000000002E-3</v>
      </c>
      <c r="AD25" s="228">
        <v>1.02</v>
      </c>
      <c r="AE25" s="228">
        <v>-0.42</v>
      </c>
      <c r="AF25" s="228">
        <v>1.44</v>
      </c>
      <c r="AG25" s="229">
        <v>6.7000000000000002E-3</v>
      </c>
      <c r="AH25" s="228">
        <v>2.0099999999999998</v>
      </c>
      <c r="AI25" s="228">
        <v>0.79</v>
      </c>
      <c r="AJ25" s="228">
        <v>1.22</v>
      </c>
      <c r="AK25" s="229">
        <v>1.3100000000000001E-2</v>
      </c>
      <c r="AL25" s="228">
        <v>2.87</v>
      </c>
      <c r="AM25" s="228">
        <v>1.88</v>
      </c>
      <c r="AN25" s="228">
        <v>0.99</v>
      </c>
      <c r="AO25" s="229">
        <v>1.8700000000000001E-2</v>
      </c>
      <c r="AP25" s="228">
        <v>153.77000000000001</v>
      </c>
      <c r="AQ25" s="228">
        <v>154.43</v>
      </c>
      <c r="AR25" s="228">
        <v>0</v>
      </c>
      <c r="AS25" s="228">
        <v>318</v>
      </c>
      <c r="AT25" s="230">
        <v>1810</v>
      </c>
      <c r="AU25" s="230">
        <v>-1492</v>
      </c>
      <c r="AV25" s="229">
        <v>-0.82440000000000002</v>
      </c>
      <c r="AW25" s="228">
        <v>297</v>
      </c>
      <c r="AX25" s="228">
        <v>832</v>
      </c>
      <c r="AY25" s="228">
        <v>-535</v>
      </c>
      <c r="AZ25" s="229">
        <v>-0.64280000000000004</v>
      </c>
      <c r="BA25" s="228">
        <v>18</v>
      </c>
      <c r="BB25" s="228">
        <v>940</v>
      </c>
      <c r="BC25" s="228">
        <v>-922</v>
      </c>
      <c r="BD25" s="229">
        <v>-0.98070000000000002</v>
      </c>
      <c r="BE25" s="228">
        <v>2</v>
      </c>
      <c r="BF25" s="228">
        <v>38</v>
      </c>
      <c r="BG25" s="228">
        <v>-36</v>
      </c>
      <c r="BH25" s="229">
        <v>-0.93600000000000005</v>
      </c>
      <c r="BI25" s="228">
        <v>540</v>
      </c>
      <c r="BJ25" s="228">
        <v>540</v>
      </c>
      <c r="BK25" s="228">
        <v>-1</v>
      </c>
      <c r="BL25" s="229">
        <v>-1.2999999999999999E-3</v>
      </c>
      <c r="BM25" s="228">
        <v>173</v>
      </c>
      <c r="BN25" s="228">
        <v>462</v>
      </c>
      <c r="BO25" s="228">
        <v>-289</v>
      </c>
      <c r="BP25" s="229">
        <v>-0.62580000000000002</v>
      </c>
      <c r="BQ25" s="230">
        <v>1030</v>
      </c>
      <c r="BR25" s="230">
        <v>2812</v>
      </c>
      <c r="BS25" s="230">
        <v>-1782</v>
      </c>
      <c r="BT25" s="229">
        <v>-0.63370000000000004</v>
      </c>
      <c r="BU25" s="230">
        <v>14036970</v>
      </c>
      <c r="BV25" s="230">
        <v>13187887</v>
      </c>
      <c r="BW25" s="230">
        <v>849083</v>
      </c>
      <c r="BX25" s="229">
        <v>6.4399999999999999E-2</v>
      </c>
      <c r="BY25" s="230">
        <v>1615</v>
      </c>
      <c r="BZ25" s="230">
        <v>1625</v>
      </c>
      <c r="CA25" s="228">
        <v>-9</v>
      </c>
      <c r="CB25" s="229">
        <v>-5.7000000000000002E-3</v>
      </c>
      <c r="CC25" s="230">
        <v>1565</v>
      </c>
      <c r="CD25" s="228">
        <v>109</v>
      </c>
      <c r="CE25" s="230">
        <v>1456</v>
      </c>
      <c r="CF25" s="229">
        <v>13.3527</v>
      </c>
      <c r="CG25" s="228">
        <v>48</v>
      </c>
      <c r="CH25" s="230">
        <v>1577</v>
      </c>
      <c r="CI25" s="230">
        <v>-1528</v>
      </c>
      <c r="CJ25" s="229">
        <v>-0.96930000000000005</v>
      </c>
      <c r="CK25" s="228">
        <v>2</v>
      </c>
      <c r="CL25" s="228">
        <v>48</v>
      </c>
      <c r="CM25" s="228">
        <v>-46</v>
      </c>
      <c r="CN25" s="229">
        <v>-0.96050000000000002</v>
      </c>
      <c r="CO25" s="228">
        <v>239</v>
      </c>
      <c r="CP25" s="228">
        <v>143</v>
      </c>
      <c r="CQ25" s="228">
        <v>95</v>
      </c>
      <c r="CR25" s="229">
        <v>0.66400000000000003</v>
      </c>
      <c r="CS25" s="228">
        <v>204</v>
      </c>
      <c r="CT25" s="228">
        <v>170</v>
      </c>
      <c r="CU25" s="228">
        <v>34</v>
      </c>
      <c r="CV25" s="229">
        <v>0.2026</v>
      </c>
      <c r="CW25" s="230">
        <v>2058</v>
      </c>
      <c r="CX25" s="230">
        <v>1938</v>
      </c>
      <c r="CY25" s="228">
        <v>120</v>
      </c>
      <c r="CZ25" s="229">
        <v>6.2100000000000002E-2</v>
      </c>
      <c r="DA25" s="228">
        <v>34.93</v>
      </c>
      <c r="DB25" s="228">
        <v>35.08</v>
      </c>
      <c r="DC25" s="228">
        <v>-0.15</v>
      </c>
      <c r="DD25" s="228">
        <v>-0.15</v>
      </c>
      <c r="DE25" s="228">
        <v>41.19</v>
      </c>
      <c r="DF25" s="228">
        <v>41.09</v>
      </c>
      <c r="DG25" s="228">
        <v>-6.26</v>
      </c>
      <c r="DH25" s="228">
        <v>0.1</v>
      </c>
      <c r="DI25" s="228">
        <v>34.43</v>
      </c>
      <c r="DJ25" s="228">
        <v>34.26</v>
      </c>
      <c r="DK25" s="228">
        <v>0.17</v>
      </c>
      <c r="DL25" s="228">
        <v>0.17</v>
      </c>
      <c r="DM25" s="228">
        <v>36.5</v>
      </c>
      <c r="DN25" s="228">
        <v>35.94</v>
      </c>
      <c r="DO25" s="228">
        <v>0.56000000000000005</v>
      </c>
      <c r="DP25" s="228">
        <v>0.56000000000000005</v>
      </c>
      <c r="DQ25" s="228">
        <v>0.86</v>
      </c>
      <c r="DR25" s="228">
        <v>1.18</v>
      </c>
      <c r="DS25" s="228">
        <v>-0.32</v>
      </c>
      <c r="DT25" s="229">
        <v>-0.2712</v>
      </c>
      <c r="DU25" s="228">
        <v>155</v>
      </c>
      <c r="DV25" s="228">
        <v>150</v>
      </c>
      <c r="DW25" s="228">
        <v>0.32</v>
      </c>
      <c r="DX25" s="228">
        <v>0.86</v>
      </c>
      <c r="DY25" s="228">
        <v>-0.54</v>
      </c>
      <c r="DZ25" s="229">
        <v>-0.62790000000000001</v>
      </c>
      <c r="EA25" s="229">
        <v>3.1199999999999999E-2</v>
      </c>
      <c r="EB25" s="230">
        <v>105235200</v>
      </c>
      <c r="EC25" s="229">
        <v>6.4000000000000003E-3</v>
      </c>
      <c r="ED25" s="229">
        <v>3.1199999999999999E-2</v>
      </c>
      <c r="EE25" s="228">
        <v>0.66</v>
      </c>
      <c r="EF25" s="229">
        <v>4.3E-3</v>
      </c>
      <c r="EG25" s="230">
        <v>7632985</v>
      </c>
      <c r="EH25" s="230">
        <v>6310825</v>
      </c>
      <c r="EI25" s="229">
        <v>0.20949999999999999</v>
      </c>
      <c r="EJ25" s="229">
        <v>0.54379999999999995</v>
      </c>
      <c r="EK25" s="228">
        <v>567.5</v>
      </c>
      <c r="EL25" s="228">
        <v>166.87</v>
      </c>
      <c r="EM25" s="228">
        <v>316.58</v>
      </c>
      <c r="EN25" s="228">
        <v>167.57</v>
      </c>
      <c r="EO25" s="231">
        <v>1050.94</v>
      </c>
      <c r="EP25" s="231">
        <v>2756.12</v>
      </c>
      <c r="EQ25" s="231">
        <v>-1705.17</v>
      </c>
      <c r="ER25" s="229">
        <v>-0.61870000000000003</v>
      </c>
      <c r="ES25" s="228">
        <v>242.09</v>
      </c>
      <c r="ET25" s="228">
        <v>197.69</v>
      </c>
      <c r="EU25" s="231">
        <v>1615.62</v>
      </c>
      <c r="EV25" s="231">
        <v>144289555</v>
      </c>
      <c r="EW25" s="231">
        <v>2055.4</v>
      </c>
      <c r="EX25" s="231">
        <v>1884.72</v>
      </c>
      <c r="EY25" s="228">
        <v>170.68</v>
      </c>
      <c r="EZ25" s="229">
        <v>9.06E-2</v>
      </c>
      <c r="FA25" s="229">
        <v>0.92400000000000004</v>
      </c>
      <c r="FB25" s="227" t="s">
        <v>556</v>
      </c>
      <c r="FC25">
        <f t="shared" si="0"/>
        <v>50</v>
      </c>
    </row>
    <row r="26" spans="1:159" ht="17.25" thickBot="1" x14ac:dyDescent="0.3">
      <c r="A26" s="226">
        <v>46050</v>
      </c>
      <c r="B26" s="227" t="s">
        <v>172</v>
      </c>
      <c r="C26" s="227" t="s">
        <v>180</v>
      </c>
      <c r="D26" s="228">
        <v>2925</v>
      </c>
      <c r="E26" s="228">
        <v>27</v>
      </c>
      <c r="F26" s="228">
        <v>308.2</v>
      </c>
      <c r="G26" s="228">
        <v>304.10000000000002</v>
      </c>
      <c r="H26" s="228">
        <v>4.0999999999999996</v>
      </c>
      <c r="I26" s="229">
        <v>1.35E-2</v>
      </c>
      <c r="J26" s="228">
        <v>306.2</v>
      </c>
      <c r="K26" s="228">
        <v>302</v>
      </c>
      <c r="L26" s="228">
        <v>4.2</v>
      </c>
      <c r="M26" s="229">
        <v>1.3899999999999999E-2</v>
      </c>
      <c r="N26" s="228">
        <v>308.2</v>
      </c>
      <c r="O26" s="228">
        <v>301.85000000000002</v>
      </c>
      <c r="P26" s="228">
        <v>6.35</v>
      </c>
      <c r="Q26" s="229">
        <v>2.1000000000000001E-2</v>
      </c>
      <c r="R26" s="228">
        <v>310.10000000000002</v>
      </c>
      <c r="S26" s="228">
        <v>304.10000000000002</v>
      </c>
      <c r="T26" s="228">
        <v>6</v>
      </c>
      <c r="U26" s="229">
        <v>1.9699999999999999E-2</v>
      </c>
      <c r="V26" s="228">
        <v>311.8</v>
      </c>
      <c r="W26" s="228">
        <v>306.10000000000002</v>
      </c>
      <c r="X26" s="228">
        <v>5.7</v>
      </c>
      <c r="Y26" s="229">
        <v>1.8599999999999998E-2</v>
      </c>
      <c r="Z26" s="228">
        <v>2</v>
      </c>
      <c r="AA26" s="228">
        <v>2.1</v>
      </c>
      <c r="AB26" s="228">
        <v>-0.1</v>
      </c>
      <c r="AC26" s="229">
        <v>6.4999999999999997E-3</v>
      </c>
      <c r="AD26" s="228">
        <v>2</v>
      </c>
      <c r="AE26" s="228">
        <v>-0.15</v>
      </c>
      <c r="AF26" s="228">
        <v>2.15</v>
      </c>
      <c r="AG26" s="229">
        <v>6.4999999999999997E-3</v>
      </c>
      <c r="AH26" s="228">
        <v>3.9</v>
      </c>
      <c r="AI26" s="228">
        <v>2.1</v>
      </c>
      <c r="AJ26" s="228">
        <v>1.8</v>
      </c>
      <c r="AK26" s="229">
        <v>1.2699999999999999E-2</v>
      </c>
      <c r="AL26" s="228">
        <v>5.6</v>
      </c>
      <c r="AM26" s="228">
        <v>4.0999999999999996</v>
      </c>
      <c r="AN26" s="228">
        <v>1.5</v>
      </c>
      <c r="AO26" s="229">
        <v>1.83E-2</v>
      </c>
      <c r="AP26" s="228">
        <v>305.26</v>
      </c>
      <c r="AQ26" s="228">
        <v>307.27999999999997</v>
      </c>
      <c r="AR26" s="228">
        <v>0</v>
      </c>
      <c r="AS26" s="228">
        <v>586</v>
      </c>
      <c r="AT26" s="230">
        <v>1537</v>
      </c>
      <c r="AU26" s="228">
        <v>-951</v>
      </c>
      <c r="AV26" s="229">
        <v>-0.61880000000000002</v>
      </c>
      <c r="AW26" s="228">
        <v>563</v>
      </c>
      <c r="AX26" s="228">
        <v>629</v>
      </c>
      <c r="AY26" s="228">
        <v>-65</v>
      </c>
      <c r="AZ26" s="229">
        <v>-0.10390000000000001</v>
      </c>
      <c r="BA26" s="228">
        <v>20</v>
      </c>
      <c r="BB26" s="228">
        <v>892</v>
      </c>
      <c r="BC26" s="228">
        <v>-871</v>
      </c>
      <c r="BD26" s="229">
        <v>-0.97729999999999995</v>
      </c>
      <c r="BE26" s="228">
        <v>2</v>
      </c>
      <c r="BF26" s="228">
        <v>17</v>
      </c>
      <c r="BG26" s="228">
        <v>-14</v>
      </c>
      <c r="BH26" s="229">
        <v>-0.86960000000000004</v>
      </c>
      <c r="BI26" s="230">
        <v>1030</v>
      </c>
      <c r="BJ26" s="230">
        <v>1375</v>
      </c>
      <c r="BK26" s="228">
        <v>-346</v>
      </c>
      <c r="BL26" s="229">
        <v>-0.25140000000000001</v>
      </c>
      <c r="BM26" s="228">
        <v>468</v>
      </c>
      <c r="BN26" s="228">
        <v>979</v>
      </c>
      <c r="BO26" s="228">
        <v>-511</v>
      </c>
      <c r="BP26" s="229">
        <v>-0.5222</v>
      </c>
      <c r="BQ26" s="230">
        <v>2083</v>
      </c>
      <c r="BR26" s="230">
        <v>3891</v>
      </c>
      <c r="BS26" s="230">
        <v>-1808</v>
      </c>
      <c r="BT26" s="229">
        <v>-0.46460000000000001</v>
      </c>
      <c r="BU26" s="230">
        <v>10715040</v>
      </c>
      <c r="BV26" s="230">
        <v>12423708</v>
      </c>
      <c r="BW26" s="230">
        <v>-1708668</v>
      </c>
      <c r="BX26" s="229">
        <v>-0.13750000000000001</v>
      </c>
      <c r="BY26" s="230">
        <v>2589</v>
      </c>
      <c r="BZ26" s="230">
        <v>2572</v>
      </c>
      <c r="CA26" s="228">
        <v>16</v>
      </c>
      <c r="CB26" s="229">
        <v>6.4000000000000003E-3</v>
      </c>
      <c r="CC26" s="230">
        <v>2541</v>
      </c>
      <c r="CD26" s="228">
        <v>134</v>
      </c>
      <c r="CE26" s="230">
        <v>2407</v>
      </c>
      <c r="CF26" s="229">
        <v>17.9208</v>
      </c>
      <c r="CG26" s="228">
        <v>46</v>
      </c>
      <c r="CH26" s="230">
        <v>2528</v>
      </c>
      <c r="CI26" s="230">
        <v>-2482</v>
      </c>
      <c r="CJ26" s="229">
        <v>-0.98180000000000001</v>
      </c>
      <c r="CK26" s="228">
        <v>1</v>
      </c>
      <c r="CL26" s="228">
        <v>44</v>
      </c>
      <c r="CM26" s="228">
        <v>-43</v>
      </c>
      <c r="CN26" s="229">
        <v>-0.97330000000000005</v>
      </c>
      <c r="CO26" s="228">
        <v>654</v>
      </c>
      <c r="CP26" s="228">
        <v>598</v>
      </c>
      <c r="CQ26" s="228">
        <v>56</v>
      </c>
      <c r="CR26" s="229">
        <v>9.3399999999999997E-2</v>
      </c>
      <c r="CS26" s="228">
        <v>648</v>
      </c>
      <c r="CT26" s="228">
        <v>619</v>
      </c>
      <c r="CU26" s="228">
        <v>29</v>
      </c>
      <c r="CV26" s="229">
        <v>4.65E-2</v>
      </c>
      <c r="CW26" s="230">
        <v>3891</v>
      </c>
      <c r="CX26" s="230">
        <v>3790</v>
      </c>
      <c r="CY26" s="228">
        <v>101</v>
      </c>
      <c r="CZ26" s="229">
        <v>2.6700000000000002E-2</v>
      </c>
      <c r="DA26" s="228">
        <v>34.96</v>
      </c>
      <c r="DB26" s="228">
        <v>35.270000000000003</v>
      </c>
      <c r="DC26" s="228">
        <v>-0.31</v>
      </c>
      <c r="DD26" s="228">
        <v>-0.31</v>
      </c>
      <c r="DE26" s="228">
        <v>33.19</v>
      </c>
      <c r="DF26" s="228">
        <v>33.22</v>
      </c>
      <c r="DG26" s="228">
        <v>1.77</v>
      </c>
      <c r="DH26" s="228">
        <v>-0.03</v>
      </c>
      <c r="DI26" s="228">
        <v>34.479999999999997</v>
      </c>
      <c r="DJ26" s="228">
        <v>34.39</v>
      </c>
      <c r="DK26" s="228">
        <v>0.09</v>
      </c>
      <c r="DL26" s="228">
        <v>0.09</v>
      </c>
      <c r="DM26" s="228">
        <v>36.04</v>
      </c>
      <c r="DN26" s="228">
        <v>36.58</v>
      </c>
      <c r="DO26" s="228">
        <v>-0.54</v>
      </c>
      <c r="DP26" s="228">
        <v>-0.54</v>
      </c>
      <c r="DQ26" s="228">
        <v>0.99</v>
      </c>
      <c r="DR26" s="228">
        <v>1.03</v>
      </c>
      <c r="DS26" s="228">
        <v>-0.04</v>
      </c>
      <c r="DT26" s="229">
        <v>-3.8800000000000001E-2</v>
      </c>
      <c r="DU26" s="228">
        <v>300</v>
      </c>
      <c r="DV26" s="228">
        <v>300</v>
      </c>
      <c r="DW26" s="228">
        <v>0.45</v>
      </c>
      <c r="DX26" s="228">
        <v>0.71</v>
      </c>
      <c r="DY26" s="228">
        <v>-0.26</v>
      </c>
      <c r="DZ26" s="229">
        <v>-0.36620000000000003</v>
      </c>
      <c r="EA26" s="229">
        <v>1.8200000000000001E-2</v>
      </c>
      <c r="EB26" s="230">
        <v>83459025</v>
      </c>
      <c r="EC26" s="229">
        <v>6.1999999999999998E-3</v>
      </c>
      <c r="ED26" s="229">
        <v>1.8200000000000001E-2</v>
      </c>
      <c r="EE26" s="228">
        <v>2.02</v>
      </c>
      <c r="EF26" s="229">
        <v>6.6E-3</v>
      </c>
      <c r="EG26" s="230">
        <v>5638089</v>
      </c>
      <c r="EH26" s="230">
        <v>6457322</v>
      </c>
      <c r="EI26" s="229">
        <v>-0.12690000000000001</v>
      </c>
      <c r="EJ26" s="229">
        <v>0.5262</v>
      </c>
      <c r="EK26" s="231">
        <v>1077.8399999999999</v>
      </c>
      <c r="EL26" s="228">
        <v>458.01</v>
      </c>
      <c r="EM26" s="228">
        <v>580.42999999999995</v>
      </c>
      <c r="EN26" s="228">
        <v>205.9</v>
      </c>
      <c r="EO26" s="231">
        <v>2116.29</v>
      </c>
      <c r="EP26" s="231">
        <v>3842.05</v>
      </c>
      <c r="EQ26" s="231">
        <v>-1725.77</v>
      </c>
      <c r="ER26" s="229">
        <v>-0.44919999999999999</v>
      </c>
      <c r="ES26" s="228">
        <v>670.34</v>
      </c>
      <c r="ET26" s="228">
        <v>616.54999999999995</v>
      </c>
      <c r="EU26" s="231">
        <v>2589</v>
      </c>
      <c r="EV26" s="231">
        <v>279476623</v>
      </c>
      <c r="EW26" s="231">
        <v>3875.89</v>
      </c>
      <c r="EX26" s="231">
        <v>3741.54</v>
      </c>
      <c r="EY26" s="228">
        <v>134.35</v>
      </c>
      <c r="EZ26" s="229">
        <v>3.5900000000000001E-2</v>
      </c>
      <c r="FA26" s="229">
        <v>0.45169999999999999</v>
      </c>
      <c r="FB26" s="227" t="s">
        <v>555</v>
      </c>
      <c r="FC26">
        <f t="shared" si="0"/>
        <v>48</v>
      </c>
    </row>
    <row r="27" spans="1:159" ht="17.25" thickBot="1" x14ac:dyDescent="0.3">
      <c r="A27" s="226">
        <v>46050</v>
      </c>
      <c r="B27" s="227" t="s">
        <v>172</v>
      </c>
      <c r="C27" s="227" t="s">
        <v>602</v>
      </c>
      <c r="D27" s="228">
        <v>5200</v>
      </c>
      <c r="E27" s="228">
        <v>27</v>
      </c>
      <c r="F27" s="228">
        <v>167.87</v>
      </c>
      <c r="G27" s="228">
        <v>164.13</v>
      </c>
      <c r="H27" s="228">
        <v>3.74</v>
      </c>
      <c r="I27" s="229">
        <v>2.2800000000000001E-2</v>
      </c>
      <c r="J27" s="228">
        <v>167.34</v>
      </c>
      <c r="K27" s="228">
        <v>163.16999999999999</v>
      </c>
      <c r="L27" s="228">
        <v>4.17</v>
      </c>
      <c r="M27" s="229">
        <v>2.5600000000000001E-2</v>
      </c>
      <c r="N27" s="228">
        <v>167.87</v>
      </c>
      <c r="O27" s="228">
        <v>163.12</v>
      </c>
      <c r="P27" s="228">
        <v>4.75</v>
      </c>
      <c r="Q27" s="229">
        <v>2.9100000000000001E-2</v>
      </c>
      <c r="R27" s="228">
        <v>168.96</v>
      </c>
      <c r="S27" s="228">
        <v>164.13</v>
      </c>
      <c r="T27" s="228">
        <v>4.83</v>
      </c>
      <c r="U27" s="229">
        <v>2.9399999999999999E-2</v>
      </c>
      <c r="V27" s="228">
        <v>168.8</v>
      </c>
      <c r="W27" s="228">
        <v>165.44</v>
      </c>
      <c r="X27" s="228">
        <v>3.36</v>
      </c>
      <c r="Y27" s="229">
        <v>2.0299999999999999E-2</v>
      </c>
      <c r="Z27" s="228">
        <v>0.53</v>
      </c>
      <c r="AA27" s="228">
        <v>0.96</v>
      </c>
      <c r="AB27" s="228">
        <v>-0.43</v>
      </c>
      <c r="AC27" s="229">
        <v>3.2000000000000002E-3</v>
      </c>
      <c r="AD27" s="228">
        <v>0.53</v>
      </c>
      <c r="AE27" s="228">
        <v>-0.05</v>
      </c>
      <c r="AF27" s="228">
        <v>0.57999999999999996</v>
      </c>
      <c r="AG27" s="229">
        <v>3.2000000000000002E-3</v>
      </c>
      <c r="AH27" s="228">
        <v>1.62</v>
      </c>
      <c r="AI27" s="228">
        <v>0.96</v>
      </c>
      <c r="AJ27" s="228">
        <v>0.66</v>
      </c>
      <c r="AK27" s="229">
        <v>9.7000000000000003E-3</v>
      </c>
      <c r="AL27" s="228">
        <v>1.46</v>
      </c>
      <c r="AM27" s="228">
        <v>2.27</v>
      </c>
      <c r="AN27" s="228">
        <v>-0.81</v>
      </c>
      <c r="AO27" s="229">
        <v>8.6999999999999994E-3</v>
      </c>
      <c r="AP27" s="228">
        <v>166.19</v>
      </c>
      <c r="AQ27" s="228">
        <v>167.26</v>
      </c>
      <c r="AR27" s="228">
        <v>0</v>
      </c>
      <c r="AS27" s="228">
        <v>328</v>
      </c>
      <c r="AT27" s="228">
        <v>722</v>
      </c>
      <c r="AU27" s="228">
        <v>-394</v>
      </c>
      <c r="AV27" s="229">
        <v>-0.54569999999999996</v>
      </c>
      <c r="AW27" s="228">
        <v>308</v>
      </c>
      <c r="AX27" s="228">
        <v>288</v>
      </c>
      <c r="AY27" s="228">
        <v>21</v>
      </c>
      <c r="AZ27" s="229">
        <v>7.1300000000000002E-2</v>
      </c>
      <c r="BA27" s="228">
        <v>19</v>
      </c>
      <c r="BB27" s="228">
        <v>426</v>
      </c>
      <c r="BC27" s="228">
        <v>-407</v>
      </c>
      <c r="BD27" s="229">
        <v>-0.9556</v>
      </c>
      <c r="BE27" s="228">
        <v>1</v>
      </c>
      <c r="BF27" s="228">
        <v>8</v>
      </c>
      <c r="BG27" s="228">
        <v>-7</v>
      </c>
      <c r="BH27" s="229">
        <v>-0.89770000000000005</v>
      </c>
      <c r="BI27" s="228">
        <v>446</v>
      </c>
      <c r="BJ27" s="228">
        <v>416</v>
      </c>
      <c r="BK27" s="228">
        <v>31</v>
      </c>
      <c r="BL27" s="229">
        <v>7.3899999999999993E-2</v>
      </c>
      <c r="BM27" s="228">
        <v>296</v>
      </c>
      <c r="BN27" s="228">
        <v>231</v>
      </c>
      <c r="BO27" s="228">
        <v>65</v>
      </c>
      <c r="BP27" s="229">
        <v>0.28079999999999999</v>
      </c>
      <c r="BQ27" s="230">
        <v>1070</v>
      </c>
      <c r="BR27" s="230">
        <v>1368</v>
      </c>
      <c r="BS27" s="228">
        <v>-298</v>
      </c>
      <c r="BT27" s="229">
        <v>-0.218</v>
      </c>
      <c r="BU27" s="230">
        <v>15678319</v>
      </c>
      <c r="BV27" s="230">
        <v>18677487</v>
      </c>
      <c r="BW27" s="230">
        <v>-2999168</v>
      </c>
      <c r="BX27" s="229">
        <v>-0.16059999999999999</v>
      </c>
      <c r="BY27" s="228">
        <v>850</v>
      </c>
      <c r="BZ27" s="228">
        <v>873</v>
      </c>
      <c r="CA27" s="228">
        <v>-23</v>
      </c>
      <c r="CB27" s="229">
        <v>-2.63E-2</v>
      </c>
      <c r="CC27" s="228">
        <v>832</v>
      </c>
      <c r="CD27" s="228">
        <v>67</v>
      </c>
      <c r="CE27" s="228">
        <v>765</v>
      </c>
      <c r="CF27" s="229">
        <v>11.4915</v>
      </c>
      <c r="CG27" s="228">
        <v>17</v>
      </c>
      <c r="CH27" s="228">
        <v>858</v>
      </c>
      <c r="CI27" s="228">
        <v>-841</v>
      </c>
      <c r="CJ27" s="229">
        <v>-0.98009999999999997</v>
      </c>
      <c r="CK27" s="228">
        <v>1</v>
      </c>
      <c r="CL27" s="228">
        <v>14</v>
      </c>
      <c r="CM27" s="228">
        <v>-14</v>
      </c>
      <c r="CN27" s="229">
        <v>-0.96389999999999998</v>
      </c>
      <c r="CO27" s="228">
        <v>249</v>
      </c>
      <c r="CP27" s="228">
        <v>233</v>
      </c>
      <c r="CQ27" s="228">
        <v>16</v>
      </c>
      <c r="CR27" s="229">
        <v>6.8099999999999994E-2</v>
      </c>
      <c r="CS27" s="228">
        <v>212</v>
      </c>
      <c r="CT27" s="228">
        <v>138</v>
      </c>
      <c r="CU27" s="228">
        <v>74</v>
      </c>
      <c r="CV27" s="229">
        <v>0.53559999999999997</v>
      </c>
      <c r="CW27" s="230">
        <v>1311</v>
      </c>
      <c r="CX27" s="230">
        <v>1244</v>
      </c>
      <c r="CY27" s="228">
        <v>67</v>
      </c>
      <c r="CZ27" s="229">
        <v>5.3900000000000003E-2</v>
      </c>
      <c r="DA27" s="228">
        <v>37.450000000000003</v>
      </c>
      <c r="DB27" s="228">
        <v>37.880000000000003</v>
      </c>
      <c r="DC27" s="228">
        <v>-0.43</v>
      </c>
      <c r="DD27" s="228">
        <v>-0.43</v>
      </c>
      <c r="DE27" s="228">
        <v>39.020000000000003</v>
      </c>
      <c r="DF27" s="228">
        <v>39</v>
      </c>
      <c r="DG27" s="228">
        <v>-1.57</v>
      </c>
      <c r="DH27" s="228">
        <v>0.02</v>
      </c>
      <c r="DI27" s="228">
        <v>36.46</v>
      </c>
      <c r="DJ27" s="228">
        <v>37.82</v>
      </c>
      <c r="DK27" s="228">
        <v>-1.36</v>
      </c>
      <c r="DL27" s="228">
        <v>-1.36</v>
      </c>
      <c r="DM27" s="228">
        <v>38.94</v>
      </c>
      <c r="DN27" s="228">
        <v>38.020000000000003</v>
      </c>
      <c r="DO27" s="228">
        <v>0.92</v>
      </c>
      <c r="DP27" s="228">
        <v>0.92</v>
      </c>
      <c r="DQ27" s="228">
        <v>0.85</v>
      </c>
      <c r="DR27" s="228">
        <v>0.59</v>
      </c>
      <c r="DS27" s="228">
        <v>0.26</v>
      </c>
      <c r="DT27" s="229">
        <v>0.44069999999999998</v>
      </c>
      <c r="DU27" s="228">
        <v>170</v>
      </c>
      <c r="DV27" s="228">
        <v>160</v>
      </c>
      <c r="DW27" s="228">
        <v>0.66</v>
      </c>
      <c r="DX27" s="228">
        <v>0.56000000000000005</v>
      </c>
      <c r="DY27" s="228">
        <v>0.1</v>
      </c>
      <c r="DZ27" s="229">
        <v>0.17860000000000001</v>
      </c>
      <c r="EA27" s="229">
        <v>2.0799999999999999E-2</v>
      </c>
      <c r="EB27" s="230">
        <v>51979200</v>
      </c>
      <c r="EC27" s="229">
        <v>6.4999999999999997E-3</v>
      </c>
      <c r="ED27" s="229">
        <v>2.0799999999999999E-2</v>
      </c>
      <c r="EE27" s="228">
        <v>1.07</v>
      </c>
      <c r="EF27" s="229">
        <v>6.4000000000000003E-3</v>
      </c>
      <c r="EG27" s="230">
        <v>7456884</v>
      </c>
      <c r="EH27" s="230">
        <v>7745087</v>
      </c>
      <c r="EI27" s="229">
        <v>-3.7199999999999997E-2</v>
      </c>
      <c r="EJ27" s="229">
        <v>0.47560000000000002</v>
      </c>
      <c r="EK27" s="228">
        <v>467.39</v>
      </c>
      <c r="EL27" s="228">
        <v>282.93</v>
      </c>
      <c r="EM27" s="228">
        <v>324.72000000000003</v>
      </c>
      <c r="EN27" s="228">
        <v>107.08</v>
      </c>
      <c r="EO27" s="231">
        <v>1075.05</v>
      </c>
      <c r="EP27" s="231">
        <v>1334.84</v>
      </c>
      <c r="EQ27" s="228">
        <v>-259.79000000000002</v>
      </c>
      <c r="ER27" s="229">
        <v>-0.1946</v>
      </c>
      <c r="ES27" s="228">
        <v>252.16</v>
      </c>
      <c r="ET27" s="228">
        <v>194.92</v>
      </c>
      <c r="EU27" s="228">
        <v>849.73</v>
      </c>
      <c r="EV27" s="231">
        <v>181770921</v>
      </c>
      <c r="EW27" s="231">
        <v>1296.81</v>
      </c>
      <c r="EX27" s="231">
        <v>1216.3800000000001</v>
      </c>
      <c r="EY27" s="228">
        <v>80.430000000000007</v>
      </c>
      <c r="EZ27" s="229">
        <v>6.6100000000000006E-2</v>
      </c>
      <c r="FA27" s="229">
        <v>0.42970000000000003</v>
      </c>
      <c r="FB27" s="227" t="s">
        <v>556</v>
      </c>
      <c r="FC27">
        <f t="shared" si="0"/>
        <v>18</v>
      </c>
    </row>
    <row r="28" spans="1:159" ht="17.25" thickBot="1" x14ac:dyDescent="0.3">
      <c r="A28" s="226">
        <v>46050</v>
      </c>
      <c r="B28" s="227" t="s">
        <v>181</v>
      </c>
      <c r="C28" s="227" t="s">
        <v>182</v>
      </c>
      <c r="D28" s="228">
        <v>30</v>
      </c>
      <c r="E28" s="228">
        <v>27</v>
      </c>
      <c r="F28" s="231">
        <v>59866.400000000001</v>
      </c>
      <c r="G28" s="231">
        <v>59629.599999999999</v>
      </c>
      <c r="H28" s="228">
        <v>236.8</v>
      </c>
      <c r="I28" s="229">
        <v>4.0000000000000001E-3</v>
      </c>
      <c r="J28" s="231">
        <v>59598.8</v>
      </c>
      <c r="K28" s="231">
        <v>59205.45</v>
      </c>
      <c r="L28" s="228">
        <v>393.35</v>
      </c>
      <c r="M28" s="229">
        <v>6.6E-3</v>
      </c>
      <c r="N28" s="231">
        <v>59866.400000000001</v>
      </c>
      <c r="O28" s="231">
        <v>59139.6</v>
      </c>
      <c r="P28" s="228">
        <v>726.8</v>
      </c>
      <c r="Q28" s="229">
        <v>1.23E-2</v>
      </c>
      <c r="R28" s="231">
        <v>60243.8</v>
      </c>
      <c r="S28" s="231">
        <v>59629.599999999999</v>
      </c>
      <c r="T28" s="228">
        <v>614.20000000000005</v>
      </c>
      <c r="U28" s="229">
        <v>1.03E-2</v>
      </c>
      <c r="V28" s="231">
        <v>60580.2</v>
      </c>
      <c r="W28" s="231">
        <v>60003.8</v>
      </c>
      <c r="X28" s="228">
        <v>576.4</v>
      </c>
      <c r="Y28" s="229">
        <v>9.5999999999999992E-3</v>
      </c>
      <c r="Z28" s="228">
        <v>267.60000000000002</v>
      </c>
      <c r="AA28" s="228">
        <v>424.15</v>
      </c>
      <c r="AB28" s="228">
        <v>-156.55000000000001</v>
      </c>
      <c r="AC28" s="229">
        <v>4.4999999999999997E-3</v>
      </c>
      <c r="AD28" s="228">
        <v>267.60000000000002</v>
      </c>
      <c r="AE28" s="228">
        <v>-65.849999999999994</v>
      </c>
      <c r="AF28" s="228">
        <v>333.45</v>
      </c>
      <c r="AG28" s="229">
        <v>4.4999999999999997E-3</v>
      </c>
      <c r="AH28" s="228">
        <v>645</v>
      </c>
      <c r="AI28" s="228">
        <v>424.15</v>
      </c>
      <c r="AJ28" s="228">
        <v>220.85</v>
      </c>
      <c r="AK28" s="229">
        <v>1.0800000000000001E-2</v>
      </c>
      <c r="AL28" s="228">
        <v>981.4</v>
      </c>
      <c r="AM28" s="228">
        <v>798.35</v>
      </c>
      <c r="AN28" s="228">
        <v>183.05</v>
      </c>
      <c r="AO28" s="229">
        <v>1.6500000000000001E-2</v>
      </c>
      <c r="AP28" s="231">
        <v>59790.44</v>
      </c>
      <c r="AQ28" s="231">
        <v>60171.86</v>
      </c>
      <c r="AR28" s="228">
        <v>0</v>
      </c>
      <c r="AS28" s="230">
        <v>6207</v>
      </c>
      <c r="AT28" s="230">
        <v>14058</v>
      </c>
      <c r="AU28" s="230">
        <v>-7851</v>
      </c>
      <c r="AV28" s="229">
        <v>-0.5585</v>
      </c>
      <c r="AW28" s="230">
        <v>5840</v>
      </c>
      <c r="AX28" s="230">
        <v>5830</v>
      </c>
      <c r="AY28" s="228">
        <v>10</v>
      </c>
      <c r="AZ28" s="229">
        <v>1.6999999999999999E-3</v>
      </c>
      <c r="BA28" s="228">
        <v>306</v>
      </c>
      <c r="BB28" s="230">
        <v>7762</v>
      </c>
      <c r="BC28" s="230">
        <v>-7456</v>
      </c>
      <c r="BD28" s="229">
        <v>-0.96050000000000002</v>
      </c>
      <c r="BE28" s="228">
        <v>61</v>
      </c>
      <c r="BF28" s="228">
        <v>466</v>
      </c>
      <c r="BG28" s="228">
        <v>-405</v>
      </c>
      <c r="BH28" s="229">
        <v>-0.86899999999999999</v>
      </c>
      <c r="BI28" s="230">
        <v>168144</v>
      </c>
      <c r="BJ28" s="230">
        <v>7377650</v>
      </c>
      <c r="BK28" s="230">
        <v>-7209505</v>
      </c>
      <c r="BL28" s="229">
        <v>-0.97719999999999996</v>
      </c>
      <c r="BM28" s="230">
        <v>158886</v>
      </c>
      <c r="BN28" s="230">
        <v>6321959</v>
      </c>
      <c r="BO28" s="230">
        <v>-6163073</v>
      </c>
      <c r="BP28" s="229">
        <v>-0.97489999999999999</v>
      </c>
      <c r="BQ28" s="230">
        <v>333238</v>
      </c>
      <c r="BR28" s="230">
        <v>13713667</v>
      </c>
      <c r="BS28" s="230">
        <v>-13380429</v>
      </c>
      <c r="BT28" s="229">
        <v>-0.97570000000000001</v>
      </c>
      <c r="BU28" s="228">
        <v>0</v>
      </c>
      <c r="BV28" s="228">
        <v>0</v>
      </c>
      <c r="BW28" s="228">
        <v>0</v>
      </c>
      <c r="BX28" s="229">
        <v>0</v>
      </c>
      <c r="BY28" s="230">
        <v>8647</v>
      </c>
      <c r="BZ28" s="230">
        <v>8083</v>
      </c>
      <c r="CA28" s="228">
        <v>564</v>
      </c>
      <c r="CB28" s="229">
        <v>6.9800000000000001E-2</v>
      </c>
      <c r="CC28" s="230">
        <v>7979</v>
      </c>
      <c r="CD28" s="230">
        <v>3278</v>
      </c>
      <c r="CE28" s="230">
        <v>4701</v>
      </c>
      <c r="CF28" s="229">
        <v>1.4341999999999999</v>
      </c>
      <c r="CG28" s="228">
        <v>648</v>
      </c>
      <c r="CH28" s="230">
        <v>7425</v>
      </c>
      <c r="CI28" s="230">
        <v>-6777</v>
      </c>
      <c r="CJ28" s="229">
        <v>-0.91279999999999994</v>
      </c>
      <c r="CK28" s="228">
        <v>21</v>
      </c>
      <c r="CL28" s="228">
        <v>657</v>
      </c>
      <c r="CM28" s="228">
        <v>-637</v>
      </c>
      <c r="CN28" s="229">
        <v>-0.96860000000000002</v>
      </c>
      <c r="CO28" s="230">
        <v>47224</v>
      </c>
      <c r="CP28" s="230">
        <v>38245</v>
      </c>
      <c r="CQ28" s="230">
        <v>8979</v>
      </c>
      <c r="CR28" s="229">
        <v>0.23480000000000001</v>
      </c>
      <c r="CS28" s="230">
        <v>53796</v>
      </c>
      <c r="CT28" s="230">
        <v>42856</v>
      </c>
      <c r="CU28" s="230">
        <v>10940</v>
      </c>
      <c r="CV28" s="229">
        <v>0.25530000000000003</v>
      </c>
      <c r="CW28" s="230">
        <v>109667</v>
      </c>
      <c r="CX28" s="230">
        <v>89183</v>
      </c>
      <c r="CY28" s="230">
        <v>20484</v>
      </c>
      <c r="CZ28" s="229">
        <v>0.22969999999999999</v>
      </c>
      <c r="DA28" s="228">
        <v>14.3</v>
      </c>
      <c r="DB28" s="228">
        <v>15.2</v>
      </c>
      <c r="DC28" s="228">
        <v>-0.9</v>
      </c>
      <c r="DD28" s="228">
        <v>-0.9</v>
      </c>
      <c r="DE28" s="228">
        <v>15.5</v>
      </c>
      <c r="DF28" s="228">
        <v>15.52</v>
      </c>
      <c r="DG28" s="228">
        <v>-1.2</v>
      </c>
      <c r="DH28" s="228">
        <v>-0.02</v>
      </c>
      <c r="DI28" s="228">
        <v>13.52</v>
      </c>
      <c r="DJ28" s="228">
        <v>14.43</v>
      </c>
      <c r="DK28" s="228">
        <v>-0.91</v>
      </c>
      <c r="DL28" s="228">
        <v>-0.91</v>
      </c>
      <c r="DM28" s="228">
        <v>15.13</v>
      </c>
      <c r="DN28" s="228">
        <v>16.11</v>
      </c>
      <c r="DO28" s="228">
        <v>-0.98</v>
      </c>
      <c r="DP28" s="228">
        <v>-0.98</v>
      </c>
      <c r="DQ28" s="228">
        <v>1.1399999999999999</v>
      </c>
      <c r="DR28" s="228">
        <v>1.1200000000000001</v>
      </c>
      <c r="DS28" s="228">
        <v>0.02</v>
      </c>
      <c r="DT28" s="229">
        <v>1.7899999999999999E-2</v>
      </c>
      <c r="DU28" s="231">
        <v>60000</v>
      </c>
      <c r="DV28" s="231">
        <v>60000</v>
      </c>
      <c r="DW28" s="228">
        <v>0.94</v>
      </c>
      <c r="DX28" s="228">
        <v>0.86</v>
      </c>
      <c r="DY28" s="228">
        <v>0.08</v>
      </c>
      <c r="DZ28" s="229">
        <v>9.2999999999999999E-2</v>
      </c>
      <c r="EA28" s="229">
        <v>7.7299999999999994E-2</v>
      </c>
      <c r="EB28" s="230">
        <v>1350090</v>
      </c>
      <c r="EC28" s="229">
        <v>6.3E-3</v>
      </c>
      <c r="ED28" s="229">
        <v>7.7299999999999994E-2</v>
      </c>
      <c r="EE28" s="228">
        <v>381.42</v>
      </c>
      <c r="EF28" s="229">
        <v>6.4000000000000003E-3</v>
      </c>
      <c r="EG28" s="228">
        <v>0</v>
      </c>
      <c r="EH28" s="228">
        <v>0</v>
      </c>
      <c r="EI28" s="229">
        <v>0</v>
      </c>
      <c r="EJ28" s="229">
        <v>0</v>
      </c>
      <c r="EK28" s="231">
        <v>173027.04</v>
      </c>
      <c r="EL28" s="231">
        <v>156299.47</v>
      </c>
      <c r="EM28" s="231">
        <v>6202.28</v>
      </c>
      <c r="EN28" s="228">
        <v>0</v>
      </c>
      <c r="EO28" s="231">
        <v>335528.78999999998</v>
      </c>
      <c r="EP28" s="231">
        <v>13485443.470000001</v>
      </c>
      <c r="EQ28" s="231">
        <v>-13149914.68</v>
      </c>
      <c r="ER28" s="229">
        <v>-0.97509999999999997</v>
      </c>
      <c r="ES28" s="231">
        <v>47875.12</v>
      </c>
      <c r="ET28" s="231">
        <v>52234.63</v>
      </c>
      <c r="EU28" s="231">
        <v>8651.31</v>
      </c>
      <c r="EV28" s="228">
        <v>0</v>
      </c>
      <c r="EW28" s="231">
        <v>108761.06</v>
      </c>
      <c r="EX28" s="231">
        <v>88252.25</v>
      </c>
      <c r="EY28" s="231">
        <v>20508.810000000001</v>
      </c>
      <c r="EZ28" s="229">
        <v>0.2324</v>
      </c>
      <c r="FA28" s="229">
        <v>0</v>
      </c>
      <c r="FB28" s="227" t="s">
        <v>555</v>
      </c>
      <c r="FC28">
        <f t="shared" si="0"/>
        <v>668</v>
      </c>
    </row>
    <row r="29" spans="1:159" s="195" customFormat="1" ht="17.25" thickBot="1" x14ac:dyDescent="0.3">
      <c r="A29" s="226">
        <v>46050</v>
      </c>
      <c r="B29" s="227" t="s">
        <v>184</v>
      </c>
      <c r="C29" s="227" t="s">
        <v>670</v>
      </c>
      <c r="D29" s="228">
        <v>350</v>
      </c>
      <c r="E29" s="228">
        <v>27</v>
      </c>
      <c r="F29" s="231">
        <v>1576.6</v>
      </c>
      <c r="G29" s="231">
        <v>1474</v>
      </c>
      <c r="H29" s="228">
        <v>102.6</v>
      </c>
      <c r="I29" s="229">
        <v>6.9599999999999995E-2</v>
      </c>
      <c r="J29" s="231">
        <v>1570</v>
      </c>
      <c r="K29" s="231">
        <v>1469.4</v>
      </c>
      <c r="L29" s="228">
        <v>100.6</v>
      </c>
      <c r="M29" s="229">
        <v>6.8500000000000005E-2</v>
      </c>
      <c r="N29" s="231">
        <v>1576.6</v>
      </c>
      <c r="O29" s="231">
        <v>1466.4</v>
      </c>
      <c r="P29" s="228">
        <v>110.2</v>
      </c>
      <c r="Q29" s="229">
        <v>7.5200000000000003E-2</v>
      </c>
      <c r="R29" s="231">
        <v>1584.4</v>
      </c>
      <c r="S29" s="231">
        <v>1474</v>
      </c>
      <c r="T29" s="228">
        <v>110.4</v>
      </c>
      <c r="U29" s="229">
        <v>7.4899999999999994E-2</v>
      </c>
      <c r="V29" s="231">
        <v>1592.7</v>
      </c>
      <c r="W29" s="231">
        <v>1482.6</v>
      </c>
      <c r="X29" s="228">
        <v>110.1</v>
      </c>
      <c r="Y29" s="229">
        <v>7.4300000000000005E-2</v>
      </c>
      <c r="Z29" s="228">
        <v>6.6</v>
      </c>
      <c r="AA29" s="228">
        <v>4.5999999999999996</v>
      </c>
      <c r="AB29" s="228">
        <v>2</v>
      </c>
      <c r="AC29" s="229">
        <v>4.1999999999999997E-3</v>
      </c>
      <c r="AD29" s="228">
        <v>6.6</v>
      </c>
      <c r="AE29" s="228">
        <v>-3</v>
      </c>
      <c r="AF29" s="228">
        <v>9.6</v>
      </c>
      <c r="AG29" s="229">
        <v>4.1999999999999997E-3</v>
      </c>
      <c r="AH29" s="228">
        <v>14.4</v>
      </c>
      <c r="AI29" s="228">
        <v>4.5999999999999996</v>
      </c>
      <c r="AJ29" s="228">
        <v>9.8000000000000007</v>
      </c>
      <c r="AK29" s="229">
        <v>9.1999999999999998E-3</v>
      </c>
      <c r="AL29" s="228">
        <v>22.7</v>
      </c>
      <c r="AM29" s="228">
        <v>13.2</v>
      </c>
      <c r="AN29" s="228">
        <v>9.5</v>
      </c>
      <c r="AO29" s="229">
        <v>1.4500000000000001E-2</v>
      </c>
      <c r="AP29" s="231">
        <v>1541.88</v>
      </c>
      <c r="AQ29" s="231">
        <v>1547.82</v>
      </c>
      <c r="AR29" s="228">
        <v>0</v>
      </c>
      <c r="AS29" s="228">
        <v>480</v>
      </c>
      <c r="AT29" s="228">
        <v>969</v>
      </c>
      <c r="AU29" s="228">
        <v>-489</v>
      </c>
      <c r="AV29" s="229">
        <v>-0.50460000000000005</v>
      </c>
      <c r="AW29" s="228">
        <v>454</v>
      </c>
      <c r="AX29" s="228">
        <v>428</v>
      </c>
      <c r="AY29" s="228">
        <v>26</v>
      </c>
      <c r="AZ29" s="229">
        <v>6.1499999999999999E-2</v>
      </c>
      <c r="BA29" s="228">
        <v>22</v>
      </c>
      <c r="BB29" s="228">
        <v>527</v>
      </c>
      <c r="BC29" s="228">
        <v>-505</v>
      </c>
      <c r="BD29" s="229">
        <v>-0.95830000000000004</v>
      </c>
      <c r="BE29" s="228">
        <v>4</v>
      </c>
      <c r="BF29" s="228">
        <v>14</v>
      </c>
      <c r="BG29" s="228">
        <v>-10</v>
      </c>
      <c r="BH29" s="229">
        <v>-0.7198</v>
      </c>
      <c r="BI29" s="230">
        <v>1523</v>
      </c>
      <c r="BJ29" s="228">
        <v>806</v>
      </c>
      <c r="BK29" s="228">
        <v>717</v>
      </c>
      <c r="BL29" s="229">
        <v>0.88870000000000005</v>
      </c>
      <c r="BM29" s="228">
        <v>339</v>
      </c>
      <c r="BN29" s="228">
        <v>332</v>
      </c>
      <c r="BO29" s="228">
        <v>7</v>
      </c>
      <c r="BP29" s="229">
        <v>2.1399999999999999E-2</v>
      </c>
      <c r="BQ29" s="230">
        <v>2342</v>
      </c>
      <c r="BR29" s="230">
        <v>2108</v>
      </c>
      <c r="BS29" s="228">
        <v>235</v>
      </c>
      <c r="BT29" s="229">
        <v>0.1113</v>
      </c>
      <c r="BU29" s="230">
        <v>2744771</v>
      </c>
      <c r="BV29" s="230">
        <v>1398687</v>
      </c>
      <c r="BW29" s="230">
        <v>1346084</v>
      </c>
      <c r="BX29" s="229">
        <v>0.96240000000000003</v>
      </c>
      <c r="BY29" s="228">
        <v>803</v>
      </c>
      <c r="BZ29" s="228">
        <v>756</v>
      </c>
      <c r="CA29" s="228">
        <v>47</v>
      </c>
      <c r="CB29" s="229">
        <v>6.2600000000000003E-2</v>
      </c>
      <c r="CC29" s="228">
        <v>767</v>
      </c>
      <c r="CD29" s="228">
        <v>65</v>
      </c>
      <c r="CE29" s="228">
        <v>702</v>
      </c>
      <c r="CF29" s="229">
        <v>10.8306</v>
      </c>
      <c r="CG29" s="228">
        <v>34</v>
      </c>
      <c r="CH29" s="228">
        <v>727</v>
      </c>
      <c r="CI29" s="228">
        <v>-693</v>
      </c>
      <c r="CJ29" s="229">
        <v>-0.95379999999999998</v>
      </c>
      <c r="CK29" s="228">
        <v>2</v>
      </c>
      <c r="CL29" s="228">
        <v>29</v>
      </c>
      <c r="CM29" s="228">
        <v>-27</v>
      </c>
      <c r="CN29" s="229">
        <v>-0.9163</v>
      </c>
      <c r="CO29" s="228">
        <v>323</v>
      </c>
      <c r="CP29" s="228">
        <v>183</v>
      </c>
      <c r="CQ29" s="228">
        <v>140</v>
      </c>
      <c r="CR29" s="229">
        <v>0.76400000000000001</v>
      </c>
      <c r="CS29" s="228">
        <v>237</v>
      </c>
      <c r="CT29" s="228">
        <v>182</v>
      </c>
      <c r="CU29" s="228">
        <v>55</v>
      </c>
      <c r="CV29" s="229">
        <v>0.30159999999999998</v>
      </c>
      <c r="CW29" s="230">
        <v>1363</v>
      </c>
      <c r="CX29" s="230">
        <v>1121</v>
      </c>
      <c r="CY29" s="228">
        <v>242</v>
      </c>
      <c r="CZ29" s="229">
        <v>0.21590000000000001</v>
      </c>
      <c r="DA29" s="228">
        <v>49.55</v>
      </c>
      <c r="DB29" s="228">
        <v>46.99</v>
      </c>
      <c r="DC29" s="228">
        <v>2.56</v>
      </c>
      <c r="DD29" s="228">
        <v>2.56</v>
      </c>
      <c r="DE29" s="228">
        <v>50.63</v>
      </c>
      <c r="DF29" s="228">
        <v>49.93</v>
      </c>
      <c r="DG29" s="228">
        <v>-1.08</v>
      </c>
      <c r="DH29" s="228">
        <v>0.7</v>
      </c>
      <c r="DI29" s="228">
        <v>49.38</v>
      </c>
      <c r="DJ29" s="228">
        <v>46.51</v>
      </c>
      <c r="DK29" s="228">
        <v>2.87</v>
      </c>
      <c r="DL29" s="228">
        <v>2.87</v>
      </c>
      <c r="DM29" s="228">
        <v>50.33</v>
      </c>
      <c r="DN29" s="228">
        <v>47.98</v>
      </c>
      <c r="DO29" s="228">
        <v>2.35</v>
      </c>
      <c r="DP29" s="228">
        <v>2.35</v>
      </c>
      <c r="DQ29" s="228">
        <v>0.74</v>
      </c>
      <c r="DR29" s="228">
        <v>1</v>
      </c>
      <c r="DS29" s="228">
        <v>-0.26</v>
      </c>
      <c r="DT29" s="229">
        <v>-0.26</v>
      </c>
      <c r="DU29" s="231">
        <v>1600</v>
      </c>
      <c r="DV29" s="231">
        <v>1300</v>
      </c>
      <c r="DW29" s="228">
        <v>0.22</v>
      </c>
      <c r="DX29" s="228">
        <v>0.41</v>
      </c>
      <c r="DY29" s="228">
        <v>-0.19</v>
      </c>
      <c r="DZ29" s="229">
        <v>-0.46339999999999998</v>
      </c>
      <c r="EA29" s="229">
        <v>4.48E-2</v>
      </c>
      <c r="EB29" s="230">
        <v>4793600</v>
      </c>
      <c r="EC29" s="229">
        <v>4.8999999999999998E-3</v>
      </c>
      <c r="ED29" s="229">
        <v>4.48E-2</v>
      </c>
      <c r="EE29" s="228">
        <v>5.94</v>
      </c>
      <c r="EF29" s="229">
        <v>3.8999999999999998E-3</v>
      </c>
      <c r="EG29" s="230">
        <v>874612</v>
      </c>
      <c r="EH29" s="230">
        <v>381489</v>
      </c>
      <c r="EI29" s="229">
        <v>1.2926</v>
      </c>
      <c r="EJ29" s="229">
        <v>0.31859999999999999</v>
      </c>
      <c r="EK29" s="231">
        <v>1592.89</v>
      </c>
      <c r="EL29" s="228">
        <v>317.67</v>
      </c>
      <c r="EM29" s="228">
        <v>469.7</v>
      </c>
      <c r="EN29" s="228">
        <v>116.94</v>
      </c>
      <c r="EO29" s="231">
        <v>2380.2600000000002</v>
      </c>
      <c r="EP29" s="231">
        <v>1975.71</v>
      </c>
      <c r="EQ29" s="228">
        <v>404.54</v>
      </c>
      <c r="ER29" s="229">
        <v>0.20480000000000001</v>
      </c>
      <c r="ES29" s="228">
        <v>323.8</v>
      </c>
      <c r="ET29" s="228">
        <v>214.59</v>
      </c>
      <c r="EU29" s="228">
        <v>803.24</v>
      </c>
      <c r="EV29" s="231">
        <v>13786716</v>
      </c>
      <c r="EW29" s="231">
        <v>1341.63</v>
      </c>
      <c r="EX29" s="231">
        <v>1048.49</v>
      </c>
      <c r="EY29" s="228">
        <v>293.14</v>
      </c>
      <c r="EZ29" s="229">
        <v>0.27960000000000002</v>
      </c>
      <c r="FA29" s="229">
        <v>0.627</v>
      </c>
      <c r="FB29" s="227" t="s">
        <v>555</v>
      </c>
      <c r="FC29" s="195">
        <f t="shared" si="0"/>
        <v>36</v>
      </c>
    </row>
    <row r="30" spans="1:159" ht="17.25" thickBot="1" x14ac:dyDescent="0.3">
      <c r="A30" s="226">
        <v>46050</v>
      </c>
      <c r="B30" s="227" t="s">
        <v>184</v>
      </c>
      <c r="C30" s="227" t="s">
        <v>185</v>
      </c>
      <c r="D30" s="228">
        <v>1425</v>
      </c>
      <c r="E30" s="228">
        <v>27</v>
      </c>
      <c r="F30" s="228">
        <v>455.95</v>
      </c>
      <c r="G30" s="228">
        <v>417.4</v>
      </c>
      <c r="H30" s="228">
        <v>38.549999999999997</v>
      </c>
      <c r="I30" s="229">
        <v>9.2399999999999996E-2</v>
      </c>
      <c r="J30" s="228">
        <v>453</v>
      </c>
      <c r="K30" s="228">
        <v>415.95</v>
      </c>
      <c r="L30" s="228">
        <v>37.049999999999997</v>
      </c>
      <c r="M30" s="229">
        <v>8.9099999999999999E-2</v>
      </c>
      <c r="N30" s="228">
        <v>455.95</v>
      </c>
      <c r="O30" s="228">
        <v>414.8</v>
      </c>
      <c r="P30" s="228">
        <v>41.15</v>
      </c>
      <c r="Q30" s="229">
        <v>9.9199999999999997E-2</v>
      </c>
      <c r="R30" s="228">
        <v>457.45</v>
      </c>
      <c r="S30" s="228">
        <v>417.4</v>
      </c>
      <c r="T30" s="228">
        <v>40.049999999999997</v>
      </c>
      <c r="U30" s="229">
        <v>9.6000000000000002E-2</v>
      </c>
      <c r="V30" s="228">
        <v>460.3</v>
      </c>
      <c r="W30" s="228">
        <v>419.65</v>
      </c>
      <c r="X30" s="228">
        <v>40.65</v>
      </c>
      <c r="Y30" s="229">
        <v>9.69E-2</v>
      </c>
      <c r="Z30" s="228">
        <v>2.95</v>
      </c>
      <c r="AA30" s="228">
        <v>1.45</v>
      </c>
      <c r="AB30" s="228">
        <v>1.5</v>
      </c>
      <c r="AC30" s="229">
        <v>6.4999999999999997E-3</v>
      </c>
      <c r="AD30" s="228">
        <v>2.95</v>
      </c>
      <c r="AE30" s="228">
        <v>-1.1499999999999999</v>
      </c>
      <c r="AF30" s="228">
        <v>4.0999999999999996</v>
      </c>
      <c r="AG30" s="229">
        <v>6.4999999999999997E-3</v>
      </c>
      <c r="AH30" s="228">
        <v>4.45</v>
      </c>
      <c r="AI30" s="228">
        <v>1.45</v>
      </c>
      <c r="AJ30" s="228">
        <v>3</v>
      </c>
      <c r="AK30" s="229">
        <v>9.7999999999999997E-3</v>
      </c>
      <c r="AL30" s="228">
        <v>7.3</v>
      </c>
      <c r="AM30" s="228">
        <v>3.7</v>
      </c>
      <c r="AN30" s="228">
        <v>3.6</v>
      </c>
      <c r="AO30" s="229">
        <v>1.61E-2</v>
      </c>
      <c r="AP30" s="228">
        <v>443.62</v>
      </c>
      <c r="AQ30" s="228">
        <v>443.54</v>
      </c>
      <c r="AR30" s="228">
        <v>0</v>
      </c>
      <c r="AS30" s="230">
        <v>4287</v>
      </c>
      <c r="AT30" s="230">
        <v>3223</v>
      </c>
      <c r="AU30" s="230">
        <v>1065</v>
      </c>
      <c r="AV30" s="229">
        <v>0.33029999999999998</v>
      </c>
      <c r="AW30" s="230">
        <v>3939</v>
      </c>
      <c r="AX30" s="230">
        <v>1382</v>
      </c>
      <c r="AY30" s="230">
        <v>2558</v>
      </c>
      <c r="AZ30" s="229">
        <v>1.8512</v>
      </c>
      <c r="BA30" s="228">
        <v>300</v>
      </c>
      <c r="BB30" s="230">
        <v>1754</v>
      </c>
      <c r="BC30" s="230">
        <v>-1454</v>
      </c>
      <c r="BD30" s="229">
        <v>-0.82869999999999999</v>
      </c>
      <c r="BE30" s="228">
        <v>48</v>
      </c>
      <c r="BF30" s="228">
        <v>87</v>
      </c>
      <c r="BG30" s="228">
        <v>-39</v>
      </c>
      <c r="BH30" s="229">
        <v>-0.45040000000000002</v>
      </c>
      <c r="BI30" s="230">
        <v>17856</v>
      </c>
      <c r="BJ30" s="230">
        <v>3556</v>
      </c>
      <c r="BK30" s="230">
        <v>14300</v>
      </c>
      <c r="BL30" s="229">
        <v>4.0209999999999999</v>
      </c>
      <c r="BM30" s="230">
        <v>6732</v>
      </c>
      <c r="BN30" s="230">
        <v>1658</v>
      </c>
      <c r="BO30" s="230">
        <v>5074</v>
      </c>
      <c r="BP30" s="229">
        <v>3.0609999999999999</v>
      </c>
      <c r="BQ30" s="230">
        <v>28875</v>
      </c>
      <c r="BR30" s="230">
        <v>8437</v>
      </c>
      <c r="BS30" s="230">
        <v>20438</v>
      </c>
      <c r="BT30" s="229">
        <v>2.4224999999999999</v>
      </c>
      <c r="BU30" s="230">
        <v>78707632</v>
      </c>
      <c r="BV30" s="230">
        <v>15939786</v>
      </c>
      <c r="BW30" s="230">
        <v>62767846</v>
      </c>
      <c r="BX30" s="229">
        <v>3.9378000000000002</v>
      </c>
      <c r="BY30" s="230">
        <v>5718</v>
      </c>
      <c r="BZ30" s="230">
        <v>5257</v>
      </c>
      <c r="CA30" s="228">
        <v>461</v>
      </c>
      <c r="CB30" s="229">
        <v>8.7599999999999997E-2</v>
      </c>
      <c r="CC30" s="230">
        <v>5469</v>
      </c>
      <c r="CD30" s="228">
        <v>186</v>
      </c>
      <c r="CE30" s="230">
        <v>5284</v>
      </c>
      <c r="CF30" s="229">
        <v>28.443200000000001</v>
      </c>
      <c r="CG30" s="228">
        <v>236</v>
      </c>
      <c r="CH30" s="230">
        <v>5055</v>
      </c>
      <c r="CI30" s="230">
        <v>-4819</v>
      </c>
      <c r="CJ30" s="229">
        <v>-0.95330000000000004</v>
      </c>
      <c r="CK30" s="228">
        <v>12</v>
      </c>
      <c r="CL30" s="228">
        <v>202</v>
      </c>
      <c r="CM30" s="228">
        <v>-190</v>
      </c>
      <c r="CN30" s="229">
        <v>-0.93920000000000003</v>
      </c>
      <c r="CO30" s="230">
        <v>2187</v>
      </c>
      <c r="CP30" s="230">
        <v>1214</v>
      </c>
      <c r="CQ30" s="228">
        <v>973</v>
      </c>
      <c r="CR30" s="229">
        <v>0.80200000000000005</v>
      </c>
      <c r="CS30" s="230">
        <v>1465</v>
      </c>
      <c r="CT30" s="228">
        <v>865</v>
      </c>
      <c r="CU30" s="228">
        <v>600</v>
      </c>
      <c r="CV30" s="229">
        <v>0.69410000000000005</v>
      </c>
      <c r="CW30" s="230">
        <v>9370</v>
      </c>
      <c r="CX30" s="230">
        <v>7335</v>
      </c>
      <c r="CY30" s="230">
        <v>2034</v>
      </c>
      <c r="CZ30" s="229">
        <v>0.27729999999999999</v>
      </c>
      <c r="DA30" s="228">
        <v>37.72</v>
      </c>
      <c r="DB30" s="228">
        <v>38.76</v>
      </c>
      <c r="DC30" s="228">
        <v>-1.04</v>
      </c>
      <c r="DD30" s="228">
        <v>-1.04</v>
      </c>
      <c r="DE30" s="228">
        <v>36.869999999999997</v>
      </c>
      <c r="DF30" s="228">
        <v>35.11</v>
      </c>
      <c r="DG30" s="228">
        <v>0.85</v>
      </c>
      <c r="DH30" s="228">
        <v>1.76</v>
      </c>
      <c r="DI30" s="228">
        <v>37.54</v>
      </c>
      <c r="DJ30" s="228">
        <v>38.83</v>
      </c>
      <c r="DK30" s="228">
        <v>-1.29</v>
      </c>
      <c r="DL30" s="228">
        <v>-1.29</v>
      </c>
      <c r="DM30" s="228">
        <v>38.19</v>
      </c>
      <c r="DN30" s="228">
        <v>38.61</v>
      </c>
      <c r="DO30" s="228">
        <v>-0.42</v>
      </c>
      <c r="DP30" s="228">
        <v>-0.42</v>
      </c>
      <c r="DQ30" s="228">
        <v>0.67</v>
      </c>
      <c r="DR30" s="228">
        <v>0.71</v>
      </c>
      <c r="DS30" s="228">
        <v>-0.04</v>
      </c>
      <c r="DT30" s="229">
        <v>-5.6300000000000003E-2</v>
      </c>
      <c r="DU30" s="228">
        <v>460</v>
      </c>
      <c r="DV30" s="228">
        <v>420</v>
      </c>
      <c r="DW30" s="228">
        <v>0.38</v>
      </c>
      <c r="DX30" s="228">
        <v>0.47</v>
      </c>
      <c r="DY30" s="228">
        <v>-0.09</v>
      </c>
      <c r="DZ30" s="229">
        <v>-0.1915</v>
      </c>
      <c r="EA30" s="229">
        <v>4.3400000000000001E-2</v>
      </c>
      <c r="EB30" s="230">
        <v>115295325</v>
      </c>
      <c r="EC30" s="229">
        <v>3.3E-3</v>
      </c>
      <c r="ED30" s="229">
        <v>4.3400000000000001E-2</v>
      </c>
      <c r="EE30" s="228">
        <v>-0.08</v>
      </c>
      <c r="EF30" s="229">
        <v>-2.0000000000000001E-4</v>
      </c>
      <c r="EG30" s="230">
        <v>34881412</v>
      </c>
      <c r="EH30" s="230">
        <v>8206883</v>
      </c>
      <c r="EI30" s="229">
        <v>3.2503000000000002</v>
      </c>
      <c r="EJ30" s="229">
        <v>0.44319999999999998</v>
      </c>
      <c r="EK30" s="231">
        <v>18265.3</v>
      </c>
      <c r="EL30" s="231">
        <v>6260.68</v>
      </c>
      <c r="EM30" s="231">
        <v>4171.7700000000004</v>
      </c>
      <c r="EN30" s="228">
        <v>504.64</v>
      </c>
      <c r="EO30" s="231">
        <v>28697.74</v>
      </c>
      <c r="EP30" s="231">
        <v>7808.77</v>
      </c>
      <c r="EQ30" s="231">
        <v>20888.97</v>
      </c>
      <c r="ER30" s="229">
        <v>2.6751</v>
      </c>
      <c r="ES30" s="231">
        <v>2159.38</v>
      </c>
      <c r="ET30" s="231">
        <v>1330.69</v>
      </c>
      <c r="EU30" s="231">
        <v>5718.51</v>
      </c>
      <c r="EV30" s="231">
        <v>535778534</v>
      </c>
      <c r="EW30" s="231">
        <v>9208.57</v>
      </c>
      <c r="EX30" s="231">
        <v>6713.03</v>
      </c>
      <c r="EY30" s="231">
        <v>2495.54</v>
      </c>
      <c r="EZ30" s="229">
        <v>0.37169999999999997</v>
      </c>
      <c r="FA30" s="229">
        <v>0.3836</v>
      </c>
      <c r="FB30" s="227" t="s">
        <v>555</v>
      </c>
      <c r="FC30">
        <f t="shared" si="0"/>
        <v>249</v>
      </c>
    </row>
    <row r="31" spans="1:159" ht="17.25" thickBot="1" x14ac:dyDescent="0.3">
      <c r="A31" s="226">
        <v>46050</v>
      </c>
      <c r="B31" s="227" t="s">
        <v>162</v>
      </c>
      <c r="C31" s="227" t="s">
        <v>187</v>
      </c>
      <c r="D31" s="228">
        <v>500</v>
      </c>
      <c r="E31" s="228">
        <v>27</v>
      </c>
      <c r="F31" s="231">
        <v>1461.1</v>
      </c>
      <c r="G31" s="231">
        <v>1424.5</v>
      </c>
      <c r="H31" s="228">
        <v>36.6</v>
      </c>
      <c r="I31" s="229">
        <v>2.5700000000000001E-2</v>
      </c>
      <c r="J31" s="231">
        <v>1459.1</v>
      </c>
      <c r="K31" s="231">
        <v>1418.5</v>
      </c>
      <c r="L31" s="228">
        <v>40.6</v>
      </c>
      <c r="M31" s="229">
        <v>2.86E-2</v>
      </c>
      <c r="N31" s="231">
        <v>1461.1</v>
      </c>
      <c r="O31" s="231">
        <v>1417.2</v>
      </c>
      <c r="P31" s="228">
        <v>43.9</v>
      </c>
      <c r="Q31" s="229">
        <v>3.1E-2</v>
      </c>
      <c r="R31" s="231">
        <v>1467.5</v>
      </c>
      <c r="S31" s="231">
        <v>1424.5</v>
      </c>
      <c r="T31" s="228">
        <v>43</v>
      </c>
      <c r="U31" s="229">
        <v>3.0200000000000001E-2</v>
      </c>
      <c r="V31" s="231">
        <v>1464.4</v>
      </c>
      <c r="W31" s="231">
        <v>1430.3</v>
      </c>
      <c r="X31" s="228">
        <v>34.1</v>
      </c>
      <c r="Y31" s="229">
        <v>2.3800000000000002E-2</v>
      </c>
      <c r="Z31" s="228">
        <v>2</v>
      </c>
      <c r="AA31" s="228">
        <v>6</v>
      </c>
      <c r="AB31" s="228">
        <v>-4</v>
      </c>
      <c r="AC31" s="229">
        <v>1.4E-3</v>
      </c>
      <c r="AD31" s="228">
        <v>2</v>
      </c>
      <c r="AE31" s="228">
        <v>-1.3</v>
      </c>
      <c r="AF31" s="228">
        <v>3.3</v>
      </c>
      <c r="AG31" s="229">
        <v>1.4E-3</v>
      </c>
      <c r="AH31" s="228">
        <v>8.4</v>
      </c>
      <c r="AI31" s="228">
        <v>6</v>
      </c>
      <c r="AJ31" s="228">
        <v>2.4</v>
      </c>
      <c r="AK31" s="229">
        <v>5.7999999999999996E-3</v>
      </c>
      <c r="AL31" s="228">
        <v>5.3</v>
      </c>
      <c r="AM31" s="228">
        <v>11.8</v>
      </c>
      <c r="AN31" s="228">
        <v>-6.5</v>
      </c>
      <c r="AO31" s="229">
        <v>3.5999999999999999E-3</v>
      </c>
      <c r="AP31" s="231">
        <v>1444.98</v>
      </c>
      <c r="AQ31" s="231">
        <v>1450.88</v>
      </c>
      <c r="AR31" s="228">
        <v>0</v>
      </c>
      <c r="AS31" s="228">
        <v>380</v>
      </c>
      <c r="AT31" s="228">
        <v>671</v>
      </c>
      <c r="AU31" s="228">
        <v>-290</v>
      </c>
      <c r="AV31" s="229">
        <v>-0.43269999999999997</v>
      </c>
      <c r="AW31" s="228">
        <v>372</v>
      </c>
      <c r="AX31" s="228">
        <v>283</v>
      </c>
      <c r="AY31" s="228">
        <v>89</v>
      </c>
      <c r="AZ31" s="229">
        <v>0.31619999999999998</v>
      </c>
      <c r="BA31" s="228">
        <v>8</v>
      </c>
      <c r="BB31" s="228">
        <v>385</v>
      </c>
      <c r="BC31" s="228">
        <v>-376</v>
      </c>
      <c r="BD31" s="229">
        <v>-0.97870000000000001</v>
      </c>
      <c r="BE31" s="228">
        <v>0</v>
      </c>
      <c r="BF31" s="228">
        <v>3</v>
      </c>
      <c r="BG31" s="228">
        <v>-3</v>
      </c>
      <c r="BH31" s="229">
        <v>-0.97829999999999995</v>
      </c>
      <c r="BI31" s="228">
        <v>818</v>
      </c>
      <c r="BJ31" s="228">
        <v>608</v>
      </c>
      <c r="BK31" s="228">
        <v>210</v>
      </c>
      <c r="BL31" s="229">
        <v>0.3463</v>
      </c>
      <c r="BM31" s="228">
        <v>203</v>
      </c>
      <c r="BN31" s="228">
        <v>310</v>
      </c>
      <c r="BO31" s="228">
        <v>-107</v>
      </c>
      <c r="BP31" s="229">
        <v>-0.34389999999999998</v>
      </c>
      <c r="BQ31" s="230">
        <v>1402</v>
      </c>
      <c r="BR31" s="230">
        <v>1588</v>
      </c>
      <c r="BS31" s="228">
        <v>-186</v>
      </c>
      <c r="BT31" s="229">
        <v>-0.1174</v>
      </c>
      <c r="BU31" s="230">
        <v>1470605</v>
      </c>
      <c r="BV31" s="230">
        <v>675443</v>
      </c>
      <c r="BW31" s="230">
        <v>795162</v>
      </c>
      <c r="BX31" s="229">
        <v>1.1772</v>
      </c>
      <c r="BY31" s="228">
        <v>987</v>
      </c>
      <c r="BZ31" s="228">
        <v>980</v>
      </c>
      <c r="CA31" s="228">
        <v>7</v>
      </c>
      <c r="CB31" s="229">
        <v>7.1999999999999998E-3</v>
      </c>
      <c r="CC31" s="228">
        <v>977</v>
      </c>
      <c r="CD31" s="228">
        <v>66</v>
      </c>
      <c r="CE31" s="228">
        <v>911</v>
      </c>
      <c r="CF31" s="229">
        <v>13.7324</v>
      </c>
      <c r="CG31" s="228">
        <v>10</v>
      </c>
      <c r="CH31" s="228">
        <v>973</v>
      </c>
      <c r="CI31" s="228">
        <v>-963</v>
      </c>
      <c r="CJ31" s="229">
        <v>-0.99009999999999998</v>
      </c>
      <c r="CK31" s="228">
        <v>0</v>
      </c>
      <c r="CL31" s="228">
        <v>7</v>
      </c>
      <c r="CM31" s="228">
        <v>-7</v>
      </c>
      <c r="CN31" s="229">
        <v>-0.9899</v>
      </c>
      <c r="CO31" s="228">
        <v>214</v>
      </c>
      <c r="CP31" s="228">
        <v>124</v>
      </c>
      <c r="CQ31" s="228">
        <v>90</v>
      </c>
      <c r="CR31" s="229">
        <v>0.72430000000000005</v>
      </c>
      <c r="CS31" s="228">
        <v>149</v>
      </c>
      <c r="CT31" s="228">
        <v>113</v>
      </c>
      <c r="CU31" s="228">
        <v>37</v>
      </c>
      <c r="CV31" s="229">
        <v>0.32450000000000001</v>
      </c>
      <c r="CW31" s="230">
        <v>1350</v>
      </c>
      <c r="CX31" s="230">
        <v>1217</v>
      </c>
      <c r="CY31" s="228">
        <v>134</v>
      </c>
      <c r="CZ31" s="229">
        <v>0.10979999999999999</v>
      </c>
      <c r="DA31" s="228">
        <v>35.86</v>
      </c>
      <c r="DB31" s="228">
        <v>34.369999999999997</v>
      </c>
      <c r="DC31" s="228">
        <v>1.49</v>
      </c>
      <c r="DD31" s="228">
        <v>1.49</v>
      </c>
      <c r="DE31" s="228">
        <v>35.979999999999997</v>
      </c>
      <c r="DF31" s="228">
        <v>35.9</v>
      </c>
      <c r="DG31" s="228">
        <v>-0.12</v>
      </c>
      <c r="DH31" s="228">
        <v>0.08</v>
      </c>
      <c r="DI31" s="228">
        <v>35.549999999999997</v>
      </c>
      <c r="DJ31" s="228">
        <v>33.799999999999997</v>
      </c>
      <c r="DK31" s="228">
        <v>1.75</v>
      </c>
      <c r="DL31" s="228">
        <v>1.75</v>
      </c>
      <c r="DM31" s="228">
        <v>37.090000000000003</v>
      </c>
      <c r="DN31" s="228">
        <v>35.369999999999997</v>
      </c>
      <c r="DO31" s="228">
        <v>1.72</v>
      </c>
      <c r="DP31" s="228">
        <v>1.72</v>
      </c>
      <c r="DQ31" s="228">
        <v>0.7</v>
      </c>
      <c r="DR31" s="228">
        <v>0.91</v>
      </c>
      <c r="DS31" s="228">
        <v>-0.21</v>
      </c>
      <c r="DT31" s="229">
        <v>-0.23080000000000001</v>
      </c>
      <c r="DU31" s="231">
        <v>1500</v>
      </c>
      <c r="DV31" s="231">
        <v>1400</v>
      </c>
      <c r="DW31" s="228">
        <v>0.25</v>
      </c>
      <c r="DX31" s="228">
        <v>0.51</v>
      </c>
      <c r="DY31" s="228">
        <v>-0.26</v>
      </c>
      <c r="DZ31" s="229">
        <v>-0.50980000000000003</v>
      </c>
      <c r="EA31" s="229">
        <v>9.7999999999999997E-3</v>
      </c>
      <c r="EB31" s="230">
        <v>6707000</v>
      </c>
      <c r="EC31" s="229">
        <v>4.4000000000000003E-3</v>
      </c>
      <c r="ED31" s="229">
        <v>9.7999999999999997E-3</v>
      </c>
      <c r="EE31" s="228">
        <v>5.9</v>
      </c>
      <c r="EF31" s="229">
        <v>4.1000000000000003E-3</v>
      </c>
      <c r="EG31" s="230">
        <v>840488</v>
      </c>
      <c r="EH31" s="230">
        <v>311810</v>
      </c>
      <c r="EI31" s="229">
        <v>1.6955</v>
      </c>
      <c r="EJ31" s="229">
        <v>0.57150000000000001</v>
      </c>
      <c r="EK31" s="228">
        <v>855.26</v>
      </c>
      <c r="EL31" s="228">
        <v>194.76</v>
      </c>
      <c r="EM31" s="228">
        <v>376.31</v>
      </c>
      <c r="EN31" s="228">
        <v>123.56</v>
      </c>
      <c r="EO31" s="231">
        <v>1426.32</v>
      </c>
      <c r="EP31" s="231">
        <v>1565.48</v>
      </c>
      <c r="EQ31" s="228">
        <v>-139.16</v>
      </c>
      <c r="ER31" s="229">
        <v>-8.8900000000000007E-2</v>
      </c>
      <c r="ES31" s="228">
        <v>220.54</v>
      </c>
      <c r="ET31" s="228">
        <v>141.4</v>
      </c>
      <c r="EU31" s="228">
        <v>987.02</v>
      </c>
      <c r="EV31" s="231">
        <v>40107751</v>
      </c>
      <c r="EW31" s="231">
        <v>1348.96</v>
      </c>
      <c r="EX31" s="231">
        <v>1188.29</v>
      </c>
      <c r="EY31" s="228">
        <v>160.66999999999999</v>
      </c>
      <c r="EZ31" s="229">
        <v>0.13519999999999999</v>
      </c>
      <c r="FA31" s="229">
        <v>0.23039999999999999</v>
      </c>
      <c r="FB31" s="227" t="s">
        <v>555</v>
      </c>
      <c r="FC31">
        <f t="shared" si="0"/>
        <v>10</v>
      </c>
    </row>
    <row r="32" spans="1:159" ht="17.25" thickBot="1" x14ac:dyDescent="0.3">
      <c r="A32" s="226">
        <v>46050</v>
      </c>
      <c r="B32" s="227" t="s">
        <v>188</v>
      </c>
      <c r="C32" s="227" t="s">
        <v>189</v>
      </c>
      <c r="D32" s="228">
        <v>475</v>
      </c>
      <c r="E32" s="228">
        <v>27</v>
      </c>
      <c r="F32" s="231">
        <v>1968.8</v>
      </c>
      <c r="G32" s="231">
        <v>1987.3</v>
      </c>
      <c r="H32" s="228">
        <v>-18.5</v>
      </c>
      <c r="I32" s="229">
        <v>-9.2999999999999992E-3</v>
      </c>
      <c r="J32" s="231">
        <v>1957.7</v>
      </c>
      <c r="K32" s="231">
        <v>1973.4</v>
      </c>
      <c r="L32" s="228">
        <v>-15.7</v>
      </c>
      <c r="M32" s="229">
        <v>-8.0000000000000002E-3</v>
      </c>
      <c r="N32" s="231">
        <v>1968.8</v>
      </c>
      <c r="O32" s="231">
        <v>1973</v>
      </c>
      <c r="P32" s="228">
        <v>-4.2</v>
      </c>
      <c r="Q32" s="229">
        <v>-2.0999999999999999E-3</v>
      </c>
      <c r="R32" s="231">
        <v>1980.3</v>
      </c>
      <c r="S32" s="231">
        <v>1987.3</v>
      </c>
      <c r="T32" s="228">
        <v>-7</v>
      </c>
      <c r="U32" s="229">
        <v>-3.5000000000000001E-3</v>
      </c>
      <c r="V32" s="231">
        <v>1988.3</v>
      </c>
      <c r="W32" s="231">
        <v>1999</v>
      </c>
      <c r="X32" s="228">
        <v>-10.7</v>
      </c>
      <c r="Y32" s="229">
        <v>-5.4000000000000003E-3</v>
      </c>
      <c r="Z32" s="228">
        <v>11.1</v>
      </c>
      <c r="AA32" s="228">
        <v>13.9</v>
      </c>
      <c r="AB32" s="228">
        <v>-2.8</v>
      </c>
      <c r="AC32" s="229">
        <v>5.7000000000000002E-3</v>
      </c>
      <c r="AD32" s="228">
        <v>11.1</v>
      </c>
      <c r="AE32" s="228">
        <v>-0.4</v>
      </c>
      <c r="AF32" s="228">
        <v>11.5</v>
      </c>
      <c r="AG32" s="229">
        <v>5.7000000000000002E-3</v>
      </c>
      <c r="AH32" s="228">
        <v>22.6</v>
      </c>
      <c r="AI32" s="228">
        <v>13.9</v>
      </c>
      <c r="AJ32" s="228">
        <v>8.6999999999999993</v>
      </c>
      <c r="AK32" s="229">
        <v>1.15E-2</v>
      </c>
      <c r="AL32" s="228">
        <v>30.6</v>
      </c>
      <c r="AM32" s="228">
        <v>25.6</v>
      </c>
      <c r="AN32" s="228">
        <v>5</v>
      </c>
      <c r="AO32" s="229">
        <v>1.5599999999999999E-2</v>
      </c>
      <c r="AP32" s="231">
        <v>1969.05</v>
      </c>
      <c r="AQ32" s="231">
        <v>1979.9</v>
      </c>
      <c r="AR32" s="228">
        <v>0</v>
      </c>
      <c r="AS32" s="230">
        <v>1402</v>
      </c>
      <c r="AT32" s="230">
        <v>5035</v>
      </c>
      <c r="AU32" s="230">
        <v>-3633</v>
      </c>
      <c r="AV32" s="229">
        <v>-0.72160000000000002</v>
      </c>
      <c r="AW32" s="230">
        <v>1281</v>
      </c>
      <c r="AX32" s="230">
        <v>1963</v>
      </c>
      <c r="AY32" s="228">
        <v>-682</v>
      </c>
      <c r="AZ32" s="229">
        <v>-0.34739999999999999</v>
      </c>
      <c r="BA32" s="228">
        <v>116</v>
      </c>
      <c r="BB32" s="230">
        <v>3001</v>
      </c>
      <c r="BC32" s="230">
        <v>-2885</v>
      </c>
      <c r="BD32" s="229">
        <v>-0.96120000000000005</v>
      </c>
      <c r="BE32" s="228">
        <v>4</v>
      </c>
      <c r="BF32" s="228">
        <v>71</v>
      </c>
      <c r="BG32" s="228">
        <v>-66</v>
      </c>
      <c r="BH32" s="229">
        <v>-0.93910000000000005</v>
      </c>
      <c r="BI32" s="230">
        <v>2343</v>
      </c>
      <c r="BJ32" s="230">
        <v>2615</v>
      </c>
      <c r="BK32" s="228">
        <v>-272</v>
      </c>
      <c r="BL32" s="229">
        <v>-0.10390000000000001</v>
      </c>
      <c r="BM32" s="230">
        <v>1118</v>
      </c>
      <c r="BN32" s="230">
        <v>1412</v>
      </c>
      <c r="BO32" s="228">
        <v>-294</v>
      </c>
      <c r="BP32" s="229">
        <v>-0.20830000000000001</v>
      </c>
      <c r="BQ32" s="230">
        <v>4862</v>
      </c>
      <c r="BR32" s="230">
        <v>9061</v>
      </c>
      <c r="BS32" s="230">
        <v>-4199</v>
      </c>
      <c r="BT32" s="229">
        <v>-0.46339999999999998</v>
      </c>
      <c r="BU32" s="230">
        <v>10258228</v>
      </c>
      <c r="BV32" s="230">
        <v>12038549</v>
      </c>
      <c r="BW32" s="230">
        <v>-1780321</v>
      </c>
      <c r="BX32" s="229">
        <v>-0.1479</v>
      </c>
      <c r="BY32" s="230">
        <v>10992</v>
      </c>
      <c r="BZ32" s="230">
        <v>10727</v>
      </c>
      <c r="CA32" s="228">
        <v>265</v>
      </c>
      <c r="CB32" s="229">
        <v>2.47E-2</v>
      </c>
      <c r="CC32" s="230">
        <v>10518</v>
      </c>
      <c r="CD32" s="230">
        <v>1182</v>
      </c>
      <c r="CE32" s="230">
        <v>9336</v>
      </c>
      <c r="CF32" s="229">
        <v>7.9006999999999996</v>
      </c>
      <c r="CG32" s="228">
        <v>471</v>
      </c>
      <c r="CH32" s="230">
        <v>10331</v>
      </c>
      <c r="CI32" s="230">
        <v>-9860</v>
      </c>
      <c r="CJ32" s="229">
        <v>-0.95440000000000003</v>
      </c>
      <c r="CK32" s="228">
        <v>3</v>
      </c>
      <c r="CL32" s="228">
        <v>397</v>
      </c>
      <c r="CM32" s="228">
        <v>-393</v>
      </c>
      <c r="CN32" s="229">
        <v>-0.99129999999999996</v>
      </c>
      <c r="CO32" s="230">
        <v>1013</v>
      </c>
      <c r="CP32" s="228">
        <v>606</v>
      </c>
      <c r="CQ32" s="228">
        <v>408</v>
      </c>
      <c r="CR32" s="229">
        <v>0.67269999999999996</v>
      </c>
      <c r="CS32" s="228">
        <v>739</v>
      </c>
      <c r="CT32" s="228">
        <v>462</v>
      </c>
      <c r="CU32" s="228">
        <v>277</v>
      </c>
      <c r="CV32" s="229">
        <v>0.59819999999999995</v>
      </c>
      <c r="CW32" s="230">
        <v>12745</v>
      </c>
      <c r="CX32" s="230">
        <v>11795</v>
      </c>
      <c r="CY32" s="228">
        <v>949</v>
      </c>
      <c r="CZ32" s="229">
        <v>8.0500000000000002E-2</v>
      </c>
      <c r="DA32" s="228">
        <v>24.27</v>
      </c>
      <c r="DB32" s="228">
        <v>23.76</v>
      </c>
      <c r="DC32" s="228">
        <v>0.51</v>
      </c>
      <c r="DD32" s="228">
        <v>0.51</v>
      </c>
      <c r="DE32" s="228">
        <v>23.7</v>
      </c>
      <c r="DF32" s="228">
        <v>23.73</v>
      </c>
      <c r="DG32" s="228">
        <v>0.56999999999999995</v>
      </c>
      <c r="DH32" s="228">
        <v>-0.03</v>
      </c>
      <c r="DI32" s="228">
        <v>24.18</v>
      </c>
      <c r="DJ32" s="228">
        <v>23.63</v>
      </c>
      <c r="DK32" s="228">
        <v>0.55000000000000004</v>
      </c>
      <c r="DL32" s="228">
        <v>0.55000000000000004</v>
      </c>
      <c r="DM32" s="228">
        <v>24.47</v>
      </c>
      <c r="DN32" s="228">
        <v>23.96</v>
      </c>
      <c r="DO32" s="228">
        <v>0.51</v>
      </c>
      <c r="DP32" s="228">
        <v>0.51</v>
      </c>
      <c r="DQ32" s="228">
        <v>0.73</v>
      </c>
      <c r="DR32" s="228">
        <v>0.76</v>
      </c>
      <c r="DS32" s="228">
        <v>-0.03</v>
      </c>
      <c r="DT32" s="229">
        <v>-3.95E-2</v>
      </c>
      <c r="DU32" s="231">
        <v>2000</v>
      </c>
      <c r="DV32" s="231">
        <v>2000</v>
      </c>
      <c r="DW32" s="228">
        <v>0.48</v>
      </c>
      <c r="DX32" s="228">
        <v>0.54</v>
      </c>
      <c r="DY32" s="228">
        <v>-0.06</v>
      </c>
      <c r="DZ32" s="229">
        <v>-0.1111</v>
      </c>
      <c r="EA32" s="229">
        <v>4.3200000000000002E-2</v>
      </c>
      <c r="EB32" s="230">
        <v>54486300</v>
      </c>
      <c r="EC32" s="229">
        <v>5.7999999999999996E-3</v>
      </c>
      <c r="ED32" s="229">
        <v>4.3200000000000002E-2</v>
      </c>
      <c r="EE32" s="228">
        <v>10.85</v>
      </c>
      <c r="EF32" s="229">
        <v>5.4999999999999997E-3</v>
      </c>
      <c r="EG32" s="230">
        <v>7640722</v>
      </c>
      <c r="EH32" s="230">
        <v>7956646</v>
      </c>
      <c r="EI32" s="229">
        <v>-3.9699999999999999E-2</v>
      </c>
      <c r="EJ32" s="229">
        <v>0.74480000000000002</v>
      </c>
      <c r="EK32" s="231">
        <v>2482.64</v>
      </c>
      <c r="EL32" s="231">
        <v>1104.8900000000001</v>
      </c>
      <c r="EM32" s="231">
        <v>1402.41</v>
      </c>
      <c r="EN32" s="228">
        <v>611.33000000000004</v>
      </c>
      <c r="EO32" s="231">
        <v>4989.9399999999996</v>
      </c>
      <c r="EP32" s="231">
        <v>9248.51</v>
      </c>
      <c r="EQ32" s="231">
        <v>-4258.57</v>
      </c>
      <c r="ER32" s="229">
        <v>-0.46050000000000002</v>
      </c>
      <c r="ES32" s="231">
        <v>1063.3499999999999</v>
      </c>
      <c r="ET32" s="228">
        <v>729.66</v>
      </c>
      <c r="EU32" s="231">
        <v>10995.17</v>
      </c>
      <c r="EV32" s="231">
        <v>367085962</v>
      </c>
      <c r="EW32" s="231">
        <v>12788.19</v>
      </c>
      <c r="EX32" s="231">
        <v>11935.82</v>
      </c>
      <c r="EY32" s="228">
        <v>852.37</v>
      </c>
      <c r="EZ32" s="229">
        <v>7.1400000000000005E-2</v>
      </c>
      <c r="FA32" s="229">
        <v>0.17630000000000001</v>
      </c>
      <c r="FB32" s="227" t="s">
        <v>567</v>
      </c>
      <c r="FC32">
        <f t="shared" si="0"/>
        <v>474</v>
      </c>
    </row>
    <row r="33" spans="1:159" ht="17.25" thickBot="1" x14ac:dyDescent="0.3">
      <c r="A33" s="226">
        <v>46050</v>
      </c>
      <c r="B33" s="227" t="s">
        <v>184</v>
      </c>
      <c r="C33" s="227" t="s">
        <v>190</v>
      </c>
      <c r="D33" s="228">
        <v>2625</v>
      </c>
      <c r="E33" s="228">
        <v>27</v>
      </c>
      <c r="F33" s="228">
        <v>260.8</v>
      </c>
      <c r="G33" s="228">
        <v>248.85</v>
      </c>
      <c r="H33" s="228">
        <v>11.95</v>
      </c>
      <c r="I33" s="229">
        <v>4.8000000000000001E-2</v>
      </c>
      <c r="J33" s="228">
        <v>259.64999999999998</v>
      </c>
      <c r="K33" s="228">
        <v>247.7</v>
      </c>
      <c r="L33" s="228">
        <v>11.95</v>
      </c>
      <c r="M33" s="229">
        <v>4.82E-2</v>
      </c>
      <c r="N33" s="228">
        <v>260.8</v>
      </c>
      <c r="O33" s="228">
        <v>247.4</v>
      </c>
      <c r="P33" s="228">
        <v>13.4</v>
      </c>
      <c r="Q33" s="229">
        <v>5.4199999999999998E-2</v>
      </c>
      <c r="R33" s="228">
        <v>262.64999999999998</v>
      </c>
      <c r="S33" s="228">
        <v>248.85</v>
      </c>
      <c r="T33" s="228">
        <v>13.8</v>
      </c>
      <c r="U33" s="229">
        <v>5.5500000000000001E-2</v>
      </c>
      <c r="V33" s="228">
        <v>264.05</v>
      </c>
      <c r="W33" s="228">
        <v>250.45</v>
      </c>
      <c r="X33" s="228">
        <v>13.6</v>
      </c>
      <c r="Y33" s="229">
        <v>5.4300000000000001E-2</v>
      </c>
      <c r="Z33" s="228">
        <v>1.1499999999999999</v>
      </c>
      <c r="AA33" s="228">
        <v>1.1499999999999999</v>
      </c>
      <c r="AB33" s="228">
        <v>0</v>
      </c>
      <c r="AC33" s="229">
        <v>4.4000000000000003E-3</v>
      </c>
      <c r="AD33" s="228">
        <v>1.1499999999999999</v>
      </c>
      <c r="AE33" s="228">
        <v>-0.3</v>
      </c>
      <c r="AF33" s="228">
        <v>1.45</v>
      </c>
      <c r="AG33" s="229">
        <v>4.4000000000000003E-3</v>
      </c>
      <c r="AH33" s="228">
        <v>3</v>
      </c>
      <c r="AI33" s="228">
        <v>1.1499999999999999</v>
      </c>
      <c r="AJ33" s="228">
        <v>1.85</v>
      </c>
      <c r="AK33" s="229">
        <v>1.1599999999999999E-2</v>
      </c>
      <c r="AL33" s="228">
        <v>4.4000000000000004</v>
      </c>
      <c r="AM33" s="228">
        <v>2.75</v>
      </c>
      <c r="AN33" s="228">
        <v>1.65</v>
      </c>
      <c r="AO33" s="229">
        <v>1.6899999999999998E-2</v>
      </c>
      <c r="AP33" s="228">
        <v>255.79</v>
      </c>
      <c r="AQ33" s="228">
        <v>257.39</v>
      </c>
      <c r="AR33" s="228">
        <v>0</v>
      </c>
      <c r="AS33" s="228">
        <v>712</v>
      </c>
      <c r="AT33" s="230">
        <v>1751</v>
      </c>
      <c r="AU33" s="230">
        <v>-1039</v>
      </c>
      <c r="AV33" s="229">
        <v>-0.59340000000000004</v>
      </c>
      <c r="AW33" s="228">
        <v>675</v>
      </c>
      <c r="AX33" s="228">
        <v>830</v>
      </c>
      <c r="AY33" s="228">
        <v>-155</v>
      </c>
      <c r="AZ33" s="229">
        <v>-0.18659999999999999</v>
      </c>
      <c r="BA33" s="228">
        <v>32</v>
      </c>
      <c r="BB33" s="228">
        <v>897</v>
      </c>
      <c r="BC33" s="228">
        <v>-865</v>
      </c>
      <c r="BD33" s="229">
        <v>-0.96460000000000001</v>
      </c>
      <c r="BE33" s="228">
        <v>5</v>
      </c>
      <c r="BF33" s="228">
        <v>25</v>
      </c>
      <c r="BG33" s="228">
        <v>-19</v>
      </c>
      <c r="BH33" s="229">
        <v>-0.7772</v>
      </c>
      <c r="BI33" s="230">
        <v>2141</v>
      </c>
      <c r="BJ33" s="230">
        <v>1479</v>
      </c>
      <c r="BK33" s="228">
        <v>662</v>
      </c>
      <c r="BL33" s="229">
        <v>0.44779999999999998</v>
      </c>
      <c r="BM33" s="228">
        <v>618</v>
      </c>
      <c r="BN33" s="230">
        <v>1032</v>
      </c>
      <c r="BO33" s="228">
        <v>-414</v>
      </c>
      <c r="BP33" s="229">
        <v>-0.40089999999999998</v>
      </c>
      <c r="BQ33" s="230">
        <v>3472</v>
      </c>
      <c r="BR33" s="230">
        <v>4262</v>
      </c>
      <c r="BS33" s="228">
        <v>-791</v>
      </c>
      <c r="BT33" s="229">
        <v>-0.1855</v>
      </c>
      <c r="BU33" s="230">
        <v>8962395</v>
      </c>
      <c r="BV33" s="230">
        <v>10243974</v>
      </c>
      <c r="BW33" s="230">
        <v>-1281579</v>
      </c>
      <c r="BX33" s="229">
        <v>-0.12509999999999999</v>
      </c>
      <c r="BY33" s="230">
        <v>2088</v>
      </c>
      <c r="BZ33" s="230">
        <v>2021</v>
      </c>
      <c r="CA33" s="228">
        <v>67</v>
      </c>
      <c r="CB33" s="229">
        <v>3.3099999999999997E-2</v>
      </c>
      <c r="CC33" s="230">
        <v>2035</v>
      </c>
      <c r="CD33" s="228">
        <v>151</v>
      </c>
      <c r="CE33" s="230">
        <v>1883</v>
      </c>
      <c r="CF33" s="229">
        <v>12.4536</v>
      </c>
      <c r="CG33" s="228">
        <v>51</v>
      </c>
      <c r="CH33" s="230">
        <v>1973</v>
      </c>
      <c r="CI33" s="230">
        <v>-1923</v>
      </c>
      <c r="CJ33" s="229">
        <v>-0.97440000000000004</v>
      </c>
      <c r="CK33" s="228">
        <v>3</v>
      </c>
      <c r="CL33" s="228">
        <v>48</v>
      </c>
      <c r="CM33" s="228">
        <v>-45</v>
      </c>
      <c r="CN33" s="229">
        <v>-0.94410000000000005</v>
      </c>
      <c r="CO33" s="230">
        <v>1044</v>
      </c>
      <c r="CP33" s="228">
        <v>823</v>
      </c>
      <c r="CQ33" s="228">
        <v>222</v>
      </c>
      <c r="CR33" s="229">
        <v>0.26929999999999998</v>
      </c>
      <c r="CS33" s="228">
        <v>496</v>
      </c>
      <c r="CT33" s="228">
        <v>446</v>
      </c>
      <c r="CU33" s="228">
        <v>49</v>
      </c>
      <c r="CV33" s="229">
        <v>0.1104</v>
      </c>
      <c r="CW33" s="230">
        <v>3628</v>
      </c>
      <c r="CX33" s="230">
        <v>3290</v>
      </c>
      <c r="CY33" s="228">
        <v>338</v>
      </c>
      <c r="CZ33" s="229">
        <v>0.1026</v>
      </c>
      <c r="DA33" s="228">
        <v>39.200000000000003</v>
      </c>
      <c r="DB33" s="228">
        <v>39.28</v>
      </c>
      <c r="DC33" s="228">
        <v>-0.08</v>
      </c>
      <c r="DD33" s="228">
        <v>-0.08</v>
      </c>
      <c r="DE33" s="228">
        <v>45.92</v>
      </c>
      <c r="DF33" s="228">
        <v>45.59</v>
      </c>
      <c r="DG33" s="228">
        <v>-6.72</v>
      </c>
      <c r="DH33" s="228">
        <v>0.33</v>
      </c>
      <c r="DI33" s="228">
        <v>38.97</v>
      </c>
      <c r="DJ33" s="228">
        <v>39.32</v>
      </c>
      <c r="DK33" s="228">
        <v>-0.35</v>
      </c>
      <c r="DL33" s="228">
        <v>-0.35</v>
      </c>
      <c r="DM33" s="228">
        <v>39.99</v>
      </c>
      <c r="DN33" s="228">
        <v>39.22</v>
      </c>
      <c r="DO33" s="228">
        <v>0.77</v>
      </c>
      <c r="DP33" s="228">
        <v>0.77</v>
      </c>
      <c r="DQ33" s="228">
        <v>0.47</v>
      </c>
      <c r="DR33" s="228">
        <v>0.54</v>
      </c>
      <c r="DS33" s="228">
        <v>-7.0000000000000007E-2</v>
      </c>
      <c r="DT33" s="229">
        <v>-0.12959999999999999</v>
      </c>
      <c r="DU33" s="228">
        <v>300</v>
      </c>
      <c r="DV33" s="228">
        <v>250</v>
      </c>
      <c r="DW33" s="228">
        <v>0.28999999999999998</v>
      </c>
      <c r="DX33" s="228">
        <v>0.7</v>
      </c>
      <c r="DY33" s="228">
        <v>-0.41</v>
      </c>
      <c r="DZ33" s="229">
        <v>-0.5857</v>
      </c>
      <c r="EA33" s="229">
        <v>2.5499999999999998E-2</v>
      </c>
      <c r="EB33" s="230">
        <v>77490000</v>
      </c>
      <c r="EC33" s="229">
        <v>7.1000000000000004E-3</v>
      </c>
      <c r="ED33" s="229">
        <v>2.5499999999999998E-2</v>
      </c>
      <c r="EE33" s="228">
        <v>1.6</v>
      </c>
      <c r="EF33" s="229">
        <v>6.3E-3</v>
      </c>
      <c r="EG33" s="230">
        <v>2672754</v>
      </c>
      <c r="EH33" s="230">
        <v>3929281</v>
      </c>
      <c r="EI33" s="229">
        <v>-0.31979999999999997</v>
      </c>
      <c r="EJ33" s="229">
        <v>0.29820000000000002</v>
      </c>
      <c r="EK33" s="231">
        <v>2278.7199999999998</v>
      </c>
      <c r="EL33" s="228">
        <v>596.32000000000005</v>
      </c>
      <c r="EM33" s="228">
        <v>698.79</v>
      </c>
      <c r="EN33" s="228">
        <v>230.9</v>
      </c>
      <c r="EO33" s="231">
        <v>3573.83</v>
      </c>
      <c r="EP33" s="231">
        <v>4169.75</v>
      </c>
      <c r="EQ33" s="228">
        <v>-595.91999999999996</v>
      </c>
      <c r="ER33" s="229">
        <v>-0.1429</v>
      </c>
      <c r="ES33" s="231">
        <v>1123.52</v>
      </c>
      <c r="ET33" s="228">
        <v>473.95</v>
      </c>
      <c r="EU33" s="231">
        <v>2088.2199999999998</v>
      </c>
      <c r="EV33" s="231">
        <v>192361942</v>
      </c>
      <c r="EW33" s="231">
        <v>3685.69</v>
      </c>
      <c r="EX33" s="231">
        <v>3238.44</v>
      </c>
      <c r="EY33" s="228">
        <v>447.25</v>
      </c>
      <c r="EZ33" s="229">
        <v>0.1381</v>
      </c>
      <c r="FA33" s="229">
        <v>0.72309999999999997</v>
      </c>
      <c r="FB33" s="227" t="s">
        <v>555</v>
      </c>
      <c r="FC33">
        <f t="shared" si="0"/>
        <v>53</v>
      </c>
    </row>
    <row r="34" spans="1:159" ht="17.25" thickBot="1" x14ac:dyDescent="0.3">
      <c r="A34" s="226">
        <v>46050</v>
      </c>
      <c r="B34" s="227" t="s">
        <v>170</v>
      </c>
      <c r="C34" s="227" t="s">
        <v>191</v>
      </c>
      <c r="D34" s="228">
        <v>2500</v>
      </c>
      <c r="E34" s="228">
        <v>27</v>
      </c>
      <c r="F34" s="228">
        <v>371.85</v>
      </c>
      <c r="G34" s="228">
        <v>367</v>
      </c>
      <c r="H34" s="228">
        <v>4.8499999999999996</v>
      </c>
      <c r="I34" s="229">
        <v>1.32E-2</v>
      </c>
      <c r="J34" s="228">
        <v>370.5</v>
      </c>
      <c r="K34" s="228">
        <v>365.25</v>
      </c>
      <c r="L34" s="228">
        <v>5.25</v>
      </c>
      <c r="M34" s="229">
        <v>1.44E-2</v>
      </c>
      <c r="N34" s="228">
        <v>371.85</v>
      </c>
      <c r="O34" s="228">
        <v>365.25</v>
      </c>
      <c r="P34" s="228">
        <v>6.6</v>
      </c>
      <c r="Q34" s="229">
        <v>1.8100000000000002E-2</v>
      </c>
      <c r="R34" s="228">
        <v>374.45</v>
      </c>
      <c r="S34" s="228">
        <v>367</v>
      </c>
      <c r="T34" s="228">
        <v>7.45</v>
      </c>
      <c r="U34" s="229">
        <v>2.0299999999999999E-2</v>
      </c>
      <c r="V34" s="228">
        <v>376.4</v>
      </c>
      <c r="W34" s="228">
        <v>369.8</v>
      </c>
      <c r="X34" s="228">
        <v>6.6</v>
      </c>
      <c r="Y34" s="229">
        <v>1.78E-2</v>
      </c>
      <c r="Z34" s="228">
        <v>1.35</v>
      </c>
      <c r="AA34" s="228">
        <v>1.75</v>
      </c>
      <c r="AB34" s="228">
        <v>-0.4</v>
      </c>
      <c r="AC34" s="229">
        <v>3.5999999999999999E-3</v>
      </c>
      <c r="AD34" s="228">
        <v>1.35</v>
      </c>
      <c r="AE34" s="228">
        <v>0</v>
      </c>
      <c r="AF34" s="228">
        <v>1.35</v>
      </c>
      <c r="AG34" s="229">
        <v>3.5999999999999999E-3</v>
      </c>
      <c r="AH34" s="228">
        <v>3.95</v>
      </c>
      <c r="AI34" s="228">
        <v>1.75</v>
      </c>
      <c r="AJ34" s="228">
        <v>2.2000000000000002</v>
      </c>
      <c r="AK34" s="229">
        <v>1.0699999999999999E-2</v>
      </c>
      <c r="AL34" s="228">
        <v>5.9</v>
      </c>
      <c r="AM34" s="228">
        <v>4.55</v>
      </c>
      <c r="AN34" s="228">
        <v>1.35</v>
      </c>
      <c r="AO34" s="229">
        <v>1.5900000000000001E-2</v>
      </c>
      <c r="AP34" s="228">
        <v>369.13</v>
      </c>
      <c r="AQ34" s="228">
        <v>371.6</v>
      </c>
      <c r="AR34" s="228">
        <v>0</v>
      </c>
      <c r="AS34" s="228">
        <v>212</v>
      </c>
      <c r="AT34" s="230">
        <v>1617</v>
      </c>
      <c r="AU34" s="230">
        <v>-1405</v>
      </c>
      <c r="AV34" s="229">
        <v>-0.86880000000000002</v>
      </c>
      <c r="AW34" s="228">
        <v>202</v>
      </c>
      <c r="AX34" s="228">
        <v>787</v>
      </c>
      <c r="AY34" s="228">
        <v>-585</v>
      </c>
      <c r="AZ34" s="229">
        <v>-0.74339999999999995</v>
      </c>
      <c r="BA34" s="228">
        <v>10</v>
      </c>
      <c r="BB34" s="228">
        <v>818</v>
      </c>
      <c r="BC34" s="228">
        <v>-808</v>
      </c>
      <c r="BD34" s="229">
        <v>-0.98780000000000001</v>
      </c>
      <c r="BE34" s="228">
        <v>0</v>
      </c>
      <c r="BF34" s="228">
        <v>12</v>
      </c>
      <c r="BG34" s="228">
        <v>-12</v>
      </c>
      <c r="BH34" s="229">
        <v>-0.96950000000000003</v>
      </c>
      <c r="BI34" s="228">
        <v>377</v>
      </c>
      <c r="BJ34" s="228">
        <v>768</v>
      </c>
      <c r="BK34" s="228">
        <v>-391</v>
      </c>
      <c r="BL34" s="229">
        <v>-0.50880000000000003</v>
      </c>
      <c r="BM34" s="228">
        <v>146</v>
      </c>
      <c r="BN34" s="228">
        <v>527</v>
      </c>
      <c r="BO34" s="228">
        <v>-382</v>
      </c>
      <c r="BP34" s="229">
        <v>-0.72399999999999998</v>
      </c>
      <c r="BQ34" s="228">
        <v>735</v>
      </c>
      <c r="BR34" s="230">
        <v>2912</v>
      </c>
      <c r="BS34" s="230">
        <v>-2177</v>
      </c>
      <c r="BT34" s="229">
        <v>-0.74760000000000004</v>
      </c>
      <c r="BU34" s="230">
        <v>2574229</v>
      </c>
      <c r="BV34" s="230">
        <v>3514122</v>
      </c>
      <c r="BW34" s="230">
        <v>-939893</v>
      </c>
      <c r="BX34" s="229">
        <v>-0.26750000000000002</v>
      </c>
      <c r="BY34" s="230">
        <v>1497</v>
      </c>
      <c r="BZ34" s="230">
        <v>1503</v>
      </c>
      <c r="CA34" s="228">
        <v>-6</v>
      </c>
      <c r="CB34" s="229">
        <v>-4.1000000000000003E-3</v>
      </c>
      <c r="CC34" s="230">
        <v>1471</v>
      </c>
      <c r="CD34" s="228">
        <v>263</v>
      </c>
      <c r="CE34" s="230">
        <v>1208</v>
      </c>
      <c r="CF34" s="229">
        <v>4.5879000000000003</v>
      </c>
      <c r="CG34" s="228">
        <v>26</v>
      </c>
      <c r="CH34" s="230">
        <v>1479</v>
      </c>
      <c r="CI34" s="230">
        <v>-1454</v>
      </c>
      <c r="CJ34" s="229">
        <v>-0.98250000000000004</v>
      </c>
      <c r="CK34" s="228">
        <v>0</v>
      </c>
      <c r="CL34" s="228">
        <v>24</v>
      </c>
      <c r="CM34" s="228">
        <v>-24</v>
      </c>
      <c r="CN34" s="229">
        <v>-0.99219999999999997</v>
      </c>
      <c r="CO34" s="228">
        <v>280</v>
      </c>
      <c r="CP34" s="228">
        <v>235</v>
      </c>
      <c r="CQ34" s="228">
        <v>45</v>
      </c>
      <c r="CR34" s="229">
        <v>0.19339999999999999</v>
      </c>
      <c r="CS34" s="228">
        <v>274</v>
      </c>
      <c r="CT34" s="228">
        <v>241</v>
      </c>
      <c r="CU34" s="228">
        <v>33</v>
      </c>
      <c r="CV34" s="229">
        <v>0.13489999999999999</v>
      </c>
      <c r="CW34" s="230">
        <v>2051</v>
      </c>
      <c r="CX34" s="230">
        <v>1980</v>
      </c>
      <c r="CY34" s="228">
        <v>72</v>
      </c>
      <c r="CZ34" s="229">
        <v>3.6299999999999999E-2</v>
      </c>
      <c r="DA34" s="228">
        <v>31.21</v>
      </c>
      <c r="DB34" s="228">
        <v>32.21</v>
      </c>
      <c r="DC34" s="228">
        <v>-1</v>
      </c>
      <c r="DD34" s="228">
        <v>-1</v>
      </c>
      <c r="DE34" s="228">
        <v>37.1</v>
      </c>
      <c r="DF34" s="228">
        <v>37.15</v>
      </c>
      <c r="DG34" s="228">
        <v>-5.89</v>
      </c>
      <c r="DH34" s="228">
        <v>-0.05</v>
      </c>
      <c r="DI34" s="228">
        <v>30.54</v>
      </c>
      <c r="DJ34" s="228">
        <v>31.53</v>
      </c>
      <c r="DK34" s="228">
        <v>-0.99</v>
      </c>
      <c r="DL34" s="228">
        <v>-0.99</v>
      </c>
      <c r="DM34" s="228">
        <v>32.950000000000003</v>
      </c>
      <c r="DN34" s="228">
        <v>33.25</v>
      </c>
      <c r="DO34" s="228">
        <v>-0.3</v>
      </c>
      <c r="DP34" s="228">
        <v>-0.3</v>
      </c>
      <c r="DQ34" s="228">
        <v>0.98</v>
      </c>
      <c r="DR34" s="228">
        <v>1.03</v>
      </c>
      <c r="DS34" s="228">
        <v>-0.05</v>
      </c>
      <c r="DT34" s="229">
        <v>-4.8500000000000001E-2</v>
      </c>
      <c r="DU34" s="228">
        <v>400</v>
      </c>
      <c r="DV34" s="228">
        <v>350</v>
      </c>
      <c r="DW34" s="228">
        <v>0.39</v>
      </c>
      <c r="DX34" s="228">
        <v>0.69</v>
      </c>
      <c r="DY34" s="228">
        <v>-0.3</v>
      </c>
      <c r="DZ34" s="229">
        <v>-0.43480000000000002</v>
      </c>
      <c r="EA34" s="229">
        <v>1.7399999999999999E-2</v>
      </c>
      <c r="EB34" s="230">
        <v>40430000</v>
      </c>
      <c r="EC34" s="229">
        <v>7.0000000000000001E-3</v>
      </c>
      <c r="ED34" s="229">
        <v>1.7399999999999999E-2</v>
      </c>
      <c r="EE34" s="228">
        <v>2.4700000000000002</v>
      </c>
      <c r="EF34" s="229">
        <v>6.7000000000000002E-3</v>
      </c>
      <c r="EG34" s="230">
        <v>1513577</v>
      </c>
      <c r="EH34" s="230">
        <v>1892508</v>
      </c>
      <c r="EI34" s="229">
        <v>-0.20019999999999999</v>
      </c>
      <c r="EJ34" s="229">
        <v>0.58799999999999997</v>
      </c>
      <c r="EK34" s="228">
        <v>398.74</v>
      </c>
      <c r="EL34" s="228">
        <v>142.54</v>
      </c>
      <c r="EM34" s="228">
        <v>210.66</v>
      </c>
      <c r="EN34" s="228">
        <v>119.09</v>
      </c>
      <c r="EO34" s="228">
        <v>751.95</v>
      </c>
      <c r="EP34" s="231">
        <v>2928.87</v>
      </c>
      <c r="EQ34" s="231">
        <v>-2176.92</v>
      </c>
      <c r="ER34" s="229">
        <v>-0.74329999999999996</v>
      </c>
      <c r="ES34" s="228">
        <v>294.52</v>
      </c>
      <c r="ET34" s="228">
        <v>269.3</v>
      </c>
      <c r="EU34" s="231">
        <v>1497.44</v>
      </c>
      <c r="EV34" s="231">
        <v>91057772</v>
      </c>
      <c r="EW34" s="231">
        <v>2061.2600000000002</v>
      </c>
      <c r="EX34" s="231">
        <v>1970.1</v>
      </c>
      <c r="EY34" s="228">
        <v>91.16</v>
      </c>
      <c r="EZ34" s="229">
        <v>4.6300000000000001E-2</v>
      </c>
      <c r="FA34" s="229">
        <v>0.60589999999999999</v>
      </c>
      <c r="FB34" s="227" t="s">
        <v>556</v>
      </c>
      <c r="FC34">
        <f t="shared" si="0"/>
        <v>26</v>
      </c>
    </row>
    <row r="35" spans="1:159" ht="17.25" thickBot="1" x14ac:dyDescent="0.3">
      <c r="A35" s="226">
        <v>46050</v>
      </c>
      <c r="B35" s="227" t="s">
        <v>184</v>
      </c>
      <c r="C35" s="227" t="s">
        <v>678</v>
      </c>
      <c r="D35" s="228">
        <v>325</v>
      </c>
      <c r="E35" s="228">
        <v>27</v>
      </c>
      <c r="F35" s="231">
        <v>1711.9</v>
      </c>
      <c r="G35" s="231">
        <v>1675</v>
      </c>
      <c r="H35" s="228">
        <v>36.9</v>
      </c>
      <c r="I35" s="229">
        <v>2.1999999999999999E-2</v>
      </c>
      <c r="J35" s="231">
        <v>1701.5</v>
      </c>
      <c r="K35" s="231">
        <v>1667.5</v>
      </c>
      <c r="L35" s="228">
        <v>34</v>
      </c>
      <c r="M35" s="229">
        <v>2.0400000000000001E-2</v>
      </c>
      <c r="N35" s="231">
        <v>1711.9</v>
      </c>
      <c r="O35" s="231">
        <v>1668.7</v>
      </c>
      <c r="P35" s="228">
        <v>43.2</v>
      </c>
      <c r="Q35" s="229">
        <v>2.5899999999999999E-2</v>
      </c>
      <c r="R35" s="231">
        <v>1712.4</v>
      </c>
      <c r="S35" s="231">
        <v>1675</v>
      </c>
      <c r="T35" s="228">
        <v>37.4</v>
      </c>
      <c r="U35" s="229">
        <v>2.23E-2</v>
      </c>
      <c r="V35" s="228">
        <v>0</v>
      </c>
      <c r="W35" s="231">
        <v>1677.7</v>
      </c>
      <c r="X35" s="228">
        <v>0</v>
      </c>
      <c r="Y35" s="229">
        <v>0</v>
      </c>
      <c r="Z35" s="228">
        <v>10.4</v>
      </c>
      <c r="AA35" s="228">
        <v>7.5</v>
      </c>
      <c r="AB35" s="228">
        <v>2.9</v>
      </c>
      <c r="AC35" s="229">
        <v>6.1000000000000004E-3</v>
      </c>
      <c r="AD35" s="228">
        <v>10.4</v>
      </c>
      <c r="AE35" s="228">
        <v>1.2</v>
      </c>
      <c r="AF35" s="228">
        <v>9.1999999999999993</v>
      </c>
      <c r="AG35" s="229">
        <v>6.1000000000000004E-3</v>
      </c>
      <c r="AH35" s="228">
        <v>10.9</v>
      </c>
      <c r="AI35" s="228">
        <v>7.5</v>
      </c>
      <c r="AJ35" s="228">
        <v>3.4</v>
      </c>
      <c r="AK35" s="229">
        <v>6.4000000000000003E-3</v>
      </c>
      <c r="AL35" s="228">
        <v>0</v>
      </c>
      <c r="AM35" s="228">
        <v>10.199999999999999</v>
      </c>
      <c r="AN35" s="228">
        <v>0</v>
      </c>
      <c r="AO35" s="229">
        <v>0</v>
      </c>
      <c r="AP35" s="231">
        <v>1688.93</v>
      </c>
      <c r="AQ35" s="231">
        <v>1694.03</v>
      </c>
      <c r="AR35" s="228">
        <v>0</v>
      </c>
      <c r="AS35" s="228">
        <v>127</v>
      </c>
      <c r="AT35" s="228">
        <v>245</v>
      </c>
      <c r="AU35" s="228">
        <v>-118</v>
      </c>
      <c r="AV35" s="229">
        <v>-0.4829</v>
      </c>
      <c r="AW35" s="228">
        <v>124</v>
      </c>
      <c r="AX35" s="228">
        <v>103</v>
      </c>
      <c r="AY35" s="228">
        <v>22</v>
      </c>
      <c r="AZ35" s="229">
        <v>0.20979999999999999</v>
      </c>
      <c r="BA35" s="228">
        <v>2</v>
      </c>
      <c r="BB35" s="228">
        <v>142</v>
      </c>
      <c r="BC35" s="228">
        <v>-139</v>
      </c>
      <c r="BD35" s="229">
        <v>-0.98309999999999997</v>
      </c>
      <c r="BE35" s="228">
        <v>0</v>
      </c>
      <c r="BF35" s="228">
        <v>1</v>
      </c>
      <c r="BG35" s="228">
        <v>0</v>
      </c>
      <c r="BH35" s="229">
        <v>0</v>
      </c>
      <c r="BI35" s="228">
        <v>58</v>
      </c>
      <c r="BJ35" s="228">
        <v>112</v>
      </c>
      <c r="BK35" s="228">
        <v>-54</v>
      </c>
      <c r="BL35" s="229">
        <v>-0.48139999999999999</v>
      </c>
      <c r="BM35" s="228">
        <v>53</v>
      </c>
      <c r="BN35" s="228">
        <v>376</v>
      </c>
      <c r="BO35" s="228">
        <v>-323</v>
      </c>
      <c r="BP35" s="229">
        <v>-0.85919999999999996</v>
      </c>
      <c r="BQ35" s="228">
        <v>238</v>
      </c>
      <c r="BR35" s="228">
        <v>734</v>
      </c>
      <c r="BS35" s="228">
        <v>-496</v>
      </c>
      <c r="BT35" s="229">
        <v>-0.67559999999999998</v>
      </c>
      <c r="BU35" s="230">
        <v>618185</v>
      </c>
      <c r="BV35" s="230">
        <v>621834</v>
      </c>
      <c r="BW35" s="230">
        <v>-3649</v>
      </c>
      <c r="BX35" s="229">
        <v>-5.8999999999999999E-3</v>
      </c>
      <c r="BY35" s="228">
        <v>427</v>
      </c>
      <c r="BZ35" s="228">
        <v>405</v>
      </c>
      <c r="CA35" s="228">
        <v>22</v>
      </c>
      <c r="CB35" s="229">
        <v>5.4300000000000001E-2</v>
      </c>
      <c r="CC35" s="228">
        <v>426</v>
      </c>
      <c r="CD35" s="228">
        <v>28</v>
      </c>
      <c r="CE35" s="228">
        <v>398</v>
      </c>
      <c r="CF35" s="229">
        <v>14.2371</v>
      </c>
      <c r="CG35" s="228">
        <v>1</v>
      </c>
      <c r="CH35" s="228">
        <v>404</v>
      </c>
      <c r="CI35" s="228">
        <v>-403</v>
      </c>
      <c r="CJ35" s="229">
        <v>-0.997</v>
      </c>
      <c r="CK35" s="228">
        <v>0</v>
      </c>
      <c r="CL35" s="228">
        <v>1</v>
      </c>
      <c r="CM35" s="228">
        <v>-1</v>
      </c>
      <c r="CN35" s="229">
        <v>-1</v>
      </c>
      <c r="CO35" s="228">
        <v>36</v>
      </c>
      <c r="CP35" s="228">
        <v>17</v>
      </c>
      <c r="CQ35" s="228">
        <v>19</v>
      </c>
      <c r="CR35" s="229">
        <v>1.0670999999999999</v>
      </c>
      <c r="CS35" s="228">
        <v>36</v>
      </c>
      <c r="CT35" s="228">
        <v>24</v>
      </c>
      <c r="CU35" s="228">
        <v>12</v>
      </c>
      <c r="CV35" s="229">
        <v>0.50229999999999997</v>
      </c>
      <c r="CW35" s="228">
        <v>499</v>
      </c>
      <c r="CX35" s="228">
        <v>446</v>
      </c>
      <c r="CY35" s="228">
        <v>53</v>
      </c>
      <c r="CZ35" s="229">
        <v>0.1181</v>
      </c>
      <c r="DA35" s="228">
        <v>41.12</v>
      </c>
      <c r="DB35" s="228">
        <v>43</v>
      </c>
      <c r="DC35" s="228">
        <v>-1.88</v>
      </c>
      <c r="DD35" s="228">
        <v>-1.88</v>
      </c>
      <c r="DE35" s="228">
        <v>38.74</v>
      </c>
      <c r="DF35" s="228">
        <v>38.75</v>
      </c>
      <c r="DG35" s="228">
        <v>2.38</v>
      </c>
      <c r="DH35" s="228">
        <v>-0.01</v>
      </c>
      <c r="DI35" s="228">
        <v>37.909999999999997</v>
      </c>
      <c r="DJ35" s="228">
        <v>39.380000000000003</v>
      </c>
      <c r="DK35" s="228">
        <v>-1.47</v>
      </c>
      <c r="DL35" s="228">
        <v>-1.47</v>
      </c>
      <c r="DM35" s="228">
        <v>44.65</v>
      </c>
      <c r="DN35" s="228">
        <v>44.5</v>
      </c>
      <c r="DO35" s="228">
        <v>0.15</v>
      </c>
      <c r="DP35" s="228">
        <v>0.15</v>
      </c>
      <c r="DQ35" s="228">
        <v>1.01</v>
      </c>
      <c r="DR35" s="228">
        <v>1.39</v>
      </c>
      <c r="DS35" s="228">
        <v>-0.38</v>
      </c>
      <c r="DT35" s="229">
        <v>-0.27339999999999998</v>
      </c>
      <c r="DU35" s="231">
        <v>1720</v>
      </c>
      <c r="DV35" s="231">
        <v>1600</v>
      </c>
      <c r="DW35" s="228">
        <v>0.91</v>
      </c>
      <c r="DX35" s="228">
        <v>3.35</v>
      </c>
      <c r="DY35" s="228">
        <v>-2.44</v>
      </c>
      <c r="DZ35" s="229">
        <v>-0.72840000000000005</v>
      </c>
      <c r="EA35" s="229">
        <v>2.8999999999999998E-3</v>
      </c>
      <c r="EB35" s="230">
        <v>2364700</v>
      </c>
      <c r="EC35" s="229">
        <v>2.9999999999999997E-4</v>
      </c>
      <c r="ED35" s="229">
        <v>2.8999999999999998E-3</v>
      </c>
      <c r="EE35" s="228">
        <v>5.0999999999999996</v>
      </c>
      <c r="EF35" s="229">
        <v>3.0000000000000001E-3</v>
      </c>
      <c r="EG35" s="230">
        <v>376290</v>
      </c>
      <c r="EH35" s="230">
        <v>304534</v>
      </c>
      <c r="EI35" s="229">
        <v>0.2356</v>
      </c>
      <c r="EJ35" s="229">
        <v>0.60870000000000002</v>
      </c>
      <c r="EK35" s="228">
        <v>61.66</v>
      </c>
      <c r="EL35" s="228">
        <v>51.59</v>
      </c>
      <c r="EM35" s="228">
        <v>125.16</v>
      </c>
      <c r="EN35" s="228">
        <v>70.069999999999993</v>
      </c>
      <c r="EO35" s="228">
        <v>238.4</v>
      </c>
      <c r="EP35" s="228">
        <v>721.86</v>
      </c>
      <c r="EQ35" s="228">
        <v>-483.46</v>
      </c>
      <c r="ER35" s="229">
        <v>-0.66969999999999996</v>
      </c>
      <c r="ES35" s="228">
        <v>38.119999999999997</v>
      </c>
      <c r="ET35" s="228">
        <v>34.32</v>
      </c>
      <c r="EU35" s="228">
        <v>426.79</v>
      </c>
      <c r="EV35" s="231">
        <v>17213286</v>
      </c>
      <c r="EW35" s="228">
        <v>499.23</v>
      </c>
      <c r="EX35" s="228">
        <v>437.81</v>
      </c>
      <c r="EY35" s="228">
        <v>61.42</v>
      </c>
      <c r="EZ35" s="229">
        <v>0.14030000000000001</v>
      </c>
      <c r="FA35" s="229">
        <v>0.1694</v>
      </c>
      <c r="FB35" s="227" t="s">
        <v>555</v>
      </c>
      <c r="FC35">
        <f t="shared" si="0"/>
        <v>1</v>
      </c>
    </row>
    <row r="36" spans="1:159" ht="17.25" thickBot="1" x14ac:dyDescent="0.3">
      <c r="A36" s="226">
        <v>46050</v>
      </c>
      <c r="B36" s="227" t="s">
        <v>162</v>
      </c>
      <c r="C36" s="227" t="s">
        <v>192</v>
      </c>
      <c r="D36" s="228">
        <v>25</v>
      </c>
      <c r="E36" s="228">
        <v>27</v>
      </c>
      <c r="F36" s="231">
        <v>36100</v>
      </c>
      <c r="G36" s="231">
        <v>35400</v>
      </c>
      <c r="H36" s="228">
        <v>700</v>
      </c>
      <c r="I36" s="229">
        <v>1.9800000000000002E-2</v>
      </c>
      <c r="J36" s="231">
        <v>36185</v>
      </c>
      <c r="K36" s="231">
        <v>35310</v>
      </c>
      <c r="L36" s="228">
        <v>875</v>
      </c>
      <c r="M36" s="229">
        <v>2.4799999999999999E-2</v>
      </c>
      <c r="N36" s="231">
        <v>36100</v>
      </c>
      <c r="O36" s="231">
        <v>35295</v>
      </c>
      <c r="P36" s="228">
        <v>805</v>
      </c>
      <c r="Q36" s="229">
        <v>2.2800000000000001E-2</v>
      </c>
      <c r="R36" s="231">
        <v>36250</v>
      </c>
      <c r="S36" s="231">
        <v>35400</v>
      </c>
      <c r="T36" s="228">
        <v>850</v>
      </c>
      <c r="U36" s="229">
        <v>2.4E-2</v>
      </c>
      <c r="V36" s="228">
        <v>0</v>
      </c>
      <c r="W36" s="231">
        <v>35585</v>
      </c>
      <c r="X36" s="228">
        <v>0</v>
      </c>
      <c r="Y36" s="229">
        <v>0</v>
      </c>
      <c r="Z36" s="228">
        <v>-85</v>
      </c>
      <c r="AA36" s="228">
        <v>90</v>
      </c>
      <c r="AB36" s="228">
        <v>-175</v>
      </c>
      <c r="AC36" s="229">
        <v>-2.3E-3</v>
      </c>
      <c r="AD36" s="228">
        <v>-85</v>
      </c>
      <c r="AE36" s="228">
        <v>-15</v>
      </c>
      <c r="AF36" s="228">
        <v>-70</v>
      </c>
      <c r="AG36" s="229">
        <v>-2.3E-3</v>
      </c>
      <c r="AH36" s="228">
        <v>65</v>
      </c>
      <c r="AI36" s="228">
        <v>90</v>
      </c>
      <c r="AJ36" s="228">
        <v>-25</v>
      </c>
      <c r="AK36" s="229">
        <v>1.8E-3</v>
      </c>
      <c r="AL36" s="228">
        <v>0</v>
      </c>
      <c r="AM36" s="228">
        <v>275</v>
      </c>
      <c r="AN36" s="228">
        <v>0</v>
      </c>
      <c r="AO36" s="229">
        <v>0</v>
      </c>
      <c r="AP36" s="231">
        <v>35708.32</v>
      </c>
      <c r="AQ36" s="231">
        <v>35976.94</v>
      </c>
      <c r="AR36" s="228">
        <v>0</v>
      </c>
      <c r="AS36" s="228">
        <v>148</v>
      </c>
      <c r="AT36" s="228">
        <v>527</v>
      </c>
      <c r="AU36" s="228">
        <v>-380</v>
      </c>
      <c r="AV36" s="229">
        <v>-0.72</v>
      </c>
      <c r="AW36" s="228">
        <v>138</v>
      </c>
      <c r="AX36" s="228">
        <v>235</v>
      </c>
      <c r="AY36" s="228">
        <v>-98</v>
      </c>
      <c r="AZ36" s="229">
        <v>-0.41520000000000001</v>
      </c>
      <c r="BA36" s="228">
        <v>10</v>
      </c>
      <c r="BB36" s="228">
        <v>290</v>
      </c>
      <c r="BC36" s="228">
        <v>-280</v>
      </c>
      <c r="BD36" s="229">
        <v>-0.96540000000000004</v>
      </c>
      <c r="BE36" s="228">
        <v>0</v>
      </c>
      <c r="BF36" s="228">
        <v>2</v>
      </c>
      <c r="BG36" s="228">
        <v>0</v>
      </c>
      <c r="BH36" s="229">
        <v>0</v>
      </c>
      <c r="BI36" s="228">
        <v>264</v>
      </c>
      <c r="BJ36" s="230">
        <v>1496</v>
      </c>
      <c r="BK36" s="230">
        <v>-1232</v>
      </c>
      <c r="BL36" s="229">
        <v>-0.82350000000000001</v>
      </c>
      <c r="BM36" s="228">
        <v>89</v>
      </c>
      <c r="BN36" s="228">
        <v>316</v>
      </c>
      <c r="BO36" s="228">
        <v>-227</v>
      </c>
      <c r="BP36" s="229">
        <v>-0.71909999999999996</v>
      </c>
      <c r="BQ36" s="228">
        <v>500</v>
      </c>
      <c r="BR36" s="230">
        <v>2339</v>
      </c>
      <c r="BS36" s="230">
        <v>-1839</v>
      </c>
      <c r="BT36" s="229">
        <v>-0.78610000000000002</v>
      </c>
      <c r="BU36" s="230">
        <v>16044</v>
      </c>
      <c r="BV36" s="230">
        <v>19705</v>
      </c>
      <c r="BW36" s="230">
        <v>-3661</v>
      </c>
      <c r="BX36" s="229">
        <v>-0.18579999999999999</v>
      </c>
      <c r="BY36" s="228">
        <v>674</v>
      </c>
      <c r="BZ36" s="228">
        <v>666</v>
      </c>
      <c r="CA36" s="228">
        <v>8</v>
      </c>
      <c r="CB36" s="229">
        <v>1.14E-2</v>
      </c>
      <c r="CC36" s="228">
        <v>663</v>
      </c>
      <c r="CD36" s="228">
        <v>146</v>
      </c>
      <c r="CE36" s="228">
        <v>518</v>
      </c>
      <c r="CF36" s="229">
        <v>3.5533000000000001</v>
      </c>
      <c r="CG36" s="228">
        <v>11</v>
      </c>
      <c r="CH36" s="228">
        <v>661</v>
      </c>
      <c r="CI36" s="228">
        <v>-650</v>
      </c>
      <c r="CJ36" s="229">
        <v>-0.98370000000000002</v>
      </c>
      <c r="CK36" s="228">
        <v>0</v>
      </c>
      <c r="CL36" s="228">
        <v>6</v>
      </c>
      <c r="CM36" s="228">
        <v>-6</v>
      </c>
      <c r="CN36" s="229">
        <v>-1</v>
      </c>
      <c r="CO36" s="228">
        <v>180</v>
      </c>
      <c r="CP36" s="228">
        <v>126</v>
      </c>
      <c r="CQ36" s="228">
        <v>54</v>
      </c>
      <c r="CR36" s="229">
        <v>0.42570000000000002</v>
      </c>
      <c r="CS36" s="228">
        <v>133</v>
      </c>
      <c r="CT36" s="228">
        <v>100</v>
      </c>
      <c r="CU36" s="228">
        <v>33</v>
      </c>
      <c r="CV36" s="229">
        <v>0.32669999999999999</v>
      </c>
      <c r="CW36" s="228">
        <v>987</v>
      </c>
      <c r="CX36" s="228">
        <v>893</v>
      </c>
      <c r="CY36" s="228">
        <v>94</v>
      </c>
      <c r="CZ36" s="229">
        <v>0.1053</v>
      </c>
      <c r="DA36" s="228">
        <v>30.86</v>
      </c>
      <c r="DB36" s="228">
        <v>30.22</v>
      </c>
      <c r="DC36" s="228">
        <v>0.64</v>
      </c>
      <c r="DD36" s="228">
        <v>0.64</v>
      </c>
      <c r="DE36" s="228">
        <v>29.14</v>
      </c>
      <c r="DF36" s="228">
        <v>29.09</v>
      </c>
      <c r="DG36" s="228">
        <v>1.72</v>
      </c>
      <c r="DH36" s="228">
        <v>0.05</v>
      </c>
      <c r="DI36" s="228">
        <v>30.39</v>
      </c>
      <c r="DJ36" s="228">
        <v>30.76</v>
      </c>
      <c r="DK36" s="228">
        <v>-0.37</v>
      </c>
      <c r="DL36" s="228">
        <v>-0.37</v>
      </c>
      <c r="DM36" s="228">
        <v>32.25</v>
      </c>
      <c r="DN36" s="228">
        <v>29.51</v>
      </c>
      <c r="DO36" s="228">
        <v>2.74</v>
      </c>
      <c r="DP36" s="228">
        <v>2.74</v>
      </c>
      <c r="DQ36" s="228">
        <v>0.74</v>
      </c>
      <c r="DR36" s="228">
        <v>0.79</v>
      </c>
      <c r="DS36" s="228">
        <v>-0.05</v>
      </c>
      <c r="DT36" s="229">
        <v>-6.3299999999999995E-2</v>
      </c>
      <c r="DU36" s="231">
        <v>40000</v>
      </c>
      <c r="DV36" s="231">
        <v>37000</v>
      </c>
      <c r="DW36" s="228">
        <v>0.34</v>
      </c>
      <c r="DX36" s="228">
        <v>0.21</v>
      </c>
      <c r="DY36" s="228">
        <v>0.13</v>
      </c>
      <c r="DZ36" s="229">
        <v>0.61899999999999999</v>
      </c>
      <c r="EA36" s="229">
        <v>1.5900000000000001E-2</v>
      </c>
      <c r="EB36" s="230">
        <v>184600</v>
      </c>
      <c r="EC36" s="229">
        <v>4.1999999999999997E-3</v>
      </c>
      <c r="ED36" s="229">
        <v>1.5900000000000001E-2</v>
      </c>
      <c r="EE36" s="228">
        <v>268.62</v>
      </c>
      <c r="EF36" s="229">
        <v>7.4999999999999997E-3</v>
      </c>
      <c r="EG36" s="230">
        <v>6981</v>
      </c>
      <c r="EH36" s="230">
        <v>8068</v>
      </c>
      <c r="EI36" s="229">
        <v>-0.13469999999999999</v>
      </c>
      <c r="EJ36" s="229">
        <v>0.43509999999999999</v>
      </c>
      <c r="EK36" s="228">
        <v>282.73</v>
      </c>
      <c r="EL36" s="228">
        <v>84.25</v>
      </c>
      <c r="EM36" s="228">
        <v>146.03</v>
      </c>
      <c r="EN36" s="228">
        <v>63.43</v>
      </c>
      <c r="EO36" s="228">
        <v>513.01</v>
      </c>
      <c r="EP36" s="231">
        <v>2418.0300000000002</v>
      </c>
      <c r="EQ36" s="231">
        <v>-1905.02</v>
      </c>
      <c r="ER36" s="229">
        <v>-0.78779999999999994</v>
      </c>
      <c r="ES36" s="228">
        <v>195.7</v>
      </c>
      <c r="ET36" s="228">
        <v>128.06</v>
      </c>
      <c r="EU36" s="228">
        <v>674.03</v>
      </c>
      <c r="EV36" s="231">
        <v>882048</v>
      </c>
      <c r="EW36" s="228">
        <v>997.79</v>
      </c>
      <c r="EX36" s="228">
        <v>888.94</v>
      </c>
      <c r="EY36" s="228">
        <v>108.85</v>
      </c>
      <c r="EZ36" s="229">
        <v>0.12239999999999999</v>
      </c>
      <c r="FA36" s="229">
        <v>0.30990000000000001</v>
      </c>
      <c r="FB36" s="227" t="s">
        <v>555</v>
      </c>
      <c r="FC36">
        <f t="shared" si="0"/>
        <v>11</v>
      </c>
    </row>
    <row r="37" spans="1:159" ht="17.25" thickBot="1" x14ac:dyDescent="0.3">
      <c r="A37" s="226">
        <v>46050</v>
      </c>
      <c r="B37" s="227" t="s">
        <v>193</v>
      </c>
      <c r="C37" s="227" t="s">
        <v>194</v>
      </c>
      <c r="D37" s="228">
        <v>1975</v>
      </c>
      <c r="E37" s="228">
        <v>27</v>
      </c>
      <c r="F37" s="228">
        <v>364.5</v>
      </c>
      <c r="G37" s="228">
        <v>359.05</v>
      </c>
      <c r="H37" s="228">
        <v>5.45</v>
      </c>
      <c r="I37" s="229">
        <v>1.52E-2</v>
      </c>
      <c r="J37" s="228">
        <v>362.35</v>
      </c>
      <c r="K37" s="228">
        <v>357.4</v>
      </c>
      <c r="L37" s="228">
        <v>4.95</v>
      </c>
      <c r="M37" s="229">
        <v>1.3899999999999999E-2</v>
      </c>
      <c r="N37" s="228">
        <v>364.5</v>
      </c>
      <c r="O37" s="228">
        <v>357.4</v>
      </c>
      <c r="P37" s="228">
        <v>7.1</v>
      </c>
      <c r="Q37" s="229">
        <v>1.9900000000000001E-2</v>
      </c>
      <c r="R37" s="228">
        <v>365.6</v>
      </c>
      <c r="S37" s="228">
        <v>359.05</v>
      </c>
      <c r="T37" s="228">
        <v>6.55</v>
      </c>
      <c r="U37" s="229">
        <v>1.8200000000000001E-2</v>
      </c>
      <c r="V37" s="228">
        <v>367.05</v>
      </c>
      <c r="W37" s="228">
        <v>361.2</v>
      </c>
      <c r="X37" s="228">
        <v>5.85</v>
      </c>
      <c r="Y37" s="229">
        <v>1.6199999999999999E-2</v>
      </c>
      <c r="Z37" s="228">
        <v>2.15</v>
      </c>
      <c r="AA37" s="228">
        <v>1.65</v>
      </c>
      <c r="AB37" s="228">
        <v>0.5</v>
      </c>
      <c r="AC37" s="229">
        <v>5.8999999999999999E-3</v>
      </c>
      <c r="AD37" s="228">
        <v>2.15</v>
      </c>
      <c r="AE37" s="228">
        <v>0</v>
      </c>
      <c r="AF37" s="228">
        <v>2.15</v>
      </c>
      <c r="AG37" s="229">
        <v>5.8999999999999999E-3</v>
      </c>
      <c r="AH37" s="228">
        <v>3.25</v>
      </c>
      <c r="AI37" s="228">
        <v>1.65</v>
      </c>
      <c r="AJ37" s="228">
        <v>1.6</v>
      </c>
      <c r="AK37" s="229">
        <v>8.9999999999999993E-3</v>
      </c>
      <c r="AL37" s="228">
        <v>4.7</v>
      </c>
      <c r="AM37" s="228">
        <v>3.8</v>
      </c>
      <c r="AN37" s="228">
        <v>0.9</v>
      </c>
      <c r="AO37" s="229">
        <v>1.2999999999999999E-2</v>
      </c>
      <c r="AP37" s="228">
        <v>363.64</v>
      </c>
      <c r="AQ37" s="228">
        <v>365.25</v>
      </c>
      <c r="AR37" s="228">
        <v>0</v>
      </c>
      <c r="AS37" s="228">
        <v>414</v>
      </c>
      <c r="AT37" s="230">
        <v>1883</v>
      </c>
      <c r="AU37" s="230">
        <v>-1469</v>
      </c>
      <c r="AV37" s="229">
        <v>-0.7802</v>
      </c>
      <c r="AW37" s="228">
        <v>393</v>
      </c>
      <c r="AX37" s="228">
        <v>870</v>
      </c>
      <c r="AY37" s="228">
        <v>-476</v>
      </c>
      <c r="AZ37" s="229">
        <v>-0.54769999999999996</v>
      </c>
      <c r="BA37" s="228">
        <v>20</v>
      </c>
      <c r="BB37" s="230">
        <v>1004</v>
      </c>
      <c r="BC37" s="228">
        <v>-984</v>
      </c>
      <c r="BD37" s="229">
        <v>-0.98009999999999997</v>
      </c>
      <c r="BE37" s="228">
        <v>1</v>
      </c>
      <c r="BF37" s="228">
        <v>9</v>
      </c>
      <c r="BG37" s="228">
        <v>-8</v>
      </c>
      <c r="BH37" s="229">
        <v>-0.92620000000000002</v>
      </c>
      <c r="BI37" s="228">
        <v>822</v>
      </c>
      <c r="BJ37" s="230">
        <v>1115</v>
      </c>
      <c r="BK37" s="228">
        <v>-293</v>
      </c>
      <c r="BL37" s="229">
        <v>-0.26300000000000001</v>
      </c>
      <c r="BM37" s="228">
        <v>407</v>
      </c>
      <c r="BN37" s="228">
        <v>674</v>
      </c>
      <c r="BO37" s="228">
        <v>-266</v>
      </c>
      <c r="BP37" s="229">
        <v>-0.39529999999999998</v>
      </c>
      <c r="BQ37" s="230">
        <v>1643</v>
      </c>
      <c r="BR37" s="230">
        <v>3672</v>
      </c>
      <c r="BS37" s="230">
        <v>-2028</v>
      </c>
      <c r="BT37" s="229">
        <v>-0.55249999999999999</v>
      </c>
      <c r="BU37" s="230">
        <v>12792630</v>
      </c>
      <c r="BV37" s="230">
        <v>12356803</v>
      </c>
      <c r="BW37" s="230">
        <v>435827</v>
      </c>
      <c r="BX37" s="229">
        <v>3.5299999999999998E-2</v>
      </c>
      <c r="BY37" s="230">
        <v>1238</v>
      </c>
      <c r="BZ37" s="230">
        <v>1143</v>
      </c>
      <c r="CA37" s="228">
        <v>95</v>
      </c>
      <c r="CB37" s="229">
        <v>8.2699999999999996E-2</v>
      </c>
      <c r="CC37" s="230">
        <v>1223</v>
      </c>
      <c r="CD37" s="228">
        <v>310</v>
      </c>
      <c r="CE37" s="228">
        <v>913</v>
      </c>
      <c r="CF37" s="229">
        <v>2.9411</v>
      </c>
      <c r="CG37" s="228">
        <v>14</v>
      </c>
      <c r="CH37" s="230">
        <v>1129</v>
      </c>
      <c r="CI37" s="230">
        <v>-1115</v>
      </c>
      <c r="CJ37" s="229">
        <v>-0.98750000000000004</v>
      </c>
      <c r="CK37" s="228">
        <v>0</v>
      </c>
      <c r="CL37" s="228">
        <v>14</v>
      </c>
      <c r="CM37" s="228">
        <v>-14</v>
      </c>
      <c r="CN37" s="229">
        <v>-0.96950000000000003</v>
      </c>
      <c r="CO37" s="228">
        <v>296</v>
      </c>
      <c r="CP37" s="228">
        <v>283</v>
      </c>
      <c r="CQ37" s="228">
        <v>12</v>
      </c>
      <c r="CR37" s="229">
        <v>4.24E-2</v>
      </c>
      <c r="CS37" s="228">
        <v>241</v>
      </c>
      <c r="CT37" s="228">
        <v>194</v>
      </c>
      <c r="CU37" s="228">
        <v>48</v>
      </c>
      <c r="CV37" s="229">
        <v>0.2467</v>
      </c>
      <c r="CW37" s="230">
        <v>1775</v>
      </c>
      <c r="CX37" s="230">
        <v>1620</v>
      </c>
      <c r="CY37" s="228">
        <v>154</v>
      </c>
      <c r="CZ37" s="229">
        <v>9.5200000000000007E-2</v>
      </c>
      <c r="DA37" s="228">
        <v>31.76</v>
      </c>
      <c r="DB37" s="228">
        <v>31.61</v>
      </c>
      <c r="DC37" s="228">
        <v>0.15</v>
      </c>
      <c r="DD37" s="228">
        <v>0.15</v>
      </c>
      <c r="DE37" s="228">
        <v>32.18</v>
      </c>
      <c r="DF37" s="228">
        <v>32.19</v>
      </c>
      <c r="DG37" s="228">
        <v>-0.42</v>
      </c>
      <c r="DH37" s="228">
        <v>-0.01</v>
      </c>
      <c r="DI37" s="228">
        <v>31.14</v>
      </c>
      <c r="DJ37" s="228">
        <v>31.1</v>
      </c>
      <c r="DK37" s="228">
        <v>0.04</v>
      </c>
      <c r="DL37" s="228">
        <v>0.04</v>
      </c>
      <c r="DM37" s="228">
        <v>33.01</v>
      </c>
      <c r="DN37" s="228">
        <v>32.35</v>
      </c>
      <c r="DO37" s="228">
        <v>0.66</v>
      </c>
      <c r="DP37" s="228">
        <v>0.66</v>
      </c>
      <c r="DQ37" s="228">
        <v>0.82</v>
      </c>
      <c r="DR37" s="228">
        <v>0.68</v>
      </c>
      <c r="DS37" s="228">
        <v>0.14000000000000001</v>
      </c>
      <c r="DT37" s="229">
        <v>0.2059</v>
      </c>
      <c r="DU37" s="228">
        <v>400</v>
      </c>
      <c r="DV37" s="228">
        <v>350</v>
      </c>
      <c r="DW37" s="228">
        <v>0.5</v>
      </c>
      <c r="DX37" s="228">
        <v>0.6</v>
      </c>
      <c r="DY37" s="228">
        <v>-0.1</v>
      </c>
      <c r="DZ37" s="229">
        <v>-0.16669999999999999</v>
      </c>
      <c r="EA37" s="229">
        <v>1.17E-2</v>
      </c>
      <c r="EB37" s="230">
        <v>31368925</v>
      </c>
      <c r="EC37" s="229">
        <v>3.0000000000000001E-3</v>
      </c>
      <c r="ED37" s="229">
        <v>1.17E-2</v>
      </c>
      <c r="EE37" s="228">
        <v>1.61</v>
      </c>
      <c r="EF37" s="229">
        <v>4.4000000000000003E-3</v>
      </c>
      <c r="EG37" s="230">
        <v>7333702</v>
      </c>
      <c r="EH37" s="230">
        <v>6530460</v>
      </c>
      <c r="EI37" s="229">
        <v>0.123</v>
      </c>
      <c r="EJ37" s="229">
        <v>0.57330000000000003</v>
      </c>
      <c r="EK37" s="228">
        <v>867.75</v>
      </c>
      <c r="EL37" s="228">
        <v>397.21</v>
      </c>
      <c r="EM37" s="228">
        <v>412.97</v>
      </c>
      <c r="EN37" s="228">
        <v>144.74</v>
      </c>
      <c r="EO37" s="231">
        <v>1677.93</v>
      </c>
      <c r="EP37" s="231">
        <v>3623.41</v>
      </c>
      <c r="EQ37" s="231">
        <v>-1945.48</v>
      </c>
      <c r="ER37" s="229">
        <v>-0.53690000000000004</v>
      </c>
      <c r="ES37" s="228">
        <v>308.27999999999997</v>
      </c>
      <c r="ET37" s="228">
        <v>228.05</v>
      </c>
      <c r="EU37" s="231">
        <v>1237.96</v>
      </c>
      <c r="EV37" s="231">
        <v>306020745</v>
      </c>
      <c r="EW37" s="231">
        <v>1774.3</v>
      </c>
      <c r="EX37" s="231">
        <v>1603.34</v>
      </c>
      <c r="EY37" s="228">
        <v>170.96</v>
      </c>
      <c r="EZ37" s="229">
        <v>0.1066</v>
      </c>
      <c r="FA37" s="229">
        <v>0.15909999999999999</v>
      </c>
      <c r="FB37" s="227" t="s">
        <v>555</v>
      </c>
      <c r="FC37">
        <f t="shared" si="0"/>
        <v>15</v>
      </c>
    </row>
    <row r="38" spans="1:159" ht="17.25" thickBot="1" x14ac:dyDescent="0.3">
      <c r="A38" s="226">
        <v>46050</v>
      </c>
      <c r="B38" s="227" t="s">
        <v>168</v>
      </c>
      <c r="C38" s="227" t="s">
        <v>195</v>
      </c>
      <c r="D38" s="228">
        <v>125</v>
      </c>
      <c r="E38" s="228">
        <v>27</v>
      </c>
      <c r="F38" s="231">
        <v>5768.5</v>
      </c>
      <c r="G38" s="231">
        <v>5927</v>
      </c>
      <c r="H38" s="228">
        <v>-158.5</v>
      </c>
      <c r="I38" s="229">
        <v>-2.6700000000000002E-2</v>
      </c>
      <c r="J38" s="231">
        <v>5748.5</v>
      </c>
      <c r="K38" s="231">
        <v>5886</v>
      </c>
      <c r="L38" s="228">
        <v>-137.5</v>
      </c>
      <c r="M38" s="229">
        <v>-2.3400000000000001E-2</v>
      </c>
      <c r="N38" s="231">
        <v>5768.5</v>
      </c>
      <c r="O38" s="231">
        <v>5897.5</v>
      </c>
      <c r="P38" s="228">
        <v>-129</v>
      </c>
      <c r="Q38" s="229">
        <v>-2.1899999999999999E-2</v>
      </c>
      <c r="R38" s="231">
        <v>5805.5</v>
      </c>
      <c r="S38" s="231">
        <v>5927</v>
      </c>
      <c r="T38" s="228">
        <v>-121.5</v>
      </c>
      <c r="U38" s="229">
        <v>-2.0500000000000001E-2</v>
      </c>
      <c r="V38" s="228">
        <v>0</v>
      </c>
      <c r="W38" s="231">
        <v>5966.5</v>
      </c>
      <c r="X38" s="228">
        <v>0</v>
      </c>
      <c r="Y38" s="229">
        <v>0</v>
      </c>
      <c r="Z38" s="228">
        <v>20</v>
      </c>
      <c r="AA38" s="228">
        <v>41</v>
      </c>
      <c r="AB38" s="228">
        <v>-21</v>
      </c>
      <c r="AC38" s="229">
        <v>3.5000000000000001E-3</v>
      </c>
      <c r="AD38" s="228">
        <v>20</v>
      </c>
      <c r="AE38" s="228">
        <v>11.5</v>
      </c>
      <c r="AF38" s="228">
        <v>8.5</v>
      </c>
      <c r="AG38" s="229">
        <v>3.5000000000000001E-3</v>
      </c>
      <c r="AH38" s="228">
        <v>57</v>
      </c>
      <c r="AI38" s="228">
        <v>41</v>
      </c>
      <c r="AJ38" s="228">
        <v>16</v>
      </c>
      <c r="AK38" s="229">
        <v>9.9000000000000008E-3</v>
      </c>
      <c r="AL38" s="228">
        <v>0</v>
      </c>
      <c r="AM38" s="228">
        <v>80.5</v>
      </c>
      <c r="AN38" s="228">
        <v>0</v>
      </c>
      <c r="AO38" s="229">
        <v>0</v>
      </c>
      <c r="AP38" s="231">
        <v>5781.93</v>
      </c>
      <c r="AQ38" s="231">
        <v>5815.47</v>
      </c>
      <c r="AR38" s="228">
        <v>0</v>
      </c>
      <c r="AS38" s="228">
        <v>289</v>
      </c>
      <c r="AT38" s="228">
        <v>998</v>
      </c>
      <c r="AU38" s="228">
        <v>-709</v>
      </c>
      <c r="AV38" s="229">
        <v>-0.71060000000000001</v>
      </c>
      <c r="AW38" s="228">
        <v>283</v>
      </c>
      <c r="AX38" s="228">
        <v>363</v>
      </c>
      <c r="AY38" s="228">
        <v>-80</v>
      </c>
      <c r="AZ38" s="229">
        <v>-0.21959999999999999</v>
      </c>
      <c r="BA38" s="228">
        <v>5</v>
      </c>
      <c r="BB38" s="228">
        <v>631</v>
      </c>
      <c r="BC38" s="228">
        <v>-626</v>
      </c>
      <c r="BD38" s="229">
        <v>-0.99139999999999995</v>
      </c>
      <c r="BE38" s="228">
        <v>0</v>
      </c>
      <c r="BF38" s="228">
        <v>3</v>
      </c>
      <c r="BG38" s="228">
        <v>0</v>
      </c>
      <c r="BH38" s="229">
        <v>0</v>
      </c>
      <c r="BI38" s="228">
        <v>632</v>
      </c>
      <c r="BJ38" s="228">
        <v>449</v>
      </c>
      <c r="BK38" s="228">
        <v>183</v>
      </c>
      <c r="BL38" s="229">
        <v>0.40770000000000001</v>
      </c>
      <c r="BM38" s="228">
        <v>334</v>
      </c>
      <c r="BN38" s="228">
        <v>302</v>
      </c>
      <c r="BO38" s="228">
        <v>32</v>
      </c>
      <c r="BP38" s="229">
        <v>0.1061</v>
      </c>
      <c r="BQ38" s="230">
        <v>1255</v>
      </c>
      <c r="BR38" s="230">
        <v>1749</v>
      </c>
      <c r="BS38" s="228">
        <v>-494</v>
      </c>
      <c r="BT38" s="229">
        <v>-0.28239999999999998</v>
      </c>
      <c r="BU38" s="230">
        <v>490242</v>
      </c>
      <c r="BV38" s="230">
        <v>1048617</v>
      </c>
      <c r="BW38" s="230">
        <v>-558375</v>
      </c>
      <c r="BX38" s="229">
        <v>-0.53249999999999997</v>
      </c>
      <c r="BY38" s="230">
        <v>1906</v>
      </c>
      <c r="BZ38" s="230">
        <v>1836</v>
      </c>
      <c r="CA38" s="228">
        <v>70</v>
      </c>
      <c r="CB38" s="229">
        <v>3.8100000000000002E-2</v>
      </c>
      <c r="CC38" s="230">
        <v>1900</v>
      </c>
      <c r="CD38" s="228">
        <v>151</v>
      </c>
      <c r="CE38" s="230">
        <v>1749</v>
      </c>
      <c r="CF38" s="229">
        <v>11.595599999999999</v>
      </c>
      <c r="CG38" s="228">
        <v>6</v>
      </c>
      <c r="CH38" s="230">
        <v>1831</v>
      </c>
      <c r="CI38" s="230">
        <v>-1825</v>
      </c>
      <c r="CJ38" s="229">
        <v>-0.99680000000000002</v>
      </c>
      <c r="CK38" s="228">
        <v>0</v>
      </c>
      <c r="CL38" s="228">
        <v>5</v>
      </c>
      <c r="CM38" s="228">
        <v>-5</v>
      </c>
      <c r="CN38" s="229">
        <v>-1</v>
      </c>
      <c r="CO38" s="228">
        <v>238</v>
      </c>
      <c r="CP38" s="228">
        <v>109</v>
      </c>
      <c r="CQ38" s="228">
        <v>129</v>
      </c>
      <c r="CR38" s="229">
        <v>1.1873</v>
      </c>
      <c r="CS38" s="228">
        <v>135</v>
      </c>
      <c r="CT38" s="228">
        <v>75</v>
      </c>
      <c r="CU38" s="228">
        <v>60</v>
      </c>
      <c r="CV38" s="229">
        <v>0.79900000000000004</v>
      </c>
      <c r="CW38" s="230">
        <v>2279</v>
      </c>
      <c r="CX38" s="230">
        <v>2020</v>
      </c>
      <c r="CY38" s="228">
        <v>259</v>
      </c>
      <c r="CZ38" s="229">
        <v>0.1283</v>
      </c>
      <c r="DA38" s="228">
        <v>30.06</v>
      </c>
      <c r="DB38" s="228">
        <v>28.35</v>
      </c>
      <c r="DC38" s="228">
        <v>1.71</v>
      </c>
      <c r="DD38" s="228">
        <v>1.71</v>
      </c>
      <c r="DE38" s="228">
        <v>23.8</v>
      </c>
      <c r="DF38" s="228">
        <v>23.65</v>
      </c>
      <c r="DG38" s="228">
        <v>6.26</v>
      </c>
      <c r="DH38" s="228">
        <v>0.15</v>
      </c>
      <c r="DI38" s="228">
        <v>29.52</v>
      </c>
      <c r="DJ38" s="228">
        <v>28.06</v>
      </c>
      <c r="DK38" s="228">
        <v>1.46</v>
      </c>
      <c r="DL38" s="228">
        <v>1.46</v>
      </c>
      <c r="DM38" s="228">
        <v>31.07</v>
      </c>
      <c r="DN38" s="228">
        <v>28.87</v>
      </c>
      <c r="DO38" s="228">
        <v>2.2000000000000002</v>
      </c>
      <c r="DP38" s="228">
        <v>2.2000000000000002</v>
      </c>
      <c r="DQ38" s="228">
        <v>0.56999999999999995</v>
      </c>
      <c r="DR38" s="228">
        <v>0.69</v>
      </c>
      <c r="DS38" s="228">
        <v>-0.12</v>
      </c>
      <c r="DT38" s="229">
        <v>-0.1739</v>
      </c>
      <c r="DU38" s="231">
        <v>6500</v>
      </c>
      <c r="DV38" s="231">
        <v>4900</v>
      </c>
      <c r="DW38" s="228">
        <v>0.53</v>
      </c>
      <c r="DX38" s="228">
        <v>0.67</v>
      </c>
      <c r="DY38" s="228">
        <v>-0.14000000000000001</v>
      </c>
      <c r="DZ38" s="229">
        <v>-0.20899999999999999</v>
      </c>
      <c r="EA38" s="229">
        <v>3.0999999999999999E-3</v>
      </c>
      <c r="EB38" s="230">
        <v>3182750</v>
      </c>
      <c r="EC38" s="229">
        <v>6.4000000000000003E-3</v>
      </c>
      <c r="ED38" s="229">
        <v>3.0999999999999999E-3</v>
      </c>
      <c r="EE38" s="228">
        <v>33.54</v>
      </c>
      <c r="EF38" s="229">
        <v>5.7999999999999996E-3</v>
      </c>
      <c r="EG38" s="230">
        <v>295760</v>
      </c>
      <c r="EH38" s="230">
        <v>714311</v>
      </c>
      <c r="EI38" s="229">
        <v>-0.58599999999999997</v>
      </c>
      <c r="EJ38" s="229">
        <v>0.60329999999999995</v>
      </c>
      <c r="EK38" s="228">
        <v>689.29</v>
      </c>
      <c r="EL38" s="228">
        <v>330.28</v>
      </c>
      <c r="EM38" s="228">
        <v>289.49</v>
      </c>
      <c r="EN38" s="228">
        <v>173.39</v>
      </c>
      <c r="EO38" s="231">
        <v>1309.06</v>
      </c>
      <c r="EP38" s="231">
        <v>1807.18</v>
      </c>
      <c r="EQ38" s="228">
        <v>-498.12</v>
      </c>
      <c r="ER38" s="229">
        <v>-0.27560000000000001</v>
      </c>
      <c r="ES38" s="228">
        <v>259.33999999999997</v>
      </c>
      <c r="ET38" s="228">
        <v>129.80000000000001</v>
      </c>
      <c r="EU38" s="231">
        <v>1905.95</v>
      </c>
      <c r="EV38" s="231">
        <v>16370935</v>
      </c>
      <c r="EW38" s="231">
        <v>2295.09</v>
      </c>
      <c r="EX38" s="231">
        <v>2079.42</v>
      </c>
      <c r="EY38" s="228">
        <v>215.67</v>
      </c>
      <c r="EZ38" s="229">
        <v>0.1037</v>
      </c>
      <c r="FA38" s="229">
        <v>0.24129999999999999</v>
      </c>
      <c r="FB38" s="227" t="s">
        <v>567</v>
      </c>
      <c r="FC38">
        <f t="shared" si="0"/>
        <v>6</v>
      </c>
    </row>
    <row r="39" spans="1:159" ht="17.25" thickBot="1" x14ac:dyDescent="0.3">
      <c r="A39" s="226">
        <v>46050</v>
      </c>
      <c r="B39" s="227" t="s">
        <v>175</v>
      </c>
      <c r="C39" s="227" t="s">
        <v>584</v>
      </c>
      <c r="D39" s="228">
        <v>375</v>
      </c>
      <c r="E39" s="228">
        <v>27</v>
      </c>
      <c r="F39" s="231">
        <v>2839.5</v>
      </c>
      <c r="G39" s="231">
        <v>2780.6</v>
      </c>
      <c r="H39" s="228">
        <v>58.9</v>
      </c>
      <c r="I39" s="229">
        <v>2.12E-2</v>
      </c>
      <c r="J39" s="231">
        <v>2821.5</v>
      </c>
      <c r="K39" s="231">
        <v>2761.2</v>
      </c>
      <c r="L39" s="228">
        <v>60.3</v>
      </c>
      <c r="M39" s="229">
        <v>2.18E-2</v>
      </c>
      <c r="N39" s="231">
        <v>2839.5</v>
      </c>
      <c r="O39" s="231">
        <v>2760.5</v>
      </c>
      <c r="P39" s="228">
        <v>79</v>
      </c>
      <c r="Q39" s="229">
        <v>2.86E-2</v>
      </c>
      <c r="R39" s="231">
        <v>2855.8</v>
      </c>
      <c r="S39" s="231">
        <v>2780.6</v>
      </c>
      <c r="T39" s="228">
        <v>75.2</v>
      </c>
      <c r="U39" s="229">
        <v>2.7E-2</v>
      </c>
      <c r="V39" s="231">
        <v>2870.5</v>
      </c>
      <c r="W39" s="231">
        <v>2793.6</v>
      </c>
      <c r="X39" s="228">
        <v>76.900000000000006</v>
      </c>
      <c r="Y39" s="229">
        <v>2.75E-2</v>
      </c>
      <c r="Z39" s="228">
        <v>18</v>
      </c>
      <c r="AA39" s="228">
        <v>19.399999999999999</v>
      </c>
      <c r="AB39" s="228">
        <v>-1.4</v>
      </c>
      <c r="AC39" s="229">
        <v>6.4000000000000003E-3</v>
      </c>
      <c r="AD39" s="228">
        <v>18</v>
      </c>
      <c r="AE39" s="228">
        <v>-0.7</v>
      </c>
      <c r="AF39" s="228">
        <v>18.7</v>
      </c>
      <c r="AG39" s="229">
        <v>6.4000000000000003E-3</v>
      </c>
      <c r="AH39" s="228">
        <v>34.299999999999997</v>
      </c>
      <c r="AI39" s="228">
        <v>19.399999999999999</v>
      </c>
      <c r="AJ39" s="228">
        <v>14.9</v>
      </c>
      <c r="AK39" s="229">
        <v>1.2200000000000001E-2</v>
      </c>
      <c r="AL39" s="228">
        <v>49</v>
      </c>
      <c r="AM39" s="228">
        <v>32.4</v>
      </c>
      <c r="AN39" s="228">
        <v>16.600000000000001</v>
      </c>
      <c r="AO39" s="229">
        <v>1.7399999999999999E-2</v>
      </c>
      <c r="AP39" s="231">
        <v>2830.09</v>
      </c>
      <c r="AQ39" s="231">
        <v>2846.18</v>
      </c>
      <c r="AR39" s="228">
        <v>0</v>
      </c>
      <c r="AS39" s="228">
        <v>953</v>
      </c>
      <c r="AT39" s="230">
        <v>3254</v>
      </c>
      <c r="AU39" s="230">
        <v>-2301</v>
      </c>
      <c r="AV39" s="229">
        <v>-0.70720000000000005</v>
      </c>
      <c r="AW39" s="228">
        <v>893</v>
      </c>
      <c r="AX39" s="230">
        <v>1388</v>
      </c>
      <c r="AY39" s="228">
        <v>-495</v>
      </c>
      <c r="AZ39" s="229">
        <v>-0.3569</v>
      </c>
      <c r="BA39" s="228">
        <v>49</v>
      </c>
      <c r="BB39" s="230">
        <v>1805</v>
      </c>
      <c r="BC39" s="230">
        <v>-1756</v>
      </c>
      <c r="BD39" s="229">
        <v>-0.9728</v>
      </c>
      <c r="BE39" s="228">
        <v>11</v>
      </c>
      <c r="BF39" s="228">
        <v>60</v>
      </c>
      <c r="BG39" s="228">
        <v>-49</v>
      </c>
      <c r="BH39" s="229">
        <v>-0.82120000000000004</v>
      </c>
      <c r="BI39" s="230">
        <v>3037</v>
      </c>
      <c r="BJ39" s="230">
        <v>4871</v>
      </c>
      <c r="BK39" s="230">
        <v>-1833</v>
      </c>
      <c r="BL39" s="229">
        <v>-0.37640000000000001</v>
      </c>
      <c r="BM39" s="230">
        <v>1197</v>
      </c>
      <c r="BN39" s="230">
        <v>2507</v>
      </c>
      <c r="BO39" s="230">
        <v>-1310</v>
      </c>
      <c r="BP39" s="229">
        <v>-0.52259999999999995</v>
      </c>
      <c r="BQ39" s="230">
        <v>5187</v>
      </c>
      <c r="BR39" s="230">
        <v>10631</v>
      </c>
      <c r="BS39" s="230">
        <v>-5444</v>
      </c>
      <c r="BT39" s="229">
        <v>-0.5121</v>
      </c>
      <c r="BU39" s="230">
        <v>3409615</v>
      </c>
      <c r="BV39" s="230">
        <v>4092141</v>
      </c>
      <c r="BW39" s="230">
        <v>-682526</v>
      </c>
      <c r="BX39" s="229">
        <v>-0.1668</v>
      </c>
      <c r="BY39" s="230">
        <v>2852</v>
      </c>
      <c r="BZ39" s="230">
        <v>2735</v>
      </c>
      <c r="CA39" s="228">
        <v>117</v>
      </c>
      <c r="CB39" s="229">
        <v>4.2900000000000001E-2</v>
      </c>
      <c r="CC39" s="230">
        <v>2763</v>
      </c>
      <c r="CD39" s="228">
        <v>186</v>
      </c>
      <c r="CE39" s="230">
        <v>2577</v>
      </c>
      <c r="CF39" s="229">
        <v>13.8432</v>
      </c>
      <c r="CG39" s="228">
        <v>84</v>
      </c>
      <c r="CH39" s="230">
        <v>2652</v>
      </c>
      <c r="CI39" s="230">
        <v>-2568</v>
      </c>
      <c r="CJ39" s="229">
        <v>-0.96830000000000005</v>
      </c>
      <c r="CK39" s="228">
        <v>6</v>
      </c>
      <c r="CL39" s="228">
        <v>83</v>
      </c>
      <c r="CM39" s="228">
        <v>-78</v>
      </c>
      <c r="CN39" s="229">
        <v>-0.93330000000000002</v>
      </c>
      <c r="CO39" s="230">
        <v>1199</v>
      </c>
      <c r="CP39" s="228">
        <v>775</v>
      </c>
      <c r="CQ39" s="228">
        <v>424</v>
      </c>
      <c r="CR39" s="229">
        <v>0.54690000000000005</v>
      </c>
      <c r="CS39" s="228">
        <v>788</v>
      </c>
      <c r="CT39" s="228">
        <v>620</v>
      </c>
      <c r="CU39" s="228">
        <v>168</v>
      </c>
      <c r="CV39" s="229">
        <v>0.2712</v>
      </c>
      <c r="CW39" s="230">
        <v>4839</v>
      </c>
      <c r="CX39" s="230">
        <v>4130</v>
      </c>
      <c r="CY39" s="228">
        <v>709</v>
      </c>
      <c r="CZ39" s="229">
        <v>0.17169999999999999</v>
      </c>
      <c r="DA39" s="228">
        <v>44.05</v>
      </c>
      <c r="DB39" s="228">
        <v>45.52</v>
      </c>
      <c r="DC39" s="228">
        <v>-1.47</v>
      </c>
      <c r="DD39" s="228">
        <v>-1.47</v>
      </c>
      <c r="DE39" s="228">
        <v>58.21</v>
      </c>
      <c r="DF39" s="228">
        <v>58.28</v>
      </c>
      <c r="DG39" s="228">
        <v>-14.16</v>
      </c>
      <c r="DH39" s="228">
        <v>-7.0000000000000007E-2</v>
      </c>
      <c r="DI39" s="228">
        <v>43.64</v>
      </c>
      <c r="DJ39" s="228">
        <v>44.57</v>
      </c>
      <c r="DK39" s="228">
        <v>-0.93</v>
      </c>
      <c r="DL39" s="228">
        <v>-0.93</v>
      </c>
      <c r="DM39" s="228">
        <v>45.1</v>
      </c>
      <c r="DN39" s="228">
        <v>47.26</v>
      </c>
      <c r="DO39" s="228">
        <v>-2.16</v>
      </c>
      <c r="DP39" s="228">
        <v>-2.16</v>
      </c>
      <c r="DQ39" s="228">
        <v>0.66</v>
      </c>
      <c r="DR39" s="228">
        <v>0.8</v>
      </c>
      <c r="DS39" s="228">
        <v>-0.14000000000000001</v>
      </c>
      <c r="DT39" s="229">
        <v>-0.17499999999999999</v>
      </c>
      <c r="DU39" s="231">
        <v>2900</v>
      </c>
      <c r="DV39" s="231">
        <v>2700</v>
      </c>
      <c r="DW39" s="228">
        <v>0.39</v>
      </c>
      <c r="DX39" s="228">
        <v>0.51</v>
      </c>
      <c r="DY39" s="228">
        <v>-0.12</v>
      </c>
      <c r="DZ39" s="229">
        <v>-0.23530000000000001</v>
      </c>
      <c r="EA39" s="229">
        <v>3.1399999999999997E-2</v>
      </c>
      <c r="EB39" s="230">
        <v>9631875</v>
      </c>
      <c r="EC39" s="229">
        <v>5.7000000000000002E-3</v>
      </c>
      <c r="ED39" s="229">
        <v>3.1399999999999997E-2</v>
      </c>
      <c r="EE39" s="228">
        <v>16.09</v>
      </c>
      <c r="EF39" s="229">
        <v>5.7000000000000002E-3</v>
      </c>
      <c r="EG39" s="230">
        <v>1105372</v>
      </c>
      <c r="EH39" s="230">
        <v>1238671</v>
      </c>
      <c r="EI39" s="229">
        <v>-0.1076</v>
      </c>
      <c r="EJ39" s="229">
        <v>0.32419999999999999</v>
      </c>
      <c r="EK39" s="231">
        <v>3227.76</v>
      </c>
      <c r="EL39" s="231">
        <v>1167.27</v>
      </c>
      <c r="EM39" s="228">
        <v>949.83</v>
      </c>
      <c r="EN39" s="228">
        <v>246.67</v>
      </c>
      <c r="EO39" s="231">
        <v>5344.86</v>
      </c>
      <c r="EP39" s="231">
        <v>10458.57</v>
      </c>
      <c r="EQ39" s="231">
        <v>-5113.7</v>
      </c>
      <c r="ER39" s="229">
        <v>-0.4889</v>
      </c>
      <c r="ES39" s="231">
        <v>1226.3599999999999</v>
      </c>
      <c r="ET39" s="228">
        <v>729.24</v>
      </c>
      <c r="EU39" s="231">
        <v>2852.86</v>
      </c>
      <c r="EV39" s="231">
        <v>61094861</v>
      </c>
      <c r="EW39" s="231">
        <v>4808.46</v>
      </c>
      <c r="EX39" s="231">
        <v>4037.47</v>
      </c>
      <c r="EY39" s="228">
        <v>770.99</v>
      </c>
      <c r="EZ39" s="229">
        <v>0.191</v>
      </c>
      <c r="FA39" s="229">
        <v>0.27900000000000003</v>
      </c>
      <c r="FB39" s="227" t="s">
        <v>555</v>
      </c>
      <c r="FC39">
        <f t="shared" si="0"/>
        <v>89</v>
      </c>
    </row>
    <row r="40" spans="1:159" ht="17.25" thickBot="1" x14ac:dyDescent="0.3">
      <c r="A40" s="226">
        <v>46050</v>
      </c>
      <c r="B40" s="227" t="s">
        <v>175</v>
      </c>
      <c r="C40" s="227" t="s">
        <v>611</v>
      </c>
      <c r="D40" s="228">
        <v>750</v>
      </c>
      <c r="E40" s="228">
        <v>27</v>
      </c>
      <c r="F40" s="228">
        <v>710.65</v>
      </c>
      <c r="G40" s="228">
        <v>698.35</v>
      </c>
      <c r="H40" s="228">
        <v>12.3</v>
      </c>
      <c r="I40" s="229">
        <v>1.7600000000000001E-2</v>
      </c>
      <c r="J40" s="228">
        <v>709.4</v>
      </c>
      <c r="K40" s="228">
        <v>697.7</v>
      </c>
      <c r="L40" s="228">
        <v>11.7</v>
      </c>
      <c r="M40" s="229">
        <v>1.6799999999999999E-2</v>
      </c>
      <c r="N40" s="228">
        <v>710.65</v>
      </c>
      <c r="O40" s="228">
        <v>697.15</v>
      </c>
      <c r="P40" s="228">
        <v>13.5</v>
      </c>
      <c r="Q40" s="229">
        <v>1.9400000000000001E-2</v>
      </c>
      <c r="R40" s="228">
        <v>712.6</v>
      </c>
      <c r="S40" s="228">
        <v>698.35</v>
      </c>
      <c r="T40" s="228">
        <v>14.25</v>
      </c>
      <c r="U40" s="229">
        <v>2.0400000000000001E-2</v>
      </c>
      <c r="V40" s="228">
        <v>715.6</v>
      </c>
      <c r="W40" s="228">
        <v>702.6</v>
      </c>
      <c r="X40" s="228">
        <v>13</v>
      </c>
      <c r="Y40" s="229">
        <v>1.8499999999999999E-2</v>
      </c>
      <c r="Z40" s="228">
        <v>1.25</v>
      </c>
      <c r="AA40" s="228">
        <v>0.65</v>
      </c>
      <c r="AB40" s="228">
        <v>0.6</v>
      </c>
      <c r="AC40" s="229">
        <v>1.8E-3</v>
      </c>
      <c r="AD40" s="228">
        <v>1.25</v>
      </c>
      <c r="AE40" s="228">
        <v>-0.55000000000000004</v>
      </c>
      <c r="AF40" s="228">
        <v>1.8</v>
      </c>
      <c r="AG40" s="229">
        <v>1.8E-3</v>
      </c>
      <c r="AH40" s="228">
        <v>3.2</v>
      </c>
      <c r="AI40" s="228">
        <v>0.65</v>
      </c>
      <c r="AJ40" s="228">
        <v>2.5499999999999998</v>
      </c>
      <c r="AK40" s="229">
        <v>4.4999999999999997E-3</v>
      </c>
      <c r="AL40" s="228">
        <v>6.2</v>
      </c>
      <c r="AM40" s="228">
        <v>4.9000000000000004</v>
      </c>
      <c r="AN40" s="228">
        <v>1.3</v>
      </c>
      <c r="AO40" s="229">
        <v>8.6999999999999994E-3</v>
      </c>
      <c r="AP40" s="228">
        <v>707.35</v>
      </c>
      <c r="AQ40" s="228">
        <v>710.1</v>
      </c>
      <c r="AR40" s="228">
        <v>0</v>
      </c>
      <c r="AS40" s="228">
        <v>83</v>
      </c>
      <c r="AT40" s="228">
        <v>545</v>
      </c>
      <c r="AU40" s="228">
        <v>-462</v>
      </c>
      <c r="AV40" s="229">
        <v>-0.84770000000000001</v>
      </c>
      <c r="AW40" s="228">
        <v>77</v>
      </c>
      <c r="AX40" s="228">
        <v>216</v>
      </c>
      <c r="AY40" s="228">
        <v>-139</v>
      </c>
      <c r="AZ40" s="229">
        <v>-0.6431</v>
      </c>
      <c r="BA40" s="228">
        <v>5</v>
      </c>
      <c r="BB40" s="228">
        <v>319</v>
      </c>
      <c r="BC40" s="228">
        <v>-313</v>
      </c>
      <c r="BD40" s="229">
        <v>-0.98280000000000001</v>
      </c>
      <c r="BE40" s="228">
        <v>0</v>
      </c>
      <c r="BF40" s="228">
        <v>10</v>
      </c>
      <c r="BG40" s="228">
        <v>-10</v>
      </c>
      <c r="BH40" s="229">
        <v>-0.96299999999999997</v>
      </c>
      <c r="BI40" s="228">
        <v>162</v>
      </c>
      <c r="BJ40" s="228">
        <v>501</v>
      </c>
      <c r="BK40" s="228">
        <v>-339</v>
      </c>
      <c r="BL40" s="229">
        <v>-0.67620000000000002</v>
      </c>
      <c r="BM40" s="228">
        <v>89</v>
      </c>
      <c r="BN40" s="228">
        <v>247</v>
      </c>
      <c r="BO40" s="228">
        <v>-158</v>
      </c>
      <c r="BP40" s="229">
        <v>-0.63929999999999998</v>
      </c>
      <c r="BQ40" s="228">
        <v>334</v>
      </c>
      <c r="BR40" s="230">
        <v>1293</v>
      </c>
      <c r="BS40" s="228">
        <v>-959</v>
      </c>
      <c r="BT40" s="229">
        <v>-0.74150000000000005</v>
      </c>
      <c r="BU40" s="230">
        <v>942450</v>
      </c>
      <c r="BV40" s="230">
        <v>1918175</v>
      </c>
      <c r="BW40" s="230">
        <v>-975725</v>
      </c>
      <c r="BX40" s="229">
        <v>-0.50870000000000004</v>
      </c>
      <c r="BY40" s="228">
        <v>482</v>
      </c>
      <c r="BZ40" s="228">
        <v>479</v>
      </c>
      <c r="CA40" s="228">
        <v>3</v>
      </c>
      <c r="CB40" s="229">
        <v>6.0000000000000001E-3</v>
      </c>
      <c r="CC40" s="228">
        <v>463</v>
      </c>
      <c r="CD40" s="228">
        <v>27</v>
      </c>
      <c r="CE40" s="228">
        <v>436</v>
      </c>
      <c r="CF40" s="229">
        <v>16.076599999999999</v>
      </c>
      <c r="CG40" s="228">
        <v>18</v>
      </c>
      <c r="CH40" s="228">
        <v>461</v>
      </c>
      <c r="CI40" s="228">
        <v>-443</v>
      </c>
      <c r="CJ40" s="229">
        <v>-0.96009999999999995</v>
      </c>
      <c r="CK40" s="228">
        <v>0</v>
      </c>
      <c r="CL40" s="228">
        <v>18</v>
      </c>
      <c r="CM40" s="228">
        <v>-17</v>
      </c>
      <c r="CN40" s="229">
        <v>-0.9849</v>
      </c>
      <c r="CO40" s="228">
        <v>128</v>
      </c>
      <c r="CP40" s="228">
        <v>102</v>
      </c>
      <c r="CQ40" s="228">
        <v>26</v>
      </c>
      <c r="CR40" s="229">
        <v>0.25269999999999998</v>
      </c>
      <c r="CS40" s="228">
        <v>126</v>
      </c>
      <c r="CT40" s="228">
        <v>104</v>
      </c>
      <c r="CU40" s="228">
        <v>22</v>
      </c>
      <c r="CV40" s="229">
        <v>0.2072</v>
      </c>
      <c r="CW40" s="228">
        <v>736</v>
      </c>
      <c r="CX40" s="228">
        <v>686</v>
      </c>
      <c r="CY40" s="228">
        <v>50</v>
      </c>
      <c r="CZ40" s="229">
        <v>7.3400000000000007E-2</v>
      </c>
      <c r="DA40" s="228">
        <v>33.619999999999997</v>
      </c>
      <c r="DB40" s="228">
        <v>34.869999999999997</v>
      </c>
      <c r="DC40" s="228">
        <v>-1.25</v>
      </c>
      <c r="DD40" s="228">
        <v>-1.25</v>
      </c>
      <c r="DE40" s="228">
        <v>39.85</v>
      </c>
      <c r="DF40" s="228">
        <v>39.880000000000003</v>
      </c>
      <c r="DG40" s="228">
        <v>-6.23</v>
      </c>
      <c r="DH40" s="228">
        <v>-0.03</v>
      </c>
      <c r="DI40" s="228">
        <v>33.22</v>
      </c>
      <c r="DJ40" s="228">
        <v>35.049999999999997</v>
      </c>
      <c r="DK40" s="228">
        <v>-1.83</v>
      </c>
      <c r="DL40" s="228">
        <v>-1.83</v>
      </c>
      <c r="DM40" s="228">
        <v>34.340000000000003</v>
      </c>
      <c r="DN40" s="228">
        <v>34.43</v>
      </c>
      <c r="DO40" s="228">
        <v>-0.09</v>
      </c>
      <c r="DP40" s="228">
        <v>-0.09</v>
      </c>
      <c r="DQ40" s="228">
        <v>0.99</v>
      </c>
      <c r="DR40" s="228">
        <v>1.02</v>
      </c>
      <c r="DS40" s="228">
        <v>-0.03</v>
      </c>
      <c r="DT40" s="229">
        <v>-2.9399999999999999E-2</v>
      </c>
      <c r="DU40" s="228">
        <v>800</v>
      </c>
      <c r="DV40" s="228">
        <v>700</v>
      </c>
      <c r="DW40" s="228">
        <v>0.55000000000000004</v>
      </c>
      <c r="DX40" s="228">
        <v>0.49</v>
      </c>
      <c r="DY40" s="228">
        <v>0.06</v>
      </c>
      <c r="DZ40" s="229">
        <v>0.12239999999999999</v>
      </c>
      <c r="EA40" s="229">
        <v>3.8699999999999998E-2</v>
      </c>
      <c r="EB40" s="230">
        <v>6741000</v>
      </c>
      <c r="EC40" s="229">
        <v>2.7000000000000001E-3</v>
      </c>
      <c r="ED40" s="229">
        <v>3.8699999999999998E-2</v>
      </c>
      <c r="EE40" s="228">
        <v>2.75</v>
      </c>
      <c r="EF40" s="229">
        <v>3.8999999999999998E-3</v>
      </c>
      <c r="EG40" s="230">
        <v>367558</v>
      </c>
      <c r="EH40" s="230">
        <v>654826</v>
      </c>
      <c r="EI40" s="229">
        <v>-0.43869999999999998</v>
      </c>
      <c r="EJ40" s="229">
        <v>0.39</v>
      </c>
      <c r="EK40" s="228">
        <v>172.02</v>
      </c>
      <c r="EL40" s="228">
        <v>88.04</v>
      </c>
      <c r="EM40" s="228">
        <v>82.68</v>
      </c>
      <c r="EN40" s="228">
        <v>121.26</v>
      </c>
      <c r="EO40" s="228">
        <v>342.73</v>
      </c>
      <c r="EP40" s="231">
        <v>1304.1300000000001</v>
      </c>
      <c r="EQ40" s="228">
        <v>-961.4</v>
      </c>
      <c r="ER40" s="229">
        <v>-0.73719999999999997</v>
      </c>
      <c r="ES40" s="228">
        <v>134.56</v>
      </c>
      <c r="ET40" s="228">
        <v>124.91</v>
      </c>
      <c r="EU40" s="228">
        <v>481.98</v>
      </c>
      <c r="EV40" s="231">
        <v>37122288</v>
      </c>
      <c r="EW40" s="228">
        <v>741.45</v>
      </c>
      <c r="EX40" s="228">
        <v>682.77</v>
      </c>
      <c r="EY40" s="228">
        <v>58.68</v>
      </c>
      <c r="EZ40" s="229">
        <v>8.5900000000000004E-2</v>
      </c>
      <c r="FA40" s="229">
        <v>0.27889999999999998</v>
      </c>
      <c r="FB40" s="227" t="s">
        <v>555</v>
      </c>
      <c r="FC40">
        <f t="shared" si="0"/>
        <v>19</v>
      </c>
    </row>
    <row r="41" spans="1:159" ht="17.25" thickBot="1" x14ac:dyDescent="0.3">
      <c r="A41" s="226">
        <v>46050</v>
      </c>
      <c r="B41" s="227" t="s">
        <v>172</v>
      </c>
      <c r="C41" s="227" t="s">
        <v>196</v>
      </c>
      <c r="D41" s="228">
        <v>6750</v>
      </c>
      <c r="E41" s="228">
        <v>27</v>
      </c>
      <c r="F41" s="228">
        <v>158.41999999999999</v>
      </c>
      <c r="G41" s="228">
        <v>155.29</v>
      </c>
      <c r="H41" s="228">
        <v>3.13</v>
      </c>
      <c r="I41" s="229">
        <v>2.0199999999999999E-2</v>
      </c>
      <c r="J41" s="228">
        <v>157.74</v>
      </c>
      <c r="K41" s="228">
        <v>154.72</v>
      </c>
      <c r="L41" s="228">
        <v>3.02</v>
      </c>
      <c r="M41" s="229">
        <v>1.95E-2</v>
      </c>
      <c r="N41" s="228">
        <v>158.41999999999999</v>
      </c>
      <c r="O41" s="228">
        <v>154.24</v>
      </c>
      <c r="P41" s="228">
        <v>4.18</v>
      </c>
      <c r="Q41" s="229">
        <v>2.7099999999999999E-2</v>
      </c>
      <c r="R41" s="228">
        <v>158.9</v>
      </c>
      <c r="S41" s="228">
        <v>155.29</v>
      </c>
      <c r="T41" s="228">
        <v>3.61</v>
      </c>
      <c r="U41" s="229">
        <v>2.3199999999999998E-2</v>
      </c>
      <c r="V41" s="228">
        <v>159.79</v>
      </c>
      <c r="W41" s="228">
        <v>155.91</v>
      </c>
      <c r="X41" s="228">
        <v>3.88</v>
      </c>
      <c r="Y41" s="229">
        <v>2.4899999999999999E-2</v>
      </c>
      <c r="Z41" s="228">
        <v>0.68</v>
      </c>
      <c r="AA41" s="228">
        <v>0.56999999999999995</v>
      </c>
      <c r="AB41" s="228">
        <v>0.11</v>
      </c>
      <c r="AC41" s="229">
        <v>4.3E-3</v>
      </c>
      <c r="AD41" s="228">
        <v>0.68</v>
      </c>
      <c r="AE41" s="228">
        <v>-0.48</v>
      </c>
      <c r="AF41" s="228">
        <v>1.1599999999999999</v>
      </c>
      <c r="AG41" s="229">
        <v>4.3E-3</v>
      </c>
      <c r="AH41" s="228">
        <v>1.1599999999999999</v>
      </c>
      <c r="AI41" s="228">
        <v>0.56999999999999995</v>
      </c>
      <c r="AJ41" s="228">
        <v>0.59</v>
      </c>
      <c r="AK41" s="229">
        <v>7.4000000000000003E-3</v>
      </c>
      <c r="AL41" s="228">
        <v>2.0499999999999998</v>
      </c>
      <c r="AM41" s="228">
        <v>1.19</v>
      </c>
      <c r="AN41" s="228">
        <v>0.86</v>
      </c>
      <c r="AO41" s="229">
        <v>1.2999999999999999E-2</v>
      </c>
      <c r="AP41" s="228">
        <v>155.69</v>
      </c>
      <c r="AQ41" s="228">
        <v>156.08000000000001</v>
      </c>
      <c r="AR41" s="228">
        <v>0</v>
      </c>
      <c r="AS41" s="230">
        <v>1125</v>
      </c>
      <c r="AT41" s="230">
        <v>1932</v>
      </c>
      <c r="AU41" s="228">
        <v>-807</v>
      </c>
      <c r="AV41" s="229">
        <v>-0.41749999999999998</v>
      </c>
      <c r="AW41" s="230">
        <v>1055</v>
      </c>
      <c r="AX41" s="228">
        <v>791</v>
      </c>
      <c r="AY41" s="228">
        <v>264</v>
      </c>
      <c r="AZ41" s="229">
        <v>0.33410000000000001</v>
      </c>
      <c r="BA41" s="228">
        <v>65</v>
      </c>
      <c r="BB41" s="230">
        <v>1114</v>
      </c>
      <c r="BC41" s="230">
        <v>-1050</v>
      </c>
      <c r="BD41" s="229">
        <v>-0.94179999999999997</v>
      </c>
      <c r="BE41" s="228">
        <v>5</v>
      </c>
      <c r="BF41" s="228">
        <v>27</v>
      </c>
      <c r="BG41" s="228">
        <v>-21</v>
      </c>
      <c r="BH41" s="229">
        <v>-0.8024</v>
      </c>
      <c r="BI41" s="230">
        <v>1987</v>
      </c>
      <c r="BJ41" s="230">
        <v>1749</v>
      </c>
      <c r="BK41" s="228">
        <v>238</v>
      </c>
      <c r="BL41" s="229">
        <v>0.13600000000000001</v>
      </c>
      <c r="BM41" s="230">
        <v>1126</v>
      </c>
      <c r="BN41" s="230">
        <v>1373</v>
      </c>
      <c r="BO41" s="228">
        <v>-247</v>
      </c>
      <c r="BP41" s="229">
        <v>-0.17960000000000001</v>
      </c>
      <c r="BQ41" s="230">
        <v>4238</v>
      </c>
      <c r="BR41" s="230">
        <v>5054</v>
      </c>
      <c r="BS41" s="228">
        <v>-815</v>
      </c>
      <c r="BT41" s="229">
        <v>-0.1613</v>
      </c>
      <c r="BU41" s="230">
        <v>30465789</v>
      </c>
      <c r="BV41" s="230">
        <v>24229959</v>
      </c>
      <c r="BW41" s="230">
        <v>6235830</v>
      </c>
      <c r="BX41" s="229">
        <v>0.25740000000000002</v>
      </c>
      <c r="BY41" s="230">
        <v>2321</v>
      </c>
      <c r="BZ41" s="230">
        <v>2232</v>
      </c>
      <c r="CA41" s="228">
        <v>89</v>
      </c>
      <c r="CB41" s="229">
        <v>3.9699999999999999E-2</v>
      </c>
      <c r="CC41" s="230">
        <v>2246</v>
      </c>
      <c r="CD41" s="228">
        <v>264</v>
      </c>
      <c r="CE41" s="230">
        <v>1982</v>
      </c>
      <c r="CF41" s="229">
        <v>7.5201000000000002</v>
      </c>
      <c r="CG41" s="228">
        <v>73</v>
      </c>
      <c r="CH41" s="230">
        <v>2170</v>
      </c>
      <c r="CI41" s="230">
        <v>-2098</v>
      </c>
      <c r="CJ41" s="229">
        <v>-0.96660000000000001</v>
      </c>
      <c r="CK41" s="228">
        <v>3</v>
      </c>
      <c r="CL41" s="228">
        <v>62</v>
      </c>
      <c r="CM41" s="228">
        <v>-60</v>
      </c>
      <c r="CN41" s="229">
        <v>-0.95879999999999999</v>
      </c>
      <c r="CO41" s="228">
        <v>815</v>
      </c>
      <c r="CP41" s="228">
        <v>619</v>
      </c>
      <c r="CQ41" s="228">
        <v>196</v>
      </c>
      <c r="CR41" s="229">
        <v>0.31619999999999998</v>
      </c>
      <c r="CS41" s="228">
        <v>835</v>
      </c>
      <c r="CT41" s="228">
        <v>624</v>
      </c>
      <c r="CU41" s="228">
        <v>211</v>
      </c>
      <c r="CV41" s="229">
        <v>0.33829999999999999</v>
      </c>
      <c r="CW41" s="230">
        <v>3971</v>
      </c>
      <c r="CX41" s="230">
        <v>3476</v>
      </c>
      <c r="CY41" s="228">
        <v>496</v>
      </c>
      <c r="CZ41" s="229">
        <v>0.1426</v>
      </c>
      <c r="DA41" s="228">
        <v>39.79</v>
      </c>
      <c r="DB41" s="228">
        <v>39.6</v>
      </c>
      <c r="DC41" s="228">
        <v>0.19</v>
      </c>
      <c r="DD41" s="228">
        <v>0.19</v>
      </c>
      <c r="DE41" s="228">
        <v>34.869999999999997</v>
      </c>
      <c r="DF41" s="228">
        <v>34.86</v>
      </c>
      <c r="DG41" s="228">
        <v>4.92</v>
      </c>
      <c r="DH41" s="228">
        <v>0.01</v>
      </c>
      <c r="DI41" s="228">
        <v>39.04</v>
      </c>
      <c r="DJ41" s="228">
        <v>38.72</v>
      </c>
      <c r="DK41" s="228">
        <v>0.32</v>
      </c>
      <c r="DL41" s="228">
        <v>0.32</v>
      </c>
      <c r="DM41" s="228">
        <v>41.12</v>
      </c>
      <c r="DN41" s="228">
        <v>40.81</v>
      </c>
      <c r="DO41" s="228">
        <v>0.31</v>
      </c>
      <c r="DP41" s="228">
        <v>0.31</v>
      </c>
      <c r="DQ41" s="228">
        <v>1.03</v>
      </c>
      <c r="DR41" s="228">
        <v>1.01</v>
      </c>
      <c r="DS41" s="228">
        <v>0.02</v>
      </c>
      <c r="DT41" s="229">
        <v>1.9800000000000002E-2</v>
      </c>
      <c r="DU41" s="228">
        <v>160</v>
      </c>
      <c r="DV41" s="228">
        <v>140</v>
      </c>
      <c r="DW41" s="228">
        <v>0.56999999999999995</v>
      </c>
      <c r="DX41" s="228">
        <v>0.78</v>
      </c>
      <c r="DY41" s="228">
        <v>-0.21</v>
      </c>
      <c r="DZ41" s="229">
        <v>-0.26919999999999999</v>
      </c>
      <c r="EA41" s="229">
        <v>3.2300000000000002E-2</v>
      </c>
      <c r="EB41" s="230">
        <v>140906250</v>
      </c>
      <c r="EC41" s="229">
        <v>3.0000000000000001E-3</v>
      </c>
      <c r="ED41" s="229">
        <v>3.2300000000000002E-2</v>
      </c>
      <c r="EE41" s="228">
        <v>0.39</v>
      </c>
      <c r="EF41" s="229">
        <v>2.5000000000000001E-3</v>
      </c>
      <c r="EG41" s="230">
        <v>11157852</v>
      </c>
      <c r="EH41" s="230">
        <v>11447826</v>
      </c>
      <c r="EI41" s="229">
        <v>-2.53E-2</v>
      </c>
      <c r="EJ41" s="229">
        <v>0.36620000000000003</v>
      </c>
      <c r="EK41" s="231">
        <v>2080.2199999999998</v>
      </c>
      <c r="EL41" s="231">
        <v>1086.17</v>
      </c>
      <c r="EM41" s="231">
        <v>1106.0999999999999</v>
      </c>
      <c r="EN41" s="228">
        <v>196.84</v>
      </c>
      <c r="EO41" s="231">
        <v>4272.49</v>
      </c>
      <c r="EP41" s="231">
        <v>4962.05</v>
      </c>
      <c r="EQ41" s="228">
        <v>-689.56</v>
      </c>
      <c r="ER41" s="229">
        <v>-0.13900000000000001</v>
      </c>
      <c r="ES41" s="228">
        <v>829.2</v>
      </c>
      <c r="ET41" s="228">
        <v>784.6</v>
      </c>
      <c r="EU41" s="231">
        <v>2321.13</v>
      </c>
      <c r="EV41" s="231">
        <v>504315430</v>
      </c>
      <c r="EW41" s="231">
        <v>3934.92</v>
      </c>
      <c r="EX41" s="231">
        <v>3402.87</v>
      </c>
      <c r="EY41" s="228">
        <v>532.04999999999995</v>
      </c>
      <c r="EZ41" s="229">
        <v>0.15640000000000001</v>
      </c>
      <c r="FA41" s="229">
        <v>0.49709999999999999</v>
      </c>
      <c r="FB41" s="227" t="s">
        <v>555</v>
      </c>
      <c r="FC41">
        <f t="shared" si="0"/>
        <v>75</v>
      </c>
    </row>
    <row r="42" spans="1:159" ht="17.25" thickBot="1" x14ac:dyDescent="0.3">
      <c r="A42" s="226">
        <v>46050</v>
      </c>
      <c r="B42" s="227" t="s">
        <v>175</v>
      </c>
      <c r="C42" s="227" t="s">
        <v>597</v>
      </c>
      <c r="D42" s="228">
        <v>475</v>
      </c>
      <c r="E42" s="228">
        <v>27</v>
      </c>
      <c r="F42" s="231">
        <v>1365.5</v>
      </c>
      <c r="G42" s="231">
        <v>1328.8</v>
      </c>
      <c r="H42" s="228">
        <v>36.700000000000003</v>
      </c>
      <c r="I42" s="229">
        <v>2.76E-2</v>
      </c>
      <c r="J42" s="231">
        <v>1356.9</v>
      </c>
      <c r="K42" s="231">
        <v>1322.1</v>
      </c>
      <c r="L42" s="228">
        <v>34.799999999999997</v>
      </c>
      <c r="M42" s="229">
        <v>2.63E-2</v>
      </c>
      <c r="N42" s="231">
        <v>1365.5</v>
      </c>
      <c r="O42" s="231">
        <v>1321.6</v>
      </c>
      <c r="P42" s="228">
        <v>43.9</v>
      </c>
      <c r="Q42" s="229">
        <v>3.32E-2</v>
      </c>
      <c r="R42" s="231">
        <v>1372</v>
      </c>
      <c r="S42" s="231">
        <v>1328.8</v>
      </c>
      <c r="T42" s="228">
        <v>43.2</v>
      </c>
      <c r="U42" s="229">
        <v>3.2500000000000001E-2</v>
      </c>
      <c r="V42" s="231">
        <v>1378.2</v>
      </c>
      <c r="W42" s="231">
        <v>1338</v>
      </c>
      <c r="X42" s="228">
        <v>40.200000000000003</v>
      </c>
      <c r="Y42" s="229">
        <v>0.03</v>
      </c>
      <c r="Z42" s="228">
        <v>8.6</v>
      </c>
      <c r="AA42" s="228">
        <v>6.7</v>
      </c>
      <c r="AB42" s="228">
        <v>1.9</v>
      </c>
      <c r="AC42" s="229">
        <v>6.3E-3</v>
      </c>
      <c r="AD42" s="228">
        <v>8.6</v>
      </c>
      <c r="AE42" s="228">
        <v>-0.5</v>
      </c>
      <c r="AF42" s="228">
        <v>9.1</v>
      </c>
      <c r="AG42" s="229">
        <v>6.3E-3</v>
      </c>
      <c r="AH42" s="228">
        <v>15.1</v>
      </c>
      <c r="AI42" s="228">
        <v>6.7</v>
      </c>
      <c r="AJ42" s="228">
        <v>8.4</v>
      </c>
      <c r="AK42" s="229">
        <v>1.11E-2</v>
      </c>
      <c r="AL42" s="228">
        <v>21.3</v>
      </c>
      <c r="AM42" s="228">
        <v>15.9</v>
      </c>
      <c r="AN42" s="228">
        <v>5.4</v>
      </c>
      <c r="AO42" s="229">
        <v>1.5699999999999999E-2</v>
      </c>
      <c r="AP42" s="231">
        <v>1352.13</v>
      </c>
      <c r="AQ42" s="231">
        <v>1355.79</v>
      </c>
      <c r="AR42" s="228">
        <v>0</v>
      </c>
      <c r="AS42" s="228">
        <v>296</v>
      </c>
      <c r="AT42" s="230">
        <v>1564</v>
      </c>
      <c r="AU42" s="230">
        <v>-1267</v>
      </c>
      <c r="AV42" s="229">
        <v>-0.8105</v>
      </c>
      <c r="AW42" s="228">
        <v>261</v>
      </c>
      <c r="AX42" s="228">
        <v>716</v>
      </c>
      <c r="AY42" s="228">
        <v>-455</v>
      </c>
      <c r="AZ42" s="229">
        <v>-0.63549999999999995</v>
      </c>
      <c r="BA42" s="228">
        <v>34</v>
      </c>
      <c r="BB42" s="228">
        <v>807</v>
      </c>
      <c r="BC42" s="228">
        <v>-773</v>
      </c>
      <c r="BD42" s="229">
        <v>-0.95830000000000004</v>
      </c>
      <c r="BE42" s="228">
        <v>2</v>
      </c>
      <c r="BF42" s="228">
        <v>41</v>
      </c>
      <c r="BG42" s="228">
        <v>-40</v>
      </c>
      <c r="BH42" s="229">
        <v>-0.9546</v>
      </c>
      <c r="BI42" s="230">
        <v>1031</v>
      </c>
      <c r="BJ42" s="228">
        <v>991</v>
      </c>
      <c r="BK42" s="228">
        <v>40</v>
      </c>
      <c r="BL42" s="229">
        <v>4.07E-2</v>
      </c>
      <c r="BM42" s="228">
        <v>331</v>
      </c>
      <c r="BN42" s="228">
        <v>929</v>
      </c>
      <c r="BO42" s="228">
        <v>-598</v>
      </c>
      <c r="BP42" s="229">
        <v>-0.64380000000000004</v>
      </c>
      <c r="BQ42" s="230">
        <v>1658</v>
      </c>
      <c r="BR42" s="230">
        <v>3483</v>
      </c>
      <c r="BS42" s="230">
        <v>-1825</v>
      </c>
      <c r="BT42" s="229">
        <v>-0.52400000000000002</v>
      </c>
      <c r="BU42" s="230">
        <v>1696080</v>
      </c>
      <c r="BV42" s="230">
        <v>1976187</v>
      </c>
      <c r="BW42" s="230">
        <v>-280107</v>
      </c>
      <c r="BX42" s="229">
        <v>-0.14169999999999999</v>
      </c>
      <c r="BY42" s="230">
        <v>1384</v>
      </c>
      <c r="BZ42" s="230">
        <v>1355</v>
      </c>
      <c r="CA42" s="228">
        <v>29</v>
      </c>
      <c r="CB42" s="229">
        <v>2.1299999999999999E-2</v>
      </c>
      <c r="CC42" s="230">
        <v>1305</v>
      </c>
      <c r="CD42" s="228">
        <v>114</v>
      </c>
      <c r="CE42" s="230">
        <v>1190</v>
      </c>
      <c r="CF42" s="229">
        <v>10.422499999999999</v>
      </c>
      <c r="CG42" s="228">
        <v>78</v>
      </c>
      <c r="CH42" s="230">
        <v>1284</v>
      </c>
      <c r="CI42" s="230">
        <v>-1206</v>
      </c>
      <c r="CJ42" s="229">
        <v>-0.93959999999999999</v>
      </c>
      <c r="CK42" s="228">
        <v>1</v>
      </c>
      <c r="CL42" s="228">
        <v>71</v>
      </c>
      <c r="CM42" s="228">
        <v>-69</v>
      </c>
      <c r="CN42" s="229">
        <v>-0.98080000000000001</v>
      </c>
      <c r="CO42" s="228">
        <v>672</v>
      </c>
      <c r="CP42" s="228">
        <v>491</v>
      </c>
      <c r="CQ42" s="228">
        <v>181</v>
      </c>
      <c r="CR42" s="229">
        <v>0.36730000000000002</v>
      </c>
      <c r="CS42" s="228">
        <v>555</v>
      </c>
      <c r="CT42" s="228">
        <v>490</v>
      </c>
      <c r="CU42" s="228">
        <v>66</v>
      </c>
      <c r="CV42" s="229">
        <v>0.13389999999999999</v>
      </c>
      <c r="CW42" s="230">
        <v>2611</v>
      </c>
      <c r="CX42" s="230">
        <v>2336</v>
      </c>
      <c r="CY42" s="228">
        <v>275</v>
      </c>
      <c r="CZ42" s="229">
        <v>0.1177</v>
      </c>
      <c r="DA42" s="228">
        <v>38.65</v>
      </c>
      <c r="DB42" s="228">
        <v>39.56</v>
      </c>
      <c r="DC42" s="228">
        <v>-0.91</v>
      </c>
      <c r="DD42" s="228">
        <v>-0.91</v>
      </c>
      <c r="DE42" s="228">
        <v>43.7</v>
      </c>
      <c r="DF42" s="228">
        <v>43.66</v>
      </c>
      <c r="DG42" s="228">
        <v>-5.05</v>
      </c>
      <c r="DH42" s="228">
        <v>0.04</v>
      </c>
      <c r="DI42" s="228">
        <v>38.36</v>
      </c>
      <c r="DJ42" s="228">
        <v>39.19</v>
      </c>
      <c r="DK42" s="228">
        <v>-0.83</v>
      </c>
      <c r="DL42" s="228">
        <v>-0.83</v>
      </c>
      <c r="DM42" s="228">
        <v>39.54</v>
      </c>
      <c r="DN42" s="228">
        <v>39.99</v>
      </c>
      <c r="DO42" s="228">
        <v>-0.45</v>
      </c>
      <c r="DP42" s="228">
        <v>-0.45</v>
      </c>
      <c r="DQ42" s="228">
        <v>0.83</v>
      </c>
      <c r="DR42" s="228">
        <v>1</v>
      </c>
      <c r="DS42" s="228">
        <v>-0.17</v>
      </c>
      <c r="DT42" s="229">
        <v>-0.17</v>
      </c>
      <c r="DU42" s="231">
        <v>1400</v>
      </c>
      <c r="DV42" s="231">
        <v>1400</v>
      </c>
      <c r="DW42" s="228">
        <v>0.32</v>
      </c>
      <c r="DX42" s="228">
        <v>0.94</v>
      </c>
      <c r="DY42" s="228">
        <v>-0.62</v>
      </c>
      <c r="DZ42" s="229">
        <v>-0.65959999999999996</v>
      </c>
      <c r="EA42" s="229">
        <v>5.7099999999999998E-2</v>
      </c>
      <c r="EB42" s="230">
        <v>9921800</v>
      </c>
      <c r="EC42" s="229">
        <v>4.7999999999999996E-3</v>
      </c>
      <c r="ED42" s="229">
        <v>5.7099999999999998E-2</v>
      </c>
      <c r="EE42" s="228">
        <v>3.66</v>
      </c>
      <c r="EF42" s="229">
        <v>2.7000000000000001E-3</v>
      </c>
      <c r="EG42" s="230">
        <v>682677</v>
      </c>
      <c r="EH42" s="230">
        <v>549671</v>
      </c>
      <c r="EI42" s="229">
        <v>0.24199999999999999</v>
      </c>
      <c r="EJ42" s="229">
        <v>0.40250000000000002</v>
      </c>
      <c r="EK42" s="231">
        <v>1089.73</v>
      </c>
      <c r="EL42" s="228">
        <v>326.89999999999998</v>
      </c>
      <c r="EM42" s="228">
        <v>293.5</v>
      </c>
      <c r="EN42" s="228">
        <v>195.85</v>
      </c>
      <c r="EO42" s="231">
        <v>1710.13</v>
      </c>
      <c r="EP42" s="231">
        <v>3494.7</v>
      </c>
      <c r="EQ42" s="231">
        <v>-1784.57</v>
      </c>
      <c r="ER42" s="229">
        <v>-0.51070000000000004</v>
      </c>
      <c r="ES42" s="228">
        <v>701.43</v>
      </c>
      <c r="ET42" s="228">
        <v>558.30999999999995</v>
      </c>
      <c r="EU42" s="231">
        <v>1384</v>
      </c>
      <c r="EV42" s="231">
        <v>26647500</v>
      </c>
      <c r="EW42" s="231">
        <v>2643.75</v>
      </c>
      <c r="EX42" s="231">
        <v>2327.6</v>
      </c>
      <c r="EY42" s="228">
        <v>316.14999999999998</v>
      </c>
      <c r="EZ42" s="229">
        <v>0.1358</v>
      </c>
      <c r="FA42" s="229">
        <v>0.71760000000000002</v>
      </c>
      <c r="FB42" s="227" t="s">
        <v>555</v>
      </c>
      <c r="FC42">
        <f t="shared" si="0"/>
        <v>79</v>
      </c>
    </row>
    <row r="43" spans="1:159" ht="17.25" thickBot="1" x14ac:dyDescent="0.3">
      <c r="A43" s="226">
        <v>46050</v>
      </c>
      <c r="B43" s="227" t="s">
        <v>161</v>
      </c>
      <c r="C43" s="227" t="s">
        <v>612</v>
      </c>
      <c r="D43" s="228">
        <v>850</v>
      </c>
      <c r="E43" s="228">
        <v>27</v>
      </c>
      <c r="F43" s="228">
        <v>583.29999999999995</v>
      </c>
      <c r="G43" s="228">
        <v>533.35</v>
      </c>
      <c r="H43" s="228">
        <v>49.95</v>
      </c>
      <c r="I43" s="229">
        <v>9.3700000000000006E-2</v>
      </c>
      <c r="J43" s="228">
        <v>581.95000000000005</v>
      </c>
      <c r="K43" s="228">
        <v>530.65</v>
      </c>
      <c r="L43" s="228">
        <v>51.3</v>
      </c>
      <c r="M43" s="229">
        <v>9.6699999999999994E-2</v>
      </c>
      <c r="N43" s="228">
        <v>583.29999999999995</v>
      </c>
      <c r="O43" s="228">
        <v>531.25</v>
      </c>
      <c r="P43" s="228">
        <v>52.05</v>
      </c>
      <c r="Q43" s="229">
        <v>9.8000000000000004E-2</v>
      </c>
      <c r="R43" s="228">
        <v>587.04999999999995</v>
      </c>
      <c r="S43" s="228">
        <v>533.35</v>
      </c>
      <c r="T43" s="228">
        <v>53.7</v>
      </c>
      <c r="U43" s="229">
        <v>0.1007</v>
      </c>
      <c r="V43" s="228">
        <v>590.9</v>
      </c>
      <c r="W43" s="228">
        <v>537.25</v>
      </c>
      <c r="X43" s="228">
        <v>53.65</v>
      </c>
      <c r="Y43" s="229">
        <v>9.9900000000000003E-2</v>
      </c>
      <c r="Z43" s="228">
        <v>1.35</v>
      </c>
      <c r="AA43" s="228">
        <v>2.7</v>
      </c>
      <c r="AB43" s="228">
        <v>-1.35</v>
      </c>
      <c r="AC43" s="229">
        <v>2.3E-3</v>
      </c>
      <c r="AD43" s="228">
        <v>1.35</v>
      </c>
      <c r="AE43" s="228">
        <v>0.6</v>
      </c>
      <c r="AF43" s="228">
        <v>0.75</v>
      </c>
      <c r="AG43" s="229">
        <v>2.3E-3</v>
      </c>
      <c r="AH43" s="228">
        <v>5.0999999999999996</v>
      </c>
      <c r="AI43" s="228">
        <v>2.7</v>
      </c>
      <c r="AJ43" s="228">
        <v>2.4</v>
      </c>
      <c r="AK43" s="229">
        <v>8.8000000000000005E-3</v>
      </c>
      <c r="AL43" s="228">
        <v>8.9499999999999993</v>
      </c>
      <c r="AM43" s="228">
        <v>6.6</v>
      </c>
      <c r="AN43" s="228">
        <v>2.35</v>
      </c>
      <c r="AO43" s="229">
        <v>1.54E-2</v>
      </c>
      <c r="AP43" s="228">
        <v>566.25</v>
      </c>
      <c r="AQ43" s="228">
        <v>570.77</v>
      </c>
      <c r="AR43" s="228">
        <v>0</v>
      </c>
      <c r="AS43" s="228">
        <v>716</v>
      </c>
      <c r="AT43" s="230">
        <v>1450</v>
      </c>
      <c r="AU43" s="228">
        <v>-734</v>
      </c>
      <c r="AV43" s="229">
        <v>-0.50609999999999999</v>
      </c>
      <c r="AW43" s="228">
        <v>692</v>
      </c>
      <c r="AX43" s="228">
        <v>498</v>
      </c>
      <c r="AY43" s="228">
        <v>194</v>
      </c>
      <c r="AZ43" s="229">
        <v>0.3896</v>
      </c>
      <c r="BA43" s="228">
        <v>22</v>
      </c>
      <c r="BB43" s="228">
        <v>932</v>
      </c>
      <c r="BC43" s="228">
        <v>-910</v>
      </c>
      <c r="BD43" s="229">
        <v>-0.97629999999999995</v>
      </c>
      <c r="BE43" s="228">
        <v>2</v>
      </c>
      <c r="BF43" s="228">
        <v>20</v>
      </c>
      <c r="BG43" s="228">
        <v>-18</v>
      </c>
      <c r="BH43" s="229">
        <v>-0.87960000000000005</v>
      </c>
      <c r="BI43" s="230">
        <v>3307</v>
      </c>
      <c r="BJ43" s="230">
        <v>1529</v>
      </c>
      <c r="BK43" s="230">
        <v>1778</v>
      </c>
      <c r="BL43" s="229">
        <v>1.1632</v>
      </c>
      <c r="BM43" s="230">
        <v>1106</v>
      </c>
      <c r="BN43" s="230">
        <v>1065</v>
      </c>
      <c r="BO43" s="228">
        <v>41</v>
      </c>
      <c r="BP43" s="229">
        <v>3.8800000000000001E-2</v>
      </c>
      <c r="BQ43" s="230">
        <v>5129</v>
      </c>
      <c r="BR43" s="230">
        <v>4044</v>
      </c>
      <c r="BS43" s="230">
        <v>1086</v>
      </c>
      <c r="BT43" s="229">
        <v>0.26850000000000002</v>
      </c>
      <c r="BU43" s="230">
        <v>12945973</v>
      </c>
      <c r="BV43" s="230">
        <v>10457719</v>
      </c>
      <c r="BW43" s="230">
        <v>2488254</v>
      </c>
      <c r="BX43" s="229">
        <v>0.2379</v>
      </c>
      <c r="BY43" s="230">
        <v>1107</v>
      </c>
      <c r="BZ43" s="230">
        <v>1060</v>
      </c>
      <c r="CA43" s="228">
        <v>47</v>
      </c>
      <c r="CB43" s="229">
        <v>4.4600000000000001E-2</v>
      </c>
      <c r="CC43" s="230">
        <v>1081</v>
      </c>
      <c r="CD43" s="228">
        <v>97</v>
      </c>
      <c r="CE43" s="228">
        <v>984</v>
      </c>
      <c r="CF43" s="229">
        <v>10.1203</v>
      </c>
      <c r="CG43" s="228">
        <v>24</v>
      </c>
      <c r="CH43" s="230">
        <v>1037</v>
      </c>
      <c r="CI43" s="230">
        <v>-1013</v>
      </c>
      <c r="CJ43" s="229">
        <v>-0.97640000000000005</v>
      </c>
      <c r="CK43" s="228">
        <v>1</v>
      </c>
      <c r="CL43" s="228">
        <v>23</v>
      </c>
      <c r="CM43" s="228">
        <v>-21</v>
      </c>
      <c r="CN43" s="229">
        <v>-0.94520000000000004</v>
      </c>
      <c r="CO43" s="228">
        <v>330</v>
      </c>
      <c r="CP43" s="228">
        <v>325</v>
      </c>
      <c r="CQ43" s="228">
        <v>5</v>
      </c>
      <c r="CR43" s="229">
        <v>1.54E-2</v>
      </c>
      <c r="CS43" s="228">
        <v>315</v>
      </c>
      <c r="CT43" s="228">
        <v>223</v>
      </c>
      <c r="CU43" s="228">
        <v>93</v>
      </c>
      <c r="CV43" s="229">
        <v>0.41589999999999999</v>
      </c>
      <c r="CW43" s="230">
        <v>1753</v>
      </c>
      <c r="CX43" s="230">
        <v>1608</v>
      </c>
      <c r="CY43" s="228">
        <v>145</v>
      </c>
      <c r="CZ43" s="229">
        <v>9.01E-2</v>
      </c>
      <c r="DA43" s="228">
        <v>38.479999999999997</v>
      </c>
      <c r="DB43" s="228">
        <v>45.01</v>
      </c>
      <c r="DC43" s="228">
        <v>-6.53</v>
      </c>
      <c r="DD43" s="228">
        <v>-6.53</v>
      </c>
      <c r="DE43" s="228">
        <v>41.17</v>
      </c>
      <c r="DF43" s="228">
        <v>39.43</v>
      </c>
      <c r="DG43" s="228">
        <v>-2.69</v>
      </c>
      <c r="DH43" s="228">
        <v>1.74</v>
      </c>
      <c r="DI43" s="228">
        <v>37.89</v>
      </c>
      <c r="DJ43" s="228">
        <v>45.14</v>
      </c>
      <c r="DK43" s="228">
        <v>-7.25</v>
      </c>
      <c r="DL43" s="228">
        <v>-7.25</v>
      </c>
      <c r="DM43" s="228">
        <v>40.270000000000003</v>
      </c>
      <c r="DN43" s="228">
        <v>44.8</v>
      </c>
      <c r="DO43" s="228">
        <v>-4.53</v>
      </c>
      <c r="DP43" s="228">
        <v>-4.53</v>
      </c>
      <c r="DQ43" s="228">
        <v>0.96</v>
      </c>
      <c r="DR43" s="228">
        <v>0.68</v>
      </c>
      <c r="DS43" s="228">
        <v>0.28000000000000003</v>
      </c>
      <c r="DT43" s="229">
        <v>0.4118</v>
      </c>
      <c r="DU43" s="228">
        <v>600</v>
      </c>
      <c r="DV43" s="228">
        <v>550</v>
      </c>
      <c r="DW43" s="228">
        <v>0.33</v>
      </c>
      <c r="DX43" s="228">
        <v>0.7</v>
      </c>
      <c r="DY43" s="228">
        <v>-0.37</v>
      </c>
      <c r="DZ43" s="229">
        <v>-0.52859999999999996</v>
      </c>
      <c r="EA43" s="229">
        <v>2.3199999999999998E-2</v>
      </c>
      <c r="EB43" s="230">
        <v>18166200</v>
      </c>
      <c r="EC43" s="229">
        <v>6.4000000000000003E-3</v>
      </c>
      <c r="ED43" s="229">
        <v>2.3199999999999998E-2</v>
      </c>
      <c r="EE43" s="228">
        <v>4.5199999999999996</v>
      </c>
      <c r="EF43" s="229">
        <v>8.0000000000000002E-3</v>
      </c>
      <c r="EG43" s="230">
        <v>3386992</v>
      </c>
      <c r="EH43" s="230">
        <v>4805747</v>
      </c>
      <c r="EI43" s="229">
        <v>-0.29520000000000002</v>
      </c>
      <c r="EJ43" s="229">
        <v>0.2616</v>
      </c>
      <c r="EK43" s="231">
        <v>3434.16</v>
      </c>
      <c r="EL43" s="231">
        <v>1050.3699999999999</v>
      </c>
      <c r="EM43" s="228">
        <v>695.39</v>
      </c>
      <c r="EN43" s="228">
        <v>199.84</v>
      </c>
      <c r="EO43" s="231">
        <v>5179.91</v>
      </c>
      <c r="EP43" s="231">
        <v>3917.61</v>
      </c>
      <c r="EQ43" s="231">
        <v>1262.31</v>
      </c>
      <c r="ER43" s="229">
        <v>0.32219999999999999</v>
      </c>
      <c r="ES43" s="228">
        <v>343.09</v>
      </c>
      <c r="ET43" s="228">
        <v>297.14</v>
      </c>
      <c r="EU43" s="231">
        <v>1107.06</v>
      </c>
      <c r="EV43" s="231">
        <v>103060454</v>
      </c>
      <c r="EW43" s="231">
        <v>1747.29</v>
      </c>
      <c r="EX43" s="231">
        <v>1508.5</v>
      </c>
      <c r="EY43" s="228">
        <v>238.79</v>
      </c>
      <c r="EZ43" s="229">
        <v>0.1583</v>
      </c>
      <c r="FA43" s="229">
        <v>0.29160000000000003</v>
      </c>
      <c r="FB43" s="227" t="s">
        <v>555</v>
      </c>
      <c r="FC43">
        <f t="shared" si="0"/>
        <v>26</v>
      </c>
    </row>
    <row r="44" spans="1:159" ht="17.25" thickBot="1" x14ac:dyDescent="0.3">
      <c r="A44" s="226">
        <v>46050</v>
      </c>
      <c r="B44" s="227" t="s">
        <v>175</v>
      </c>
      <c r="C44" s="227" t="s">
        <v>198</v>
      </c>
      <c r="D44" s="228">
        <v>625</v>
      </c>
      <c r="E44" s="228">
        <v>27</v>
      </c>
      <c r="F44" s="231">
        <v>1646.4</v>
      </c>
      <c r="G44" s="231">
        <v>1649.4</v>
      </c>
      <c r="H44" s="228">
        <v>-3</v>
      </c>
      <c r="I44" s="229">
        <v>-1.8E-3</v>
      </c>
      <c r="J44" s="231">
        <v>1636.8</v>
      </c>
      <c r="K44" s="231">
        <v>1639.7</v>
      </c>
      <c r="L44" s="228">
        <v>-2.9</v>
      </c>
      <c r="M44" s="229">
        <v>-1.8E-3</v>
      </c>
      <c r="N44" s="231">
        <v>1646.4</v>
      </c>
      <c r="O44" s="231">
        <v>1639.1</v>
      </c>
      <c r="P44" s="228">
        <v>7.3</v>
      </c>
      <c r="Q44" s="229">
        <v>4.4999999999999997E-3</v>
      </c>
      <c r="R44" s="231">
        <v>1653.4</v>
      </c>
      <c r="S44" s="231">
        <v>1649.4</v>
      </c>
      <c r="T44" s="228">
        <v>4</v>
      </c>
      <c r="U44" s="229">
        <v>2.3999999999999998E-3</v>
      </c>
      <c r="V44" s="231">
        <v>1665</v>
      </c>
      <c r="W44" s="231">
        <v>1657.7</v>
      </c>
      <c r="X44" s="228">
        <v>7.3</v>
      </c>
      <c r="Y44" s="229">
        <v>4.4000000000000003E-3</v>
      </c>
      <c r="Z44" s="228">
        <v>9.6</v>
      </c>
      <c r="AA44" s="228">
        <v>9.6999999999999993</v>
      </c>
      <c r="AB44" s="228">
        <v>-0.1</v>
      </c>
      <c r="AC44" s="229">
        <v>5.8999999999999999E-3</v>
      </c>
      <c r="AD44" s="228">
        <v>9.6</v>
      </c>
      <c r="AE44" s="228">
        <v>-0.6</v>
      </c>
      <c r="AF44" s="228">
        <v>10.199999999999999</v>
      </c>
      <c r="AG44" s="229">
        <v>5.8999999999999999E-3</v>
      </c>
      <c r="AH44" s="228">
        <v>16.600000000000001</v>
      </c>
      <c r="AI44" s="228">
        <v>9.6999999999999993</v>
      </c>
      <c r="AJ44" s="228">
        <v>6.9</v>
      </c>
      <c r="AK44" s="229">
        <v>1.01E-2</v>
      </c>
      <c r="AL44" s="228">
        <v>28.2</v>
      </c>
      <c r="AM44" s="228">
        <v>18</v>
      </c>
      <c r="AN44" s="228">
        <v>10.199999999999999</v>
      </c>
      <c r="AO44" s="229">
        <v>1.72E-2</v>
      </c>
      <c r="AP44" s="231">
        <v>1648.97</v>
      </c>
      <c r="AQ44" s="231">
        <v>1656.91</v>
      </c>
      <c r="AR44" s="228">
        <v>0</v>
      </c>
      <c r="AS44" s="228">
        <v>287</v>
      </c>
      <c r="AT44" s="230">
        <v>1181</v>
      </c>
      <c r="AU44" s="228">
        <v>-894</v>
      </c>
      <c r="AV44" s="229">
        <v>-0.75719999999999998</v>
      </c>
      <c r="AW44" s="228">
        <v>281</v>
      </c>
      <c r="AX44" s="228">
        <v>501</v>
      </c>
      <c r="AY44" s="228">
        <v>-219</v>
      </c>
      <c r="AZ44" s="229">
        <v>-0.43790000000000001</v>
      </c>
      <c r="BA44" s="228">
        <v>5</v>
      </c>
      <c r="BB44" s="228">
        <v>677</v>
      </c>
      <c r="BC44" s="228">
        <v>-672</v>
      </c>
      <c r="BD44" s="229">
        <v>-0.99219999999999997</v>
      </c>
      <c r="BE44" s="228">
        <v>0</v>
      </c>
      <c r="BF44" s="228">
        <v>3</v>
      </c>
      <c r="BG44" s="228">
        <v>-3</v>
      </c>
      <c r="BH44" s="229">
        <v>-0.9677</v>
      </c>
      <c r="BI44" s="228">
        <v>183</v>
      </c>
      <c r="BJ44" s="228">
        <v>587</v>
      </c>
      <c r="BK44" s="228">
        <v>-405</v>
      </c>
      <c r="BL44" s="229">
        <v>-0.68899999999999995</v>
      </c>
      <c r="BM44" s="228">
        <v>152</v>
      </c>
      <c r="BN44" s="228">
        <v>485</v>
      </c>
      <c r="BO44" s="228">
        <v>-333</v>
      </c>
      <c r="BP44" s="229">
        <v>-0.68659999999999999</v>
      </c>
      <c r="BQ44" s="228">
        <v>621</v>
      </c>
      <c r="BR44" s="230">
        <v>2253</v>
      </c>
      <c r="BS44" s="230">
        <v>-1632</v>
      </c>
      <c r="BT44" s="229">
        <v>-0.72419999999999995</v>
      </c>
      <c r="BU44" s="230">
        <v>1169892</v>
      </c>
      <c r="BV44" s="230">
        <v>1965642</v>
      </c>
      <c r="BW44" s="230">
        <v>-795750</v>
      </c>
      <c r="BX44" s="229">
        <v>-0.40479999999999999</v>
      </c>
      <c r="BY44" s="230">
        <v>2489</v>
      </c>
      <c r="BZ44" s="230">
        <v>2444</v>
      </c>
      <c r="CA44" s="228">
        <v>45</v>
      </c>
      <c r="CB44" s="229">
        <v>1.84E-2</v>
      </c>
      <c r="CC44" s="230">
        <v>2477</v>
      </c>
      <c r="CD44" s="228">
        <v>141</v>
      </c>
      <c r="CE44" s="230">
        <v>2336</v>
      </c>
      <c r="CF44" s="229">
        <v>16.608599999999999</v>
      </c>
      <c r="CG44" s="228">
        <v>12</v>
      </c>
      <c r="CH44" s="230">
        <v>2434</v>
      </c>
      <c r="CI44" s="230">
        <v>-2422</v>
      </c>
      <c r="CJ44" s="229">
        <v>-0.99509999999999998</v>
      </c>
      <c r="CK44" s="228">
        <v>0</v>
      </c>
      <c r="CL44" s="228">
        <v>10</v>
      </c>
      <c r="CM44" s="228">
        <v>-10</v>
      </c>
      <c r="CN44" s="229">
        <v>-0.98939999999999995</v>
      </c>
      <c r="CO44" s="228">
        <v>209</v>
      </c>
      <c r="CP44" s="228">
        <v>157</v>
      </c>
      <c r="CQ44" s="228">
        <v>52</v>
      </c>
      <c r="CR44" s="229">
        <v>0.33250000000000002</v>
      </c>
      <c r="CS44" s="228">
        <v>219</v>
      </c>
      <c r="CT44" s="228">
        <v>175</v>
      </c>
      <c r="CU44" s="228">
        <v>45</v>
      </c>
      <c r="CV44" s="229">
        <v>0.25530000000000003</v>
      </c>
      <c r="CW44" s="230">
        <v>2917</v>
      </c>
      <c r="CX44" s="230">
        <v>2775</v>
      </c>
      <c r="CY44" s="228">
        <v>142</v>
      </c>
      <c r="CZ44" s="229">
        <v>5.0999999999999997E-2</v>
      </c>
      <c r="DA44" s="228">
        <v>34.83</v>
      </c>
      <c r="DB44" s="228">
        <v>35.61</v>
      </c>
      <c r="DC44" s="228">
        <v>-0.78</v>
      </c>
      <c r="DD44" s="228">
        <v>-0.78</v>
      </c>
      <c r="DE44" s="228">
        <v>36.83</v>
      </c>
      <c r="DF44" s="228">
        <v>36.92</v>
      </c>
      <c r="DG44" s="228">
        <v>-2</v>
      </c>
      <c r="DH44" s="228">
        <v>-0.09</v>
      </c>
      <c r="DI44" s="228">
        <v>34.229999999999997</v>
      </c>
      <c r="DJ44" s="228">
        <v>35.090000000000003</v>
      </c>
      <c r="DK44" s="228">
        <v>-0.86</v>
      </c>
      <c r="DL44" s="228">
        <v>-0.86</v>
      </c>
      <c r="DM44" s="228">
        <v>35.549999999999997</v>
      </c>
      <c r="DN44" s="228">
        <v>36.15</v>
      </c>
      <c r="DO44" s="228">
        <v>-0.6</v>
      </c>
      <c r="DP44" s="228">
        <v>-0.6</v>
      </c>
      <c r="DQ44" s="228">
        <v>1.05</v>
      </c>
      <c r="DR44" s="228">
        <v>1.1100000000000001</v>
      </c>
      <c r="DS44" s="228">
        <v>-0.06</v>
      </c>
      <c r="DT44" s="229">
        <v>-5.4100000000000002E-2</v>
      </c>
      <c r="DU44" s="231">
        <v>1800</v>
      </c>
      <c r="DV44" s="231">
        <v>1600</v>
      </c>
      <c r="DW44" s="228">
        <v>0.83</v>
      </c>
      <c r="DX44" s="228">
        <v>0.83</v>
      </c>
      <c r="DY44" s="228">
        <v>0</v>
      </c>
      <c r="DZ44" s="229">
        <v>0</v>
      </c>
      <c r="EA44" s="229">
        <v>4.7999999999999996E-3</v>
      </c>
      <c r="EB44" s="230">
        <v>14844375</v>
      </c>
      <c r="EC44" s="229">
        <v>4.3E-3</v>
      </c>
      <c r="ED44" s="229">
        <v>4.7999999999999996E-3</v>
      </c>
      <c r="EE44" s="228">
        <v>7.94</v>
      </c>
      <c r="EF44" s="229">
        <v>4.7999999999999996E-3</v>
      </c>
      <c r="EG44" s="230">
        <v>763960</v>
      </c>
      <c r="EH44" s="230">
        <v>1414006</v>
      </c>
      <c r="EI44" s="229">
        <v>-0.4597</v>
      </c>
      <c r="EJ44" s="229">
        <v>0.65300000000000002</v>
      </c>
      <c r="EK44" s="228">
        <v>196.31</v>
      </c>
      <c r="EL44" s="228">
        <v>148.68</v>
      </c>
      <c r="EM44" s="228">
        <v>287.14999999999998</v>
      </c>
      <c r="EN44" s="228">
        <v>156.12</v>
      </c>
      <c r="EO44" s="228">
        <v>632.15</v>
      </c>
      <c r="EP44" s="231">
        <v>2279.88</v>
      </c>
      <c r="EQ44" s="231">
        <v>-1647.73</v>
      </c>
      <c r="ER44" s="229">
        <v>-0.72270000000000001</v>
      </c>
      <c r="ES44" s="228">
        <v>223.53</v>
      </c>
      <c r="ET44" s="228">
        <v>213.84</v>
      </c>
      <c r="EU44" s="231">
        <v>2489</v>
      </c>
      <c r="EV44" s="231">
        <v>63257923</v>
      </c>
      <c r="EW44" s="231">
        <v>2926.37</v>
      </c>
      <c r="EX44" s="231">
        <v>2788.86</v>
      </c>
      <c r="EY44" s="228">
        <v>137.51</v>
      </c>
      <c r="EZ44" s="229">
        <v>4.9299999999999997E-2</v>
      </c>
      <c r="FA44" s="229">
        <v>0.28010000000000002</v>
      </c>
      <c r="FB44" s="227" t="s">
        <v>567</v>
      </c>
      <c r="FC44">
        <f t="shared" si="0"/>
        <v>12</v>
      </c>
    </row>
    <row r="45" spans="1:159" ht="17.25" thickBot="1" x14ac:dyDescent="0.3">
      <c r="A45" s="226">
        <v>46050</v>
      </c>
      <c r="B45" s="227" t="s">
        <v>170</v>
      </c>
      <c r="C45" s="227" t="s">
        <v>199</v>
      </c>
      <c r="D45" s="228">
        <v>375</v>
      </c>
      <c r="E45" s="228">
        <v>27</v>
      </c>
      <c r="F45" s="231">
        <v>1334.3</v>
      </c>
      <c r="G45" s="231">
        <v>1320.6</v>
      </c>
      <c r="H45" s="228">
        <v>13.7</v>
      </c>
      <c r="I45" s="229">
        <v>1.04E-2</v>
      </c>
      <c r="J45" s="231">
        <v>1328.4</v>
      </c>
      <c r="K45" s="231">
        <v>1313</v>
      </c>
      <c r="L45" s="228">
        <v>15.4</v>
      </c>
      <c r="M45" s="229">
        <v>1.17E-2</v>
      </c>
      <c r="N45" s="231">
        <v>1334.3</v>
      </c>
      <c r="O45" s="231">
        <v>1311.2</v>
      </c>
      <c r="P45" s="228">
        <v>23.1</v>
      </c>
      <c r="Q45" s="229">
        <v>1.7600000000000001E-2</v>
      </c>
      <c r="R45" s="231">
        <v>1343.8</v>
      </c>
      <c r="S45" s="231">
        <v>1320.6</v>
      </c>
      <c r="T45" s="228">
        <v>23.2</v>
      </c>
      <c r="U45" s="229">
        <v>1.7600000000000001E-2</v>
      </c>
      <c r="V45" s="231">
        <v>1348.1</v>
      </c>
      <c r="W45" s="231">
        <v>1330.1</v>
      </c>
      <c r="X45" s="228">
        <v>18</v>
      </c>
      <c r="Y45" s="229">
        <v>1.35E-2</v>
      </c>
      <c r="Z45" s="228">
        <v>5.9</v>
      </c>
      <c r="AA45" s="228">
        <v>7.6</v>
      </c>
      <c r="AB45" s="228">
        <v>-1.7</v>
      </c>
      <c r="AC45" s="229">
        <v>4.4000000000000003E-3</v>
      </c>
      <c r="AD45" s="228">
        <v>5.9</v>
      </c>
      <c r="AE45" s="228">
        <v>-1.8</v>
      </c>
      <c r="AF45" s="228">
        <v>7.7</v>
      </c>
      <c r="AG45" s="229">
        <v>4.4000000000000003E-3</v>
      </c>
      <c r="AH45" s="228">
        <v>15.4</v>
      </c>
      <c r="AI45" s="228">
        <v>7.6</v>
      </c>
      <c r="AJ45" s="228">
        <v>7.8</v>
      </c>
      <c r="AK45" s="229">
        <v>1.1599999999999999E-2</v>
      </c>
      <c r="AL45" s="228">
        <v>19.7</v>
      </c>
      <c r="AM45" s="228">
        <v>17.100000000000001</v>
      </c>
      <c r="AN45" s="228">
        <v>2.6</v>
      </c>
      <c r="AO45" s="229">
        <v>1.4800000000000001E-2</v>
      </c>
      <c r="AP45" s="231">
        <v>1327.69</v>
      </c>
      <c r="AQ45" s="231">
        <v>1337.02</v>
      </c>
      <c r="AR45" s="228">
        <v>0</v>
      </c>
      <c r="AS45" s="228">
        <v>234</v>
      </c>
      <c r="AT45" s="230">
        <v>1187</v>
      </c>
      <c r="AU45" s="228">
        <v>-953</v>
      </c>
      <c r="AV45" s="229">
        <v>-0.80279999999999996</v>
      </c>
      <c r="AW45" s="228">
        <v>228</v>
      </c>
      <c r="AX45" s="228">
        <v>497</v>
      </c>
      <c r="AY45" s="228">
        <v>-269</v>
      </c>
      <c r="AZ45" s="229">
        <v>-0.54069999999999996</v>
      </c>
      <c r="BA45" s="228">
        <v>5</v>
      </c>
      <c r="BB45" s="228">
        <v>672</v>
      </c>
      <c r="BC45" s="228">
        <v>-667</v>
      </c>
      <c r="BD45" s="229">
        <v>-0.99260000000000004</v>
      </c>
      <c r="BE45" s="228">
        <v>1</v>
      </c>
      <c r="BF45" s="228">
        <v>18</v>
      </c>
      <c r="BG45" s="228">
        <v>-17</v>
      </c>
      <c r="BH45" s="229">
        <v>-0.95209999999999995</v>
      </c>
      <c r="BI45" s="228">
        <v>516</v>
      </c>
      <c r="BJ45" s="230">
        <v>1302</v>
      </c>
      <c r="BK45" s="228">
        <v>-786</v>
      </c>
      <c r="BL45" s="229">
        <v>-0.60340000000000005</v>
      </c>
      <c r="BM45" s="228">
        <v>272</v>
      </c>
      <c r="BN45" s="230">
        <v>1183</v>
      </c>
      <c r="BO45" s="228">
        <v>-912</v>
      </c>
      <c r="BP45" s="229">
        <v>-0.77029999999999998</v>
      </c>
      <c r="BQ45" s="230">
        <v>1022</v>
      </c>
      <c r="BR45" s="230">
        <v>3672</v>
      </c>
      <c r="BS45" s="230">
        <v>-2650</v>
      </c>
      <c r="BT45" s="229">
        <v>-0.72160000000000002</v>
      </c>
      <c r="BU45" s="230">
        <v>1561847</v>
      </c>
      <c r="BV45" s="230">
        <v>4487531</v>
      </c>
      <c r="BW45" s="230">
        <v>-2925684</v>
      </c>
      <c r="BX45" s="229">
        <v>-0.65200000000000002</v>
      </c>
      <c r="BY45" s="230">
        <v>1950</v>
      </c>
      <c r="BZ45" s="230">
        <v>2010</v>
      </c>
      <c r="CA45" s="228">
        <v>-60</v>
      </c>
      <c r="CB45" s="229">
        <v>-0.03</v>
      </c>
      <c r="CC45" s="230">
        <v>1905</v>
      </c>
      <c r="CD45" s="228">
        <v>250</v>
      </c>
      <c r="CE45" s="230">
        <v>1654</v>
      </c>
      <c r="CF45" s="229">
        <v>6.6113</v>
      </c>
      <c r="CG45" s="228">
        <v>44</v>
      </c>
      <c r="CH45" s="230">
        <v>1966</v>
      </c>
      <c r="CI45" s="230">
        <v>-1921</v>
      </c>
      <c r="CJ45" s="229">
        <v>-0.97740000000000005</v>
      </c>
      <c r="CK45" s="228">
        <v>1</v>
      </c>
      <c r="CL45" s="228">
        <v>44</v>
      </c>
      <c r="CM45" s="228">
        <v>-43</v>
      </c>
      <c r="CN45" s="229">
        <v>-0.98860000000000003</v>
      </c>
      <c r="CO45" s="228">
        <v>466</v>
      </c>
      <c r="CP45" s="228">
        <v>392</v>
      </c>
      <c r="CQ45" s="228">
        <v>75</v>
      </c>
      <c r="CR45" s="229">
        <v>0.19109999999999999</v>
      </c>
      <c r="CS45" s="228">
        <v>388</v>
      </c>
      <c r="CT45" s="228">
        <v>356</v>
      </c>
      <c r="CU45" s="228">
        <v>32</v>
      </c>
      <c r="CV45" s="229">
        <v>9.06E-2</v>
      </c>
      <c r="CW45" s="230">
        <v>2804</v>
      </c>
      <c r="CX45" s="230">
        <v>2757</v>
      </c>
      <c r="CY45" s="228">
        <v>47</v>
      </c>
      <c r="CZ45" s="229">
        <v>1.7000000000000001E-2</v>
      </c>
      <c r="DA45" s="228">
        <v>22.68</v>
      </c>
      <c r="DB45" s="228">
        <v>24.15</v>
      </c>
      <c r="DC45" s="228">
        <v>-1.47</v>
      </c>
      <c r="DD45" s="228">
        <v>-1.47</v>
      </c>
      <c r="DE45" s="228">
        <v>25.99</v>
      </c>
      <c r="DF45" s="228">
        <v>26.02</v>
      </c>
      <c r="DG45" s="228">
        <v>-3.31</v>
      </c>
      <c r="DH45" s="228">
        <v>-0.03</v>
      </c>
      <c r="DI45" s="228">
        <v>22.29</v>
      </c>
      <c r="DJ45" s="228">
        <v>23.98</v>
      </c>
      <c r="DK45" s="228">
        <v>-1.69</v>
      </c>
      <c r="DL45" s="228">
        <v>-1.69</v>
      </c>
      <c r="DM45" s="228">
        <v>23.41</v>
      </c>
      <c r="DN45" s="228">
        <v>24.36</v>
      </c>
      <c r="DO45" s="228">
        <v>-0.95</v>
      </c>
      <c r="DP45" s="228">
        <v>-0.95</v>
      </c>
      <c r="DQ45" s="228">
        <v>0.83</v>
      </c>
      <c r="DR45" s="228">
        <v>0.91</v>
      </c>
      <c r="DS45" s="228">
        <v>-0.08</v>
      </c>
      <c r="DT45" s="229">
        <v>-8.7900000000000006E-2</v>
      </c>
      <c r="DU45" s="231">
        <v>1500</v>
      </c>
      <c r="DV45" s="231">
        <v>1300</v>
      </c>
      <c r="DW45" s="228">
        <v>0.53</v>
      </c>
      <c r="DX45" s="228">
        <v>0.91</v>
      </c>
      <c r="DY45" s="228">
        <v>-0.38</v>
      </c>
      <c r="DZ45" s="229">
        <v>-0.41760000000000003</v>
      </c>
      <c r="EA45" s="229">
        <v>2.3E-2</v>
      </c>
      <c r="EB45" s="230">
        <v>15061875</v>
      </c>
      <c r="EC45" s="229">
        <v>7.1000000000000004E-3</v>
      </c>
      <c r="ED45" s="229">
        <v>2.3E-2</v>
      </c>
      <c r="EE45" s="228">
        <v>9.33</v>
      </c>
      <c r="EF45" s="229">
        <v>7.0000000000000001E-3</v>
      </c>
      <c r="EG45" s="230">
        <v>849910</v>
      </c>
      <c r="EH45" s="230">
        <v>2559846</v>
      </c>
      <c r="EI45" s="229">
        <v>-0.66800000000000004</v>
      </c>
      <c r="EJ45" s="229">
        <v>0.54420000000000002</v>
      </c>
      <c r="EK45" s="228">
        <v>547.76</v>
      </c>
      <c r="EL45" s="228">
        <v>265.92</v>
      </c>
      <c r="EM45" s="228">
        <v>233</v>
      </c>
      <c r="EN45" s="228">
        <v>314.79000000000002</v>
      </c>
      <c r="EO45" s="231">
        <v>1046.69</v>
      </c>
      <c r="EP45" s="231">
        <v>3719.31</v>
      </c>
      <c r="EQ45" s="231">
        <v>-2672.62</v>
      </c>
      <c r="ER45" s="229">
        <v>-0.71860000000000002</v>
      </c>
      <c r="ES45" s="228">
        <v>497.58</v>
      </c>
      <c r="ET45" s="228">
        <v>384.63</v>
      </c>
      <c r="EU45" s="231">
        <v>1949.83</v>
      </c>
      <c r="EV45" s="231">
        <v>59297360</v>
      </c>
      <c r="EW45" s="231">
        <v>2832.05</v>
      </c>
      <c r="EX45" s="231">
        <v>2760.32</v>
      </c>
      <c r="EY45" s="228">
        <v>71.73</v>
      </c>
      <c r="EZ45" s="229">
        <v>2.5999999999999999E-2</v>
      </c>
      <c r="FA45" s="229">
        <v>0.35439999999999999</v>
      </c>
      <c r="FB45" s="227" t="s">
        <v>556</v>
      </c>
      <c r="FC45">
        <f t="shared" si="0"/>
        <v>45</v>
      </c>
    </row>
    <row r="46" spans="1:159" ht="17.25" thickBot="1" x14ac:dyDescent="0.3">
      <c r="A46" s="226">
        <v>46050</v>
      </c>
      <c r="B46" s="227" t="s">
        <v>227</v>
      </c>
      <c r="C46" s="227" t="s">
        <v>200</v>
      </c>
      <c r="D46" s="228">
        <v>1350</v>
      </c>
      <c r="E46" s="228">
        <v>27</v>
      </c>
      <c r="F46" s="228">
        <v>440.55</v>
      </c>
      <c r="G46" s="228">
        <v>420.4</v>
      </c>
      <c r="H46" s="228">
        <v>20.149999999999999</v>
      </c>
      <c r="I46" s="229">
        <v>4.7899999999999998E-2</v>
      </c>
      <c r="J46" s="228">
        <v>444.05</v>
      </c>
      <c r="K46" s="228">
        <v>422.9</v>
      </c>
      <c r="L46" s="228">
        <v>21.15</v>
      </c>
      <c r="M46" s="229">
        <v>0.05</v>
      </c>
      <c r="N46" s="228">
        <v>440.55</v>
      </c>
      <c r="O46" s="228">
        <v>423.9</v>
      </c>
      <c r="P46" s="228">
        <v>16.649999999999999</v>
      </c>
      <c r="Q46" s="229">
        <v>3.9300000000000002E-2</v>
      </c>
      <c r="R46" s="228">
        <v>443.45</v>
      </c>
      <c r="S46" s="228">
        <v>420.4</v>
      </c>
      <c r="T46" s="228">
        <v>23.05</v>
      </c>
      <c r="U46" s="229">
        <v>5.4800000000000001E-2</v>
      </c>
      <c r="V46" s="228">
        <v>445.55</v>
      </c>
      <c r="W46" s="228">
        <v>423</v>
      </c>
      <c r="X46" s="228">
        <v>22.55</v>
      </c>
      <c r="Y46" s="229">
        <v>5.33E-2</v>
      </c>
      <c r="Z46" s="228">
        <v>-3.5</v>
      </c>
      <c r="AA46" s="228">
        <v>-2.5</v>
      </c>
      <c r="AB46" s="228">
        <v>-1</v>
      </c>
      <c r="AC46" s="229">
        <v>-7.9000000000000008E-3</v>
      </c>
      <c r="AD46" s="228">
        <v>-3.5</v>
      </c>
      <c r="AE46" s="228">
        <v>1</v>
      </c>
      <c r="AF46" s="228">
        <v>-4.5</v>
      </c>
      <c r="AG46" s="229">
        <v>-7.9000000000000008E-3</v>
      </c>
      <c r="AH46" s="228">
        <v>-0.6</v>
      </c>
      <c r="AI46" s="228">
        <v>-2.5</v>
      </c>
      <c r="AJ46" s="228">
        <v>1.9</v>
      </c>
      <c r="AK46" s="229">
        <v>-1.4E-3</v>
      </c>
      <c r="AL46" s="228">
        <v>1.5</v>
      </c>
      <c r="AM46" s="228">
        <v>0.1</v>
      </c>
      <c r="AN46" s="228">
        <v>1.4</v>
      </c>
      <c r="AO46" s="229">
        <v>3.3999999999999998E-3</v>
      </c>
      <c r="AP46" s="228">
        <v>435.08</v>
      </c>
      <c r="AQ46" s="228">
        <v>436.99</v>
      </c>
      <c r="AR46" s="228">
        <v>0</v>
      </c>
      <c r="AS46" s="228">
        <v>934</v>
      </c>
      <c r="AT46" s="230">
        <v>1397</v>
      </c>
      <c r="AU46" s="228">
        <v>-463</v>
      </c>
      <c r="AV46" s="229">
        <v>-0.33129999999999998</v>
      </c>
      <c r="AW46" s="228">
        <v>884</v>
      </c>
      <c r="AX46" s="228">
        <v>596</v>
      </c>
      <c r="AY46" s="228">
        <v>289</v>
      </c>
      <c r="AZ46" s="229">
        <v>0.48449999999999999</v>
      </c>
      <c r="BA46" s="228">
        <v>45</v>
      </c>
      <c r="BB46" s="228">
        <v>770</v>
      </c>
      <c r="BC46" s="228">
        <v>-725</v>
      </c>
      <c r="BD46" s="229">
        <v>-0.94089999999999996</v>
      </c>
      <c r="BE46" s="228">
        <v>4</v>
      </c>
      <c r="BF46" s="228">
        <v>31</v>
      </c>
      <c r="BG46" s="228">
        <v>-27</v>
      </c>
      <c r="BH46" s="229">
        <v>-0.86429999999999996</v>
      </c>
      <c r="BI46" s="230">
        <v>4023</v>
      </c>
      <c r="BJ46" s="230">
        <v>1686</v>
      </c>
      <c r="BK46" s="230">
        <v>2337</v>
      </c>
      <c r="BL46" s="229">
        <v>1.3855999999999999</v>
      </c>
      <c r="BM46" s="230">
        <v>1207</v>
      </c>
      <c r="BN46" s="228">
        <v>870</v>
      </c>
      <c r="BO46" s="228">
        <v>337</v>
      </c>
      <c r="BP46" s="229">
        <v>0.38740000000000002</v>
      </c>
      <c r="BQ46" s="230">
        <v>6163</v>
      </c>
      <c r="BR46" s="230">
        <v>3953</v>
      </c>
      <c r="BS46" s="230">
        <v>2211</v>
      </c>
      <c r="BT46" s="229">
        <v>0.55930000000000002</v>
      </c>
      <c r="BU46" s="230">
        <v>18523213</v>
      </c>
      <c r="BV46" s="230">
        <v>9403866</v>
      </c>
      <c r="BW46" s="230">
        <v>9119347</v>
      </c>
      <c r="BX46" s="229">
        <v>0.96970000000000001</v>
      </c>
      <c r="BY46" s="230">
        <v>1716</v>
      </c>
      <c r="BZ46" s="230">
        <v>1719</v>
      </c>
      <c r="CA46" s="228">
        <v>-3</v>
      </c>
      <c r="CB46" s="229">
        <v>-1.6999999999999999E-3</v>
      </c>
      <c r="CC46" s="230">
        <v>1663</v>
      </c>
      <c r="CD46" s="228">
        <v>621</v>
      </c>
      <c r="CE46" s="230">
        <v>1042</v>
      </c>
      <c r="CF46" s="229">
        <v>1.6768000000000001</v>
      </c>
      <c r="CG46" s="228">
        <v>49</v>
      </c>
      <c r="CH46" s="230">
        <v>1677</v>
      </c>
      <c r="CI46" s="230">
        <v>-1628</v>
      </c>
      <c r="CJ46" s="229">
        <v>-0.97050000000000003</v>
      </c>
      <c r="CK46" s="228">
        <v>3</v>
      </c>
      <c r="CL46" s="228">
        <v>42</v>
      </c>
      <c r="CM46" s="228">
        <v>-39</v>
      </c>
      <c r="CN46" s="229">
        <v>-0.92469999999999997</v>
      </c>
      <c r="CO46" s="228">
        <v>900</v>
      </c>
      <c r="CP46" s="228">
        <v>673</v>
      </c>
      <c r="CQ46" s="228">
        <v>227</v>
      </c>
      <c r="CR46" s="229">
        <v>0.33700000000000002</v>
      </c>
      <c r="CS46" s="228">
        <v>547</v>
      </c>
      <c r="CT46" s="228">
        <v>401</v>
      </c>
      <c r="CU46" s="228">
        <v>146</v>
      </c>
      <c r="CV46" s="229">
        <v>0.36499999999999999</v>
      </c>
      <c r="CW46" s="230">
        <v>3163</v>
      </c>
      <c r="CX46" s="230">
        <v>2793</v>
      </c>
      <c r="CY46" s="228">
        <v>370</v>
      </c>
      <c r="CZ46" s="229">
        <v>0.1326</v>
      </c>
      <c r="DA46" s="228">
        <v>27.98</v>
      </c>
      <c r="DB46" s="228">
        <v>26.61</v>
      </c>
      <c r="DC46" s="228">
        <v>1.37</v>
      </c>
      <c r="DD46" s="228">
        <v>1.37</v>
      </c>
      <c r="DE46" s="228">
        <v>28.91</v>
      </c>
      <c r="DF46" s="228">
        <v>28.28</v>
      </c>
      <c r="DG46" s="228">
        <v>-0.93</v>
      </c>
      <c r="DH46" s="228">
        <v>0.63</v>
      </c>
      <c r="DI46" s="228">
        <v>27.72</v>
      </c>
      <c r="DJ46" s="228">
        <v>26.46</v>
      </c>
      <c r="DK46" s="228">
        <v>1.26</v>
      </c>
      <c r="DL46" s="228">
        <v>1.26</v>
      </c>
      <c r="DM46" s="228">
        <v>28.85</v>
      </c>
      <c r="DN46" s="228">
        <v>26.96</v>
      </c>
      <c r="DO46" s="228">
        <v>1.89</v>
      </c>
      <c r="DP46" s="228">
        <v>1.89</v>
      </c>
      <c r="DQ46" s="228">
        <v>0.61</v>
      </c>
      <c r="DR46" s="228">
        <v>0.6</v>
      </c>
      <c r="DS46" s="228">
        <v>0.01</v>
      </c>
      <c r="DT46" s="229">
        <v>1.67E-2</v>
      </c>
      <c r="DU46" s="228">
        <v>460</v>
      </c>
      <c r="DV46" s="228">
        <v>420</v>
      </c>
      <c r="DW46" s="228">
        <v>0.3</v>
      </c>
      <c r="DX46" s="228">
        <v>0.52</v>
      </c>
      <c r="DY46" s="228">
        <v>-0.22</v>
      </c>
      <c r="DZ46" s="229">
        <v>-0.42309999999999998</v>
      </c>
      <c r="EA46" s="229">
        <v>3.0700000000000002E-2</v>
      </c>
      <c r="EB46" s="230">
        <v>39017700</v>
      </c>
      <c r="EC46" s="229">
        <v>6.6E-3</v>
      </c>
      <c r="ED46" s="229">
        <v>3.0700000000000002E-2</v>
      </c>
      <c r="EE46" s="228">
        <v>1.91</v>
      </c>
      <c r="EF46" s="229">
        <v>4.4000000000000003E-3</v>
      </c>
      <c r="EG46" s="230">
        <v>9877651</v>
      </c>
      <c r="EH46" s="230">
        <v>4548702</v>
      </c>
      <c r="EI46" s="229">
        <v>1.1715</v>
      </c>
      <c r="EJ46" s="229">
        <v>0.5333</v>
      </c>
      <c r="EK46" s="231">
        <v>4160.51</v>
      </c>
      <c r="EL46" s="231">
        <v>1172.1600000000001</v>
      </c>
      <c r="EM46" s="228">
        <v>922.53</v>
      </c>
      <c r="EN46" s="228">
        <v>251.22</v>
      </c>
      <c r="EO46" s="231">
        <v>6255.2</v>
      </c>
      <c r="EP46" s="231">
        <v>3832.07</v>
      </c>
      <c r="EQ46" s="231">
        <v>2423.13</v>
      </c>
      <c r="ER46" s="229">
        <v>0.63229999999999997</v>
      </c>
      <c r="ES46" s="228">
        <v>916.15</v>
      </c>
      <c r="ET46" s="228">
        <v>514.41999999999996</v>
      </c>
      <c r="EU46" s="231">
        <v>1716.31</v>
      </c>
      <c r="EV46" s="231">
        <v>278206904</v>
      </c>
      <c r="EW46" s="231">
        <v>3146.88</v>
      </c>
      <c r="EX46" s="231">
        <v>2689.33</v>
      </c>
      <c r="EY46" s="228">
        <v>457.55</v>
      </c>
      <c r="EZ46" s="229">
        <v>0.1701</v>
      </c>
      <c r="FA46" s="229">
        <v>0.2581</v>
      </c>
      <c r="FB46" s="227" t="s">
        <v>556</v>
      </c>
      <c r="FC46">
        <f t="shared" si="0"/>
        <v>53</v>
      </c>
    </row>
    <row r="47" spans="1:159" ht="17.25" thickBot="1" x14ac:dyDescent="0.3">
      <c r="A47" s="226">
        <v>46050</v>
      </c>
      <c r="B47" s="227" t="s">
        <v>221</v>
      </c>
      <c r="C47" s="227" t="s">
        <v>470</v>
      </c>
      <c r="D47" s="228">
        <v>375</v>
      </c>
      <c r="E47" s="228">
        <v>27</v>
      </c>
      <c r="F47" s="231">
        <v>1693</v>
      </c>
      <c r="G47" s="231">
        <v>1670.8</v>
      </c>
      <c r="H47" s="228">
        <v>22.2</v>
      </c>
      <c r="I47" s="229">
        <v>1.3299999999999999E-2</v>
      </c>
      <c r="J47" s="231">
        <v>1694.2</v>
      </c>
      <c r="K47" s="231">
        <v>1664.3</v>
      </c>
      <c r="L47" s="228">
        <v>29.9</v>
      </c>
      <c r="M47" s="229">
        <v>1.7999999999999999E-2</v>
      </c>
      <c r="N47" s="231">
        <v>1693</v>
      </c>
      <c r="O47" s="231">
        <v>1669.1</v>
      </c>
      <c r="P47" s="228">
        <v>23.9</v>
      </c>
      <c r="Q47" s="229">
        <v>1.43E-2</v>
      </c>
      <c r="R47" s="231">
        <v>1699.1</v>
      </c>
      <c r="S47" s="231">
        <v>1670.8</v>
      </c>
      <c r="T47" s="228">
        <v>28.3</v>
      </c>
      <c r="U47" s="229">
        <v>1.6899999999999998E-2</v>
      </c>
      <c r="V47" s="231">
        <v>1705.8</v>
      </c>
      <c r="W47" s="231">
        <v>1680.5</v>
      </c>
      <c r="X47" s="228">
        <v>25.3</v>
      </c>
      <c r="Y47" s="229">
        <v>1.5100000000000001E-2</v>
      </c>
      <c r="Z47" s="228">
        <v>-1.2</v>
      </c>
      <c r="AA47" s="228">
        <v>6.5</v>
      </c>
      <c r="AB47" s="228">
        <v>-7.7</v>
      </c>
      <c r="AC47" s="229">
        <v>-6.9999999999999999E-4</v>
      </c>
      <c r="AD47" s="228">
        <v>-1.2</v>
      </c>
      <c r="AE47" s="228">
        <v>4.8</v>
      </c>
      <c r="AF47" s="228">
        <v>-6</v>
      </c>
      <c r="AG47" s="229">
        <v>-6.9999999999999999E-4</v>
      </c>
      <c r="AH47" s="228">
        <v>4.9000000000000004</v>
      </c>
      <c r="AI47" s="228">
        <v>6.5</v>
      </c>
      <c r="AJ47" s="228">
        <v>-1.6</v>
      </c>
      <c r="AK47" s="229">
        <v>2.8999999999999998E-3</v>
      </c>
      <c r="AL47" s="228">
        <v>11.6</v>
      </c>
      <c r="AM47" s="228">
        <v>16.2</v>
      </c>
      <c r="AN47" s="228">
        <v>-4.5999999999999996</v>
      </c>
      <c r="AO47" s="229">
        <v>6.7999999999999996E-3</v>
      </c>
      <c r="AP47" s="231">
        <v>1684.05</v>
      </c>
      <c r="AQ47" s="231">
        <v>1693.24</v>
      </c>
      <c r="AR47" s="228">
        <v>0</v>
      </c>
      <c r="AS47" s="228">
        <v>311</v>
      </c>
      <c r="AT47" s="230">
        <v>1516</v>
      </c>
      <c r="AU47" s="230">
        <v>-1205</v>
      </c>
      <c r="AV47" s="229">
        <v>-0.79510000000000003</v>
      </c>
      <c r="AW47" s="228">
        <v>301</v>
      </c>
      <c r="AX47" s="228">
        <v>652</v>
      </c>
      <c r="AY47" s="228">
        <v>-351</v>
      </c>
      <c r="AZ47" s="229">
        <v>-0.53869999999999996</v>
      </c>
      <c r="BA47" s="228">
        <v>9</v>
      </c>
      <c r="BB47" s="228">
        <v>850</v>
      </c>
      <c r="BC47" s="228">
        <v>-842</v>
      </c>
      <c r="BD47" s="229">
        <v>-0.98950000000000005</v>
      </c>
      <c r="BE47" s="228">
        <v>1</v>
      </c>
      <c r="BF47" s="228">
        <v>14</v>
      </c>
      <c r="BG47" s="228">
        <v>-13</v>
      </c>
      <c r="BH47" s="229">
        <v>-0.92630000000000001</v>
      </c>
      <c r="BI47" s="228">
        <v>698</v>
      </c>
      <c r="BJ47" s="230">
        <v>2156</v>
      </c>
      <c r="BK47" s="230">
        <v>-1458</v>
      </c>
      <c r="BL47" s="229">
        <v>-0.67620000000000002</v>
      </c>
      <c r="BM47" s="228">
        <v>660</v>
      </c>
      <c r="BN47" s="230">
        <v>1079</v>
      </c>
      <c r="BO47" s="228">
        <v>-420</v>
      </c>
      <c r="BP47" s="229">
        <v>-0.38879999999999998</v>
      </c>
      <c r="BQ47" s="230">
        <v>1668</v>
      </c>
      <c r="BR47" s="230">
        <v>4751</v>
      </c>
      <c r="BS47" s="230">
        <v>-3083</v>
      </c>
      <c r="BT47" s="229">
        <v>-0.64890000000000003</v>
      </c>
      <c r="BU47" s="230">
        <v>1357831</v>
      </c>
      <c r="BV47" s="230">
        <v>3051725</v>
      </c>
      <c r="BW47" s="230">
        <v>-1693894</v>
      </c>
      <c r="BX47" s="229">
        <v>-0.55510000000000004</v>
      </c>
      <c r="BY47" s="230">
        <v>2046</v>
      </c>
      <c r="BZ47" s="230">
        <v>2082</v>
      </c>
      <c r="CA47" s="228">
        <v>-37</v>
      </c>
      <c r="CB47" s="229">
        <v>-1.7600000000000001E-2</v>
      </c>
      <c r="CC47" s="230">
        <v>2018</v>
      </c>
      <c r="CD47" s="228">
        <v>177</v>
      </c>
      <c r="CE47" s="230">
        <v>1841</v>
      </c>
      <c r="CF47" s="229">
        <v>10.3847</v>
      </c>
      <c r="CG47" s="228">
        <v>27</v>
      </c>
      <c r="CH47" s="230">
        <v>2056</v>
      </c>
      <c r="CI47" s="230">
        <v>-2030</v>
      </c>
      <c r="CJ47" s="229">
        <v>-0.98709999999999998</v>
      </c>
      <c r="CK47" s="228">
        <v>1</v>
      </c>
      <c r="CL47" s="228">
        <v>26</v>
      </c>
      <c r="CM47" s="228">
        <v>-25</v>
      </c>
      <c r="CN47" s="229">
        <v>-0.96289999999999998</v>
      </c>
      <c r="CO47" s="228">
        <v>495</v>
      </c>
      <c r="CP47" s="228">
        <v>403</v>
      </c>
      <c r="CQ47" s="228">
        <v>92</v>
      </c>
      <c r="CR47" s="229">
        <v>0.22750000000000001</v>
      </c>
      <c r="CS47" s="228">
        <v>363</v>
      </c>
      <c r="CT47" s="228">
        <v>325</v>
      </c>
      <c r="CU47" s="228">
        <v>38</v>
      </c>
      <c r="CV47" s="229">
        <v>0.1171</v>
      </c>
      <c r="CW47" s="230">
        <v>2903</v>
      </c>
      <c r="CX47" s="230">
        <v>2810</v>
      </c>
      <c r="CY47" s="228">
        <v>93</v>
      </c>
      <c r="CZ47" s="229">
        <v>3.3099999999999997E-2</v>
      </c>
      <c r="DA47" s="228">
        <v>30.38</v>
      </c>
      <c r="DB47" s="228">
        <v>33.07</v>
      </c>
      <c r="DC47" s="228">
        <v>-2.69</v>
      </c>
      <c r="DD47" s="228">
        <v>-2.69</v>
      </c>
      <c r="DE47" s="228">
        <v>40.75</v>
      </c>
      <c r="DF47" s="228">
        <v>40.78</v>
      </c>
      <c r="DG47" s="228">
        <v>-10.37</v>
      </c>
      <c r="DH47" s="228">
        <v>-0.03</v>
      </c>
      <c r="DI47" s="228">
        <v>29.92</v>
      </c>
      <c r="DJ47" s="228">
        <v>32.82</v>
      </c>
      <c r="DK47" s="228">
        <v>-2.9</v>
      </c>
      <c r="DL47" s="228">
        <v>-2.9</v>
      </c>
      <c r="DM47" s="228">
        <v>30.88</v>
      </c>
      <c r="DN47" s="228">
        <v>33.43</v>
      </c>
      <c r="DO47" s="228">
        <v>-2.5499999999999998</v>
      </c>
      <c r="DP47" s="228">
        <v>-2.5499999999999998</v>
      </c>
      <c r="DQ47" s="228">
        <v>0.73</v>
      </c>
      <c r="DR47" s="228">
        <v>0.81</v>
      </c>
      <c r="DS47" s="228">
        <v>-0.08</v>
      </c>
      <c r="DT47" s="229">
        <v>-9.8799999999999999E-2</v>
      </c>
      <c r="DU47" s="231">
        <v>1700</v>
      </c>
      <c r="DV47" s="231">
        <v>1600</v>
      </c>
      <c r="DW47" s="228">
        <v>0.94</v>
      </c>
      <c r="DX47" s="228">
        <v>0.5</v>
      </c>
      <c r="DY47" s="228">
        <v>0.44</v>
      </c>
      <c r="DZ47" s="229">
        <v>0.88</v>
      </c>
      <c r="EA47" s="229">
        <v>1.34E-2</v>
      </c>
      <c r="EB47" s="230">
        <v>12298500</v>
      </c>
      <c r="EC47" s="229">
        <v>3.5999999999999999E-3</v>
      </c>
      <c r="ED47" s="229">
        <v>1.34E-2</v>
      </c>
      <c r="EE47" s="228">
        <v>9.19</v>
      </c>
      <c r="EF47" s="229">
        <v>5.4999999999999997E-3</v>
      </c>
      <c r="EG47" s="230">
        <v>826590</v>
      </c>
      <c r="EH47" s="230">
        <v>2007174</v>
      </c>
      <c r="EI47" s="229">
        <v>-0.58819999999999995</v>
      </c>
      <c r="EJ47" s="229">
        <v>0.60880000000000001</v>
      </c>
      <c r="EK47" s="228">
        <v>731.14</v>
      </c>
      <c r="EL47" s="228">
        <v>676.01</v>
      </c>
      <c r="EM47" s="228">
        <v>309</v>
      </c>
      <c r="EN47" s="228">
        <v>370.84</v>
      </c>
      <c r="EO47" s="231">
        <v>1716.15</v>
      </c>
      <c r="EP47" s="231">
        <v>4754.22</v>
      </c>
      <c r="EQ47" s="231">
        <v>-3038.07</v>
      </c>
      <c r="ER47" s="229">
        <v>-0.63900000000000001</v>
      </c>
      <c r="ES47" s="228">
        <v>505.77</v>
      </c>
      <c r="ET47" s="228">
        <v>350.86</v>
      </c>
      <c r="EU47" s="231">
        <v>2045.61</v>
      </c>
      <c r="EV47" s="231">
        <v>50189409</v>
      </c>
      <c r="EW47" s="231">
        <v>2902.23</v>
      </c>
      <c r="EX47" s="231">
        <v>2779.99</v>
      </c>
      <c r="EY47" s="228">
        <v>122.24</v>
      </c>
      <c r="EZ47" s="229">
        <v>4.3999999999999997E-2</v>
      </c>
      <c r="FA47" s="229">
        <v>0.3417</v>
      </c>
      <c r="FB47" s="227" t="s">
        <v>556</v>
      </c>
      <c r="FC47">
        <f t="shared" si="0"/>
        <v>28</v>
      </c>
    </row>
    <row r="48" spans="1:159" ht="17.25" thickBot="1" x14ac:dyDescent="0.3">
      <c r="A48" s="226">
        <v>46050</v>
      </c>
      <c r="B48" s="227" t="s">
        <v>168</v>
      </c>
      <c r="C48" s="227" t="s">
        <v>201</v>
      </c>
      <c r="D48" s="228">
        <v>225</v>
      </c>
      <c r="E48" s="228">
        <v>27</v>
      </c>
      <c r="F48" s="231">
        <v>2160.6999999999998</v>
      </c>
      <c r="G48" s="231">
        <v>2162.1999999999998</v>
      </c>
      <c r="H48" s="228">
        <v>-1.5</v>
      </c>
      <c r="I48" s="229">
        <v>-6.9999999999999999E-4</v>
      </c>
      <c r="J48" s="231">
        <v>2154.4</v>
      </c>
      <c r="K48" s="231">
        <v>2153.9</v>
      </c>
      <c r="L48" s="228">
        <v>0.5</v>
      </c>
      <c r="M48" s="229">
        <v>2.0000000000000001E-4</v>
      </c>
      <c r="N48" s="231">
        <v>2160.6999999999998</v>
      </c>
      <c r="O48" s="231">
        <v>2152.6</v>
      </c>
      <c r="P48" s="228">
        <v>8.1</v>
      </c>
      <c r="Q48" s="229">
        <v>3.8E-3</v>
      </c>
      <c r="R48" s="231">
        <v>2168.3000000000002</v>
      </c>
      <c r="S48" s="231">
        <v>2162.1999999999998</v>
      </c>
      <c r="T48" s="228">
        <v>6.1</v>
      </c>
      <c r="U48" s="229">
        <v>2.8E-3</v>
      </c>
      <c r="V48" s="231">
        <v>2175</v>
      </c>
      <c r="W48" s="231">
        <v>2173.1999999999998</v>
      </c>
      <c r="X48" s="228">
        <v>1.8</v>
      </c>
      <c r="Y48" s="229">
        <v>8.0000000000000004E-4</v>
      </c>
      <c r="Z48" s="228">
        <v>6.3</v>
      </c>
      <c r="AA48" s="228">
        <v>8.3000000000000007</v>
      </c>
      <c r="AB48" s="228">
        <v>-2</v>
      </c>
      <c r="AC48" s="229">
        <v>2.8999999999999998E-3</v>
      </c>
      <c r="AD48" s="228">
        <v>6.3</v>
      </c>
      <c r="AE48" s="228">
        <v>-1.3</v>
      </c>
      <c r="AF48" s="228">
        <v>7.6</v>
      </c>
      <c r="AG48" s="229">
        <v>2.8999999999999998E-3</v>
      </c>
      <c r="AH48" s="228">
        <v>13.9</v>
      </c>
      <c r="AI48" s="228">
        <v>8.3000000000000007</v>
      </c>
      <c r="AJ48" s="228">
        <v>5.6</v>
      </c>
      <c r="AK48" s="229">
        <v>6.4999999999999997E-3</v>
      </c>
      <c r="AL48" s="228">
        <v>20.6</v>
      </c>
      <c r="AM48" s="228">
        <v>19.3</v>
      </c>
      <c r="AN48" s="228">
        <v>1.3</v>
      </c>
      <c r="AO48" s="229">
        <v>9.5999999999999992E-3</v>
      </c>
      <c r="AP48" s="231">
        <v>2147.4</v>
      </c>
      <c r="AQ48" s="231">
        <v>2154.88</v>
      </c>
      <c r="AR48" s="228">
        <v>0</v>
      </c>
      <c r="AS48" s="228">
        <v>159</v>
      </c>
      <c r="AT48" s="228">
        <v>633</v>
      </c>
      <c r="AU48" s="228">
        <v>-474</v>
      </c>
      <c r="AV48" s="229">
        <v>-0.74839999999999995</v>
      </c>
      <c r="AW48" s="228">
        <v>154</v>
      </c>
      <c r="AX48" s="228">
        <v>274</v>
      </c>
      <c r="AY48" s="228">
        <v>-121</v>
      </c>
      <c r="AZ48" s="229">
        <v>-0.44040000000000001</v>
      </c>
      <c r="BA48" s="228">
        <v>5</v>
      </c>
      <c r="BB48" s="228">
        <v>347</v>
      </c>
      <c r="BC48" s="228">
        <v>-342</v>
      </c>
      <c r="BD48" s="229">
        <v>-0.98529999999999995</v>
      </c>
      <c r="BE48" s="228">
        <v>0</v>
      </c>
      <c r="BF48" s="228">
        <v>11</v>
      </c>
      <c r="BG48" s="228">
        <v>-11</v>
      </c>
      <c r="BH48" s="229">
        <v>-0.95589999999999997</v>
      </c>
      <c r="BI48" s="228">
        <v>233</v>
      </c>
      <c r="BJ48" s="228">
        <v>383</v>
      </c>
      <c r="BK48" s="228">
        <v>-150</v>
      </c>
      <c r="BL48" s="229">
        <v>-0.39200000000000002</v>
      </c>
      <c r="BM48" s="228">
        <v>158</v>
      </c>
      <c r="BN48" s="228">
        <v>217</v>
      </c>
      <c r="BO48" s="228">
        <v>-59</v>
      </c>
      <c r="BP48" s="229">
        <v>-0.27200000000000002</v>
      </c>
      <c r="BQ48" s="228">
        <v>550</v>
      </c>
      <c r="BR48" s="230">
        <v>1233</v>
      </c>
      <c r="BS48" s="228">
        <v>-683</v>
      </c>
      <c r="BT48" s="229">
        <v>-0.55379999999999996</v>
      </c>
      <c r="BU48" s="230">
        <v>302232</v>
      </c>
      <c r="BV48" s="230">
        <v>472700</v>
      </c>
      <c r="BW48" s="230">
        <v>-170468</v>
      </c>
      <c r="BX48" s="229">
        <v>-0.36059999999999998</v>
      </c>
      <c r="BY48" s="230">
        <v>1104</v>
      </c>
      <c r="BZ48" s="230">
        <v>1109</v>
      </c>
      <c r="CA48" s="228">
        <v>-5</v>
      </c>
      <c r="CB48" s="229">
        <v>-4.5999999999999999E-3</v>
      </c>
      <c r="CC48" s="230">
        <v>1078</v>
      </c>
      <c r="CD48" s="228">
        <v>223</v>
      </c>
      <c r="CE48" s="228">
        <v>855</v>
      </c>
      <c r="CF48" s="229">
        <v>3.8296000000000001</v>
      </c>
      <c r="CG48" s="228">
        <v>26</v>
      </c>
      <c r="CH48" s="230">
        <v>1084</v>
      </c>
      <c r="CI48" s="230">
        <v>-1057</v>
      </c>
      <c r="CJ48" s="229">
        <v>-0.97560000000000002</v>
      </c>
      <c r="CK48" s="228">
        <v>0</v>
      </c>
      <c r="CL48" s="228">
        <v>26</v>
      </c>
      <c r="CM48" s="228">
        <v>-25</v>
      </c>
      <c r="CN48" s="229">
        <v>-0.99050000000000005</v>
      </c>
      <c r="CO48" s="228">
        <v>197</v>
      </c>
      <c r="CP48" s="228">
        <v>174</v>
      </c>
      <c r="CQ48" s="228">
        <v>23</v>
      </c>
      <c r="CR48" s="229">
        <v>0.13350000000000001</v>
      </c>
      <c r="CS48" s="228">
        <v>195</v>
      </c>
      <c r="CT48" s="228">
        <v>160</v>
      </c>
      <c r="CU48" s="228">
        <v>35</v>
      </c>
      <c r="CV48" s="229">
        <v>0.2215</v>
      </c>
      <c r="CW48" s="230">
        <v>1496</v>
      </c>
      <c r="CX48" s="230">
        <v>1443</v>
      </c>
      <c r="CY48" s="228">
        <v>54</v>
      </c>
      <c r="CZ48" s="229">
        <v>3.7100000000000001E-2</v>
      </c>
      <c r="DA48" s="228">
        <v>28.98</v>
      </c>
      <c r="DB48" s="228">
        <v>29.92</v>
      </c>
      <c r="DC48" s="228">
        <v>-0.94</v>
      </c>
      <c r="DD48" s="228">
        <v>-0.94</v>
      </c>
      <c r="DE48" s="228">
        <v>26.84</v>
      </c>
      <c r="DF48" s="228">
        <v>26.91</v>
      </c>
      <c r="DG48" s="228">
        <v>2.14</v>
      </c>
      <c r="DH48" s="228">
        <v>-7.0000000000000007E-2</v>
      </c>
      <c r="DI48" s="228">
        <v>28.65</v>
      </c>
      <c r="DJ48" s="228">
        <v>29.6</v>
      </c>
      <c r="DK48" s="228">
        <v>-0.95</v>
      </c>
      <c r="DL48" s="228">
        <v>-0.95</v>
      </c>
      <c r="DM48" s="228">
        <v>29.48</v>
      </c>
      <c r="DN48" s="228">
        <v>30.35</v>
      </c>
      <c r="DO48" s="228">
        <v>-0.87</v>
      </c>
      <c r="DP48" s="228">
        <v>-0.87</v>
      </c>
      <c r="DQ48" s="228">
        <v>0.99</v>
      </c>
      <c r="DR48" s="228">
        <v>0.92</v>
      </c>
      <c r="DS48" s="228">
        <v>7.0000000000000007E-2</v>
      </c>
      <c r="DT48" s="229">
        <v>7.6100000000000001E-2</v>
      </c>
      <c r="DU48" s="231">
        <v>2200</v>
      </c>
      <c r="DV48" s="231">
        <v>2200</v>
      </c>
      <c r="DW48" s="228">
        <v>0.68</v>
      </c>
      <c r="DX48" s="228">
        <v>0.56999999999999995</v>
      </c>
      <c r="DY48" s="228">
        <v>0.11</v>
      </c>
      <c r="DZ48" s="229">
        <v>0.193</v>
      </c>
      <c r="EA48" s="229">
        <v>2.41E-2</v>
      </c>
      <c r="EB48" s="230">
        <v>5134500</v>
      </c>
      <c r="EC48" s="229">
        <v>3.5000000000000001E-3</v>
      </c>
      <c r="ED48" s="229">
        <v>2.41E-2</v>
      </c>
      <c r="EE48" s="228">
        <v>7.48</v>
      </c>
      <c r="EF48" s="229">
        <v>3.5000000000000001E-3</v>
      </c>
      <c r="EG48" s="230">
        <v>161467</v>
      </c>
      <c r="EH48" s="230">
        <v>249077</v>
      </c>
      <c r="EI48" s="229">
        <v>-0.35170000000000001</v>
      </c>
      <c r="EJ48" s="229">
        <v>0.53420000000000001</v>
      </c>
      <c r="EK48" s="228">
        <v>244.48</v>
      </c>
      <c r="EL48" s="228">
        <v>156.25</v>
      </c>
      <c r="EM48" s="228">
        <v>158.21</v>
      </c>
      <c r="EN48" s="228">
        <v>181.9</v>
      </c>
      <c r="EO48" s="228">
        <v>558.94000000000005</v>
      </c>
      <c r="EP48" s="231">
        <v>1244.04</v>
      </c>
      <c r="EQ48" s="228">
        <v>-685.1</v>
      </c>
      <c r="ER48" s="229">
        <v>-0.55069999999999997</v>
      </c>
      <c r="ES48" s="228">
        <v>204.82</v>
      </c>
      <c r="ET48" s="228">
        <v>191.14</v>
      </c>
      <c r="EU48" s="231">
        <v>1104.45</v>
      </c>
      <c r="EV48" s="231">
        <v>19546143</v>
      </c>
      <c r="EW48" s="231">
        <v>1500.41</v>
      </c>
      <c r="EX48" s="231">
        <v>1448.67</v>
      </c>
      <c r="EY48" s="228">
        <v>51.74</v>
      </c>
      <c r="EZ48" s="229">
        <v>3.5700000000000003E-2</v>
      </c>
      <c r="FA48" s="229">
        <v>0.3543</v>
      </c>
      <c r="FB48" s="227" t="s">
        <v>568</v>
      </c>
      <c r="FC48">
        <f t="shared" si="0"/>
        <v>26</v>
      </c>
    </row>
    <row r="49" spans="1:159" ht="17.25" thickBot="1" x14ac:dyDescent="0.3">
      <c r="A49" s="226">
        <v>46050</v>
      </c>
      <c r="B49" s="227" t="s">
        <v>215</v>
      </c>
      <c r="C49" s="227" t="s">
        <v>202</v>
      </c>
      <c r="D49" s="228">
        <v>1250</v>
      </c>
      <c r="E49" s="228">
        <v>27</v>
      </c>
      <c r="F49" s="228">
        <v>496.4</v>
      </c>
      <c r="G49" s="228">
        <v>484.2</v>
      </c>
      <c r="H49" s="228">
        <v>12.2</v>
      </c>
      <c r="I49" s="229">
        <v>2.52E-2</v>
      </c>
      <c r="J49" s="228">
        <v>496.35</v>
      </c>
      <c r="K49" s="228">
        <v>485.35</v>
      </c>
      <c r="L49" s="228">
        <v>11</v>
      </c>
      <c r="M49" s="229">
        <v>2.2700000000000001E-2</v>
      </c>
      <c r="N49" s="228">
        <v>496.4</v>
      </c>
      <c r="O49" s="228">
        <v>483.9</v>
      </c>
      <c r="P49" s="228">
        <v>12.5</v>
      </c>
      <c r="Q49" s="229">
        <v>2.58E-2</v>
      </c>
      <c r="R49" s="228">
        <v>499.85</v>
      </c>
      <c r="S49" s="228">
        <v>484.2</v>
      </c>
      <c r="T49" s="228">
        <v>15.65</v>
      </c>
      <c r="U49" s="229">
        <v>3.2300000000000002E-2</v>
      </c>
      <c r="V49" s="228">
        <v>502.9</v>
      </c>
      <c r="W49" s="228">
        <v>487.85</v>
      </c>
      <c r="X49" s="228">
        <v>15.05</v>
      </c>
      <c r="Y49" s="229">
        <v>3.0800000000000001E-2</v>
      </c>
      <c r="Z49" s="228">
        <v>0.05</v>
      </c>
      <c r="AA49" s="228">
        <v>-1.1499999999999999</v>
      </c>
      <c r="AB49" s="228">
        <v>1.2</v>
      </c>
      <c r="AC49" s="229">
        <v>1E-4</v>
      </c>
      <c r="AD49" s="228">
        <v>0.05</v>
      </c>
      <c r="AE49" s="228">
        <v>-1.45</v>
      </c>
      <c r="AF49" s="228">
        <v>1.5</v>
      </c>
      <c r="AG49" s="229">
        <v>1E-4</v>
      </c>
      <c r="AH49" s="228">
        <v>3.5</v>
      </c>
      <c r="AI49" s="228">
        <v>-1.1499999999999999</v>
      </c>
      <c r="AJ49" s="228">
        <v>4.6500000000000004</v>
      </c>
      <c r="AK49" s="229">
        <v>7.1000000000000004E-3</v>
      </c>
      <c r="AL49" s="228">
        <v>6.55</v>
      </c>
      <c r="AM49" s="228">
        <v>2.5</v>
      </c>
      <c r="AN49" s="228">
        <v>4.05</v>
      </c>
      <c r="AO49" s="229">
        <v>1.32E-2</v>
      </c>
      <c r="AP49" s="228">
        <v>491.68</v>
      </c>
      <c r="AQ49" s="228">
        <v>494.98</v>
      </c>
      <c r="AR49" s="228">
        <v>0</v>
      </c>
      <c r="AS49" s="228">
        <v>175</v>
      </c>
      <c r="AT49" s="230">
        <v>1111</v>
      </c>
      <c r="AU49" s="228">
        <v>-936</v>
      </c>
      <c r="AV49" s="229">
        <v>-0.84279999999999999</v>
      </c>
      <c r="AW49" s="228">
        <v>167</v>
      </c>
      <c r="AX49" s="228">
        <v>522</v>
      </c>
      <c r="AY49" s="228">
        <v>-356</v>
      </c>
      <c r="AZ49" s="229">
        <v>-0.68079999999999996</v>
      </c>
      <c r="BA49" s="228">
        <v>7</v>
      </c>
      <c r="BB49" s="228">
        <v>574</v>
      </c>
      <c r="BC49" s="228">
        <v>-567</v>
      </c>
      <c r="BD49" s="229">
        <v>-0.98729999999999996</v>
      </c>
      <c r="BE49" s="228">
        <v>1</v>
      </c>
      <c r="BF49" s="228">
        <v>14</v>
      </c>
      <c r="BG49" s="228">
        <v>-13</v>
      </c>
      <c r="BH49" s="229">
        <v>-0.95930000000000004</v>
      </c>
      <c r="BI49" s="228">
        <v>455</v>
      </c>
      <c r="BJ49" s="228">
        <v>452</v>
      </c>
      <c r="BK49" s="228">
        <v>3</v>
      </c>
      <c r="BL49" s="229">
        <v>7.1000000000000004E-3</v>
      </c>
      <c r="BM49" s="228">
        <v>164</v>
      </c>
      <c r="BN49" s="228">
        <v>403</v>
      </c>
      <c r="BO49" s="228">
        <v>-239</v>
      </c>
      <c r="BP49" s="229">
        <v>-0.59209999999999996</v>
      </c>
      <c r="BQ49" s="228">
        <v>794</v>
      </c>
      <c r="BR49" s="230">
        <v>1966</v>
      </c>
      <c r="BS49" s="230">
        <v>-1171</v>
      </c>
      <c r="BT49" s="229">
        <v>-0.59589999999999999</v>
      </c>
      <c r="BU49" s="230">
        <v>2095540</v>
      </c>
      <c r="BV49" s="230">
        <v>1695363</v>
      </c>
      <c r="BW49" s="230">
        <v>400177</v>
      </c>
      <c r="BX49" s="229">
        <v>0.23599999999999999</v>
      </c>
      <c r="BY49" s="230">
        <v>1579</v>
      </c>
      <c r="BZ49" s="230">
        <v>1552</v>
      </c>
      <c r="CA49" s="228">
        <v>27</v>
      </c>
      <c r="CB49" s="229">
        <v>1.7100000000000001E-2</v>
      </c>
      <c r="CC49" s="230">
        <v>1536</v>
      </c>
      <c r="CD49" s="228">
        <v>88</v>
      </c>
      <c r="CE49" s="230">
        <v>1447</v>
      </c>
      <c r="CF49" s="229">
        <v>16.356200000000001</v>
      </c>
      <c r="CG49" s="228">
        <v>43</v>
      </c>
      <c r="CH49" s="230">
        <v>1510</v>
      </c>
      <c r="CI49" s="230">
        <v>-1467</v>
      </c>
      <c r="CJ49" s="229">
        <v>-0.97170000000000001</v>
      </c>
      <c r="CK49" s="228">
        <v>0</v>
      </c>
      <c r="CL49" s="228">
        <v>42</v>
      </c>
      <c r="CM49" s="228">
        <v>-42</v>
      </c>
      <c r="CN49" s="229">
        <v>-0.99260000000000004</v>
      </c>
      <c r="CO49" s="228">
        <v>341</v>
      </c>
      <c r="CP49" s="228">
        <v>285</v>
      </c>
      <c r="CQ49" s="228">
        <v>57</v>
      </c>
      <c r="CR49" s="229">
        <v>0.1986</v>
      </c>
      <c r="CS49" s="228">
        <v>380</v>
      </c>
      <c r="CT49" s="228">
        <v>344</v>
      </c>
      <c r="CU49" s="228">
        <v>36</v>
      </c>
      <c r="CV49" s="229">
        <v>0.10489999999999999</v>
      </c>
      <c r="CW49" s="230">
        <v>2300</v>
      </c>
      <c r="CX49" s="230">
        <v>2181</v>
      </c>
      <c r="CY49" s="228">
        <v>119</v>
      </c>
      <c r="CZ49" s="229">
        <v>5.4699999999999999E-2</v>
      </c>
      <c r="DA49" s="228">
        <v>32.72</v>
      </c>
      <c r="DB49" s="228">
        <v>34.19</v>
      </c>
      <c r="DC49" s="228">
        <v>-1.47</v>
      </c>
      <c r="DD49" s="228">
        <v>-1.47</v>
      </c>
      <c r="DE49" s="228">
        <v>33.299999999999997</v>
      </c>
      <c r="DF49" s="228">
        <v>33.21</v>
      </c>
      <c r="DG49" s="228">
        <v>-0.57999999999999996</v>
      </c>
      <c r="DH49" s="228">
        <v>0.09</v>
      </c>
      <c r="DI49" s="228">
        <v>32.21</v>
      </c>
      <c r="DJ49" s="228">
        <v>33.75</v>
      </c>
      <c r="DK49" s="228">
        <v>-1.54</v>
      </c>
      <c r="DL49" s="228">
        <v>-1.54</v>
      </c>
      <c r="DM49" s="228">
        <v>34.130000000000003</v>
      </c>
      <c r="DN49" s="228">
        <v>34.79</v>
      </c>
      <c r="DO49" s="228">
        <v>-0.66</v>
      </c>
      <c r="DP49" s="228">
        <v>-0.66</v>
      </c>
      <c r="DQ49" s="228">
        <v>1.1100000000000001</v>
      </c>
      <c r="DR49" s="228">
        <v>1.21</v>
      </c>
      <c r="DS49" s="228">
        <v>-0.1</v>
      </c>
      <c r="DT49" s="229">
        <v>-8.2600000000000007E-2</v>
      </c>
      <c r="DU49" s="228">
        <v>500</v>
      </c>
      <c r="DV49" s="228">
        <v>500</v>
      </c>
      <c r="DW49" s="228">
        <v>0.36</v>
      </c>
      <c r="DX49" s="228">
        <v>0.89</v>
      </c>
      <c r="DY49" s="228">
        <v>-0.53</v>
      </c>
      <c r="DZ49" s="229">
        <v>-0.59550000000000003</v>
      </c>
      <c r="EA49" s="229">
        <v>2.7300000000000001E-2</v>
      </c>
      <c r="EB49" s="230">
        <v>31270000</v>
      </c>
      <c r="EC49" s="229">
        <v>7.0000000000000001E-3</v>
      </c>
      <c r="ED49" s="229">
        <v>2.7300000000000001E-2</v>
      </c>
      <c r="EE49" s="228">
        <v>3.3</v>
      </c>
      <c r="EF49" s="229">
        <v>6.7000000000000002E-3</v>
      </c>
      <c r="EG49" s="230">
        <v>1343174</v>
      </c>
      <c r="EH49" s="230">
        <v>787526</v>
      </c>
      <c r="EI49" s="229">
        <v>0.7056</v>
      </c>
      <c r="EJ49" s="229">
        <v>0.64100000000000001</v>
      </c>
      <c r="EK49" s="228">
        <v>479.36</v>
      </c>
      <c r="EL49" s="228">
        <v>162</v>
      </c>
      <c r="EM49" s="228">
        <v>173.01</v>
      </c>
      <c r="EN49" s="228">
        <v>149.94</v>
      </c>
      <c r="EO49" s="228">
        <v>814.37</v>
      </c>
      <c r="EP49" s="231">
        <v>1957.45</v>
      </c>
      <c r="EQ49" s="231">
        <v>-1143.0899999999999</v>
      </c>
      <c r="ER49" s="229">
        <v>-0.58399999999999996</v>
      </c>
      <c r="ES49" s="228">
        <v>358.21</v>
      </c>
      <c r="ET49" s="228">
        <v>385.6</v>
      </c>
      <c r="EU49" s="231">
        <v>1579.16</v>
      </c>
      <c r="EV49" s="231">
        <v>51639257</v>
      </c>
      <c r="EW49" s="231">
        <v>2322.9699999999998</v>
      </c>
      <c r="EX49" s="231">
        <v>2163.15</v>
      </c>
      <c r="EY49" s="228">
        <v>159.82</v>
      </c>
      <c r="EZ49" s="229">
        <v>7.3899999999999993E-2</v>
      </c>
      <c r="FA49" s="229">
        <v>0.8972</v>
      </c>
      <c r="FB49" s="227" t="s">
        <v>555</v>
      </c>
      <c r="FC49">
        <f t="shared" si="0"/>
        <v>43</v>
      </c>
    </row>
    <row r="50" spans="1:159" ht="17.25" thickBot="1" x14ac:dyDescent="0.3">
      <c r="A50" s="226">
        <v>46050</v>
      </c>
      <c r="B50" s="227" t="s">
        <v>184</v>
      </c>
      <c r="C50" s="227" t="s">
        <v>523</v>
      </c>
      <c r="D50" s="228">
        <v>1800</v>
      </c>
      <c r="E50" s="228">
        <v>27</v>
      </c>
      <c r="F50" s="228">
        <v>226.9</v>
      </c>
      <c r="G50" s="228">
        <v>223.55</v>
      </c>
      <c r="H50" s="228">
        <v>3.35</v>
      </c>
      <c r="I50" s="229">
        <v>1.4999999999999999E-2</v>
      </c>
      <c r="J50" s="228">
        <v>225.4</v>
      </c>
      <c r="K50" s="228">
        <v>222.15</v>
      </c>
      <c r="L50" s="228">
        <v>3.25</v>
      </c>
      <c r="M50" s="229">
        <v>1.46E-2</v>
      </c>
      <c r="N50" s="228">
        <v>226.9</v>
      </c>
      <c r="O50" s="228">
        <v>222</v>
      </c>
      <c r="P50" s="228">
        <v>4.9000000000000004</v>
      </c>
      <c r="Q50" s="229">
        <v>2.2100000000000002E-2</v>
      </c>
      <c r="R50" s="228">
        <v>228.5</v>
      </c>
      <c r="S50" s="228">
        <v>223.55</v>
      </c>
      <c r="T50" s="228">
        <v>4.95</v>
      </c>
      <c r="U50" s="229">
        <v>2.2100000000000002E-2</v>
      </c>
      <c r="V50" s="228">
        <v>230</v>
      </c>
      <c r="W50" s="228">
        <v>225.35</v>
      </c>
      <c r="X50" s="228">
        <v>4.6500000000000004</v>
      </c>
      <c r="Y50" s="229">
        <v>2.06E-2</v>
      </c>
      <c r="Z50" s="228">
        <v>1.5</v>
      </c>
      <c r="AA50" s="228">
        <v>1.4</v>
      </c>
      <c r="AB50" s="228">
        <v>0.1</v>
      </c>
      <c r="AC50" s="229">
        <v>6.7000000000000002E-3</v>
      </c>
      <c r="AD50" s="228">
        <v>1.5</v>
      </c>
      <c r="AE50" s="228">
        <v>-0.15</v>
      </c>
      <c r="AF50" s="228">
        <v>1.65</v>
      </c>
      <c r="AG50" s="229">
        <v>6.7000000000000002E-3</v>
      </c>
      <c r="AH50" s="228">
        <v>3.1</v>
      </c>
      <c r="AI50" s="228">
        <v>1.4</v>
      </c>
      <c r="AJ50" s="228">
        <v>1.7</v>
      </c>
      <c r="AK50" s="229">
        <v>1.38E-2</v>
      </c>
      <c r="AL50" s="228">
        <v>4.5999999999999996</v>
      </c>
      <c r="AM50" s="228">
        <v>3.2</v>
      </c>
      <c r="AN50" s="228">
        <v>1.4</v>
      </c>
      <c r="AO50" s="229">
        <v>2.0400000000000001E-2</v>
      </c>
      <c r="AP50" s="228">
        <v>226.44</v>
      </c>
      <c r="AQ50" s="228">
        <v>227.93</v>
      </c>
      <c r="AR50" s="228">
        <v>0</v>
      </c>
      <c r="AS50" s="228">
        <v>114</v>
      </c>
      <c r="AT50" s="228">
        <v>737</v>
      </c>
      <c r="AU50" s="228">
        <v>-623</v>
      </c>
      <c r="AV50" s="229">
        <v>-0.84550000000000003</v>
      </c>
      <c r="AW50" s="228">
        <v>105</v>
      </c>
      <c r="AX50" s="228">
        <v>328</v>
      </c>
      <c r="AY50" s="228">
        <v>-223</v>
      </c>
      <c r="AZ50" s="229">
        <v>-0.6794</v>
      </c>
      <c r="BA50" s="228">
        <v>8</v>
      </c>
      <c r="BB50" s="228">
        <v>394</v>
      </c>
      <c r="BC50" s="228">
        <v>-386</v>
      </c>
      <c r="BD50" s="229">
        <v>-0.97909999999999997</v>
      </c>
      <c r="BE50" s="228">
        <v>0</v>
      </c>
      <c r="BF50" s="228">
        <v>15</v>
      </c>
      <c r="BG50" s="228">
        <v>-15</v>
      </c>
      <c r="BH50" s="229">
        <v>-0.97309999999999997</v>
      </c>
      <c r="BI50" s="228">
        <v>198</v>
      </c>
      <c r="BJ50" s="228">
        <v>240</v>
      </c>
      <c r="BK50" s="228">
        <v>-42</v>
      </c>
      <c r="BL50" s="229">
        <v>-0.17660000000000001</v>
      </c>
      <c r="BM50" s="228">
        <v>71</v>
      </c>
      <c r="BN50" s="228">
        <v>343</v>
      </c>
      <c r="BO50" s="228">
        <v>-272</v>
      </c>
      <c r="BP50" s="229">
        <v>-0.79420000000000002</v>
      </c>
      <c r="BQ50" s="228">
        <v>382</v>
      </c>
      <c r="BR50" s="230">
        <v>1320</v>
      </c>
      <c r="BS50" s="228">
        <v>-938</v>
      </c>
      <c r="BT50" s="229">
        <v>-0.71050000000000002</v>
      </c>
      <c r="BU50" s="230">
        <v>4285755</v>
      </c>
      <c r="BV50" s="230">
        <v>4475263</v>
      </c>
      <c r="BW50" s="230">
        <v>-189508</v>
      </c>
      <c r="BX50" s="229">
        <v>-4.2299999999999997E-2</v>
      </c>
      <c r="BY50" s="230">
        <v>1189</v>
      </c>
      <c r="BZ50" s="230">
        <v>1187</v>
      </c>
      <c r="CA50" s="228">
        <v>2</v>
      </c>
      <c r="CB50" s="229">
        <v>1.8E-3</v>
      </c>
      <c r="CC50" s="230">
        <v>1155</v>
      </c>
      <c r="CD50" s="228">
        <v>60</v>
      </c>
      <c r="CE50" s="230">
        <v>1095</v>
      </c>
      <c r="CF50" s="229">
        <v>18.4084</v>
      </c>
      <c r="CG50" s="228">
        <v>33</v>
      </c>
      <c r="CH50" s="230">
        <v>1155</v>
      </c>
      <c r="CI50" s="230">
        <v>-1121</v>
      </c>
      <c r="CJ50" s="229">
        <v>-0.97109999999999996</v>
      </c>
      <c r="CK50" s="228">
        <v>0</v>
      </c>
      <c r="CL50" s="228">
        <v>32</v>
      </c>
      <c r="CM50" s="228">
        <v>-31</v>
      </c>
      <c r="CN50" s="229">
        <v>-0.98719999999999997</v>
      </c>
      <c r="CO50" s="228">
        <v>205</v>
      </c>
      <c r="CP50" s="228">
        <v>162</v>
      </c>
      <c r="CQ50" s="228">
        <v>43</v>
      </c>
      <c r="CR50" s="229">
        <v>0.26700000000000002</v>
      </c>
      <c r="CS50" s="228">
        <v>129</v>
      </c>
      <c r="CT50" s="228">
        <v>111</v>
      </c>
      <c r="CU50" s="228">
        <v>18</v>
      </c>
      <c r="CV50" s="229">
        <v>0.1643</v>
      </c>
      <c r="CW50" s="230">
        <v>1523</v>
      </c>
      <c r="CX50" s="230">
        <v>1459</v>
      </c>
      <c r="CY50" s="228">
        <v>64</v>
      </c>
      <c r="CZ50" s="229">
        <v>4.36E-2</v>
      </c>
      <c r="DA50" s="228">
        <v>36.950000000000003</v>
      </c>
      <c r="DB50" s="228">
        <v>37.94</v>
      </c>
      <c r="DC50" s="228">
        <v>-0.99</v>
      </c>
      <c r="DD50" s="228">
        <v>-0.99</v>
      </c>
      <c r="DE50" s="228">
        <v>30.88</v>
      </c>
      <c r="DF50" s="228">
        <v>30.89</v>
      </c>
      <c r="DG50" s="228">
        <v>6.07</v>
      </c>
      <c r="DH50" s="228">
        <v>-0.01</v>
      </c>
      <c r="DI50" s="228">
        <v>37</v>
      </c>
      <c r="DJ50" s="228">
        <v>38.5</v>
      </c>
      <c r="DK50" s="228">
        <v>-1.5</v>
      </c>
      <c r="DL50" s="228">
        <v>-1.5</v>
      </c>
      <c r="DM50" s="228">
        <v>36.81</v>
      </c>
      <c r="DN50" s="228">
        <v>37.17</v>
      </c>
      <c r="DO50" s="228">
        <v>-0.36</v>
      </c>
      <c r="DP50" s="228">
        <v>-0.36</v>
      </c>
      <c r="DQ50" s="228">
        <v>0.63</v>
      </c>
      <c r="DR50" s="228">
        <v>0.69</v>
      </c>
      <c r="DS50" s="228">
        <v>-0.06</v>
      </c>
      <c r="DT50" s="229">
        <v>-8.6999999999999994E-2</v>
      </c>
      <c r="DU50" s="228">
        <v>250</v>
      </c>
      <c r="DV50" s="228">
        <v>230</v>
      </c>
      <c r="DW50" s="228">
        <v>0.36</v>
      </c>
      <c r="DX50" s="228">
        <v>1.43</v>
      </c>
      <c r="DY50" s="228">
        <v>-1.07</v>
      </c>
      <c r="DZ50" s="229">
        <v>-0.74829999999999997</v>
      </c>
      <c r="EA50" s="229">
        <v>2.8400000000000002E-2</v>
      </c>
      <c r="EB50" s="230">
        <v>52293600</v>
      </c>
      <c r="EC50" s="229">
        <v>7.1000000000000004E-3</v>
      </c>
      <c r="ED50" s="229">
        <v>2.8400000000000002E-2</v>
      </c>
      <c r="EE50" s="228">
        <v>1.49</v>
      </c>
      <c r="EF50" s="229">
        <v>6.6E-3</v>
      </c>
      <c r="EG50" s="230">
        <v>2272493</v>
      </c>
      <c r="EH50" s="230">
        <v>1952920</v>
      </c>
      <c r="EI50" s="229">
        <v>0.1636</v>
      </c>
      <c r="EJ50" s="229">
        <v>0.5302</v>
      </c>
      <c r="EK50" s="228">
        <v>213.53</v>
      </c>
      <c r="EL50" s="228">
        <v>71.680000000000007</v>
      </c>
      <c r="EM50" s="228">
        <v>113.73</v>
      </c>
      <c r="EN50" s="228">
        <v>182.3</v>
      </c>
      <c r="EO50" s="228">
        <v>398.94</v>
      </c>
      <c r="EP50" s="231">
        <v>1347.17</v>
      </c>
      <c r="EQ50" s="228">
        <v>-948.23</v>
      </c>
      <c r="ER50" s="229">
        <v>-0.70389999999999997</v>
      </c>
      <c r="ES50" s="228">
        <v>221.41</v>
      </c>
      <c r="ET50" s="228">
        <v>135.12</v>
      </c>
      <c r="EU50" s="231">
        <v>1188.9100000000001</v>
      </c>
      <c r="EV50" s="231">
        <v>96587231</v>
      </c>
      <c r="EW50" s="231">
        <v>1545.43</v>
      </c>
      <c r="EX50" s="231">
        <v>1462.53</v>
      </c>
      <c r="EY50" s="228">
        <v>82.9</v>
      </c>
      <c r="EZ50" s="229">
        <v>5.67E-2</v>
      </c>
      <c r="FA50" s="229">
        <v>0.69499999999999995</v>
      </c>
      <c r="FB50" s="227" t="s">
        <v>555</v>
      </c>
      <c r="FC50">
        <f t="shared" si="0"/>
        <v>34</v>
      </c>
    </row>
    <row r="51" spans="1:159" ht="17.25" thickBot="1" x14ac:dyDescent="0.3">
      <c r="A51" s="226">
        <v>46050</v>
      </c>
      <c r="B51" s="227" t="s">
        <v>184</v>
      </c>
      <c r="C51" s="227" t="s">
        <v>203</v>
      </c>
      <c r="D51" s="228">
        <v>200</v>
      </c>
      <c r="E51" s="228">
        <v>27</v>
      </c>
      <c r="F51" s="231">
        <v>4025.9</v>
      </c>
      <c r="G51" s="231">
        <v>3934.4</v>
      </c>
      <c r="H51" s="228">
        <v>91.5</v>
      </c>
      <c r="I51" s="229">
        <v>2.3300000000000001E-2</v>
      </c>
      <c r="J51" s="231">
        <v>4024</v>
      </c>
      <c r="K51" s="231">
        <v>3928.3</v>
      </c>
      <c r="L51" s="228">
        <v>95.7</v>
      </c>
      <c r="M51" s="229">
        <v>2.4400000000000002E-2</v>
      </c>
      <c r="N51" s="231">
        <v>4025.9</v>
      </c>
      <c r="O51" s="231">
        <v>3931.2</v>
      </c>
      <c r="P51" s="228">
        <v>94.7</v>
      </c>
      <c r="Q51" s="229">
        <v>2.41E-2</v>
      </c>
      <c r="R51" s="231">
        <v>4051.7</v>
      </c>
      <c r="S51" s="231">
        <v>3934.4</v>
      </c>
      <c r="T51" s="228">
        <v>117.3</v>
      </c>
      <c r="U51" s="229">
        <v>2.98E-2</v>
      </c>
      <c r="V51" s="228">
        <v>0</v>
      </c>
      <c r="W51" s="231">
        <v>3963.6</v>
      </c>
      <c r="X51" s="228">
        <v>0</v>
      </c>
      <c r="Y51" s="229">
        <v>0</v>
      </c>
      <c r="Z51" s="228">
        <v>1.9</v>
      </c>
      <c r="AA51" s="228">
        <v>6.1</v>
      </c>
      <c r="AB51" s="228">
        <v>-4.2</v>
      </c>
      <c r="AC51" s="229">
        <v>5.0000000000000001E-4</v>
      </c>
      <c r="AD51" s="228">
        <v>1.9</v>
      </c>
      <c r="AE51" s="228">
        <v>2.9</v>
      </c>
      <c r="AF51" s="228">
        <v>-1</v>
      </c>
      <c r="AG51" s="229">
        <v>5.0000000000000001E-4</v>
      </c>
      <c r="AH51" s="228">
        <v>27.7</v>
      </c>
      <c r="AI51" s="228">
        <v>6.1</v>
      </c>
      <c r="AJ51" s="228">
        <v>21.6</v>
      </c>
      <c r="AK51" s="229">
        <v>6.8999999999999999E-3</v>
      </c>
      <c r="AL51" s="228">
        <v>0</v>
      </c>
      <c r="AM51" s="228">
        <v>35.299999999999997</v>
      </c>
      <c r="AN51" s="228">
        <v>0</v>
      </c>
      <c r="AO51" s="229">
        <v>0</v>
      </c>
      <c r="AP51" s="231">
        <v>4004.68</v>
      </c>
      <c r="AQ51" s="231">
        <v>4020.32</v>
      </c>
      <c r="AR51" s="228">
        <v>0</v>
      </c>
      <c r="AS51" s="228">
        <v>200</v>
      </c>
      <c r="AT51" s="228">
        <v>883</v>
      </c>
      <c r="AU51" s="228">
        <v>-683</v>
      </c>
      <c r="AV51" s="229">
        <v>-0.77300000000000002</v>
      </c>
      <c r="AW51" s="228">
        <v>195</v>
      </c>
      <c r="AX51" s="228">
        <v>392</v>
      </c>
      <c r="AY51" s="228">
        <v>-197</v>
      </c>
      <c r="AZ51" s="229">
        <v>-0.50209999999999999</v>
      </c>
      <c r="BA51" s="228">
        <v>5</v>
      </c>
      <c r="BB51" s="228">
        <v>486</v>
      </c>
      <c r="BC51" s="228">
        <v>-480</v>
      </c>
      <c r="BD51" s="229">
        <v>-0.98960000000000004</v>
      </c>
      <c r="BE51" s="228">
        <v>0</v>
      </c>
      <c r="BF51" s="228">
        <v>5</v>
      </c>
      <c r="BG51" s="228">
        <v>0</v>
      </c>
      <c r="BH51" s="229">
        <v>0</v>
      </c>
      <c r="BI51" s="228">
        <v>255</v>
      </c>
      <c r="BJ51" s="228">
        <v>528</v>
      </c>
      <c r="BK51" s="228">
        <v>-273</v>
      </c>
      <c r="BL51" s="229">
        <v>-0.51780000000000004</v>
      </c>
      <c r="BM51" s="228">
        <v>112</v>
      </c>
      <c r="BN51" s="228">
        <v>405</v>
      </c>
      <c r="BO51" s="228">
        <v>-293</v>
      </c>
      <c r="BP51" s="229">
        <v>-0.72330000000000005</v>
      </c>
      <c r="BQ51" s="228">
        <v>567</v>
      </c>
      <c r="BR51" s="230">
        <v>1816</v>
      </c>
      <c r="BS51" s="230">
        <v>-1249</v>
      </c>
      <c r="BT51" s="229">
        <v>-0.68769999999999998</v>
      </c>
      <c r="BU51" s="230">
        <v>500277</v>
      </c>
      <c r="BV51" s="230">
        <v>480967</v>
      </c>
      <c r="BW51" s="230">
        <v>19310</v>
      </c>
      <c r="BX51" s="229">
        <v>4.0099999999999997E-2</v>
      </c>
      <c r="BY51" s="230">
        <v>1409</v>
      </c>
      <c r="BZ51" s="230">
        <v>1393</v>
      </c>
      <c r="CA51" s="228">
        <v>16</v>
      </c>
      <c r="CB51" s="229">
        <v>1.12E-2</v>
      </c>
      <c r="CC51" s="230">
        <v>1396</v>
      </c>
      <c r="CD51" s="228">
        <v>60</v>
      </c>
      <c r="CE51" s="230">
        <v>1335</v>
      </c>
      <c r="CF51" s="229">
        <v>22.078600000000002</v>
      </c>
      <c r="CG51" s="228">
        <v>13</v>
      </c>
      <c r="CH51" s="230">
        <v>1381</v>
      </c>
      <c r="CI51" s="230">
        <v>-1368</v>
      </c>
      <c r="CJ51" s="229">
        <v>-0.99050000000000005</v>
      </c>
      <c r="CK51" s="228">
        <v>0</v>
      </c>
      <c r="CL51" s="228">
        <v>12</v>
      </c>
      <c r="CM51" s="228">
        <v>-12</v>
      </c>
      <c r="CN51" s="229">
        <v>-1</v>
      </c>
      <c r="CO51" s="228">
        <v>112</v>
      </c>
      <c r="CP51" s="228">
        <v>81</v>
      </c>
      <c r="CQ51" s="228">
        <v>32</v>
      </c>
      <c r="CR51" s="229">
        <v>0.39219999999999999</v>
      </c>
      <c r="CS51" s="228">
        <v>118</v>
      </c>
      <c r="CT51" s="228">
        <v>97</v>
      </c>
      <c r="CU51" s="228">
        <v>20</v>
      </c>
      <c r="CV51" s="229">
        <v>0.21060000000000001</v>
      </c>
      <c r="CW51" s="230">
        <v>1639</v>
      </c>
      <c r="CX51" s="230">
        <v>1571</v>
      </c>
      <c r="CY51" s="228">
        <v>68</v>
      </c>
      <c r="CZ51" s="229">
        <v>4.3099999999999999E-2</v>
      </c>
      <c r="DA51" s="228">
        <v>34.65</v>
      </c>
      <c r="DB51" s="228">
        <v>35.28</v>
      </c>
      <c r="DC51" s="228">
        <v>-0.63</v>
      </c>
      <c r="DD51" s="228">
        <v>-0.63</v>
      </c>
      <c r="DE51" s="228">
        <v>33.76</v>
      </c>
      <c r="DF51" s="228">
        <v>33.69</v>
      </c>
      <c r="DG51" s="228">
        <v>0.89</v>
      </c>
      <c r="DH51" s="228">
        <v>7.0000000000000007E-2</v>
      </c>
      <c r="DI51" s="228">
        <v>34.25</v>
      </c>
      <c r="DJ51" s="228">
        <v>35.21</v>
      </c>
      <c r="DK51" s="228">
        <v>-0.96</v>
      </c>
      <c r="DL51" s="228">
        <v>-0.96</v>
      </c>
      <c r="DM51" s="228">
        <v>35.549999999999997</v>
      </c>
      <c r="DN51" s="228">
        <v>35.35</v>
      </c>
      <c r="DO51" s="228">
        <v>0.2</v>
      </c>
      <c r="DP51" s="228">
        <v>0.2</v>
      </c>
      <c r="DQ51" s="228">
        <v>1.05</v>
      </c>
      <c r="DR51" s="228">
        <v>1.2</v>
      </c>
      <c r="DS51" s="228">
        <v>-0.15</v>
      </c>
      <c r="DT51" s="229">
        <v>-0.125</v>
      </c>
      <c r="DU51" s="231">
        <v>4000</v>
      </c>
      <c r="DV51" s="231">
        <v>4000</v>
      </c>
      <c r="DW51" s="228">
        <v>0.44</v>
      </c>
      <c r="DX51" s="228">
        <v>0.77</v>
      </c>
      <c r="DY51" s="228">
        <v>-0.33</v>
      </c>
      <c r="DZ51" s="229">
        <v>-0.42859999999999998</v>
      </c>
      <c r="EA51" s="229">
        <v>9.2999999999999992E-3</v>
      </c>
      <c r="EB51" s="230">
        <v>3460200</v>
      </c>
      <c r="EC51" s="229">
        <v>6.4000000000000003E-3</v>
      </c>
      <c r="ED51" s="229">
        <v>9.2999999999999992E-3</v>
      </c>
      <c r="EE51" s="228">
        <v>15.64</v>
      </c>
      <c r="EF51" s="229">
        <v>3.8999999999999998E-3</v>
      </c>
      <c r="EG51" s="230">
        <v>295859</v>
      </c>
      <c r="EH51" s="230">
        <v>244350</v>
      </c>
      <c r="EI51" s="229">
        <v>0.21079999999999999</v>
      </c>
      <c r="EJ51" s="229">
        <v>0.59140000000000004</v>
      </c>
      <c r="EK51" s="228">
        <v>267.16000000000003</v>
      </c>
      <c r="EL51" s="228">
        <v>109.69</v>
      </c>
      <c r="EM51" s="228">
        <v>199.45</v>
      </c>
      <c r="EN51" s="228">
        <v>129.56</v>
      </c>
      <c r="EO51" s="228">
        <v>576.29999999999995</v>
      </c>
      <c r="EP51" s="231">
        <v>1816.34</v>
      </c>
      <c r="EQ51" s="231">
        <v>-1240.04</v>
      </c>
      <c r="ER51" s="229">
        <v>-0.68269999999999997</v>
      </c>
      <c r="ES51" s="228">
        <v>117.28</v>
      </c>
      <c r="ET51" s="228">
        <v>113.69</v>
      </c>
      <c r="EU51" s="231">
        <v>1408.75</v>
      </c>
      <c r="EV51" s="231">
        <v>19131188</v>
      </c>
      <c r="EW51" s="231">
        <v>1639.72</v>
      </c>
      <c r="EX51" s="231">
        <v>1540.15</v>
      </c>
      <c r="EY51" s="228">
        <v>99.57</v>
      </c>
      <c r="EZ51" s="229">
        <v>6.4600000000000005E-2</v>
      </c>
      <c r="FA51" s="229">
        <v>0.2127</v>
      </c>
      <c r="FB51" s="227" t="s">
        <v>555</v>
      </c>
      <c r="FC51">
        <f t="shared" si="0"/>
        <v>13</v>
      </c>
    </row>
    <row r="52" spans="1:159" ht="17.25" thickBot="1" x14ac:dyDescent="0.3">
      <c r="A52" s="226">
        <v>46050</v>
      </c>
      <c r="B52" s="227" t="s">
        <v>168</v>
      </c>
      <c r="C52" s="227" t="s">
        <v>204</v>
      </c>
      <c r="D52" s="228">
        <v>1250</v>
      </c>
      <c r="E52" s="228">
        <v>27</v>
      </c>
      <c r="F52" s="228">
        <v>517.65</v>
      </c>
      <c r="G52" s="228">
        <v>516.75</v>
      </c>
      <c r="H52" s="228">
        <v>0.9</v>
      </c>
      <c r="I52" s="229">
        <v>1.6999999999999999E-3</v>
      </c>
      <c r="J52" s="228">
        <v>515.75</v>
      </c>
      <c r="K52" s="228">
        <v>513.4</v>
      </c>
      <c r="L52" s="228">
        <v>2.35</v>
      </c>
      <c r="M52" s="229">
        <v>4.5999999999999999E-3</v>
      </c>
      <c r="N52" s="228">
        <v>517.65</v>
      </c>
      <c r="O52" s="228">
        <v>513.29999999999995</v>
      </c>
      <c r="P52" s="228">
        <v>4.3499999999999996</v>
      </c>
      <c r="Q52" s="229">
        <v>8.5000000000000006E-3</v>
      </c>
      <c r="R52" s="228">
        <v>520.65</v>
      </c>
      <c r="S52" s="228">
        <v>516.75</v>
      </c>
      <c r="T52" s="228">
        <v>3.9</v>
      </c>
      <c r="U52" s="229">
        <v>7.4999999999999997E-3</v>
      </c>
      <c r="V52" s="228">
        <v>523.4</v>
      </c>
      <c r="W52" s="228">
        <v>519.6</v>
      </c>
      <c r="X52" s="228">
        <v>3.8</v>
      </c>
      <c r="Y52" s="229">
        <v>7.3000000000000001E-3</v>
      </c>
      <c r="Z52" s="228">
        <v>1.9</v>
      </c>
      <c r="AA52" s="228">
        <v>3.35</v>
      </c>
      <c r="AB52" s="228">
        <v>-1.45</v>
      </c>
      <c r="AC52" s="229">
        <v>3.7000000000000002E-3</v>
      </c>
      <c r="AD52" s="228">
        <v>1.9</v>
      </c>
      <c r="AE52" s="228">
        <v>-0.1</v>
      </c>
      <c r="AF52" s="228">
        <v>2</v>
      </c>
      <c r="AG52" s="229">
        <v>3.7000000000000002E-3</v>
      </c>
      <c r="AH52" s="228">
        <v>4.9000000000000004</v>
      </c>
      <c r="AI52" s="228">
        <v>3.35</v>
      </c>
      <c r="AJ52" s="228">
        <v>1.55</v>
      </c>
      <c r="AK52" s="229">
        <v>9.4999999999999998E-3</v>
      </c>
      <c r="AL52" s="228">
        <v>7.65</v>
      </c>
      <c r="AM52" s="228">
        <v>6.2</v>
      </c>
      <c r="AN52" s="228">
        <v>1.45</v>
      </c>
      <c r="AO52" s="229">
        <v>1.4800000000000001E-2</v>
      </c>
      <c r="AP52" s="228">
        <v>512.35</v>
      </c>
      <c r="AQ52" s="228">
        <v>514.30999999999995</v>
      </c>
      <c r="AR52" s="228">
        <v>0</v>
      </c>
      <c r="AS52" s="228">
        <v>250</v>
      </c>
      <c r="AT52" s="228">
        <v>590</v>
      </c>
      <c r="AU52" s="228">
        <v>-340</v>
      </c>
      <c r="AV52" s="229">
        <v>-0.57630000000000003</v>
      </c>
      <c r="AW52" s="228">
        <v>239</v>
      </c>
      <c r="AX52" s="228">
        <v>271</v>
      </c>
      <c r="AY52" s="228">
        <v>-32</v>
      </c>
      <c r="AZ52" s="229">
        <v>-0.1192</v>
      </c>
      <c r="BA52" s="228">
        <v>11</v>
      </c>
      <c r="BB52" s="228">
        <v>315</v>
      </c>
      <c r="BC52" s="228">
        <v>-304</v>
      </c>
      <c r="BD52" s="229">
        <v>-0.96530000000000005</v>
      </c>
      <c r="BE52" s="228">
        <v>0</v>
      </c>
      <c r="BF52" s="228">
        <v>4</v>
      </c>
      <c r="BG52" s="228">
        <v>-4</v>
      </c>
      <c r="BH52" s="229">
        <v>-0.90480000000000005</v>
      </c>
      <c r="BI52" s="228">
        <v>464</v>
      </c>
      <c r="BJ52" s="228">
        <v>324</v>
      </c>
      <c r="BK52" s="228">
        <v>140</v>
      </c>
      <c r="BL52" s="229">
        <v>0.43330000000000002</v>
      </c>
      <c r="BM52" s="228">
        <v>239</v>
      </c>
      <c r="BN52" s="228">
        <v>200</v>
      </c>
      <c r="BO52" s="228">
        <v>39</v>
      </c>
      <c r="BP52" s="229">
        <v>0.1961</v>
      </c>
      <c r="BQ52" s="228">
        <v>953</v>
      </c>
      <c r="BR52" s="230">
        <v>1113</v>
      </c>
      <c r="BS52" s="228">
        <v>-160</v>
      </c>
      <c r="BT52" s="229">
        <v>-0.14410000000000001</v>
      </c>
      <c r="BU52" s="230">
        <v>2835048</v>
      </c>
      <c r="BV52" s="230">
        <v>1512207</v>
      </c>
      <c r="BW52" s="230">
        <v>1322841</v>
      </c>
      <c r="BX52" s="229">
        <v>0.87480000000000002</v>
      </c>
      <c r="BY52" s="230">
        <v>1220</v>
      </c>
      <c r="BZ52" s="230">
        <v>1168</v>
      </c>
      <c r="CA52" s="228">
        <v>52</v>
      </c>
      <c r="CB52" s="229">
        <v>4.4699999999999997E-2</v>
      </c>
      <c r="CC52" s="230">
        <v>1208</v>
      </c>
      <c r="CD52" s="228">
        <v>34</v>
      </c>
      <c r="CE52" s="230">
        <v>1174</v>
      </c>
      <c r="CF52" s="229">
        <v>34.094000000000001</v>
      </c>
      <c r="CG52" s="228">
        <v>12</v>
      </c>
      <c r="CH52" s="230">
        <v>1158</v>
      </c>
      <c r="CI52" s="230">
        <v>-1146</v>
      </c>
      <c r="CJ52" s="229">
        <v>-0.98960000000000004</v>
      </c>
      <c r="CK52" s="228">
        <v>0</v>
      </c>
      <c r="CL52" s="228">
        <v>10</v>
      </c>
      <c r="CM52" s="228">
        <v>-10</v>
      </c>
      <c r="CN52" s="229">
        <v>-0.98660000000000003</v>
      </c>
      <c r="CO52" s="228">
        <v>265</v>
      </c>
      <c r="CP52" s="228">
        <v>176</v>
      </c>
      <c r="CQ52" s="228">
        <v>89</v>
      </c>
      <c r="CR52" s="229">
        <v>0.50460000000000005</v>
      </c>
      <c r="CS52" s="228">
        <v>173</v>
      </c>
      <c r="CT52" s="228">
        <v>134</v>
      </c>
      <c r="CU52" s="228">
        <v>39</v>
      </c>
      <c r="CV52" s="229">
        <v>0.29120000000000001</v>
      </c>
      <c r="CW52" s="230">
        <v>1658</v>
      </c>
      <c r="CX52" s="230">
        <v>1478</v>
      </c>
      <c r="CY52" s="228">
        <v>180</v>
      </c>
      <c r="CZ52" s="229">
        <v>0.12180000000000001</v>
      </c>
      <c r="DA52" s="228">
        <v>30.81</v>
      </c>
      <c r="DB52" s="228">
        <v>30.03</v>
      </c>
      <c r="DC52" s="228">
        <v>0.78</v>
      </c>
      <c r="DD52" s="228">
        <v>0.78</v>
      </c>
      <c r="DE52" s="228">
        <v>24.53</v>
      </c>
      <c r="DF52" s="228">
        <v>24.58</v>
      </c>
      <c r="DG52" s="228">
        <v>6.28</v>
      </c>
      <c r="DH52" s="228">
        <v>-0.05</v>
      </c>
      <c r="DI52" s="228">
        <v>30.37</v>
      </c>
      <c r="DJ52" s="228">
        <v>29.77</v>
      </c>
      <c r="DK52" s="228">
        <v>0.6</v>
      </c>
      <c r="DL52" s="228">
        <v>0.6</v>
      </c>
      <c r="DM52" s="228">
        <v>31.68</v>
      </c>
      <c r="DN52" s="228">
        <v>30.4</v>
      </c>
      <c r="DO52" s="228">
        <v>1.28</v>
      </c>
      <c r="DP52" s="228">
        <v>1.28</v>
      </c>
      <c r="DQ52" s="228">
        <v>0.65</v>
      </c>
      <c r="DR52" s="228">
        <v>0.76</v>
      </c>
      <c r="DS52" s="228">
        <v>-0.11</v>
      </c>
      <c r="DT52" s="229">
        <v>-0.1447</v>
      </c>
      <c r="DU52" s="228">
        <v>530</v>
      </c>
      <c r="DV52" s="228">
        <v>500</v>
      </c>
      <c r="DW52" s="228">
        <v>0.51</v>
      </c>
      <c r="DX52" s="228">
        <v>0.62</v>
      </c>
      <c r="DY52" s="228">
        <v>-0.11</v>
      </c>
      <c r="DZ52" s="229">
        <v>-0.1774</v>
      </c>
      <c r="EA52" s="229">
        <v>0.01</v>
      </c>
      <c r="EB52" s="230">
        <v>22565000</v>
      </c>
      <c r="EC52" s="229">
        <v>5.7999999999999996E-3</v>
      </c>
      <c r="ED52" s="229">
        <v>0.01</v>
      </c>
      <c r="EE52" s="228">
        <v>1.96</v>
      </c>
      <c r="EF52" s="229">
        <v>3.8E-3</v>
      </c>
      <c r="EG52" s="230">
        <v>1270433</v>
      </c>
      <c r="EH52" s="230">
        <v>906805</v>
      </c>
      <c r="EI52" s="229">
        <v>0.40100000000000002</v>
      </c>
      <c r="EJ52" s="229">
        <v>0.4481</v>
      </c>
      <c r="EK52" s="228">
        <v>489.57</v>
      </c>
      <c r="EL52" s="228">
        <v>232.02</v>
      </c>
      <c r="EM52" s="228">
        <v>247.38</v>
      </c>
      <c r="EN52" s="228">
        <v>135.74</v>
      </c>
      <c r="EO52" s="228">
        <v>968.97</v>
      </c>
      <c r="EP52" s="231">
        <v>1127.1600000000001</v>
      </c>
      <c r="EQ52" s="228">
        <v>-158.19</v>
      </c>
      <c r="ER52" s="229">
        <v>-0.14030000000000001</v>
      </c>
      <c r="ES52" s="228">
        <v>277.83999999999997</v>
      </c>
      <c r="ET52" s="228">
        <v>164.63</v>
      </c>
      <c r="EU52" s="231">
        <v>1220.3699999999999</v>
      </c>
      <c r="EV52" s="231">
        <v>89873278</v>
      </c>
      <c r="EW52" s="231">
        <v>1662.83</v>
      </c>
      <c r="EX52" s="231">
        <v>1480.46</v>
      </c>
      <c r="EY52" s="228">
        <v>182.37</v>
      </c>
      <c r="EZ52" s="229">
        <v>0.1232</v>
      </c>
      <c r="FA52" s="229">
        <v>0.35639999999999999</v>
      </c>
      <c r="FB52" s="227" t="s">
        <v>555</v>
      </c>
      <c r="FC52">
        <f t="shared" si="0"/>
        <v>12</v>
      </c>
    </row>
    <row r="53" spans="1:159" ht="17.25" thickBot="1" x14ac:dyDescent="0.3">
      <c r="A53" s="226">
        <v>46050</v>
      </c>
      <c r="B53" s="227" t="s">
        <v>157</v>
      </c>
      <c r="C53" s="227" t="s">
        <v>524</v>
      </c>
      <c r="D53" s="228">
        <v>325</v>
      </c>
      <c r="E53" s="228">
        <v>27</v>
      </c>
      <c r="F53" s="231">
        <v>2087.5</v>
      </c>
      <c r="G53" s="231">
        <v>2123.1999999999998</v>
      </c>
      <c r="H53" s="228">
        <v>-35.700000000000003</v>
      </c>
      <c r="I53" s="229">
        <v>-1.6799999999999999E-2</v>
      </c>
      <c r="J53" s="231">
        <v>2074.4</v>
      </c>
      <c r="K53" s="231">
        <v>2107.1</v>
      </c>
      <c r="L53" s="228">
        <v>-32.700000000000003</v>
      </c>
      <c r="M53" s="229">
        <v>-1.55E-2</v>
      </c>
      <c r="N53" s="231">
        <v>2087.5</v>
      </c>
      <c r="O53" s="231">
        <v>2113.9</v>
      </c>
      <c r="P53" s="228">
        <v>-26.4</v>
      </c>
      <c r="Q53" s="229">
        <v>-1.2500000000000001E-2</v>
      </c>
      <c r="R53" s="231">
        <v>2098.8000000000002</v>
      </c>
      <c r="S53" s="231">
        <v>2123.1999999999998</v>
      </c>
      <c r="T53" s="228">
        <v>-24.4</v>
      </c>
      <c r="U53" s="229">
        <v>-1.15E-2</v>
      </c>
      <c r="V53" s="231">
        <v>2113</v>
      </c>
      <c r="W53" s="231">
        <v>2133.1999999999998</v>
      </c>
      <c r="X53" s="228">
        <v>-20.2</v>
      </c>
      <c r="Y53" s="229">
        <v>-9.4999999999999998E-3</v>
      </c>
      <c r="Z53" s="228">
        <v>13.1</v>
      </c>
      <c r="AA53" s="228">
        <v>16.100000000000001</v>
      </c>
      <c r="AB53" s="228">
        <v>-3</v>
      </c>
      <c r="AC53" s="229">
        <v>6.3E-3</v>
      </c>
      <c r="AD53" s="228">
        <v>13.1</v>
      </c>
      <c r="AE53" s="228">
        <v>6.8</v>
      </c>
      <c r="AF53" s="228">
        <v>6.3</v>
      </c>
      <c r="AG53" s="229">
        <v>6.3E-3</v>
      </c>
      <c r="AH53" s="228">
        <v>24.4</v>
      </c>
      <c r="AI53" s="228">
        <v>16.100000000000001</v>
      </c>
      <c r="AJ53" s="228">
        <v>8.3000000000000007</v>
      </c>
      <c r="AK53" s="229">
        <v>1.18E-2</v>
      </c>
      <c r="AL53" s="228">
        <v>38.6</v>
      </c>
      <c r="AM53" s="228">
        <v>26.1</v>
      </c>
      <c r="AN53" s="228">
        <v>12.5</v>
      </c>
      <c r="AO53" s="229">
        <v>1.8599999999999998E-2</v>
      </c>
      <c r="AP53" s="231">
        <v>2100.6999999999998</v>
      </c>
      <c r="AQ53" s="231">
        <v>2113.4699999999998</v>
      </c>
      <c r="AR53" s="228">
        <v>0</v>
      </c>
      <c r="AS53" s="228">
        <v>142</v>
      </c>
      <c r="AT53" s="228">
        <v>439</v>
      </c>
      <c r="AU53" s="228">
        <v>-298</v>
      </c>
      <c r="AV53" s="229">
        <v>-0.67769999999999997</v>
      </c>
      <c r="AW53" s="228">
        <v>137</v>
      </c>
      <c r="AX53" s="228">
        <v>142</v>
      </c>
      <c r="AY53" s="228">
        <v>-5</v>
      </c>
      <c r="AZ53" s="229">
        <v>-3.3399999999999999E-2</v>
      </c>
      <c r="BA53" s="228">
        <v>4</v>
      </c>
      <c r="BB53" s="228">
        <v>294</v>
      </c>
      <c r="BC53" s="228">
        <v>-290</v>
      </c>
      <c r="BD53" s="229">
        <v>-0.9869</v>
      </c>
      <c r="BE53" s="228">
        <v>0</v>
      </c>
      <c r="BF53" s="228">
        <v>3</v>
      </c>
      <c r="BG53" s="228">
        <v>-2</v>
      </c>
      <c r="BH53" s="229">
        <v>-0.878</v>
      </c>
      <c r="BI53" s="228">
        <v>72</v>
      </c>
      <c r="BJ53" s="228">
        <v>319</v>
      </c>
      <c r="BK53" s="228">
        <v>-247</v>
      </c>
      <c r="BL53" s="229">
        <v>-0.7732</v>
      </c>
      <c r="BM53" s="228">
        <v>81</v>
      </c>
      <c r="BN53" s="228">
        <v>240</v>
      </c>
      <c r="BO53" s="228">
        <v>-159</v>
      </c>
      <c r="BP53" s="229">
        <v>-0.66320000000000001</v>
      </c>
      <c r="BQ53" s="228">
        <v>295</v>
      </c>
      <c r="BR53" s="228">
        <v>999</v>
      </c>
      <c r="BS53" s="228">
        <v>-704</v>
      </c>
      <c r="BT53" s="229">
        <v>-0.70469999999999999</v>
      </c>
      <c r="BU53" s="230">
        <v>303415</v>
      </c>
      <c r="BV53" s="230">
        <v>663157</v>
      </c>
      <c r="BW53" s="230">
        <v>-359742</v>
      </c>
      <c r="BX53" s="229">
        <v>-0.54249999999999998</v>
      </c>
      <c r="BY53" s="228">
        <v>580</v>
      </c>
      <c r="BZ53" s="228">
        <v>580</v>
      </c>
      <c r="CA53" s="228">
        <v>0</v>
      </c>
      <c r="CB53" s="229">
        <v>-5.0000000000000001E-4</v>
      </c>
      <c r="CC53" s="228">
        <v>574</v>
      </c>
      <c r="CD53" s="228">
        <v>54</v>
      </c>
      <c r="CE53" s="228">
        <v>520</v>
      </c>
      <c r="CF53" s="229">
        <v>9.5404999999999998</v>
      </c>
      <c r="CG53" s="228">
        <v>5</v>
      </c>
      <c r="CH53" s="228">
        <v>575</v>
      </c>
      <c r="CI53" s="228">
        <v>-570</v>
      </c>
      <c r="CJ53" s="229">
        <v>-0.99039999999999995</v>
      </c>
      <c r="CK53" s="228">
        <v>0</v>
      </c>
      <c r="CL53" s="228">
        <v>5</v>
      </c>
      <c r="CM53" s="228">
        <v>-5</v>
      </c>
      <c r="CN53" s="229">
        <v>-0.98629999999999995</v>
      </c>
      <c r="CO53" s="228">
        <v>116</v>
      </c>
      <c r="CP53" s="228">
        <v>95</v>
      </c>
      <c r="CQ53" s="228">
        <v>21</v>
      </c>
      <c r="CR53" s="229">
        <v>0.22359999999999999</v>
      </c>
      <c r="CS53" s="228">
        <v>82</v>
      </c>
      <c r="CT53" s="228">
        <v>70</v>
      </c>
      <c r="CU53" s="228">
        <v>12</v>
      </c>
      <c r="CV53" s="229">
        <v>0.1696</v>
      </c>
      <c r="CW53" s="228">
        <v>778</v>
      </c>
      <c r="CX53" s="228">
        <v>745</v>
      </c>
      <c r="CY53" s="228">
        <v>33</v>
      </c>
      <c r="CZ53" s="229">
        <v>4.41E-2</v>
      </c>
      <c r="DA53" s="228">
        <v>31.52</v>
      </c>
      <c r="DB53" s="228">
        <v>33.08</v>
      </c>
      <c r="DC53" s="228">
        <v>-1.56</v>
      </c>
      <c r="DD53" s="228">
        <v>-1.56</v>
      </c>
      <c r="DE53" s="228">
        <v>29.79</v>
      </c>
      <c r="DF53" s="228">
        <v>29.78</v>
      </c>
      <c r="DG53" s="228">
        <v>1.73</v>
      </c>
      <c r="DH53" s="228">
        <v>0.01</v>
      </c>
      <c r="DI53" s="228">
        <v>30.96</v>
      </c>
      <c r="DJ53" s="228">
        <v>32.22</v>
      </c>
      <c r="DK53" s="228">
        <v>-1.26</v>
      </c>
      <c r="DL53" s="228">
        <v>-1.26</v>
      </c>
      <c r="DM53" s="228">
        <v>32.03</v>
      </c>
      <c r="DN53" s="228">
        <v>34.130000000000003</v>
      </c>
      <c r="DO53" s="228">
        <v>-2.1</v>
      </c>
      <c r="DP53" s="228">
        <v>-2.1</v>
      </c>
      <c r="DQ53" s="228">
        <v>0.7</v>
      </c>
      <c r="DR53" s="228">
        <v>0.74</v>
      </c>
      <c r="DS53" s="228">
        <v>-0.04</v>
      </c>
      <c r="DT53" s="229">
        <v>-5.4100000000000002E-2</v>
      </c>
      <c r="DU53" s="231">
        <v>2300</v>
      </c>
      <c r="DV53" s="231">
        <v>1900</v>
      </c>
      <c r="DW53" s="228">
        <v>1.1200000000000001</v>
      </c>
      <c r="DX53" s="228">
        <v>0.75</v>
      </c>
      <c r="DY53" s="228">
        <v>0.37</v>
      </c>
      <c r="DZ53" s="229">
        <v>0.49330000000000002</v>
      </c>
      <c r="EA53" s="229">
        <v>9.5999999999999992E-3</v>
      </c>
      <c r="EB53" s="230">
        <v>2778750</v>
      </c>
      <c r="EC53" s="229">
        <v>5.4000000000000003E-3</v>
      </c>
      <c r="ED53" s="229">
        <v>9.5999999999999992E-3</v>
      </c>
      <c r="EE53" s="228">
        <v>12.77</v>
      </c>
      <c r="EF53" s="229">
        <v>6.1000000000000004E-3</v>
      </c>
      <c r="EG53" s="230">
        <v>180819</v>
      </c>
      <c r="EH53" s="230">
        <v>425768</v>
      </c>
      <c r="EI53" s="229">
        <v>-0.57530000000000003</v>
      </c>
      <c r="EJ53" s="229">
        <v>0.59589999999999999</v>
      </c>
      <c r="EK53" s="228">
        <v>78.23</v>
      </c>
      <c r="EL53" s="228">
        <v>78.739999999999995</v>
      </c>
      <c r="EM53" s="228">
        <v>142.44</v>
      </c>
      <c r="EN53" s="228">
        <v>91.92</v>
      </c>
      <c r="EO53" s="228">
        <v>299.41000000000003</v>
      </c>
      <c r="EP53" s="231">
        <v>1023.11</v>
      </c>
      <c r="EQ53" s="228">
        <v>-723.7</v>
      </c>
      <c r="ER53" s="229">
        <v>-0.70740000000000003</v>
      </c>
      <c r="ES53" s="228">
        <v>125.74</v>
      </c>
      <c r="ET53" s="228">
        <v>78.53</v>
      </c>
      <c r="EU53" s="228">
        <v>579.82000000000005</v>
      </c>
      <c r="EV53" s="231">
        <v>12425041</v>
      </c>
      <c r="EW53" s="228">
        <v>784.09</v>
      </c>
      <c r="EX53" s="228">
        <v>760.38</v>
      </c>
      <c r="EY53" s="228">
        <v>23.71</v>
      </c>
      <c r="EZ53" s="229">
        <v>3.1199999999999999E-2</v>
      </c>
      <c r="FA53" s="229">
        <v>0.2999</v>
      </c>
      <c r="FB53" s="227" t="s">
        <v>568</v>
      </c>
      <c r="FC53">
        <f t="shared" si="0"/>
        <v>6</v>
      </c>
    </row>
    <row r="54" spans="1:159" ht="17.25" thickBot="1" x14ac:dyDescent="0.3">
      <c r="A54" s="226">
        <v>46050</v>
      </c>
      <c r="B54" s="227" t="s">
        <v>615</v>
      </c>
      <c r="C54" s="227" t="s">
        <v>600</v>
      </c>
      <c r="D54" s="228">
        <v>2075</v>
      </c>
      <c r="E54" s="228">
        <v>27</v>
      </c>
      <c r="F54" s="228">
        <v>410.35</v>
      </c>
      <c r="G54" s="228">
        <v>403</v>
      </c>
      <c r="H54" s="228">
        <v>7.35</v>
      </c>
      <c r="I54" s="229">
        <v>1.8200000000000001E-2</v>
      </c>
      <c r="J54" s="228">
        <v>407.75</v>
      </c>
      <c r="K54" s="228">
        <v>400.35</v>
      </c>
      <c r="L54" s="228">
        <v>7.4</v>
      </c>
      <c r="M54" s="229">
        <v>1.8499999999999999E-2</v>
      </c>
      <c r="N54" s="228">
        <v>410.35</v>
      </c>
      <c r="O54" s="228">
        <v>400.75</v>
      </c>
      <c r="P54" s="228">
        <v>9.6</v>
      </c>
      <c r="Q54" s="229">
        <v>2.4E-2</v>
      </c>
      <c r="R54" s="228">
        <v>412.95</v>
      </c>
      <c r="S54" s="228">
        <v>403</v>
      </c>
      <c r="T54" s="228">
        <v>9.9499999999999993</v>
      </c>
      <c r="U54" s="229">
        <v>2.47E-2</v>
      </c>
      <c r="V54" s="228">
        <v>0</v>
      </c>
      <c r="W54" s="228">
        <v>405.6</v>
      </c>
      <c r="X54" s="228">
        <v>0</v>
      </c>
      <c r="Y54" s="229">
        <v>0</v>
      </c>
      <c r="Z54" s="228">
        <v>2.6</v>
      </c>
      <c r="AA54" s="228">
        <v>2.65</v>
      </c>
      <c r="AB54" s="228">
        <v>-0.05</v>
      </c>
      <c r="AC54" s="229">
        <v>6.4000000000000003E-3</v>
      </c>
      <c r="AD54" s="228">
        <v>2.6</v>
      </c>
      <c r="AE54" s="228">
        <v>0.4</v>
      </c>
      <c r="AF54" s="228">
        <v>2.2000000000000002</v>
      </c>
      <c r="AG54" s="229">
        <v>6.4000000000000003E-3</v>
      </c>
      <c r="AH54" s="228">
        <v>5.2</v>
      </c>
      <c r="AI54" s="228">
        <v>2.65</v>
      </c>
      <c r="AJ54" s="228">
        <v>2.5499999999999998</v>
      </c>
      <c r="AK54" s="229">
        <v>1.2800000000000001E-2</v>
      </c>
      <c r="AL54" s="228">
        <v>0</v>
      </c>
      <c r="AM54" s="228">
        <v>5.25</v>
      </c>
      <c r="AN54" s="228">
        <v>0</v>
      </c>
      <c r="AO54" s="229">
        <v>0</v>
      </c>
      <c r="AP54" s="228">
        <v>406.87</v>
      </c>
      <c r="AQ54" s="228">
        <v>409.1</v>
      </c>
      <c r="AR54" s="228">
        <v>0</v>
      </c>
      <c r="AS54" s="228">
        <v>370</v>
      </c>
      <c r="AT54" s="228">
        <v>870</v>
      </c>
      <c r="AU54" s="228">
        <v>-500</v>
      </c>
      <c r="AV54" s="229">
        <v>-0.57469999999999999</v>
      </c>
      <c r="AW54" s="228">
        <v>358</v>
      </c>
      <c r="AX54" s="228">
        <v>304</v>
      </c>
      <c r="AY54" s="228">
        <v>55</v>
      </c>
      <c r="AZ54" s="229">
        <v>0.18</v>
      </c>
      <c r="BA54" s="228">
        <v>12</v>
      </c>
      <c r="BB54" s="228">
        <v>556</v>
      </c>
      <c r="BC54" s="228">
        <v>-545</v>
      </c>
      <c r="BD54" s="229">
        <v>-0.97919999999999996</v>
      </c>
      <c r="BE54" s="228">
        <v>0</v>
      </c>
      <c r="BF54" s="228">
        <v>10</v>
      </c>
      <c r="BG54" s="228">
        <v>0</v>
      </c>
      <c r="BH54" s="229">
        <v>0</v>
      </c>
      <c r="BI54" s="228">
        <v>299</v>
      </c>
      <c r="BJ54" s="228">
        <v>719</v>
      </c>
      <c r="BK54" s="228">
        <v>-420</v>
      </c>
      <c r="BL54" s="229">
        <v>-0.58420000000000005</v>
      </c>
      <c r="BM54" s="228">
        <v>155</v>
      </c>
      <c r="BN54" s="228">
        <v>260</v>
      </c>
      <c r="BO54" s="228">
        <v>-105</v>
      </c>
      <c r="BP54" s="229">
        <v>-0.40539999999999998</v>
      </c>
      <c r="BQ54" s="228">
        <v>824</v>
      </c>
      <c r="BR54" s="230">
        <v>1849</v>
      </c>
      <c r="BS54" s="230">
        <v>-1025</v>
      </c>
      <c r="BT54" s="229">
        <v>-0.55459999999999998</v>
      </c>
      <c r="BU54" s="230">
        <v>2709145</v>
      </c>
      <c r="BV54" s="230">
        <v>2165282</v>
      </c>
      <c r="BW54" s="230">
        <v>543863</v>
      </c>
      <c r="BX54" s="229">
        <v>0.25119999999999998</v>
      </c>
      <c r="BY54" s="230">
        <v>1038</v>
      </c>
      <c r="BZ54" s="228">
        <v>976</v>
      </c>
      <c r="CA54" s="228">
        <v>62</v>
      </c>
      <c r="CB54" s="229">
        <v>6.3100000000000003E-2</v>
      </c>
      <c r="CC54" s="230">
        <v>1026</v>
      </c>
      <c r="CD54" s="228">
        <v>28</v>
      </c>
      <c r="CE54" s="228">
        <v>998</v>
      </c>
      <c r="CF54" s="229">
        <v>35.419899999999998</v>
      </c>
      <c r="CG54" s="228">
        <v>11</v>
      </c>
      <c r="CH54" s="228">
        <v>967</v>
      </c>
      <c r="CI54" s="228">
        <v>-956</v>
      </c>
      <c r="CJ54" s="229">
        <v>-0.98860000000000003</v>
      </c>
      <c r="CK54" s="228">
        <v>0</v>
      </c>
      <c r="CL54" s="228">
        <v>9</v>
      </c>
      <c r="CM54" s="228">
        <v>-9</v>
      </c>
      <c r="CN54" s="229">
        <v>-1</v>
      </c>
      <c r="CO54" s="228">
        <v>158</v>
      </c>
      <c r="CP54" s="228">
        <v>93</v>
      </c>
      <c r="CQ54" s="228">
        <v>65</v>
      </c>
      <c r="CR54" s="229">
        <v>0.69340000000000002</v>
      </c>
      <c r="CS54" s="228">
        <v>140</v>
      </c>
      <c r="CT54" s="228">
        <v>115</v>
      </c>
      <c r="CU54" s="228">
        <v>25</v>
      </c>
      <c r="CV54" s="229">
        <v>0.21779999999999999</v>
      </c>
      <c r="CW54" s="230">
        <v>1336</v>
      </c>
      <c r="CX54" s="230">
        <v>1184</v>
      </c>
      <c r="CY54" s="228">
        <v>151</v>
      </c>
      <c r="CZ54" s="229">
        <v>0.1278</v>
      </c>
      <c r="DA54" s="228">
        <v>39.22</v>
      </c>
      <c r="DB54" s="228">
        <v>39.06</v>
      </c>
      <c r="DC54" s="228">
        <v>0.16</v>
      </c>
      <c r="DD54" s="228">
        <v>0.16</v>
      </c>
      <c r="DE54" s="228">
        <v>40.11</v>
      </c>
      <c r="DF54" s="228">
        <v>40.14</v>
      </c>
      <c r="DG54" s="228">
        <v>-0.89</v>
      </c>
      <c r="DH54" s="228">
        <v>-0.03</v>
      </c>
      <c r="DI54" s="228">
        <v>38.71</v>
      </c>
      <c r="DJ54" s="228">
        <v>38.15</v>
      </c>
      <c r="DK54" s="228">
        <v>0.56000000000000005</v>
      </c>
      <c r="DL54" s="228">
        <v>0.56000000000000005</v>
      </c>
      <c r="DM54" s="228">
        <v>40.21</v>
      </c>
      <c r="DN54" s="228">
        <v>40.71</v>
      </c>
      <c r="DO54" s="228">
        <v>-0.5</v>
      </c>
      <c r="DP54" s="228">
        <v>-0.5</v>
      </c>
      <c r="DQ54" s="228">
        <v>0.89</v>
      </c>
      <c r="DR54" s="228">
        <v>1.23</v>
      </c>
      <c r="DS54" s="228">
        <v>-0.34</v>
      </c>
      <c r="DT54" s="229">
        <v>-0.27639999999999998</v>
      </c>
      <c r="DU54" s="228">
        <v>400</v>
      </c>
      <c r="DV54" s="228">
        <v>390</v>
      </c>
      <c r="DW54" s="228">
        <v>0.52</v>
      </c>
      <c r="DX54" s="228">
        <v>0.36</v>
      </c>
      <c r="DY54" s="228">
        <v>0.16</v>
      </c>
      <c r="DZ54" s="229">
        <v>0.44440000000000002</v>
      </c>
      <c r="EA54" s="229">
        <v>1.0699999999999999E-2</v>
      </c>
      <c r="EB54" s="230">
        <v>23783650</v>
      </c>
      <c r="EC54" s="229">
        <v>6.3E-3</v>
      </c>
      <c r="ED54" s="229">
        <v>1.0699999999999999E-2</v>
      </c>
      <c r="EE54" s="228">
        <v>2.23</v>
      </c>
      <c r="EF54" s="229">
        <v>5.4999999999999997E-3</v>
      </c>
      <c r="EG54" s="230">
        <v>1385090</v>
      </c>
      <c r="EH54" s="230">
        <v>756451</v>
      </c>
      <c r="EI54" s="229">
        <v>0.83099999999999996</v>
      </c>
      <c r="EJ54" s="229">
        <v>0.51129999999999998</v>
      </c>
      <c r="EK54" s="228">
        <v>314.97000000000003</v>
      </c>
      <c r="EL54" s="228">
        <v>151.72999999999999</v>
      </c>
      <c r="EM54" s="228">
        <v>366.81</v>
      </c>
      <c r="EN54" s="228">
        <v>94.8</v>
      </c>
      <c r="EO54" s="228">
        <v>833.51</v>
      </c>
      <c r="EP54" s="231">
        <v>1809.97</v>
      </c>
      <c r="EQ54" s="228">
        <v>-976.46</v>
      </c>
      <c r="ER54" s="229">
        <v>-0.53949999999999998</v>
      </c>
      <c r="ES54" s="228">
        <v>162.41999999999999</v>
      </c>
      <c r="ET54" s="228">
        <v>131.56</v>
      </c>
      <c r="EU54" s="231">
        <v>1037.5899999999999</v>
      </c>
      <c r="EV54" s="231">
        <v>112112283</v>
      </c>
      <c r="EW54" s="231">
        <v>1331.58</v>
      </c>
      <c r="EX54" s="231">
        <v>1161.25</v>
      </c>
      <c r="EY54" s="228">
        <v>170.33</v>
      </c>
      <c r="EZ54" s="229">
        <v>0.1467</v>
      </c>
      <c r="FA54" s="229">
        <v>0.2903</v>
      </c>
      <c r="FB54" s="227" t="s">
        <v>555</v>
      </c>
      <c r="FC54">
        <f t="shared" si="0"/>
        <v>12</v>
      </c>
    </row>
    <row r="55" spans="1:159" ht="17.25" thickBot="1" x14ac:dyDescent="0.3">
      <c r="A55" s="226">
        <v>46050</v>
      </c>
      <c r="B55" s="227" t="s">
        <v>170</v>
      </c>
      <c r="C55" s="227" t="s">
        <v>205</v>
      </c>
      <c r="D55" s="228">
        <v>100</v>
      </c>
      <c r="E55" s="228">
        <v>27</v>
      </c>
      <c r="F55" s="231">
        <v>6220.5</v>
      </c>
      <c r="G55" s="231">
        <v>6088</v>
      </c>
      <c r="H55" s="228">
        <v>132.5</v>
      </c>
      <c r="I55" s="229">
        <v>2.18E-2</v>
      </c>
      <c r="J55" s="231">
        <v>6188</v>
      </c>
      <c r="K55" s="231">
        <v>6056</v>
      </c>
      <c r="L55" s="228">
        <v>132</v>
      </c>
      <c r="M55" s="229">
        <v>2.18E-2</v>
      </c>
      <c r="N55" s="231">
        <v>6220.5</v>
      </c>
      <c r="O55" s="231">
        <v>6045</v>
      </c>
      <c r="P55" s="228">
        <v>175.5</v>
      </c>
      <c r="Q55" s="229">
        <v>2.9000000000000001E-2</v>
      </c>
      <c r="R55" s="231">
        <v>6258</v>
      </c>
      <c r="S55" s="231">
        <v>6088</v>
      </c>
      <c r="T55" s="228">
        <v>170</v>
      </c>
      <c r="U55" s="229">
        <v>2.7900000000000001E-2</v>
      </c>
      <c r="V55" s="231">
        <v>6228</v>
      </c>
      <c r="W55" s="231">
        <v>6136.5</v>
      </c>
      <c r="X55" s="228">
        <v>91.5</v>
      </c>
      <c r="Y55" s="229">
        <v>1.49E-2</v>
      </c>
      <c r="Z55" s="228">
        <v>32.5</v>
      </c>
      <c r="AA55" s="228">
        <v>32</v>
      </c>
      <c r="AB55" s="228">
        <v>0.5</v>
      </c>
      <c r="AC55" s="229">
        <v>5.3E-3</v>
      </c>
      <c r="AD55" s="228">
        <v>32.5</v>
      </c>
      <c r="AE55" s="228">
        <v>-11</v>
      </c>
      <c r="AF55" s="228">
        <v>43.5</v>
      </c>
      <c r="AG55" s="229">
        <v>5.3E-3</v>
      </c>
      <c r="AH55" s="228">
        <v>70</v>
      </c>
      <c r="AI55" s="228">
        <v>32</v>
      </c>
      <c r="AJ55" s="228">
        <v>38</v>
      </c>
      <c r="AK55" s="229">
        <v>1.1299999999999999E-2</v>
      </c>
      <c r="AL55" s="228">
        <v>40</v>
      </c>
      <c r="AM55" s="228">
        <v>80.5</v>
      </c>
      <c r="AN55" s="228">
        <v>-40.5</v>
      </c>
      <c r="AO55" s="229">
        <v>6.4999999999999997E-3</v>
      </c>
      <c r="AP55" s="231">
        <v>6171.22</v>
      </c>
      <c r="AQ55" s="231">
        <v>6199.61</v>
      </c>
      <c r="AR55" s="228">
        <v>0</v>
      </c>
      <c r="AS55" s="228">
        <v>219</v>
      </c>
      <c r="AT55" s="228">
        <v>715</v>
      </c>
      <c r="AU55" s="228">
        <v>-496</v>
      </c>
      <c r="AV55" s="229">
        <v>-0.69389999999999996</v>
      </c>
      <c r="AW55" s="228">
        <v>212</v>
      </c>
      <c r="AX55" s="228">
        <v>367</v>
      </c>
      <c r="AY55" s="228">
        <v>-154</v>
      </c>
      <c r="AZ55" s="229">
        <v>-0.42130000000000001</v>
      </c>
      <c r="BA55" s="228">
        <v>6</v>
      </c>
      <c r="BB55" s="228">
        <v>344</v>
      </c>
      <c r="BC55" s="228">
        <v>-338</v>
      </c>
      <c r="BD55" s="229">
        <v>-0.98140000000000005</v>
      </c>
      <c r="BE55" s="228">
        <v>0</v>
      </c>
      <c r="BF55" s="228">
        <v>4</v>
      </c>
      <c r="BG55" s="228">
        <v>-4</v>
      </c>
      <c r="BH55" s="229">
        <v>-0.92859999999999998</v>
      </c>
      <c r="BI55" s="228">
        <v>446</v>
      </c>
      <c r="BJ55" s="228">
        <v>708</v>
      </c>
      <c r="BK55" s="228">
        <v>-262</v>
      </c>
      <c r="BL55" s="229">
        <v>-0.37030000000000002</v>
      </c>
      <c r="BM55" s="228">
        <v>206</v>
      </c>
      <c r="BN55" s="228">
        <v>526</v>
      </c>
      <c r="BO55" s="228">
        <v>-320</v>
      </c>
      <c r="BP55" s="229">
        <v>-0.60829999999999995</v>
      </c>
      <c r="BQ55" s="228">
        <v>871</v>
      </c>
      <c r="BR55" s="230">
        <v>1950</v>
      </c>
      <c r="BS55" s="230">
        <v>-1079</v>
      </c>
      <c r="BT55" s="229">
        <v>-0.55330000000000001</v>
      </c>
      <c r="BU55" s="230">
        <v>339941</v>
      </c>
      <c r="BV55" s="230">
        <v>370478</v>
      </c>
      <c r="BW55" s="230">
        <v>-30537</v>
      </c>
      <c r="BX55" s="229">
        <v>-8.2400000000000001E-2</v>
      </c>
      <c r="BY55" s="230">
        <v>2076</v>
      </c>
      <c r="BZ55" s="230">
        <v>2079</v>
      </c>
      <c r="CA55" s="228">
        <v>-3</v>
      </c>
      <c r="CB55" s="229">
        <v>-1.6000000000000001E-3</v>
      </c>
      <c r="CC55" s="230">
        <v>2064</v>
      </c>
      <c r="CD55" s="228">
        <v>200</v>
      </c>
      <c r="CE55" s="230">
        <v>1864</v>
      </c>
      <c r="CF55" s="229">
        <v>9.3056000000000001</v>
      </c>
      <c r="CG55" s="228">
        <v>12</v>
      </c>
      <c r="CH55" s="230">
        <v>2069</v>
      </c>
      <c r="CI55" s="230">
        <v>-2057</v>
      </c>
      <c r="CJ55" s="229">
        <v>-0.99439999999999995</v>
      </c>
      <c r="CK55" s="228">
        <v>0</v>
      </c>
      <c r="CL55" s="228">
        <v>11</v>
      </c>
      <c r="CM55" s="228">
        <v>-10</v>
      </c>
      <c r="CN55" s="229">
        <v>-0.97040000000000004</v>
      </c>
      <c r="CO55" s="228">
        <v>277</v>
      </c>
      <c r="CP55" s="228">
        <v>154</v>
      </c>
      <c r="CQ55" s="228">
        <v>123</v>
      </c>
      <c r="CR55" s="229">
        <v>0.79479999999999995</v>
      </c>
      <c r="CS55" s="228">
        <v>175</v>
      </c>
      <c r="CT55" s="228">
        <v>134</v>
      </c>
      <c r="CU55" s="228">
        <v>41</v>
      </c>
      <c r="CV55" s="229">
        <v>0.30640000000000001</v>
      </c>
      <c r="CW55" s="230">
        <v>2528</v>
      </c>
      <c r="CX55" s="230">
        <v>2368</v>
      </c>
      <c r="CY55" s="228">
        <v>160</v>
      </c>
      <c r="CZ55" s="229">
        <v>6.7699999999999996E-2</v>
      </c>
      <c r="DA55" s="228">
        <v>30.43</v>
      </c>
      <c r="DB55" s="228">
        <v>30.17</v>
      </c>
      <c r="DC55" s="228">
        <v>0.26</v>
      </c>
      <c r="DD55" s="228">
        <v>0.26</v>
      </c>
      <c r="DE55" s="228">
        <v>29.91</v>
      </c>
      <c r="DF55" s="228">
        <v>29.84</v>
      </c>
      <c r="DG55" s="228">
        <v>0.52</v>
      </c>
      <c r="DH55" s="228">
        <v>7.0000000000000007E-2</v>
      </c>
      <c r="DI55" s="228">
        <v>28.99</v>
      </c>
      <c r="DJ55" s="228">
        <v>30.49</v>
      </c>
      <c r="DK55" s="228">
        <v>-1.5</v>
      </c>
      <c r="DL55" s="228">
        <v>-1.5</v>
      </c>
      <c r="DM55" s="228">
        <v>33.520000000000003</v>
      </c>
      <c r="DN55" s="228">
        <v>29.76</v>
      </c>
      <c r="DO55" s="228">
        <v>3.76</v>
      </c>
      <c r="DP55" s="228">
        <v>3.76</v>
      </c>
      <c r="DQ55" s="228">
        <v>0.63</v>
      </c>
      <c r="DR55" s="228">
        <v>0.87</v>
      </c>
      <c r="DS55" s="228">
        <v>-0.24</v>
      </c>
      <c r="DT55" s="229">
        <v>-0.27589999999999998</v>
      </c>
      <c r="DU55" s="231">
        <v>7100</v>
      </c>
      <c r="DV55" s="231">
        <v>5500</v>
      </c>
      <c r="DW55" s="228">
        <v>0.46</v>
      </c>
      <c r="DX55" s="228">
        <v>0.74</v>
      </c>
      <c r="DY55" s="228">
        <v>-0.28000000000000003</v>
      </c>
      <c r="DZ55" s="229">
        <v>-0.37840000000000001</v>
      </c>
      <c r="EA55" s="229">
        <v>5.7000000000000002E-3</v>
      </c>
      <c r="EB55" s="230">
        <v>3342900</v>
      </c>
      <c r="EC55" s="229">
        <v>6.0000000000000001E-3</v>
      </c>
      <c r="ED55" s="229">
        <v>5.7000000000000002E-3</v>
      </c>
      <c r="EE55" s="228">
        <v>28.39</v>
      </c>
      <c r="EF55" s="229">
        <v>4.5999999999999999E-3</v>
      </c>
      <c r="EG55" s="230">
        <v>221436</v>
      </c>
      <c r="EH55" s="230">
        <v>224592</v>
      </c>
      <c r="EI55" s="229">
        <v>-1.41E-2</v>
      </c>
      <c r="EJ55" s="229">
        <v>0.65139999999999998</v>
      </c>
      <c r="EK55" s="228">
        <v>479.03</v>
      </c>
      <c r="EL55" s="228">
        <v>189.3</v>
      </c>
      <c r="EM55" s="228">
        <v>217.2</v>
      </c>
      <c r="EN55" s="228">
        <v>199.26</v>
      </c>
      <c r="EO55" s="228">
        <v>885.53</v>
      </c>
      <c r="EP55" s="231">
        <v>1924.79</v>
      </c>
      <c r="EQ55" s="231">
        <v>-1039.27</v>
      </c>
      <c r="ER55" s="229">
        <v>-0.53990000000000005</v>
      </c>
      <c r="ES55" s="228">
        <v>294.79000000000002</v>
      </c>
      <c r="ET55" s="228">
        <v>166.82</v>
      </c>
      <c r="EU55" s="231">
        <v>2076.1</v>
      </c>
      <c r="EV55" s="231">
        <v>14898112</v>
      </c>
      <c r="EW55" s="231">
        <v>2537.6999999999998</v>
      </c>
      <c r="EX55" s="231">
        <v>2324.98</v>
      </c>
      <c r="EY55" s="228">
        <v>212.72</v>
      </c>
      <c r="EZ55" s="229">
        <v>9.1499999999999998E-2</v>
      </c>
      <c r="FA55" s="229">
        <v>0.27279999999999999</v>
      </c>
      <c r="FB55" s="227" t="s">
        <v>556</v>
      </c>
      <c r="FC55">
        <f t="shared" si="0"/>
        <v>12</v>
      </c>
    </row>
    <row r="56" spans="1:159" ht="17.25" thickBot="1" x14ac:dyDescent="0.3">
      <c r="A56" s="226">
        <v>46050</v>
      </c>
      <c r="B56" s="227" t="s">
        <v>184</v>
      </c>
      <c r="C56" s="227" t="s">
        <v>512</v>
      </c>
      <c r="D56" s="228">
        <v>50</v>
      </c>
      <c r="E56" s="228">
        <v>27</v>
      </c>
      <c r="F56" s="231">
        <v>10324</v>
      </c>
      <c r="G56" s="231">
        <v>10226</v>
      </c>
      <c r="H56" s="228">
        <v>98</v>
      </c>
      <c r="I56" s="229">
        <v>9.5999999999999992E-3</v>
      </c>
      <c r="J56" s="231">
        <v>10279</v>
      </c>
      <c r="K56" s="231">
        <v>10184</v>
      </c>
      <c r="L56" s="228">
        <v>95</v>
      </c>
      <c r="M56" s="229">
        <v>9.2999999999999992E-3</v>
      </c>
      <c r="N56" s="231">
        <v>10324</v>
      </c>
      <c r="O56" s="231">
        <v>10160</v>
      </c>
      <c r="P56" s="228">
        <v>164</v>
      </c>
      <c r="Q56" s="229">
        <v>1.61E-2</v>
      </c>
      <c r="R56" s="231">
        <v>10389</v>
      </c>
      <c r="S56" s="231">
        <v>10226</v>
      </c>
      <c r="T56" s="228">
        <v>163</v>
      </c>
      <c r="U56" s="229">
        <v>1.5900000000000001E-2</v>
      </c>
      <c r="V56" s="231">
        <v>10461</v>
      </c>
      <c r="W56" s="231">
        <v>10307</v>
      </c>
      <c r="X56" s="228">
        <v>154</v>
      </c>
      <c r="Y56" s="229">
        <v>1.49E-2</v>
      </c>
      <c r="Z56" s="228">
        <v>45</v>
      </c>
      <c r="AA56" s="228">
        <v>42</v>
      </c>
      <c r="AB56" s="228">
        <v>3</v>
      </c>
      <c r="AC56" s="229">
        <v>4.4000000000000003E-3</v>
      </c>
      <c r="AD56" s="228">
        <v>45</v>
      </c>
      <c r="AE56" s="228">
        <v>-24</v>
      </c>
      <c r="AF56" s="228">
        <v>69</v>
      </c>
      <c r="AG56" s="229">
        <v>4.4000000000000003E-3</v>
      </c>
      <c r="AH56" s="228">
        <v>110</v>
      </c>
      <c r="AI56" s="228">
        <v>42</v>
      </c>
      <c r="AJ56" s="228">
        <v>68</v>
      </c>
      <c r="AK56" s="229">
        <v>1.0699999999999999E-2</v>
      </c>
      <c r="AL56" s="228">
        <v>182</v>
      </c>
      <c r="AM56" s="228">
        <v>123</v>
      </c>
      <c r="AN56" s="228">
        <v>59</v>
      </c>
      <c r="AO56" s="229">
        <v>1.77E-2</v>
      </c>
      <c r="AP56" s="231">
        <v>10269.530000000001</v>
      </c>
      <c r="AQ56" s="231">
        <v>10342.370000000001</v>
      </c>
      <c r="AR56" s="228">
        <v>0</v>
      </c>
      <c r="AS56" s="228">
        <v>628</v>
      </c>
      <c r="AT56" s="230">
        <v>2882</v>
      </c>
      <c r="AU56" s="230">
        <v>-2255</v>
      </c>
      <c r="AV56" s="229">
        <v>-0.78220000000000001</v>
      </c>
      <c r="AW56" s="228">
        <v>581</v>
      </c>
      <c r="AX56" s="230">
        <v>1266</v>
      </c>
      <c r="AY56" s="228">
        <v>-685</v>
      </c>
      <c r="AZ56" s="229">
        <v>-0.5413</v>
      </c>
      <c r="BA56" s="228">
        <v>42</v>
      </c>
      <c r="BB56" s="230">
        <v>1550</v>
      </c>
      <c r="BC56" s="230">
        <v>-1508</v>
      </c>
      <c r="BD56" s="229">
        <v>-0.97299999999999998</v>
      </c>
      <c r="BE56" s="228">
        <v>5</v>
      </c>
      <c r="BF56" s="228">
        <v>66</v>
      </c>
      <c r="BG56" s="228">
        <v>-61</v>
      </c>
      <c r="BH56" s="229">
        <v>-0.92110000000000003</v>
      </c>
      <c r="BI56" s="230">
        <v>1679</v>
      </c>
      <c r="BJ56" s="230">
        <v>5802</v>
      </c>
      <c r="BK56" s="230">
        <v>-4123</v>
      </c>
      <c r="BL56" s="229">
        <v>-0.71060000000000001</v>
      </c>
      <c r="BM56" s="228">
        <v>864</v>
      </c>
      <c r="BN56" s="230">
        <v>3530</v>
      </c>
      <c r="BO56" s="230">
        <v>-2665</v>
      </c>
      <c r="BP56" s="229">
        <v>-0.75509999999999999</v>
      </c>
      <c r="BQ56" s="230">
        <v>3172</v>
      </c>
      <c r="BR56" s="230">
        <v>12215</v>
      </c>
      <c r="BS56" s="230">
        <v>-9043</v>
      </c>
      <c r="BT56" s="229">
        <v>-0.74039999999999995</v>
      </c>
      <c r="BU56" s="230">
        <v>695451</v>
      </c>
      <c r="BV56" s="230">
        <v>755776</v>
      </c>
      <c r="BW56" s="230">
        <v>-60325</v>
      </c>
      <c r="BX56" s="229">
        <v>-7.9799999999999996E-2</v>
      </c>
      <c r="BY56" s="230">
        <v>3166</v>
      </c>
      <c r="BZ56" s="230">
        <v>3073</v>
      </c>
      <c r="CA56" s="228">
        <v>93</v>
      </c>
      <c r="CB56" s="229">
        <v>3.04E-2</v>
      </c>
      <c r="CC56" s="230">
        <v>3040</v>
      </c>
      <c r="CD56" s="228">
        <v>664</v>
      </c>
      <c r="CE56" s="230">
        <v>2376</v>
      </c>
      <c r="CF56" s="229">
        <v>3.5781999999999998</v>
      </c>
      <c r="CG56" s="228">
        <v>123</v>
      </c>
      <c r="CH56" s="230">
        <v>2955</v>
      </c>
      <c r="CI56" s="230">
        <v>-2832</v>
      </c>
      <c r="CJ56" s="229">
        <v>-0.95850000000000002</v>
      </c>
      <c r="CK56" s="228">
        <v>3</v>
      </c>
      <c r="CL56" s="228">
        <v>118</v>
      </c>
      <c r="CM56" s="228">
        <v>-115</v>
      </c>
      <c r="CN56" s="229">
        <v>-0.97119999999999995</v>
      </c>
      <c r="CO56" s="228">
        <v>953</v>
      </c>
      <c r="CP56" s="228">
        <v>776</v>
      </c>
      <c r="CQ56" s="228">
        <v>177</v>
      </c>
      <c r="CR56" s="229">
        <v>0.22800000000000001</v>
      </c>
      <c r="CS56" s="228">
        <v>838</v>
      </c>
      <c r="CT56" s="228">
        <v>716</v>
      </c>
      <c r="CU56" s="228">
        <v>122</v>
      </c>
      <c r="CV56" s="229">
        <v>0.17030000000000001</v>
      </c>
      <c r="CW56" s="230">
        <v>4958</v>
      </c>
      <c r="CX56" s="230">
        <v>4566</v>
      </c>
      <c r="CY56" s="228">
        <v>392</v>
      </c>
      <c r="CZ56" s="229">
        <v>8.5900000000000004E-2</v>
      </c>
      <c r="DA56" s="228">
        <v>50.83</v>
      </c>
      <c r="DB56" s="228">
        <v>50.96</v>
      </c>
      <c r="DC56" s="228">
        <v>-0.13</v>
      </c>
      <c r="DD56" s="228">
        <v>-0.13</v>
      </c>
      <c r="DE56" s="228">
        <v>44.43</v>
      </c>
      <c r="DF56" s="228">
        <v>44.52</v>
      </c>
      <c r="DG56" s="228">
        <v>6.4</v>
      </c>
      <c r="DH56" s="228">
        <v>-0.09</v>
      </c>
      <c r="DI56" s="228">
        <v>50.45</v>
      </c>
      <c r="DJ56" s="228">
        <v>51.27</v>
      </c>
      <c r="DK56" s="228">
        <v>-0.82</v>
      </c>
      <c r="DL56" s="228">
        <v>-0.82</v>
      </c>
      <c r="DM56" s="228">
        <v>51.55</v>
      </c>
      <c r="DN56" s="228">
        <v>50.63</v>
      </c>
      <c r="DO56" s="228">
        <v>0.92</v>
      </c>
      <c r="DP56" s="228">
        <v>0.92</v>
      </c>
      <c r="DQ56" s="228">
        <v>0.88</v>
      </c>
      <c r="DR56" s="228">
        <v>0.92</v>
      </c>
      <c r="DS56" s="228">
        <v>-0.04</v>
      </c>
      <c r="DT56" s="229">
        <v>-4.3499999999999997E-2</v>
      </c>
      <c r="DU56" s="231">
        <v>12000</v>
      </c>
      <c r="DV56" s="231">
        <v>10000</v>
      </c>
      <c r="DW56" s="228">
        <v>0.51</v>
      </c>
      <c r="DX56" s="228">
        <v>0.61</v>
      </c>
      <c r="DY56" s="228">
        <v>-0.1</v>
      </c>
      <c r="DZ56" s="229">
        <v>-0.16389999999999999</v>
      </c>
      <c r="EA56" s="229">
        <v>3.9800000000000002E-2</v>
      </c>
      <c r="EB56" s="230">
        <v>2976600</v>
      </c>
      <c r="EC56" s="229">
        <v>6.3E-3</v>
      </c>
      <c r="ED56" s="229">
        <v>3.9800000000000002E-2</v>
      </c>
      <c r="EE56" s="228">
        <v>72.84</v>
      </c>
      <c r="EF56" s="229">
        <v>7.1000000000000004E-3</v>
      </c>
      <c r="EG56" s="230">
        <v>197990</v>
      </c>
      <c r="EH56" s="230">
        <v>199474</v>
      </c>
      <c r="EI56" s="229">
        <v>-7.4000000000000003E-3</v>
      </c>
      <c r="EJ56" s="229">
        <v>0.28470000000000001</v>
      </c>
      <c r="EK56" s="231">
        <v>1874.48</v>
      </c>
      <c r="EL56" s="228">
        <v>860.38</v>
      </c>
      <c r="EM56" s="228">
        <v>624.80999999999995</v>
      </c>
      <c r="EN56" s="228">
        <v>449.33</v>
      </c>
      <c r="EO56" s="231">
        <v>3359.67</v>
      </c>
      <c r="EP56" s="231">
        <v>12737.63</v>
      </c>
      <c r="EQ56" s="231">
        <v>-9377.9699999999993</v>
      </c>
      <c r="ER56" s="229">
        <v>-0.73619999999999997</v>
      </c>
      <c r="ES56" s="231">
        <v>1073.83</v>
      </c>
      <c r="ET56" s="228">
        <v>836.71</v>
      </c>
      <c r="EU56" s="231">
        <v>3167.29</v>
      </c>
      <c r="EV56" s="231">
        <v>6452220</v>
      </c>
      <c r="EW56" s="231">
        <v>5077.83</v>
      </c>
      <c r="EX56" s="231">
        <v>4643.49</v>
      </c>
      <c r="EY56" s="228">
        <v>434.34</v>
      </c>
      <c r="EZ56" s="229">
        <v>9.35E-2</v>
      </c>
      <c r="FA56" s="229">
        <v>0.74429999999999996</v>
      </c>
      <c r="FB56" s="227" t="s">
        <v>555</v>
      </c>
      <c r="FC56">
        <f t="shared" si="0"/>
        <v>126</v>
      </c>
    </row>
    <row r="57" spans="1:159" ht="17.25" thickBot="1" x14ac:dyDescent="0.3">
      <c r="A57" s="226">
        <v>46050</v>
      </c>
      <c r="B57" s="227" t="s">
        <v>206</v>
      </c>
      <c r="C57" s="227" t="s">
        <v>207</v>
      </c>
      <c r="D57" s="228">
        <v>825</v>
      </c>
      <c r="E57" s="228">
        <v>27</v>
      </c>
      <c r="F57" s="228">
        <v>628.4</v>
      </c>
      <c r="G57" s="228">
        <v>612.1</v>
      </c>
      <c r="H57" s="228">
        <v>16.3</v>
      </c>
      <c r="I57" s="229">
        <v>2.6599999999999999E-2</v>
      </c>
      <c r="J57" s="228">
        <v>625.54999999999995</v>
      </c>
      <c r="K57" s="228">
        <v>609.54999999999995</v>
      </c>
      <c r="L57" s="228">
        <v>16</v>
      </c>
      <c r="M57" s="229">
        <v>2.6200000000000001E-2</v>
      </c>
      <c r="N57" s="228">
        <v>628.4</v>
      </c>
      <c r="O57" s="228">
        <v>608.25</v>
      </c>
      <c r="P57" s="228">
        <v>20.149999999999999</v>
      </c>
      <c r="Q57" s="229">
        <v>3.3099999999999997E-2</v>
      </c>
      <c r="R57" s="228">
        <v>632.75</v>
      </c>
      <c r="S57" s="228">
        <v>612.1</v>
      </c>
      <c r="T57" s="228">
        <v>20.65</v>
      </c>
      <c r="U57" s="229">
        <v>3.3700000000000001E-2</v>
      </c>
      <c r="V57" s="228">
        <v>637.1</v>
      </c>
      <c r="W57" s="228">
        <v>616.04999999999995</v>
      </c>
      <c r="X57" s="228">
        <v>21.05</v>
      </c>
      <c r="Y57" s="229">
        <v>3.4200000000000001E-2</v>
      </c>
      <c r="Z57" s="228">
        <v>2.85</v>
      </c>
      <c r="AA57" s="228">
        <v>2.5499999999999998</v>
      </c>
      <c r="AB57" s="228">
        <v>0.3</v>
      </c>
      <c r="AC57" s="229">
        <v>4.5999999999999999E-3</v>
      </c>
      <c r="AD57" s="228">
        <v>2.85</v>
      </c>
      <c r="AE57" s="228">
        <v>-1.3</v>
      </c>
      <c r="AF57" s="228">
        <v>4.1500000000000004</v>
      </c>
      <c r="AG57" s="229">
        <v>4.5999999999999999E-3</v>
      </c>
      <c r="AH57" s="228">
        <v>7.2</v>
      </c>
      <c r="AI57" s="228">
        <v>2.5499999999999998</v>
      </c>
      <c r="AJ57" s="228">
        <v>4.6500000000000004</v>
      </c>
      <c r="AK57" s="229">
        <v>1.15E-2</v>
      </c>
      <c r="AL57" s="228">
        <v>11.55</v>
      </c>
      <c r="AM57" s="228">
        <v>6.5</v>
      </c>
      <c r="AN57" s="228">
        <v>5.05</v>
      </c>
      <c r="AO57" s="229">
        <v>1.8499999999999999E-2</v>
      </c>
      <c r="AP57" s="228">
        <v>620.66999999999996</v>
      </c>
      <c r="AQ57" s="228">
        <v>623.79999999999995</v>
      </c>
      <c r="AR57" s="228">
        <v>0</v>
      </c>
      <c r="AS57" s="228">
        <v>771</v>
      </c>
      <c r="AT57" s="230">
        <v>2406</v>
      </c>
      <c r="AU57" s="230">
        <v>-1635</v>
      </c>
      <c r="AV57" s="229">
        <v>-0.6794</v>
      </c>
      <c r="AW57" s="228">
        <v>740</v>
      </c>
      <c r="AX57" s="228">
        <v>911</v>
      </c>
      <c r="AY57" s="228">
        <v>-171</v>
      </c>
      <c r="AZ57" s="229">
        <v>-0.18809999999999999</v>
      </c>
      <c r="BA57" s="228">
        <v>28</v>
      </c>
      <c r="BB57" s="230">
        <v>1464</v>
      </c>
      <c r="BC57" s="230">
        <v>-1436</v>
      </c>
      <c r="BD57" s="229">
        <v>-0.98089999999999999</v>
      </c>
      <c r="BE57" s="228">
        <v>4</v>
      </c>
      <c r="BF57" s="228">
        <v>31</v>
      </c>
      <c r="BG57" s="228">
        <v>-27</v>
      </c>
      <c r="BH57" s="229">
        <v>-0.88170000000000004</v>
      </c>
      <c r="BI57" s="230">
        <v>1343</v>
      </c>
      <c r="BJ57" s="230">
        <v>1732</v>
      </c>
      <c r="BK57" s="228">
        <v>-389</v>
      </c>
      <c r="BL57" s="229">
        <v>-0.22450000000000001</v>
      </c>
      <c r="BM57" s="228">
        <v>598</v>
      </c>
      <c r="BN57" s="230">
        <v>1100</v>
      </c>
      <c r="BO57" s="228">
        <v>-502</v>
      </c>
      <c r="BP57" s="229">
        <v>-0.45650000000000002</v>
      </c>
      <c r="BQ57" s="230">
        <v>2713</v>
      </c>
      <c r="BR57" s="230">
        <v>5238</v>
      </c>
      <c r="BS57" s="230">
        <v>-2526</v>
      </c>
      <c r="BT57" s="229">
        <v>-0.48209999999999997</v>
      </c>
      <c r="BU57" s="230">
        <v>6840460</v>
      </c>
      <c r="BV57" s="230">
        <v>9726159</v>
      </c>
      <c r="BW57" s="230">
        <v>-2885699</v>
      </c>
      <c r="BX57" s="229">
        <v>-0.29670000000000002</v>
      </c>
      <c r="BY57" s="230">
        <v>3583</v>
      </c>
      <c r="BZ57" s="230">
        <v>3640</v>
      </c>
      <c r="CA57" s="228">
        <v>-57</v>
      </c>
      <c r="CB57" s="229">
        <v>-1.5800000000000002E-2</v>
      </c>
      <c r="CC57" s="230">
        <v>3520</v>
      </c>
      <c r="CD57" s="228">
        <v>167</v>
      </c>
      <c r="CE57" s="230">
        <v>3353</v>
      </c>
      <c r="CF57" s="229">
        <v>20.0456</v>
      </c>
      <c r="CG57" s="228">
        <v>61</v>
      </c>
      <c r="CH57" s="230">
        <v>3583</v>
      </c>
      <c r="CI57" s="230">
        <v>-3522</v>
      </c>
      <c r="CJ57" s="229">
        <v>-0.9829</v>
      </c>
      <c r="CK57" s="228">
        <v>2</v>
      </c>
      <c r="CL57" s="228">
        <v>57</v>
      </c>
      <c r="CM57" s="228">
        <v>-56</v>
      </c>
      <c r="CN57" s="229">
        <v>-0.96660000000000001</v>
      </c>
      <c r="CO57" s="228">
        <v>722</v>
      </c>
      <c r="CP57" s="228">
        <v>646</v>
      </c>
      <c r="CQ57" s="228">
        <v>75</v>
      </c>
      <c r="CR57" s="229">
        <v>0.1168</v>
      </c>
      <c r="CS57" s="228">
        <v>576</v>
      </c>
      <c r="CT57" s="228">
        <v>517</v>
      </c>
      <c r="CU57" s="228">
        <v>59</v>
      </c>
      <c r="CV57" s="229">
        <v>0.1132</v>
      </c>
      <c r="CW57" s="230">
        <v>4880</v>
      </c>
      <c r="CX57" s="230">
        <v>4804</v>
      </c>
      <c r="CY57" s="228">
        <v>77</v>
      </c>
      <c r="CZ57" s="229">
        <v>1.5900000000000001E-2</v>
      </c>
      <c r="DA57" s="228">
        <v>34.49</v>
      </c>
      <c r="DB57" s="228">
        <v>37.19</v>
      </c>
      <c r="DC57" s="228">
        <v>-2.7</v>
      </c>
      <c r="DD57" s="228">
        <v>-2.7</v>
      </c>
      <c r="DE57" s="228">
        <v>35.11</v>
      </c>
      <c r="DF57" s="228">
        <v>35.020000000000003</v>
      </c>
      <c r="DG57" s="228">
        <v>-0.62</v>
      </c>
      <c r="DH57" s="228">
        <v>0.09</v>
      </c>
      <c r="DI57" s="228">
        <v>33.630000000000003</v>
      </c>
      <c r="DJ57" s="228">
        <v>35.979999999999997</v>
      </c>
      <c r="DK57" s="228">
        <v>-2.35</v>
      </c>
      <c r="DL57" s="228">
        <v>-2.35</v>
      </c>
      <c r="DM57" s="228">
        <v>36.450000000000003</v>
      </c>
      <c r="DN57" s="228">
        <v>38.99</v>
      </c>
      <c r="DO57" s="228">
        <v>-2.54</v>
      </c>
      <c r="DP57" s="228">
        <v>-2.54</v>
      </c>
      <c r="DQ57" s="228">
        <v>0.8</v>
      </c>
      <c r="DR57" s="228">
        <v>0.8</v>
      </c>
      <c r="DS57" s="228">
        <v>0</v>
      </c>
      <c r="DT57" s="229">
        <v>0</v>
      </c>
      <c r="DU57" s="228">
        <v>700</v>
      </c>
      <c r="DV57" s="228">
        <v>600</v>
      </c>
      <c r="DW57" s="228">
        <v>0.45</v>
      </c>
      <c r="DX57" s="228">
        <v>0.64</v>
      </c>
      <c r="DY57" s="228">
        <v>-0.19</v>
      </c>
      <c r="DZ57" s="229">
        <v>-0.2969</v>
      </c>
      <c r="EA57" s="229">
        <v>1.7600000000000001E-2</v>
      </c>
      <c r="EB57" s="230">
        <v>57932325</v>
      </c>
      <c r="EC57" s="229">
        <v>6.8999999999999999E-3</v>
      </c>
      <c r="ED57" s="229">
        <v>1.7600000000000001E-2</v>
      </c>
      <c r="EE57" s="228">
        <v>3.13</v>
      </c>
      <c r="EF57" s="229">
        <v>5.0000000000000001E-3</v>
      </c>
      <c r="EG57" s="230">
        <v>3640596</v>
      </c>
      <c r="EH57" s="230">
        <v>5617829</v>
      </c>
      <c r="EI57" s="229">
        <v>-0.35199999999999998</v>
      </c>
      <c r="EJ57" s="229">
        <v>0.53220000000000001</v>
      </c>
      <c r="EK57" s="231">
        <v>1413.21</v>
      </c>
      <c r="EL57" s="228">
        <v>579.59</v>
      </c>
      <c r="EM57" s="228">
        <v>761.97</v>
      </c>
      <c r="EN57" s="228">
        <v>469.05</v>
      </c>
      <c r="EO57" s="231">
        <v>2754.77</v>
      </c>
      <c r="EP57" s="231">
        <v>5175.07</v>
      </c>
      <c r="EQ57" s="231">
        <v>-2420.3000000000002</v>
      </c>
      <c r="ER57" s="229">
        <v>-0.4677</v>
      </c>
      <c r="ES57" s="228">
        <v>753.39</v>
      </c>
      <c r="ET57" s="228">
        <v>569.45000000000005</v>
      </c>
      <c r="EU57" s="231">
        <v>3583.42</v>
      </c>
      <c r="EV57" s="231">
        <v>96058266</v>
      </c>
      <c r="EW57" s="231">
        <v>4906.26</v>
      </c>
      <c r="EX57" s="231">
        <v>4732.3100000000004</v>
      </c>
      <c r="EY57" s="228">
        <v>173.95</v>
      </c>
      <c r="EZ57" s="229">
        <v>3.6799999999999999E-2</v>
      </c>
      <c r="FA57" s="229">
        <v>0.8085</v>
      </c>
      <c r="FB57" s="227" t="s">
        <v>556</v>
      </c>
      <c r="FC57">
        <f t="shared" si="0"/>
        <v>63</v>
      </c>
    </row>
    <row r="58" spans="1:159" ht="17.25" thickBot="1" x14ac:dyDescent="0.3">
      <c r="A58" s="226">
        <v>46050</v>
      </c>
      <c r="B58" s="227" t="s">
        <v>615</v>
      </c>
      <c r="C58" s="227" t="s">
        <v>583</v>
      </c>
      <c r="D58" s="228">
        <v>150</v>
      </c>
      <c r="E58" s="228">
        <v>27</v>
      </c>
      <c r="F58" s="231">
        <v>3733.5</v>
      </c>
      <c r="G58" s="231">
        <v>3679.5</v>
      </c>
      <c r="H58" s="228">
        <v>54</v>
      </c>
      <c r="I58" s="229">
        <v>1.47E-2</v>
      </c>
      <c r="J58" s="231">
        <v>3735.7</v>
      </c>
      <c r="K58" s="231">
        <v>3670.6</v>
      </c>
      <c r="L58" s="228">
        <v>65.099999999999994</v>
      </c>
      <c r="M58" s="229">
        <v>1.77E-2</v>
      </c>
      <c r="N58" s="231">
        <v>3733.5</v>
      </c>
      <c r="O58" s="231">
        <v>3661.8</v>
      </c>
      <c r="P58" s="228">
        <v>71.7</v>
      </c>
      <c r="Q58" s="229">
        <v>1.9599999999999999E-2</v>
      </c>
      <c r="R58" s="231">
        <v>3735.4</v>
      </c>
      <c r="S58" s="231">
        <v>3679.5</v>
      </c>
      <c r="T58" s="228">
        <v>55.9</v>
      </c>
      <c r="U58" s="229">
        <v>1.52E-2</v>
      </c>
      <c r="V58" s="228">
        <v>0</v>
      </c>
      <c r="W58" s="231">
        <v>3694.3</v>
      </c>
      <c r="X58" s="228">
        <v>0</v>
      </c>
      <c r="Y58" s="229">
        <v>0</v>
      </c>
      <c r="Z58" s="228">
        <v>-2.2000000000000002</v>
      </c>
      <c r="AA58" s="228">
        <v>8.9</v>
      </c>
      <c r="AB58" s="228">
        <v>-11.1</v>
      </c>
      <c r="AC58" s="229">
        <v>-5.9999999999999995E-4</v>
      </c>
      <c r="AD58" s="228">
        <v>-2.2000000000000002</v>
      </c>
      <c r="AE58" s="228">
        <v>-8.8000000000000007</v>
      </c>
      <c r="AF58" s="228">
        <v>6.6</v>
      </c>
      <c r="AG58" s="229">
        <v>-5.9999999999999995E-4</v>
      </c>
      <c r="AH58" s="228">
        <v>-0.3</v>
      </c>
      <c r="AI58" s="228">
        <v>8.9</v>
      </c>
      <c r="AJ58" s="228">
        <v>-9.1999999999999993</v>
      </c>
      <c r="AK58" s="229">
        <v>-1E-4</v>
      </c>
      <c r="AL58" s="228">
        <v>0</v>
      </c>
      <c r="AM58" s="228">
        <v>23.7</v>
      </c>
      <c r="AN58" s="228">
        <v>0</v>
      </c>
      <c r="AO58" s="229">
        <v>0</v>
      </c>
      <c r="AP58" s="231">
        <v>3711.42</v>
      </c>
      <c r="AQ58" s="231">
        <v>3708.65</v>
      </c>
      <c r="AR58" s="228">
        <v>0</v>
      </c>
      <c r="AS58" s="228">
        <v>193</v>
      </c>
      <c r="AT58" s="228">
        <v>765</v>
      </c>
      <c r="AU58" s="228">
        <v>-572</v>
      </c>
      <c r="AV58" s="229">
        <v>-0.74719999999999998</v>
      </c>
      <c r="AW58" s="228">
        <v>175</v>
      </c>
      <c r="AX58" s="228">
        <v>361</v>
      </c>
      <c r="AY58" s="228">
        <v>-186</v>
      </c>
      <c r="AZ58" s="229">
        <v>-0.51570000000000005</v>
      </c>
      <c r="BA58" s="228">
        <v>18</v>
      </c>
      <c r="BB58" s="228">
        <v>388</v>
      </c>
      <c r="BC58" s="228">
        <v>-370</v>
      </c>
      <c r="BD58" s="229">
        <v>-0.9526</v>
      </c>
      <c r="BE58" s="228">
        <v>0</v>
      </c>
      <c r="BF58" s="228">
        <v>15</v>
      </c>
      <c r="BG58" s="228">
        <v>0</v>
      </c>
      <c r="BH58" s="229">
        <v>0</v>
      </c>
      <c r="BI58" s="228">
        <v>903</v>
      </c>
      <c r="BJ58" s="230">
        <v>1100</v>
      </c>
      <c r="BK58" s="228">
        <v>-197</v>
      </c>
      <c r="BL58" s="229">
        <v>-0.1789</v>
      </c>
      <c r="BM58" s="228">
        <v>216</v>
      </c>
      <c r="BN58" s="228">
        <v>447</v>
      </c>
      <c r="BO58" s="228">
        <v>-231</v>
      </c>
      <c r="BP58" s="229">
        <v>-0.51670000000000005</v>
      </c>
      <c r="BQ58" s="230">
        <v>1312</v>
      </c>
      <c r="BR58" s="230">
        <v>2312</v>
      </c>
      <c r="BS58" s="230">
        <v>-1000</v>
      </c>
      <c r="BT58" s="229">
        <v>-0.43240000000000001</v>
      </c>
      <c r="BU58" s="230">
        <v>254938</v>
      </c>
      <c r="BV58" s="230">
        <v>379864</v>
      </c>
      <c r="BW58" s="230">
        <v>-124926</v>
      </c>
      <c r="BX58" s="229">
        <v>-0.32890000000000003</v>
      </c>
      <c r="BY58" s="230">
        <v>1883</v>
      </c>
      <c r="BZ58" s="230">
        <v>1837</v>
      </c>
      <c r="CA58" s="228">
        <v>46</v>
      </c>
      <c r="CB58" s="229">
        <v>2.52E-2</v>
      </c>
      <c r="CC58" s="230">
        <v>1851</v>
      </c>
      <c r="CD58" s="228">
        <v>89</v>
      </c>
      <c r="CE58" s="230">
        <v>1762</v>
      </c>
      <c r="CF58" s="229">
        <v>19.804300000000001</v>
      </c>
      <c r="CG58" s="228">
        <v>32</v>
      </c>
      <c r="CH58" s="230">
        <v>1809</v>
      </c>
      <c r="CI58" s="230">
        <v>-1777</v>
      </c>
      <c r="CJ58" s="229">
        <v>-0.98240000000000005</v>
      </c>
      <c r="CK58" s="228">
        <v>0</v>
      </c>
      <c r="CL58" s="228">
        <v>28</v>
      </c>
      <c r="CM58" s="228">
        <v>-28</v>
      </c>
      <c r="CN58" s="229">
        <v>-1</v>
      </c>
      <c r="CO58" s="228">
        <v>469</v>
      </c>
      <c r="CP58" s="228">
        <v>264</v>
      </c>
      <c r="CQ58" s="228">
        <v>205</v>
      </c>
      <c r="CR58" s="229">
        <v>0.77880000000000005</v>
      </c>
      <c r="CS58" s="228">
        <v>267</v>
      </c>
      <c r="CT58" s="228">
        <v>238</v>
      </c>
      <c r="CU58" s="228">
        <v>29</v>
      </c>
      <c r="CV58" s="229">
        <v>0.1235</v>
      </c>
      <c r="CW58" s="230">
        <v>2619</v>
      </c>
      <c r="CX58" s="230">
        <v>2338</v>
      </c>
      <c r="CY58" s="228">
        <v>281</v>
      </c>
      <c r="CZ58" s="229">
        <v>0.1202</v>
      </c>
      <c r="DA58" s="228">
        <v>29.66</v>
      </c>
      <c r="DB58" s="228">
        <v>28.49</v>
      </c>
      <c r="DC58" s="228">
        <v>1.17</v>
      </c>
      <c r="DD58" s="228">
        <v>1.17</v>
      </c>
      <c r="DE58" s="228">
        <v>30.45</v>
      </c>
      <c r="DF58" s="228">
        <v>30.44</v>
      </c>
      <c r="DG58" s="228">
        <v>-0.79</v>
      </c>
      <c r="DH58" s="228">
        <v>0.01</v>
      </c>
      <c r="DI58" s="228">
        <v>29.86</v>
      </c>
      <c r="DJ58" s="228">
        <v>27.13</v>
      </c>
      <c r="DK58" s="228">
        <v>2.73</v>
      </c>
      <c r="DL58" s="228">
        <v>2.73</v>
      </c>
      <c r="DM58" s="228">
        <v>28.83</v>
      </c>
      <c r="DN58" s="228">
        <v>30.6</v>
      </c>
      <c r="DO58" s="228">
        <v>-1.77</v>
      </c>
      <c r="DP58" s="228">
        <v>-1.77</v>
      </c>
      <c r="DQ58" s="228">
        <v>0.56999999999999995</v>
      </c>
      <c r="DR58" s="228">
        <v>0.9</v>
      </c>
      <c r="DS58" s="228">
        <v>-0.33</v>
      </c>
      <c r="DT58" s="229">
        <v>-0.36670000000000003</v>
      </c>
      <c r="DU58" s="231">
        <v>4500</v>
      </c>
      <c r="DV58" s="231">
        <v>3400</v>
      </c>
      <c r="DW58" s="228">
        <v>0.24</v>
      </c>
      <c r="DX58" s="228">
        <v>0.41</v>
      </c>
      <c r="DY58" s="228">
        <v>-0.17</v>
      </c>
      <c r="DZ58" s="229">
        <v>-0.41460000000000002</v>
      </c>
      <c r="EA58" s="229">
        <v>1.6899999999999998E-2</v>
      </c>
      <c r="EB58" s="230">
        <v>4919550</v>
      </c>
      <c r="EC58" s="229">
        <v>5.0000000000000001E-4</v>
      </c>
      <c r="ED58" s="229">
        <v>1.6899999999999998E-2</v>
      </c>
      <c r="EE58" s="228">
        <v>-2.77</v>
      </c>
      <c r="EF58" s="229">
        <v>-6.9999999999999999E-4</v>
      </c>
      <c r="EG58" s="230">
        <v>146161</v>
      </c>
      <c r="EH58" s="230">
        <v>211468</v>
      </c>
      <c r="EI58" s="229">
        <v>-0.30880000000000002</v>
      </c>
      <c r="EJ58" s="229">
        <v>0.57330000000000003</v>
      </c>
      <c r="EK58" s="228">
        <v>999.41</v>
      </c>
      <c r="EL58" s="228">
        <v>210.35</v>
      </c>
      <c r="EM58" s="228">
        <v>192.27</v>
      </c>
      <c r="EN58" s="228">
        <v>235.41</v>
      </c>
      <c r="EO58" s="231">
        <v>1402.03</v>
      </c>
      <c r="EP58" s="231">
        <v>2335.39</v>
      </c>
      <c r="EQ58" s="228">
        <v>-933.36</v>
      </c>
      <c r="ER58" s="229">
        <v>-0.3997</v>
      </c>
      <c r="ES58" s="228">
        <v>511.47</v>
      </c>
      <c r="ET58" s="228">
        <v>257.98</v>
      </c>
      <c r="EU58" s="231">
        <v>1883.1</v>
      </c>
      <c r="EV58" s="231">
        <v>18750186</v>
      </c>
      <c r="EW58" s="231">
        <v>2652.55</v>
      </c>
      <c r="EX58" s="231">
        <v>2313.31</v>
      </c>
      <c r="EY58" s="228">
        <v>339.24</v>
      </c>
      <c r="EZ58" s="229">
        <v>0.14660000000000001</v>
      </c>
      <c r="FA58" s="229">
        <v>0.37409999999999999</v>
      </c>
      <c r="FB58" s="227" t="s">
        <v>555</v>
      </c>
      <c r="FC58">
        <f t="shared" si="0"/>
        <v>32</v>
      </c>
    </row>
    <row r="59" spans="1:159" ht="17.25" thickBot="1" x14ac:dyDescent="0.3">
      <c r="A59" s="226">
        <v>46050</v>
      </c>
      <c r="B59" s="227" t="s">
        <v>170</v>
      </c>
      <c r="C59" s="227" t="s">
        <v>208</v>
      </c>
      <c r="D59" s="228">
        <v>625</v>
      </c>
      <c r="E59" s="228">
        <v>27</v>
      </c>
      <c r="F59" s="231">
        <v>1230.4000000000001</v>
      </c>
      <c r="G59" s="231">
        <v>1248.3</v>
      </c>
      <c r="H59" s="228">
        <v>-17.899999999999999</v>
      </c>
      <c r="I59" s="229">
        <v>-1.43E-2</v>
      </c>
      <c r="J59" s="231">
        <v>1222.5</v>
      </c>
      <c r="K59" s="231">
        <v>1239.8</v>
      </c>
      <c r="L59" s="228">
        <v>-17.3</v>
      </c>
      <c r="M59" s="229">
        <v>-1.4E-2</v>
      </c>
      <c r="N59" s="231">
        <v>1230.4000000000001</v>
      </c>
      <c r="O59" s="231">
        <v>1240.8</v>
      </c>
      <c r="P59" s="228">
        <v>-10.4</v>
      </c>
      <c r="Q59" s="229">
        <v>-8.3999999999999995E-3</v>
      </c>
      <c r="R59" s="231">
        <v>1235.8</v>
      </c>
      <c r="S59" s="231">
        <v>1248.3</v>
      </c>
      <c r="T59" s="228">
        <v>-12.5</v>
      </c>
      <c r="U59" s="229">
        <v>-0.01</v>
      </c>
      <c r="V59" s="231">
        <v>1242</v>
      </c>
      <c r="W59" s="231">
        <v>1254.7</v>
      </c>
      <c r="X59" s="228">
        <v>-12.7</v>
      </c>
      <c r="Y59" s="229">
        <v>-1.01E-2</v>
      </c>
      <c r="Z59" s="228">
        <v>7.9</v>
      </c>
      <c r="AA59" s="228">
        <v>8.5</v>
      </c>
      <c r="AB59" s="228">
        <v>-0.6</v>
      </c>
      <c r="AC59" s="229">
        <v>6.4999999999999997E-3</v>
      </c>
      <c r="AD59" s="228">
        <v>7.9</v>
      </c>
      <c r="AE59" s="228">
        <v>1</v>
      </c>
      <c r="AF59" s="228">
        <v>6.9</v>
      </c>
      <c r="AG59" s="229">
        <v>6.4999999999999997E-3</v>
      </c>
      <c r="AH59" s="228">
        <v>13.3</v>
      </c>
      <c r="AI59" s="228">
        <v>8.5</v>
      </c>
      <c r="AJ59" s="228">
        <v>4.8</v>
      </c>
      <c r="AK59" s="229">
        <v>1.09E-2</v>
      </c>
      <c r="AL59" s="228">
        <v>19.5</v>
      </c>
      <c r="AM59" s="228">
        <v>14.9</v>
      </c>
      <c r="AN59" s="228">
        <v>4.5999999999999996</v>
      </c>
      <c r="AO59" s="229">
        <v>1.6E-2</v>
      </c>
      <c r="AP59" s="231">
        <v>1233.82</v>
      </c>
      <c r="AQ59" s="231">
        <v>1244.71</v>
      </c>
      <c r="AR59" s="228">
        <v>0</v>
      </c>
      <c r="AS59" s="228">
        <v>293</v>
      </c>
      <c r="AT59" s="228">
        <v>988</v>
      </c>
      <c r="AU59" s="228">
        <v>-695</v>
      </c>
      <c r="AV59" s="229">
        <v>-0.70350000000000001</v>
      </c>
      <c r="AW59" s="228">
        <v>288</v>
      </c>
      <c r="AX59" s="228">
        <v>416</v>
      </c>
      <c r="AY59" s="228">
        <v>-128</v>
      </c>
      <c r="AZ59" s="229">
        <v>-0.30780000000000002</v>
      </c>
      <c r="BA59" s="228">
        <v>4</v>
      </c>
      <c r="BB59" s="228">
        <v>563</v>
      </c>
      <c r="BC59" s="228">
        <v>-559</v>
      </c>
      <c r="BD59" s="229">
        <v>-0.99250000000000005</v>
      </c>
      <c r="BE59" s="228">
        <v>1</v>
      </c>
      <c r="BF59" s="228">
        <v>9</v>
      </c>
      <c r="BG59" s="228">
        <v>-8</v>
      </c>
      <c r="BH59" s="229">
        <v>-0.93220000000000003</v>
      </c>
      <c r="BI59" s="228">
        <v>509</v>
      </c>
      <c r="BJ59" s="230">
        <v>1157</v>
      </c>
      <c r="BK59" s="228">
        <v>-648</v>
      </c>
      <c r="BL59" s="229">
        <v>-0.56000000000000005</v>
      </c>
      <c r="BM59" s="228">
        <v>508</v>
      </c>
      <c r="BN59" s="228">
        <v>937</v>
      </c>
      <c r="BO59" s="228">
        <v>-429</v>
      </c>
      <c r="BP59" s="229">
        <v>-0.45739999999999997</v>
      </c>
      <c r="BQ59" s="230">
        <v>1311</v>
      </c>
      <c r="BR59" s="230">
        <v>3082</v>
      </c>
      <c r="BS59" s="230">
        <v>-1772</v>
      </c>
      <c r="BT59" s="229">
        <v>-0.57479999999999998</v>
      </c>
      <c r="BU59" s="230">
        <v>1812298</v>
      </c>
      <c r="BV59" s="230">
        <v>2367212</v>
      </c>
      <c r="BW59" s="230">
        <v>-554914</v>
      </c>
      <c r="BX59" s="229">
        <v>-0.2344</v>
      </c>
      <c r="BY59" s="230">
        <v>1824</v>
      </c>
      <c r="BZ59" s="230">
        <v>1793</v>
      </c>
      <c r="CA59" s="228">
        <v>31</v>
      </c>
      <c r="CB59" s="229">
        <v>1.7399999999999999E-2</v>
      </c>
      <c r="CC59" s="230">
        <v>1800</v>
      </c>
      <c r="CD59" s="228">
        <v>161</v>
      </c>
      <c r="CE59" s="230">
        <v>1639</v>
      </c>
      <c r="CF59" s="229">
        <v>10.2034</v>
      </c>
      <c r="CG59" s="228">
        <v>24</v>
      </c>
      <c r="CH59" s="230">
        <v>1770</v>
      </c>
      <c r="CI59" s="230">
        <v>-1746</v>
      </c>
      <c r="CJ59" s="229">
        <v>-0.98670000000000002</v>
      </c>
      <c r="CK59" s="228">
        <v>1</v>
      </c>
      <c r="CL59" s="228">
        <v>23</v>
      </c>
      <c r="CM59" s="228">
        <v>-22</v>
      </c>
      <c r="CN59" s="229">
        <v>-0.97319999999999995</v>
      </c>
      <c r="CO59" s="228">
        <v>306</v>
      </c>
      <c r="CP59" s="228">
        <v>249</v>
      </c>
      <c r="CQ59" s="228">
        <v>57</v>
      </c>
      <c r="CR59" s="229">
        <v>0.2301</v>
      </c>
      <c r="CS59" s="228">
        <v>272</v>
      </c>
      <c r="CT59" s="228">
        <v>224</v>
      </c>
      <c r="CU59" s="228">
        <v>48</v>
      </c>
      <c r="CV59" s="229">
        <v>0.21460000000000001</v>
      </c>
      <c r="CW59" s="230">
        <v>2401</v>
      </c>
      <c r="CX59" s="230">
        <v>2265</v>
      </c>
      <c r="CY59" s="228">
        <v>136</v>
      </c>
      <c r="CZ59" s="229">
        <v>6.0199999999999997E-2</v>
      </c>
      <c r="DA59" s="228">
        <v>23.01</v>
      </c>
      <c r="DB59" s="228">
        <v>24.43</v>
      </c>
      <c r="DC59" s="228">
        <v>-1.42</v>
      </c>
      <c r="DD59" s="228">
        <v>-1.42</v>
      </c>
      <c r="DE59" s="228">
        <v>24.49</v>
      </c>
      <c r="DF59" s="228">
        <v>24.48</v>
      </c>
      <c r="DG59" s="228">
        <v>-1.48</v>
      </c>
      <c r="DH59" s="228">
        <v>0.01</v>
      </c>
      <c r="DI59" s="228">
        <v>22.62</v>
      </c>
      <c r="DJ59" s="228">
        <v>23.88</v>
      </c>
      <c r="DK59" s="228">
        <v>-1.26</v>
      </c>
      <c r="DL59" s="228">
        <v>-1.26</v>
      </c>
      <c r="DM59" s="228">
        <v>23.41</v>
      </c>
      <c r="DN59" s="228">
        <v>25.14</v>
      </c>
      <c r="DO59" s="228">
        <v>-1.73</v>
      </c>
      <c r="DP59" s="228">
        <v>-1.73</v>
      </c>
      <c r="DQ59" s="228">
        <v>0.89</v>
      </c>
      <c r="DR59" s="228">
        <v>0.9</v>
      </c>
      <c r="DS59" s="228">
        <v>-0.01</v>
      </c>
      <c r="DT59" s="229">
        <v>-1.11E-2</v>
      </c>
      <c r="DU59" s="231">
        <v>1300</v>
      </c>
      <c r="DV59" s="231">
        <v>1200</v>
      </c>
      <c r="DW59" s="228">
        <v>1</v>
      </c>
      <c r="DX59" s="228">
        <v>0.81</v>
      </c>
      <c r="DY59" s="228">
        <v>0.19</v>
      </c>
      <c r="DZ59" s="229">
        <v>0.2346</v>
      </c>
      <c r="EA59" s="229">
        <v>1.3299999999999999E-2</v>
      </c>
      <c r="EB59" s="230">
        <v>14570625</v>
      </c>
      <c r="EC59" s="229">
        <v>4.4000000000000003E-3</v>
      </c>
      <c r="ED59" s="229">
        <v>1.3299999999999999E-2</v>
      </c>
      <c r="EE59" s="228">
        <v>10.89</v>
      </c>
      <c r="EF59" s="229">
        <v>8.8000000000000005E-3</v>
      </c>
      <c r="EG59" s="230">
        <v>1161361</v>
      </c>
      <c r="EH59" s="230">
        <v>1374101</v>
      </c>
      <c r="EI59" s="229">
        <v>-0.15479999999999999</v>
      </c>
      <c r="EJ59" s="229">
        <v>0.64080000000000004</v>
      </c>
      <c r="EK59" s="228">
        <v>536.12</v>
      </c>
      <c r="EL59" s="228">
        <v>507.32</v>
      </c>
      <c r="EM59" s="228">
        <v>293.85000000000002</v>
      </c>
      <c r="EN59" s="228">
        <v>214.45</v>
      </c>
      <c r="EO59" s="231">
        <v>1337.29</v>
      </c>
      <c r="EP59" s="231">
        <v>3121.54</v>
      </c>
      <c r="EQ59" s="231">
        <v>-1784.25</v>
      </c>
      <c r="ER59" s="229">
        <v>-0.5716</v>
      </c>
      <c r="ES59" s="228">
        <v>320.24</v>
      </c>
      <c r="ET59" s="228">
        <v>261.39</v>
      </c>
      <c r="EU59" s="231">
        <v>1824.1</v>
      </c>
      <c r="EV59" s="231">
        <v>91531454</v>
      </c>
      <c r="EW59" s="231">
        <v>2405.73</v>
      </c>
      <c r="EX59" s="231">
        <v>2294.6999999999998</v>
      </c>
      <c r="EY59" s="228">
        <v>111.03</v>
      </c>
      <c r="EZ59" s="229">
        <v>4.8399999999999999E-2</v>
      </c>
      <c r="FA59" s="229">
        <v>0.2132</v>
      </c>
      <c r="FB59" s="227" t="s">
        <v>567</v>
      </c>
      <c r="FC59">
        <f t="shared" si="0"/>
        <v>24</v>
      </c>
    </row>
    <row r="60" spans="1:159" ht="17.25" thickBot="1" x14ac:dyDescent="0.3">
      <c r="A60" s="226">
        <v>46050</v>
      </c>
      <c r="B60" s="227" t="s">
        <v>162</v>
      </c>
      <c r="C60" s="227" t="s">
        <v>209</v>
      </c>
      <c r="D60" s="228">
        <v>100</v>
      </c>
      <c r="E60" s="228">
        <v>27</v>
      </c>
      <c r="F60" s="231">
        <v>7115.5</v>
      </c>
      <c r="G60" s="231">
        <v>7189.5</v>
      </c>
      <c r="H60" s="228">
        <v>-74</v>
      </c>
      <c r="I60" s="229">
        <v>-1.03E-2</v>
      </c>
      <c r="J60" s="231">
        <v>7071</v>
      </c>
      <c r="K60" s="231">
        <v>7164.5</v>
      </c>
      <c r="L60" s="228">
        <v>-93.5</v>
      </c>
      <c r="M60" s="229">
        <v>-1.3100000000000001E-2</v>
      </c>
      <c r="N60" s="231">
        <v>7115.5</v>
      </c>
      <c r="O60" s="231">
        <v>7148</v>
      </c>
      <c r="P60" s="228">
        <v>-32.5</v>
      </c>
      <c r="Q60" s="229">
        <v>-4.4999999999999997E-3</v>
      </c>
      <c r="R60" s="231">
        <v>7163</v>
      </c>
      <c r="S60" s="231">
        <v>7189.5</v>
      </c>
      <c r="T60" s="228">
        <v>-26.5</v>
      </c>
      <c r="U60" s="229">
        <v>-3.7000000000000002E-3</v>
      </c>
      <c r="V60" s="231">
        <v>7197</v>
      </c>
      <c r="W60" s="231">
        <v>7227.5</v>
      </c>
      <c r="X60" s="228">
        <v>-30.5</v>
      </c>
      <c r="Y60" s="229">
        <v>-4.1999999999999997E-3</v>
      </c>
      <c r="Z60" s="228">
        <v>44.5</v>
      </c>
      <c r="AA60" s="228">
        <v>25</v>
      </c>
      <c r="AB60" s="228">
        <v>19.5</v>
      </c>
      <c r="AC60" s="229">
        <v>6.3E-3</v>
      </c>
      <c r="AD60" s="228">
        <v>44.5</v>
      </c>
      <c r="AE60" s="228">
        <v>-16.5</v>
      </c>
      <c r="AF60" s="228">
        <v>61</v>
      </c>
      <c r="AG60" s="229">
        <v>6.3E-3</v>
      </c>
      <c r="AH60" s="228">
        <v>92</v>
      </c>
      <c r="AI60" s="228">
        <v>25</v>
      </c>
      <c r="AJ60" s="228">
        <v>67</v>
      </c>
      <c r="AK60" s="229">
        <v>1.2999999999999999E-2</v>
      </c>
      <c r="AL60" s="228">
        <v>126</v>
      </c>
      <c r="AM60" s="228">
        <v>63</v>
      </c>
      <c r="AN60" s="228">
        <v>63</v>
      </c>
      <c r="AO60" s="229">
        <v>1.78E-2</v>
      </c>
      <c r="AP60" s="231">
        <v>7013.22</v>
      </c>
      <c r="AQ60" s="231">
        <v>7059.38</v>
      </c>
      <c r="AR60" s="228">
        <v>0</v>
      </c>
      <c r="AS60" s="228">
        <v>831</v>
      </c>
      <c r="AT60" s="228">
        <v>949</v>
      </c>
      <c r="AU60" s="228">
        <v>-119</v>
      </c>
      <c r="AV60" s="229">
        <v>-0.125</v>
      </c>
      <c r="AW60" s="228">
        <v>794</v>
      </c>
      <c r="AX60" s="228">
        <v>385</v>
      </c>
      <c r="AY60" s="228">
        <v>409</v>
      </c>
      <c r="AZ60" s="229">
        <v>1.0646</v>
      </c>
      <c r="BA60" s="228">
        <v>34</v>
      </c>
      <c r="BB60" s="228">
        <v>551</v>
      </c>
      <c r="BC60" s="228">
        <v>-517</v>
      </c>
      <c r="BD60" s="229">
        <v>-0.93759999999999999</v>
      </c>
      <c r="BE60" s="228">
        <v>2</v>
      </c>
      <c r="BF60" s="228">
        <v>14</v>
      </c>
      <c r="BG60" s="228">
        <v>-12</v>
      </c>
      <c r="BH60" s="229">
        <v>-0.83589999999999998</v>
      </c>
      <c r="BI60" s="230">
        <v>1779</v>
      </c>
      <c r="BJ60" s="230">
        <v>1820</v>
      </c>
      <c r="BK60" s="228">
        <v>-41</v>
      </c>
      <c r="BL60" s="229">
        <v>-2.2499999999999999E-2</v>
      </c>
      <c r="BM60" s="230">
        <v>2282</v>
      </c>
      <c r="BN60" s="228">
        <v>699</v>
      </c>
      <c r="BO60" s="230">
        <v>1582</v>
      </c>
      <c r="BP60" s="229">
        <v>2.2633999999999999</v>
      </c>
      <c r="BQ60" s="230">
        <v>4892</v>
      </c>
      <c r="BR60" s="230">
        <v>3469</v>
      </c>
      <c r="BS60" s="230">
        <v>1423</v>
      </c>
      <c r="BT60" s="229">
        <v>0.41010000000000002</v>
      </c>
      <c r="BU60" s="230">
        <v>893828</v>
      </c>
      <c r="BV60" s="230">
        <v>505656</v>
      </c>
      <c r="BW60" s="230">
        <v>388172</v>
      </c>
      <c r="BX60" s="229">
        <v>0.76770000000000005</v>
      </c>
      <c r="BY60" s="230">
        <v>2180</v>
      </c>
      <c r="BZ60" s="230">
        <v>2064</v>
      </c>
      <c r="CA60" s="228">
        <v>115</v>
      </c>
      <c r="CB60" s="229">
        <v>5.5899999999999998E-2</v>
      </c>
      <c r="CC60" s="230">
        <v>2127</v>
      </c>
      <c r="CD60" s="228">
        <v>237</v>
      </c>
      <c r="CE60" s="230">
        <v>1890</v>
      </c>
      <c r="CF60" s="229">
        <v>7.9877000000000002</v>
      </c>
      <c r="CG60" s="228">
        <v>51</v>
      </c>
      <c r="CH60" s="230">
        <v>2019</v>
      </c>
      <c r="CI60" s="230">
        <v>-1968</v>
      </c>
      <c r="CJ60" s="229">
        <v>-0.97470000000000001</v>
      </c>
      <c r="CK60" s="228">
        <v>2</v>
      </c>
      <c r="CL60" s="228">
        <v>45</v>
      </c>
      <c r="CM60" s="228">
        <v>-44</v>
      </c>
      <c r="CN60" s="229">
        <v>-0.96540000000000004</v>
      </c>
      <c r="CO60" s="228">
        <v>514</v>
      </c>
      <c r="CP60" s="228">
        <v>408</v>
      </c>
      <c r="CQ60" s="228">
        <v>105</v>
      </c>
      <c r="CR60" s="229">
        <v>0.25840000000000002</v>
      </c>
      <c r="CS60" s="228">
        <v>528</v>
      </c>
      <c r="CT60" s="228">
        <v>423</v>
      </c>
      <c r="CU60" s="228">
        <v>106</v>
      </c>
      <c r="CV60" s="229">
        <v>0.24990000000000001</v>
      </c>
      <c r="CW60" s="230">
        <v>3222</v>
      </c>
      <c r="CX60" s="230">
        <v>2895</v>
      </c>
      <c r="CY60" s="228">
        <v>327</v>
      </c>
      <c r="CZ60" s="229">
        <v>0.1128</v>
      </c>
      <c r="DA60" s="228">
        <v>31.68</v>
      </c>
      <c r="DB60" s="228">
        <v>29.7</v>
      </c>
      <c r="DC60" s="228">
        <v>1.98</v>
      </c>
      <c r="DD60" s="228">
        <v>1.98</v>
      </c>
      <c r="DE60" s="228">
        <v>26.45</v>
      </c>
      <c r="DF60" s="228">
        <v>26.45</v>
      </c>
      <c r="DG60" s="228">
        <v>5.23</v>
      </c>
      <c r="DH60" s="228">
        <v>0</v>
      </c>
      <c r="DI60" s="228">
        <v>30.23</v>
      </c>
      <c r="DJ60" s="228">
        <v>28.73</v>
      </c>
      <c r="DK60" s="228">
        <v>1.5</v>
      </c>
      <c r="DL60" s="228">
        <v>1.5</v>
      </c>
      <c r="DM60" s="228">
        <v>32.81</v>
      </c>
      <c r="DN60" s="228">
        <v>31.33</v>
      </c>
      <c r="DO60" s="228">
        <v>1.48</v>
      </c>
      <c r="DP60" s="228">
        <v>1.48</v>
      </c>
      <c r="DQ60" s="228">
        <v>1.03</v>
      </c>
      <c r="DR60" s="228">
        <v>1.04</v>
      </c>
      <c r="DS60" s="228">
        <v>-0.01</v>
      </c>
      <c r="DT60" s="229">
        <v>-9.5999999999999992E-3</v>
      </c>
      <c r="DU60" s="231">
        <v>8000</v>
      </c>
      <c r="DV60" s="231">
        <v>6800</v>
      </c>
      <c r="DW60" s="228">
        <v>1.28</v>
      </c>
      <c r="DX60" s="228">
        <v>0.38</v>
      </c>
      <c r="DY60" s="228">
        <v>0.9</v>
      </c>
      <c r="DZ60" s="229">
        <v>2.3683999999999998</v>
      </c>
      <c r="EA60" s="229">
        <v>2.4199999999999999E-2</v>
      </c>
      <c r="EB60" s="230">
        <v>2901200</v>
      </c>
      <c r="EC60" s="229">
        <v>6.7000000000000002E-3</v>
      </c>
      <c r="ED60" s="229">
        <v>2.4199999999999999E-2</v>
      </c>
      <c r="EE60" s="228">
        <v>46.16</v>
      </c>
      <c r="EF60" s="229">
        <v>6.6E-3</v>
      </c>
      <c r="EG60" s="230">
        <v>437730</v>
      </c>
      <c r="EH60" s="230">
        <v>304845</v>
      </c>
      <c r="EI60" s="229">
        <v>0.43590000000000001</v>
      </c>
      <c r="EJ60" s="229">
        <v>0.48970000000000002</v>
      </c>
      <c r="EK60" s="231">
        <v>1878.29</v>
      </c>
      <c r="EL60" s="231">
        <v>2201.3000000000002</v>
      </c>
      <c r="EM60" s="228">
        <v>819.11</v>
      </c>
      <c r="EN60" s="228">
        <v>216.08</v>
      </c>
      <c r="EO60" s="231">
        <v>4898.6899999999996</v>
      </c>
      <c r="EP60" s="231">
        <v>3540.25</v>
      </c>
      <c r="EQ60" s="231">
        <v>1358.43</v>
      </c>
      <c r="ER60" s="229">
        <v>0.38369999999999999</v>
      </c>
      <c r="ES60" s="228">
        <v>544.25</v>
      </c>
      <c r="ET60" s="228">
        <v>512.59</v>
      </c>
      <c r="EU60" s="231">
        <v>2180.12</v>
      </c>
      <c r="EV60" s="231">
        <v>19199175</v>
      </c>
      <c r="EW60" s="231">
        <v>3236.97</v>
      </c>
      <c r="EX60" s="231">
        <v>2936.27</v>
      </c>
      <c r="EY60" s="228">
        <v>300.7</v>
      </c>
      <c r="EZ60" s="229">
        <v>0.1024</v>
      </c>
      <c r="FA60" s="229">
        <v>0.23580000000000001</v>
      </c>
      <c r="FB60" s="227" t="s">
        <v>567</v>
      </c>
      <c r="FC60">
        <f t="shared" si="0"/>
        <v>53</v>
      </c>
    </row>
    <row r="61" spans="1:159" ht="17.25" thickBot="1" x14ac:dyDescent="0.3">
      <c r="A61" s="226">
        <v>46050</v>
      </c>
      <c r="B61" s="227" t="s">
        <v>615</v>
      </c>
      <c r="C61" s="227" t="s">
        <v>666</v>
      </c>
      <c r="D61" s="228">
        <v>2425</v>
      </c>
      <c r="E61" s="228">
        <v>27</v>
      </c>
      <c r="F61" s="228">
        <v>267.35000000000002</v>
      </c>
      <c r="G61" s="228">
        <v>255.8</v>
      </c>
      <c r="H61" s="228">
        <v>11.55</v>
      </c>
      <c r="I61" s="229">
        <v>4.5199999999999997E-2</v>
      </c>
      <c r="J61" s="228">
        <v>266.3</v>
      </c>
      <c r="K61" s="228">
        <v>253.85</v>
      </c>
      <c r="L61" s="228">
        <v>12.45</v>
      </c>
      <c r="M61" s="229">
        <v>4.9000000000000002E-2</v>
      </c>
      <c r="N61" s="228">
        <v>267.35000000000002</v>
      </c>
      <c r="O61" s="228">
        <v>254.3</v>
      </c>
      <c r="P61" s="228">
        <v>13.05</v>
      </c>
      <c r="Q61" s="229">
        <v>5.1299999999999998E-2</v>
      </c>
      <c r="R61" s="228">
        <v>268.7</v>
      </c>
      <c r="S61" s="228">
        <v>255.8</v>
      </c>
      <c r="T61" s="228">
        <v>12.9</v>
      </c>
      <c r="U61" s="229">
        <v>5.04E-2</v>
      </c>
      <c r="V61" s="228">
        <v>270.14999999999998</v>
      </c>
      <c r="W61" s="228">
        <v>257.35000000000002</v>
      </c>
      <c r="X61" s="228">
        <v>12.8</v>
      </c>
      <c r="Y61" s="229">
        <v>4.9700000000000001E-2</v>
      </c>
      <c r="Z61" s="228">
        <v>1.05</v>
      </c>
      <c r="AA61" s="228">
        <v>1.95</v>
      </c>
      <c r="AB61" s="228">
        <v>-0.9</v>
      </c>
      <c r="AC61" s="229">
        <v>3.8999999999999998E-3</v>
      </c>
      <c r="AD61" s="228">
        <v>1.05</v>
      </c>
      <c r="AE61" s="228">
        <v>0.45</v>
      </c>
      <c r="AF61" s="228">
        <v>0.6</v>
      </c>
      <c r="AG61" s="229">
        <v>3.8999999999999998E-3</v>
      </c>
      <c r="AH61" s="228">
        <v>2.4</v>
      </c>
      <c r="AI61" s="228">
        <v>1.95</v>
      </c>
      <c r="AJ61" s="228">
        <v>0.45</v>
      </c>
      <c r="AK61" s="229">
        <v>8.9999999999999993E-3</v>
      </c>
      <c r="AL61" s="228">
        <v>3.85</v>
      </c>
      <c r="AM61" s="228">
        <v>3.5</v>
      </c>
      <c r="AN61" s="228">
        <v>0.35</v>
      </c>
      <c r="AO61" s="229">
        <v>1.4500000000000001E-2</v>
      </c>
      <c r="AP61" s="228">
        <v>262.91000000000003</v>
      </c>
      <c r="AQ61" s="228">
        <v>263.99</v>
      </c>
      <c r="AR61" s="228">
        <v>0</v>
      </c>
      <c r="AS61" s="230">
        <v>1904</v>
      </c>
      <c r="AT61" s="230">
        <v>4397</v>
      </c>
      <c r="AU61" s="230">
        <v>-2493</v>
      </c>
      <c r="AV61" s="229">
        <v>-0.56699999999999995</v>
      </c>
      <c r="AW61" s="230">
        <v>1770</v>
      </c>
      <c r="AX61" s="230">
        <v>1611</v>
      </c>
      <c r="AY61" s="228">
        <v>159</v>
      </c>
      <c r="AZ61" s="229">
        <v>9.8500000000000004E-2</v>
      </c>
      <c r="BA61" s="228">
        <v>120</v>
      </c>
      <c r="BB61" s="230">
        <v>2696</v>
      </c>
      <c r="BC61" s="230">
        <v>-2576</v>
      </c>
      <c r="BD61" s="229">
        <v>-0.95550000000000002</v>
      </c>
      <c r="BE61" s="228">
        <v>14</v>
      </c>
      <c r="BF61" s="228">
        <v>89</v>
      </c>
      <c r="BG61" s="228">
        <v>-75</v>
      </c>
      <c r="BH61" s="229">
        <v>-0.84360000000000002</v>
      </c>
      <c r="BI61" s="230">
        <v>3780</v>
      </c>
      <c r="BJ61" s="230">
        <v>5434</v>
      </c>
      <c r="BK61" s="230">
        <v>-1653</v>
      </c>
      <c r="BL61" s="229">
        <v>-0.30430000000000001</v>
      </c>
      <c r="BM61" s="230">
        <v>2105</v>
      </c>
      <c r="BN61" s="230">
        <v>3415</v>
      </c>
      <c r="BO61" s="230">
        <v>-1310</v>
      </c>
      <c r="BP61" s="229">
        <v>-0.38369999999999999</v>
      </c>
      <c r="BQ61" s="230">
        <v>7789</v>
      </c>
      <c r="BR61" s="230">
        <v>13245</v>
      </c>
      <c r="BS61" s="230">
        <v>-5456</v>
      </c>
      <c r="BT61" s="229">
        <v>-0.41189999999999999</v>
      </c>
      <c r="BU61" s="230">
        <v>88534573</v>
      </c>
      <c r="BV61" s="230">
        <v>109251104</v>
      </c>
      <c r="BW61" s="230">
        <v>-20716531</v>
      </c>
      <c r="BX61" s="229">
        <v>-0.18959999999999999</v>
      </c>
      <c r="BY61" s="230">
        <v>8912</v>
      </c>
      <c r="BZ61" s="230">
        <v>9214</v>
      </c>
      <c r="CA61" s="228">
        <v>-302</v>
      </c>
      <c r="CB61" s="229">
        <v>-3.2800000000000003E-2</v>
      </c>
      <c r="CC61" s="230">
        <v>8662</v>
      </c>
      <c r="CD61" s="228">
        <v>171</v>
      </c>
      <c r="CE61" s="230">
        <v>8491</v>
      </c>
      <c r="CF61" s="229">
        <v>49.588000000000001</v>
      </c>
      <c r="CG61" s="228">
        <v>241</v>
      </c>
      <c r="CH61" s="230">
        <v>9010</v>
      </c>
      <c r="CI61" s="230">
        <v>-8768</v>
      </c>
      <c r="CJ61" s="229">
        <v>-0.97319999999999995</v>
      </c>
      <c r="CK61" s="228">
        <v>9</v>
      </c>
      <c r="CL61" s="228">
        <v>205</v>
      </c>
      <c r="CM61" s="228">
        <v>-196</v>
      </c>
      <c r="CN61" s="229">
        <v>-0.95660000000000001</v>
      </c>
      <c r="CO61" s="230">
        <v>1521</v>
      </c>
      <c r="CP61" s="230">
        <v>1406</v>
      </c>
      <c r="CQ61" s="228">
        <v>114</v>
      </c>
      <c r="CR61" s="229">
        <v>8.1199999999999994E-2</v>
      </c>
      <c r="CS61" s="230">
        <v>1077</v>
      </c>
      <c r="CT61" s="228">
        <v>967</v>
      </c>
      <c r="CU61" s="228">
        <v>110</v>
      </c>
      <c r="CV61" s="229">
        <v>0.1137</v>
      </c>
      <c r="CW61" s="230">
        <v>11510</v>
      </c>
      <c r="CX61" s="230">
        <v>11588</v>
      </c>
      <c r="CY61" s="228">
        <v>-78</v>
      </c>
      <c r="CZ61" s="229">
        <v>-6.7000000000000002E-3</v>
      </c>
      <c r="DA61" s="228">
        <v>38.94</v>
      </c>
      <c r="DB61" s="228">
        <v>42.48</v>
      </c>
      <c r="DC61" s="228">
        <v>-3.54</v>
      </c>
      <c r="DD61" s="228">
        <v>-3.54</v>
      </c>
      <c r="DE61" s="228">
        <v>44.52</v>
      </c>
      <c r="DF61" s="228">
        <v>44.16</v>
      </c>
      <c r="DG61" s="228">
        <v>-5.58</v>
      </c>
      <c r="DH61" s="228">
        <v>0.36</v>
      </c>
      <c r="DI61" s="228">
        <v>38.33</v>
      </c>
      <c r="DJ61" s="228">
        <v>42.52</v>
      </c>
      <c r="DK61" s="228">
        <v>-4.1900000000000004</v>
      </c>
      <c r="DL61" s="228">
        <v>-4.1900000000000004</v>
      </c>
      <c r="DM61" s="228">
        <v>40.04</v>
      </c>
      <c r="DN61" s="228">
        <v>42.43</v>
      </c>
      <c r="DO61" s="228">
        <v>-2.39</v>
      </c>
      <c r="DP61" s="228">
        <v>-2.39</v>
      </c>
      <c r="DQ61" s="228">
        <v>0.71</v>
      </c>
      <c r="DR61" s="228">
        <v>0.69</v>
      </c>
      <c r="DS61" s="228">
        <v>0.02</v>
      </c>
      <c r="DT61" s="229">
        <v>2.9000000000000001E-2</v>
      </c>
      <c r="DU61" s="228">
        <v>300</v>
      </c>
      <c r="DV61" s="228">
        <v>240</v>
      </c>
      <c r="DW61" s="228">
        <v>0.56000000000000005</v>
      </c>
      <c r="DX61" s="228">
        <v>0.63</v>
      </c>
      <c r="DY61" s="228">
        <v>-7.0000000000000007E-2</v>
      </c>
      <c r="DZ61" s="229">
        <v>-0.1111</v>
      </c>
      <c r="EA61" s="229">
        <v>2.81E-2</v>
      </c>
      <c r="EB61" s="230">
        <v>344653125</v>
      </c>
      <c r="EC61" s="229">
        <v>5.0000000000000001E-3</v>
      </c>
      <c r="ED61" s="229">
        <v>2.81E-2</v>
      </c>
      <c r="EE61" s="228">
        <v>1.08</v>
      </c>
      <c r="EF61" s="229">
        <v>4.1000000000000003E-3</v>
      </c>
      <c r="EG61" s="230">
        <v>55415628</v>
      </c>
      <c r="EH61" s="230">
        <v>62911406</v>
      </c>
      <c r="EI61" s="229">
        <v>-0.1191</v>
      </c>
      <c r="EJ61" s="229">
        <v>0.62590000000000001</v>
      </c>
      <c r="EK61" s="231">
        <v>4023.31</v>
      </c>
      <c r="EL61" s="231">
        <v>2023.05</v>
      </c>
      <c r="EM61" s="231">
        <v>1872.86</v>
      </c>
      <c r="EN61" s="231">
        <v>1050.95</v>
      </c>
      <c r="EO61" s="231">
        <v>7919.22</v>
      </c>
      <c r="EP61" s="231">
        <v>13124.51</v>
      </c>
      <c r="EQ61" s="231">
        <v>-5205.29</v>
      </c>
      <c r="ER61" s="229">
        <v>-0.39660000000000001</v>
      </c>
      <c r="ES61" s="231">
        <v>1649.5</v>
      </c>
      <c r="ET61" s="231">
        <v>1046.3800000000001</v>
      </c>
      <c r="EU61" s="231">
        <v>8913.43</v>
      </c>
      <c r="EV61" s="231">
        <v>1251309857</v>
      </c>
      <c r="EW61" s="231">
        <v>11609.31</v>
      </c>
      <c r="EX61" s="231">
        <v>11283.55</v>
      </c>
      <c r="EY61" s="228">
        <v>325.76</v>
      </c>
      <c r="EZ61" s="229">
        <v>2.8899999999999999E-2</v>
      </c>
      <c r="FA61" s="229">
        <v>0.34399999999999997</v>
      </c>
      <c r="FB61" s="227" t="s">
        <v>556</v>
      </c>
      <c r="FC61">
        <f t="shared" si="0"/>
        <v>250</v>
      </c>
    </row>
    <row r="62" spans="1:159" ht="17.25" thickBot="1" x14ac:dyDescent="0.3">
      <c r="A62" s="226">
        <v>46050</v>
      </c>
      <c r="B62" s="227" t="s">
        <v>162</v>
      </c>
      <c r="C62" s="227" t="s">
        <v>211</v>
      </c>
      <c r="D62" s="228">
        <v>1800</v>
      </c>
      <c r="E62" s="228">
        <v>27</v>
      </c>
      <c r="F62" s="228">
        <v>323.35000000000002</v>
      </c>
      <c r="G62" s="228">
        <v>325.35000000000002</v>
      </c>
      <c r="H62" s="228">
        <v>-2</v>
      </c>
      <c r="I62" s="229">
        <v>-6.1000000000000004E-3</v>
      </c>
      <c r="J62" s="228">
        <v>321.14999999999998</v>
      </c>
      <c r="K62" s="228">
        <v>323.25</v>
      </c>
      <c r="L62" s="228">
        <v>-2.1</v>
      </c>
      <c r="M62" s="229">
        <v>-6.4999999999999997E-3</v>
      </c>
      <c r="N62" s="228">
        <v>323.35000000000002</v>
      </c>
      <c r="O62" s="228">
        <v>323.2</v>
      </c>
      <c r="P62" s="228">
        <v>0.15</v>
      </c>
      <c r="Q62" s="229">
        <v>5.0000000000000001E-4</v>
      </c>
      <c r="R62" s="228">
        <v>325.60000000000002</v>
      </c>
      <c r="S62" s="228">
        <v>325.35000000000002</v>
      </c>
      <c r="T62" s="228">
        <v>0.25</v>
      </c>
      <c r="U62" s="229">
        <v>8.0000000000000004E-4</v>
      </c>
      <c r="V62" s="228">
        <v>327.2</v>
      </c>
      <c r="W62" s="228">
        <v>327.2</v>
      </c>
      <c r="X62" s="228">
        <v>0</v>
      </c>
      <c r="Y62" s="229">
        <v>0</v>
      </c>
      <c r="Z62" s="228">
        <v>2.2000000000000002</v>
      </c>
      <c r="AA62" s="228">
        <v>2.1</v>
      </c>
      <c r="AB62" s="228">
        <v>0.1</v>
      </c>
      <c r="AC62" s="229">
        <v>6.8999999999999999E-3</v>
      </c>
      <c r="AD62" s="228">
        <v>2.2000000000000002</v>
      </c>
      <c r="AE62" s="228">
        <v>-0.05</v>
      </c>
      <c r="AF62" s="228">
        <v>2.25</v>
      </c>
      <c r="AG62" s="229">
        <v>6.8999999999999999E-3</v>
      </c>
      <c r="AH62" s="228">
        <v>4.45</v>
      </c>
      <c r="AI62" s="228">
        <v>2.1</v>
      </c>
      <c r="AJ62" s="228">
        <v>2.35</v>
      </c>
      <c r="AK62" s="229">
        <v>1.3899999999999999E-2</v>
      </c>
      <c r="AL62" s="228">
        <v>6.05</v>
      </c>
      <c r="AM62" s="228">
        <v>3.95</v>
      </c>
      <c r="AN62" s="228">
        <v>2.1</v>
      </c>
      <c r="AO62" s="229">
        <v>1.8800000000000001E-2</v>
      </c>
      <c r="AP62" s="228">
        <v>323.83999999999997</v>
      </c>
      <c r="AQ62" s="228">
        <v>326.66000000000003</v>
      </c>
      <c r="AR62" s="228">
        <v>0</v>
      </c>
      <c r="AS62" s="228">
        <v>152</v>
      </c>
      <c r="AT62" s="230">
        <v>1039</v>
      </c>
      <c r="AU62" s="228">
        <v>-887</v>
      </c>
      <c r="AV62" s="229">
        <v>-0.85340000000000005</v>
      </c>
      <c r="AW62" s="228">
        <v>141</v>
      </c>
      <c r="AX62" s="228">
        <v>479</v>
      </c>
      <c r="AY62" s="228">
        <v>-338</v>
      </c>
      <c r="AZ62" s="229">
        <v>-0.70499999999999996</v>
      </c>
      <c r="BA62" s="228">
        <v>11</v>
      </c>
      <c r="BB62" s="228">
        <v>541</v>
      </c>
      <c r="BC62" s="228">
        <v>-530</v>
      </c>
      <c r="BD62" s="229">
        <v>-0.98009999999999997</v>
      </c>
      <c r="BE62" s="228">
        <v>0</v>
      </c>
      <c r="BF62" s="228">
        <v>19</v>
      </c>
      <c r="BG62" s="228">
        <v>-19</v>
      </c>
      <c r="BH62" s="229">
        <v>-0.98780000000000001</v>
      </c>
      <c r="BI62" s="228">
        <v>222</v>
      </c>
      <c r="BJ62" s="228">
        <v>342</v>
      </c>
      <c r="BK62" s="228">
        <v>-119</v>
      </c>
      <c r="BL62" s="229">
        <v>-0.34970000000000001</v>
      </c>
      <c r="BM62" s="228">
        <v>131</v>
      </c>
      <c r="BN62" s="228">
        <v>312</v>
      </c>
      <c r="BO62" s="228">
        <v>-181</v>
      </c>
      <c r="BP62" s="229">
        <v>-0.58009999999999995</v>
      </c>
      <c r="BQ62" s="228">
        <v>506</v>
      </c>
      <c r="BR62" s="230">
        <v>1693</v>
      </c>
      <c r="BS62" s="230">
        <v>-1187</v>
      </c>
      <c r="BT62" s="229">
        <v>-0.70140000000000002</v>
      </c>
      <c r="BU62" s="230">
        <v>2541186</v>
      </c>
      <c r="BV62" s="230">
        <v>1651922</v>
      </c>
      <c r="BW62" s="230">
        <v>889264</v>
      </c>
      <c r="BX62" s="229">
        <v>0.5383</v>
      </c>
      <c r="BY62" s="230">
        <v>1033</v>
      </c>
      <c r="BZ62" s="230">
        <v>1005</v>
      </c>
      <c r="CA62" s="228">
        <v>29</v>
      </c>
      <c r="CB62" s="229">
        <v>2.8500000000000001E-2</v>
      </c>
      <c r="CC62" s="228">
        <v>992</v>
      </c>
      <c r="CD62" s="228">
        <v>56</v>
      </c>
      <c r="CE62" s="228">
        <v>936</v>
      </c>
      <c r="CF62" s="229">
        <v>16.821100000000001</v>
      </c>
      <c r="CG62" s="228">
        <v>42</v>
      </c>
      <c r="CH62" s="228">
        <v>968</v>
      </c>
      <c r="CI62" s="228">
        <v>-926</v>
      </c>
      <c r="CJ62" s="229">
        <v>-0.95699999999999996</v>
      </c>
      <c r="CK62" s="228">
        <v>0</v>
      </c>
      <c r="CL62" s="228">
        <v>37</v>
      </c>
      <c r="CM62" s="228">
        <v>-37</v>
      </c>
      <c r="CN62" s="229">
        <v>-0.99370000000000003</v>
      </c>
      <c r="CO62" s="228">
        <v>239</v>
      </c>
      <c r="CP62" s="228">
        <v>165</v>
      </c>
      <c r="CQ62" s="228">
        <v>74</v>
      </c>
      <c r="CR62" s="229">
        <v>0.4511</v>
      </c>
      <c r="CS62" s="228">
        <v>254</v>
      </c>
      <c r="CT62" s="228">
        <v>204</v>
      </c>
      <c r="CU62" s="228">
        <v>50</v>
      </c>
      <c r="CV62" s="229">
        <v>0.24440000000000001</v>
      </c>
      <c r="CW62" s="230">
        <v>1527</v>
      </c>
      <c r="CX62" s="230">
        <v>1374</v>
      </c>
      <c r="CY62" s="228">
        <v>153</v>
      </c>
      <c r="CZ62" s="229">
        <v>0.1114</v>
      </c>
      <c r="DA62" s="228">
        <v>31.76</v>
      </c>
      <c r="DB62" s="228">
        <v>32.96</v>
      </c>
      <c r="DC62" s="228">
        <v>-1.2</v>
      </c>
      <c r="DD62" s="228">
        <v>-1.2</v>
      </c>
      <c r="DE62" s="228">
        <v>32.76</v>
      </c>
      <c r="DF62" s="228">
        <v>32.83</v>
      </c>
      <c r="DG62" s="228">
        <v>-1</v>
      </c>
      <c r="DH62" s="228">
        <v>-7.0000000000000007E-2</v>
      </c>
      <c r="DI62" s="228">
        <v>31.71</v>
      </c>
      <c r="DJ62" s="228">
        <v>33.18</v>
      </c>
      <c r="DK62" s="228">
        <v>-1.47</v>
      </c>
      <c r="DL62" s="228">
        <v>-1.47</v>
      </c>
      <c r="DM62" s="228">
        <v>31.84</v>
      </c>
      <c r="DN62" s="228">
        <v>32.729999999999997</v>
      </c>
      <c r="DO62" s="228">
        <v>-0.89</v>
      </c>
      <c r="DP62" s="228">
        <v>-0.89</v>
      </c>
      <c r="DQ62" s="228">
        <v>1.06</v>
      </c>
      <c r="DR62" s="228">
        <v>1.24</v>
      </c>
      <c r="DS62" s="228">
        <v>-0.18</v>
      </c>
      <c r="DT62" s="229">
        <v>-0.1452</v>
      </c>
      <c r="DU62" s="228">
        <v>350</v>
      </c>
      <c r="DV62" s="228">
        <v>330</v>
      </c>
      <c r="DW62" s="228">
        <v>0.59</v>
      </c>
      <c r="DX62" s="228">
        <v>0.91</v>
      </c>
      <c r="DY62" s="228">
        <v>-0.32</v>
      </c>
      <c r="DZ62" s="229">
        <v>-0.35160000000000002</v>
      </c>
      <c r="EA62" s="229">
        <v>4.0500000000000001E-2</v>
      </c>
      <c r="EB62" s="230">
        <v>31075200</v>
      </c>
      <c r="EC62" s="229">
        <v>7.0000000000000001E-3</v>
      </c>
      <c r="ED62" s="229">
        <v>4.0500000000000001E-2</v>
      </c>
      <c r="EE62" s="228">
        <v>2.82</v>
      </c>
      <c r="EF62" s="229">
        <v>8.6999999999999994E-3</v>
      </c>
      <c r="EG62" s="230">
        <v>1591284</v>
      </c>
      <c r="EH62" s="230">
        <v>618639</v>
      </c>
      <c r="EI62" s="229">
        <v>1.5722</v>
      </c>
      <c r="EJ62" s="229">
        <v>0.62619999999999998</v>
      </c>
      <c r="EK62" s="228">
        <v>238.09</v>
      </c>
      <c r="EL62" s="228">
        <v>132.66999999999999</v>
      </c>
      <c r="EM62" s="228">
        <v>152.76</v>
      </c>
      <c r="EN62" s="228">
        <v>121.21</v>
      </c>
      <c r="EO62" s="228">
        <v>523.51</v>
      </c>
      <c r="EP62" s="231">
        <v>1762.31</v>
      </c>
      <c r="EQ62" s="231">
        <v>-1238.79</v>
      </c>
      <c r="ER62" s="229">
        <v>-0.70289999999999997</v>
      </c>
      <c r="ES62" s="228">
        <v>257.44</v>
      </c>
      <c r="ET62" s="228">
        <v>268.91000000000003</v>
      </c>
      <c r="EU62" s="231">
        <v>1033.74</v>
      </c>
      <c r="EV62" s="231">
        <v>68856800</v>
      </c>
      <c r="EW62" s="231">
        <v>1560.1</v>
      </c>
      <c r="EX62" s="231">
        <v>1410.36</v>
      </c>
      <c r="EY62" s="228">
        <v>149.74</v>
      </c>
      <c r="EZ62" s="229">
        <v>0.1062</v>
      </c>
      <c r="FA62" s="229">
        <v>0.68589999999999995</v>
      </c>
      <c r="FB62" s="227" t="s">
        <v>567</v>
      </c>
      <c r="FC62">
        <f t="shared" si="0"/>
        <v>41</v>
      </c>
    </row>
    <row r="63" spans="1:159" ht="17.25" thickBot="1" x14ac:dyDescent="0.3">
      <c r="A63" s="226">
        <v>46050</v>
      </c>
      <c r="B63" s="227" t="s">
        <v>172</v>
      </c>
      <c r="C63" s="227" t="s">
        <v>212</v>
      </c>
      <c r="D63" s="228">
        <v>5000</v>
      </c>
      <c r="E63" s="228">
        <v>27</v>
      </c>
      <c r="F63" s="228">
        <v>286.10000000000002</v>
      </c>
      <c r="G63" s="228">
        <v>286.3</v>
      </c>
      <c r="H63" s="228">
        <v>-0.2</v>
      </c>
      <c r="I63" s="229">
        <v>-6.9999999999999999E-4</v>
      </c>
      <c r="J63" s="228">
        <v>284.45</v>
      </c>
      <c r="K63" s="228">
        <v>284.95</v>
      </c>
      <c r="L63" s="228">
        <v>-0.5</v>
      </c>
      <c r="M63" s="229">
        <v>-1.8E-3</v>
      </c>
      <c r="N63" s="228">
        <v>286.10000000000002</v>
      </c>
      <c r="O63" s="228">
        <v>284.95</v>
      </c>
      <c r="P63" s="228">
        <v>1.1499999999999999</v>
      </c>
      <c r="Q63" s="229">
        <v>4.0000000000000001E-3</v>
      </c>
      <c r="R63" s="228">
        <v>286.95</v>
      </c>
      <c r="S63" s="228">
        <v>286.3</v>
      </c>
      <c r="T63" s="228">
        <v>0.65</v>
      </c>
      <c r="U63" s="229">
        <v>2.3E-3</v>
      </c>
      <c r="V63" s="228">
        <v>287.8</v>
      </c>
      <c r="W63" s="228">
        <v>287.10000000000002</v>
      </c>
      <c r="X63" s="228">
        <v>0.7</v>
      </c>
      <c r="Y63" s="229">
        <v>2.3999999999999998E-3</v>
      </c>
      <c r="Z63" s="228">
        <v>1.65</v>
      </c>
      <c r="AA63" s="228">
        <v>1.35</v>
      </c>
      <c r="AB63" s="228">
        <v>0.3</v>
      </c>
      <c r="AC63" s="229">
        <v>5.7999999999999996E-3</v>
      </c>
      <c r="AD63" s="228">
        <v>1.65</v>
      </c>
      <c r="AE63" s="228">
        <v>0</v>
      </c>
      <c r="AF63" s="228">
        <v>1.65</v>
      </c>
      <c r="AG63" s="229">
        <v>5.7999999999999996E-3</v>
      </c>
      <c r="AH63" s="228">
        <v>2.5</v>
      </c>
      <c r="AI63" s="228">
        <v>1.35</v>
      </c>
      <c r="AJ63" s="228">
        <v>1.1499999999999999</v>
      </c>
      <c r="AK63" s="229">
        <v>8.8000000000000005E-3</v>
      </c>
      <c r="AL63" s="228">
        <v>3.35</v>
      </c>
      <c r="AM63" s="228">
        <v>2.15</v>
      </c>
      <c r="AN63" s="228">
        <v>1.2</v>
      </c>
      <c r="AO63" s="229">
        <v>1.18E-2</v>
      </c>
      <c r="AP63" s="228">
        <v>284.95999999999998</v>
      </c>
      <c r="AQ63" s="228">
        <v>285.63</v>
      </c>
      <c r="AR63" s="228">
        <v>0</v>
      </c>
      <c r="AS63" s="228">
        <v>456</v>
      </c>
      <c r="AT63" s="230">
        <v>1359</v>
      </c>
      <c r="AU63" s="228">
        <v>-903</v>
      </c>
      <c r="AV63" s="229">
        <v>-0.6643</v>
      </c>
      <c r="AW63" s="228">
        <v>426</v>
      </c>
      <c r="AX63" s="228">
        <v>542</v>
      </c>
      <c r="AY63" s="228">
        <v>-116</v>
      </c>
      <c r="AZ63" s="229">
        <v>-0.21340000000000001</v>
      </c>
      <c r="BA63" s="228">
        <v>29</v>
      </c>
      <c r="BB63" s="228">
        <v>796</v>
      </c>
      <c r="BC63" s="228">
        <v>-767</v>
      </c>
      <c r="BD63" s="229">
        <v>-0.96319999999999995</v>
      </c>
      <c r="BE63" s="228">
        <v>1</v>
      </c>
      <c r="BF63" s="228">
        <v>21</v>
      </c>
      <c r="BG63" s="228">
        <v>-20</v>
      </c>
      <c r="BH63" s="229">
        <v>-0.96599999999999997</v>
      </c>
      <c r="BI63" s="228">
        <v>995</v>
      </c>
      <c r="BJ63" s="230">
        <v>1501</v>
      </c>
      <c r="BK63" s="228">
        <v>-506</v>
      </c>
      <c r="BL63" s="229">
        <v>-0.33700000000000002</v>
      </c>
      <c r="BM63" s="228">
        <v>590</v>
      </c>
      <c r="BN63" s="230">
        <v>1086</v>
      </c>
      <c r="BO63" s="228">
        <v>-496</v>
      </c>
      <c r="BP63" s="229">
        <v>-0.45669999999999999</v>
      </c>
      <c r="BQ63" s="230">
        <v>2041</v>
      </c>
      <c r="BR63" s="230">
        <v>3945</v>
      </c>
      <c r="BS63" s="230">
        <v>-1904</v>
      </c>
      <c r="BT63" s="229">
        <v>-0.48270000000000002</v>
      </c>
      <c r="BU63" s="230">
        <v>10507823</v>
      </c>
      <c r="BV63" s="230">
        <v>12266906</v>
      </c>
      <c r="BW63" s="230">
        <v>-1759083</v>
      </c>
      <c r="BX63" s="229">
        <v>-0.1434</v>
      </c>
      <c r="BY63" s="230">
        <v>1461</v>
      </c>
      <c r="BZ63" s="230">
        <v>1472</v>
      </c>
      <c r="CA63" s="228">
        <v>-11</v>
      </c>
      <c r="CB63" s="229">
        <v>-7.7999999999999996E-3</v>
      </c>
      <c r="CC63" s="230">
        <v>1396</v>
      </c>
      <c r="CD63" s="228">
        <v>157</v>
      </c>
      <c r="CE63" s="230">
        <v>1240</v>
      </c>
      <c r="CF63" s="229">
        <v>7.9069000000000003</v>
      </c>
      <c r="CG63" s="228">
        <v>64</v>
      </c>
      <c r="CH63" s="230">
        <v>1418</v>
      </c>
      <c r="CI63" s="230">
        <v>-1355</v>
      </c>
      <c r="CJ63" s="229">
        <v>-0.95509999999999995</v>
      </c>
      <c r="CK63" s="228">
        <v>1</v>
      </c>
      <c r="CL63" s="228">
        <v>54</v>
      </c>
      <c r="CM63" s="228">
        <v>-53</v>
      </c>
      <c r="CN63" s="229">
        <v>-0.98929999999999996</v>
      </c>
      <c r="CO63" s="228">
        <v>648</v>
      </c>
      <c r="CP63" s="228">
        <v>595</v>
      </c>
      <c r="CQ63" s="228">
        <v>53</v>
      </c>
      <c r="CR63" s="229">
        <v>8.9700000000000002E-2</v>
      </c>
      <c r="CS63" s="228">
        <v>737</v>
      </c>
      <c r="CT63" s="228">
        <v>676</v>
      </c>
      <c r="CU63" s="228">
        <v>62</v>
      </c>
      <c r="CV63" s="229">
        <v>9.0999999999999998E-2</v>
      </c>
      <c r="CW63" s="230">
        <v>2846</v>
      </c>
      <c r="CX63" s="230">
        <v>2743</v>
      </c>
      <c r="CY63" s="228">
        <v>103</v>
      </c>
      <c r="CZ63" s="229">
        <v>3.7699999999999997E-2</v>
      </c>
      <c r="DA63" s="228">
        <v>28.41</v>
      </c>
      <c r="DB63" s="228">
        <v>28.83</v>
      </c>
      <c r="DC63" s="228">
        <v>-0.42</v>
      </c>
      <c r="DD63" s="228">
        <v>-0.42</v>
      </c>
      <c r="DE63" s="228">
        <v>30.67</v>
      </c>
      <c r="DF63" s="228">
        <v>30.74</v>
      </c>
      <c r="DG63" s="228">
        <v>-2.2599999999999998</v>
      </c>
      <c r="DH63" s="228">
        <v>-7.0000000000000007E-2</v>
      </c>
      <c r="DI63" s="228">
        <v>27.23</v>
      </c>
      <c r="DJ63" s="228">
        <v>27.46</v>
      </c>
      <c r="DK63" s="228">
        <v>-0.23</v>
      </c>
      <c r="DL63" s="228">
        <v>-0.23</v>
      </c>
      <c r="DM63" s="228">
        <v>30.41</v>
      </c>
      <c r="DN63" s="228">
        <v>30.83</v>
      </c>
      <c r="DO63" s="228">
        <v>-0.42</v>
      </c>
      <c r="DP63" s="228">
        <v>-0.42</v>
      </c>
      <c r="DQ63" s="228">
        <v>1.1399999999999999</v>
      </c>
      <c r="DR63" s="228">
        <v>1.1399999999999999</v>
      </c>
      <c r="DS63" s="228">
        <v>0</v>
      </c>
      <c r="DT63" s="229">
        <v>0</v>
      </c>
      <c r="DU63" s="228">
        <v>300</v>
      </c>
      <c r="DV63" s="228">
        <v>250</v>
      </c>
      <c r="DW63" s="228">
        <v>0.59</v>
      </c>
      <c r="DX63" s="228">
        <v>0.72</v>
      </c>
      <c r="DY63" s="228">
        <v>-0.13</v>
      </c>
      <c r="DZ63" s="229">
        <v>-0.18060000000000001</v>
      </c>
      <c r="EA63" s="229">
        <v>4.3999999999999997E-2</v>
      </c>
      <c r="EB63" s="230">
        <v>51455000</v>
      </c>
      <c r="EC63" s="229">
        <v>3.0000000000000001E-3</v>
      </c>
      <c r="ED63" s="229">
        <v>4.3999999999999997E-2</v>
      </c>
      <c r="EE63" s="228">
        <v>0.67</v>
      </c>
      <c r="EF63" s="229">
        <v>2.3999999999999998E-3</v>
      </c>
      <c r="EG63" s="230">
        <v>5900174</v>
      </c>
      <c r="EH63" s="230">
        <v>6590698</v>
      </c>
      <c r="EI63" s="229">
        <v>-0.1048</v>
      </c>
      <c r="EJ63" s="229">
        <v>0.5615</v>
      </c>
      <c r="EK63" s="231">
        <v>1046.33</v>
      </c>
      <c r="EL63" s="228">
        <v>564.21</v>
      </c>
      <c r="EM63" s="228">
        <v>454.45</v>
      </c>
      <c r="EN63" s="228">
        <v>124.67</v>
      </c>
      <c r="EO63" s="231">
        <v>2064.9899999999998</v>
      </c>
      <c r="EP63" s="231">
        <v>3917.76</v>
      </c>
      <c r="EQ63" s="231">
        <v>-1852.77</v>
      </c>
      <c r="ER63" s="229">
        <v>-0.47289999999999999</v>
      </c>
      <c r="ES63" s="228">
        <v>657.11</v>
      </c>
      <c r="ET63" s="228">
        <v>669.3</v>
      </c>
      <c r="EU63" s="231">
        <v>1460.88</v>
      </c>
      <c r="EV63" s="231">
        <v>320636733</v>
      </c>
      <c r="EW63" s="231">
        <v>2787.28</v>
      </c>
      <c r="EX63" s="231">
        <v>2685.86</v>
      </c>
      <c r="EY63" s="228">
        <v>101.42</v>
      </c>
      <c r="EZ63" s="229">
        <v>3.78E-2</v>
      </c>
      <c r="FA63" s="229">
        <v>0.31030000000000002</v>
      </c>
      <c r="FB63" s="227" t="s">
        <v>568</v>
      </c>
      <c r="FC63">
        <f t="shared" si="0"/>
        <v>65</v>
      </c>
    </row>
    <row r="64" spans="1:159" ht="17.25" thickBot="1" x14ac:dyDescent="0.3">
      <c r="A64" s="226">
        <v>46050</v>
      </c>
      <c r="B64" s="227" t="s">
        <v>181</v>
      </c>
      <c r="C64" s="227" t="s">
        <v>480</v>
      </c>
      <c r="D64" s="228">
        <v>60</v>
      </c>
      <c r="E64" s="228">
        <v>27</v>
      </c>
      <c r="F64" s="231">
        <v>27445.4</v>
      </c>
      <c r="G64" s="231">
        <v>27198.2</v>
      </c>
      <c r="H64" s="228">
        <v>247.2</v>
      </c>
      <c r="I64" s="229">
        <v>9.1000000000000004E-3</v>
      </c>
      <c r="J64" s="231">
        <v>27335.200000000001</v>
      </c>
      <c r="K64" s="231">
        <v>27058</v>
      </c>
      <c r="L64" s="228">
        <v>277.2</v>
      </c>
      <c r="M64" s="229">
        <v>1.0200000000000001E-2</v>
      </c>
      <c r="N64" s="231">
        <v>27445.4</v>
      </c>
      <c r="O64" s="231">
        <v>27027.9</v>
      </c>
      <c r="P64" s="228">
        <v>417.5</v>
      </c>
      <c r="Q64" s="229">
        <v>1.54E-2</v>
      </c>
      <c r="R64" s="231">
        <v>27089.3</v>
      </c>
      <c r="S64" s="231">
        <v>27198.2</v>
      </c>
      <c r="T64" s="228">
        <v>-108.9</v>
      </c>
      <c r="U64" s="229">
        <v>-4.0000000000000001E-3</v>
      </c>
      <c r="V64" s="228">
        <v>0</v>
      </c>
      <c r="W64" s="231">
        <v>27089.3</v>
      </c>
      <c r="X64" s="228">
        <v>0</v>
      </c>
      <c r="Y64" s="229">
        <v>0</v>
      </c>
      <c r="Z64" s="228">
        <v>110.2</v>
      </c>
      <c r="AA64" s="228">
        <v>140.19999999999999</v>
      </c>
      <c r="AB64" s="228">
        <v>-30</v>
      </c>
      <c r="AC64" s="229">
        <v>4.0000000000000001E-3</v>
      </c>
      <c r="AD64" s="228">
        <v>110.2</v>
      </c>
      <c r="AE64" s="228">
        <v>-30.1</v>
      </c>
      <c r="AF64" s="228">
        <v>140.30000000000001</v>
      </c>
      <c r="AG64" s="229">
        <v>4.0000000000000001E-3</v>
      </c>
      <c r="AH64" s="228">
        <v>-245.9</v>
      </c>
      <c r="AI64" s="228">
        <v>140.19999999999999</v>
      </c>
      <c r="AJ64" s="228">
        <v>-386.1</v>
      </c>
      <c r="AK64" s="229">
        <v>-8.9999999999999993E-3</v>
      </c>
      <c r="AL64" s="228">
        <v>0</v>
      </c>
      <c r="AM64" s="228">
        <v>31.3</v>
      </c>
      <c r="AN64" s="228">
        <v>0</v>
      </c>
      <c r="AO64" s="229">
        <v>0</v>
      </c>
      <c r="AP64" s="231">
        <v>27410.07</v>
      </c>
      <c r="AQ64" s="231">
        <v>27089.3</v>
      </c>
      <c r="AR64" s="228">
        <v>0</v>
      </c>
      <c r="AS64" s="228">
        <v>56</v>
      </c>
      <c r="AT64" s="228">
        <v>353</v>
      </c>
      <c r="AU64" s="228">
        <v>-297</v>
      </c>
      <c r="AV64" s="229">
        <v>-0.84079999999999999</v>
      </c>
      <c r="AW64" s="228">
        <v>56</v>
      </c>
      <c r="AX64" s="228">
        <v>181</v>
      </c>
      <c r="AY64" s="228">
        <v>-125</v>
      </c>
      <c r="AZ64" s="229">
        <v>-0.69</v>
      </c>
      <c r="BA64" s="228">
        <v>0</v>
      </c>
      <c r="BB64" s="228">
        <v>171</v>
      </c>
      <c r="BC64" s="228">
        <v>-171</v>
      </c>
      <c r="BD64" s="229">
        <v>-1</v>
      </c>
      <c r="BE64" s="228">
        <v>0</v>
      </c>
      <c r="BF64" s="228">
        <v>0</v>
      </c>
      <c r="BG64" s="228">
        <v>0</v>
      </c>
      <c r="BH64" s="229">
        <v>0</v>
      </c>
      <c r="BI64" s="230">
        <v>1254</v>
      </c>
      <c r="BJ64" s="230">
        <v>350460</v>
      </c>
      <c r="BK64" s="230">
        <v>-349207</v>
      </c>
      <c r="BL64" s="229">
        <v>-0.99639999999999995</v>
      </c>
      <c r="BM64" s="230">
        <v>1636</v>
      </c>
      <c r="BN64" s="230">
        <v>320712</v>
      </c>
      <c r="BO64" s="230">
        <v>-319076</v>
      </c>
      <c r="BP64" s="229">
        <v>-0.99490000000000001</v>
      </c>
      <c r="BQ64" s="230">
        <v>2945</v>
      </c>
      <c r="BR64" s="230">
        <v>671525</v>
      </c>
      <c r="BS64" s="230">
        <v>-668579</v>
      </c>
      <c r="BT64" s="229">
        <v>-0.99560000000000004</v>
      </c>
      <c r="BU64" s="228">
        <v>0</v>
      </c>
      <c r="BV64" s="228">
        <v>0</v>
      </c>
      <c r="BW64" s="228">
        <v>0</v>
      </c>
      <c r="BX64" s="229">
        <v>0</v>
      </c>
      <c r="BY64" s="228">
        <v>138</v>
      </c>
      <c r="BZ64" s="228">
        <v>138</v>
      </c>
      <c r="CA64" s="228">
        <v>1</v>
      </c>
      <c r="CB64" s="229">
        <v>7.1999999999999998E-3</v>
      </c>
      <c r="CC64" s="228">
        <v>138</v>
      </c>
      <c r="CD64" s="228">
        <v>47</v>
      </c>
      <c r="CE64" s="228">
        <v>92</v>
      </c>
      <c r="CF64" s="229">
        <v>1.9681999999999999</v>
      </c>
      <c r="CG64" s="228">
        <v>0</v>
      </c>
      <c r="CH64" s="228">
        <v>137</v>
      </c>
      <c r="CI64" s="228">
        <v>-137</v>
      </c>
      <c r="CJ64" s="229">
        <v>-0.99880000000000002</v>
      </c>
      <c r="CK64" s="228">
        <v>0</v>
      </c>
      <c r="CL64" s="228">
        <v>0</v>
      </c>
      <c r="CM64" s="228">
        <v>0</v>
      </c>
      <c r="CN64" s="229">
        <v>-1</v>
      </c>
      <c r="CO64" s="228">
        <v>331</v>
      </c>
      <c r="CP64" s="228">
        <v>145</v>
      </c>
      <c r="CQ64" s="228">
        <v>186</v>
      </c>
      <c r="CR64" s="229">
        <v>1.2786</v>
      </c>
      <c r="CS64" s="228">
        <v>260</v>
      </c>
      <c r="CT64" s="228">
        <v>72</v>
      </c>
      <c r="CU64" s="228">
        <v>188</v>
      </c>
      <c r="CV64" s="229">
        <v>2.5945</v>
      </c>
      <c r="CW64" s="228">
        <v>730</v>
      </c>
      <c r="CX64" s="228">
        <v>355</v>
      </c>
      <c r="CY64" s="228">
        <v>374</v>
      </c>
      <c r="CZ64" s="229">
        <v>1.0542</v>
      </c>
      <c r="DA64" s="228">
        <v>14.98</v>
      </c>
      <c r="DB64" s="228">
        <v>16.45</v>
      </c>
      <c r="DC64" s="228">
        <v>-1.47</v>
      </c>
      <c r="DD64" s="228">
        <v>-1.47</v>
      </c>
      <c r="DE64" s="228">
        <v>16.11</v>
      </c>
      <c r="DF64" s="228">
        <v>16.09</v>
      </c>
      <c r="DG64" s="228">
        <v>-1.1299999999999999</v>
      </c>
      <c r="DH64" s="228">
        <v>0.02</v>
      </c>
      <c r="DI64" s="228">
        <v>14.63</v>
      </c>
      <c r="DJ64" s="228">
        <v>16.350000000000001</v>
      </c>
      <c r="DK64" s="228">
        <v>-1.72</v>
      </c>
      <c r="DL64" s="228">
        <v>-1.72</v>
      </c>
      <c r="DM64" s="228">
        <v>15.25</v>
      </c>
      <c r="DN64" s="228">
        <v>16.79</v>
      </c>
      <c r="DO64" s="228">
        <v>-1.54</v>
      </c>
      <c r="DP64" s="228">
        <v>-1.54</v>
      </c>
      <c r="DQ64" s="228">
        <v>0.78</v>
      </c>
      <c r="DR64" s="228">
        <v>0.5</v>
      </c>
      <c r="DS64" s="228">
        <v>0.28000000000000003</v>
      </c>
      <c r="DT64" s="229">
        <v>0.56000000000000005</v>
      </c>
      <c r="DU64" s="231">
        <v>27400</v>
      </c>
      <c r="DV64" s="231">
        <v>27000</v>
      </c>
      <c r="DW64" s="228">
        <v>1.3</v>
      </c>
      <c r="DX64" s="228">
        <v>0.92</v>
      </c>
      <c r="DY64" s="228">
        <v>0.38</v>
      </c>
      <c r="DZ64" s="229">
        <v>0.41299999999999998</v>
      </c>
      <c r="EA64" s="229">
        <v>1.1999999999999999E-3</v>
      </c>
      <c r="EB64" s="230">
        <v>50100</v>
      </c>
      <c r="EC64" s="229">
        <v>-1.2999999999999999E-2</v>
      </c>
      <c r="ED64" s="229">
        <v>1.1999999999999999E-3</v>
      </c>
      <c r="EE64" s="228">
        <v>-320.77</v>
      </c>
      <c r="EF64" s="229">
        <v>-1.17E-2</v>
      </c>
      <c r="EG64" s="228">
        <v>0</v>
      </c>
      <c r="EH64" s="228">
        <v>0</v>
      </c>
      <c r="EI64" s="229">
        <v>0</v>
      </c>
      <c r="EJ64" s="229">
        <v>0</v>
      </c>
      <c r="EK64" s="231">
        <v>1286.46</v>
      </c>
      <c r="EL64" s="231">
        <v>1628.02</v>
      </c>
      <c r="EM64" s="228">
        <v>56.08</v>
      </c>
      <c r="EN64" s="228">
        <v>0</v>
      </c>
      <c r="EO64" s="231">
        <v>2970.56</v>
      </c>
      <c r="EP64" s="231">
        <v>659713</v>
      </c>
      <c r="EQ64" s="231">
        <v>-656742.43999999994</v>
      </c>
      <c r="ER64" s="229">
        <v>-0.99550000000000005</v>
      </c>
      <c r="ES64" s="228">
        <v>338.06</v>
      </c>
      <c r="ET64" s="228">
        <v>253.37</v>
      </c>
      <c r="EU64" s="228">
        <v>138.49</v>
      </c>
      <c r="EV64" s="228">
        <v>0</v>
      </c>
      <c r="EW64" s="228">
        <v>729.92</v>
      </c>
      <c r="EX64" s="228">
        <v>353.92</v>
      </c>
      <c r="EY64" s="228">
        <v>376</v>
      </c>
      <c r="EZ64" s="229">
        <v>1.0624</v>
      </c>
      <c r="FA64" s="229">
        <v>0</v>
      </c>
      <c r="FB64" s="227" t="s">
        <v>555</v>
      </c>
      <c r="FC64">
        <f t="shared" si="0"/>
        <v>0</v>
      </c>
    </row>
    <row r="65" spans="1:159" ht="17.25" thickBot="1" x14ac:dyDescent="0.3">
      <c r="A65" s="226">
        <v>46050</v>
      </c>
      <c r="B65" s="227" t="s">
        <v>170</v>
      </c>
      <c r="C65" s="227" t="s">
        <v>676</v>
      </c>
      <c r="D65" s="228">
        <v>775</v>
      </c>
      <c r="E65" s="228">
        <v>27</v>
      </c>
      <c r="F65" s="228">
        <v>852.15</v>
      </c>
      <c r="G65" s="228">
        <v>844.25</v>
      </c>
      <c r="H65" s="228">
        <v>7.9</v>
      </c>
      <c r="I65" s="229">
        <v>9.4000000000000004E-3</v>
      </c>
      <c r="J65" s="228">
        <v>849.05</v>
      </c>
      <c r="K65" s="228">
        <v>838.45</v>
      </c>
      <c r="L65" s="228">
        <v>10.6</v>
      </c>
      <c r="M65" s="229">
        <v>1.26E-2</v>
      </c>
      <c r="N65" s="228">
        <v>852.15</v>
      </c>
      <c r="O65" s="228">
        <v>839.7</v>
      </c>
      <c r="P65" s="228">
        <v>12.45</v>
      </c>
      <c r="Q65" s="229">
        <v>1.4800000000000001E-2</v>
      </c>
      <c r="R65" s="228">
        <v>857.7</v>
      </c>
      <c r="S65" s="228">
        <v>844.25</v>
      </c>
      <c r="T65" s="228">
        <v>13.45</v>
      </c>
      <c r="U65" s="229">
        <v>1.5900000000000001E-2</v>
      </c>
      <c r="V65" s="228">
        <v>0</v>
      </c>
      <c r="W65" s="228">
        <v>851.5</v>
      </c>
      <c r="X65" s="228">
        <v>0</v>
      </c>
      <c r="Y65" s="229">
        <v>0</v>
      </c>
      <c r="Z65" s="228">
        <v>3.1</v>
      </c>
      <c r="AA65" s="228">
        <v>5.8</v>
      </c>
      <c r="AB65" s="228">
        <v>-2.7</v>
      </c>
      <c r="AC65" s="229">
        <v>3.7000000000000002E-3</v>
      </c>
      <c r="AD65" s="228">
        <v>3.1</v>
      </c>
      <c r="AE65" s="228">
        <v>1.25</v>
      </c>
      <c r="AF65" s="228">
        <v>1.85</v>
      </c>
      <c r="AG65" s="229">
        <v>3.7000000000000002E-3</v>
      </c>
      <c r="AH65" s="228">
        <v>8.65</v>
      </c>
      <c r="AI65" s="228">
        <v>5.8</v>
      </c>
      <c r="AJ65" s="228">
        <v>2.85</v>
      </c>
      <c r="AK65" s="229">
        <v>1.0200000000000001E-2</v>
      </c>
      <c r="AL65" s="228">
        <v>0</v>
      </c>
      <c r="AM65" s="228">
        <v>13.05</v>
      </c>
      <c r="AN65" s="228">
        <v>0</v>
      </c>
      <c r="AO65" s="229">
        <v>0</v>
      </c>
      <c r="AP65" s="228">
        <v>851.25</v>
      </c>
      <c r="AQ65" s="228">
        <v>855</v>
      </c>
      <c r="AR65" s="228">
        <v>0</v>
      </c>
      <c r="AS65" s="228">
        <v>141</v>
      </c>
      <c r="AT65" s="228">
        <v>638</v>
      </c>
      <c r="AU65" s="228">
        <v>-496</v>
      </c>
      <c r="AV65" s="229">
        <v>-0.77849999999999997</v>
      </c>
      <c r="AW65" s="228">
        <v>138</v>
      </c>
      <c r="AX65" s="228">
        <v>288</v>
      </c>
      <c r="AY65" s="228">
        <v>-150</v>
      </c>
      <c r="AZ65" s="229">
        <v>-0.52039999999999997</v>
      </c>
      <c r="BA65" s="228">
        <v>3</v>
      </c>
      <c r="BB65" s="228">
        <v>346</v>
      </c>
      <c r="BC65" s="228">
        <v>-343</v>
      </c>
      <c r="BD65" s="229">
        <v>-0.99180000000000001</v>
      </c>
      <c r="BE65" s="228">
        <v>0</v>
      </c>
      <c r="BF65" s="228">
        <v>3</v>
      </c>
      <c r="BG65" s="228">
        <v>0</v>
      </c>
      <c r="BH65" s="229">
        <v>0</v>
      </c>
      <c r="BI65" s="228">
        <v>119</v>
      </c>
      <c r="BJ65" s="228">
        <v>236</v>
      </c>
      <c r="BK65" s="228">
        <v>-117</v>
      </c>
      <c r="BL65" s="229">
        <v>-0.49640000000000001</v>
      </c>
      <c r="BM65" s="228">
        <v>55</v>
      </c>
      <c r="BN65" s="228">
        <v>275</v>
      </c>
      <c r="BO65" s="228">
        <v>-220</v>
      </c>
      <c r="BP65" s="229">
        <v>-0.80069999999999997</v>
      </c>
      <c r="BQ65" s="228">
        <v>315</v>
      </c>
      <c r="BR65" s="230">
        <v>1148</v>
      </c>
      <c r="BS65" s="228">
        <v>-834</v>
      </c>
      <c r="BT65" s="229">
        <v>-0.72599999999999998</v>
      </c>
      <c r="BU65" s="230">
        <v>1109244</v>
      </c>
      <c r="BV65" s="230">
        <v>1398395</v>
      </c>
      <c r="BW65" s="230">
        <v>-289151</v>
      </c>
      <c r="BX65" s="229">
        <v>-0.20680000000000001</v>
      </c>
      <c r="BY65" s="230">
        <v>1025</v>
      </c>
      <c r="BZ65" s="230">
        <v>1027</v>
      </c>
      <c r="CA65" s="228">
        <v>-2</v>
      </c>
      <c r="CB65" s="229">
        <v>-1.9E-3</v>
      </c>
      <c r="CC65" s="230">
        <v>1015</v>
      </c>
      <c r="CD65" s="228">
        <v>37</v>
      </c>
      <c r="CE65" s="228">
        <v>978</v>
      </c>
      <c r="CF65" s="229">
        <v>26.2913</v>
      </c>
      <c r="CG65" s="228">
        <v>10</v>
      </c>
      <c r="CH65" s="230">
        <v>1018</v>
      </c>
      <c r="CI65" s="230">
        <v>-1007</v>
      </c>
      <c r="CJ65" s="229">
        <v>-0.9899</v>
      </c>
      <c r="CK65" s="228">
        <v>0</v>
      </c>
      <c r="CL65" s="228">
        <v>9</v>
      </c>
      <c r="CM65" s="228">
        <v>-9</v>
      </c>
      <c r="CN65" s="229">
        <v>-1</v>
      </c>
      <c r="CO65" s="228">
        <v>78</v>
      </c>
      <c r="CP65" s="228">
        <v>49</v>
      </c>
      <c r="CQ65" s="228">
        <v>29</v>
      </c>
      <c r="CR65" s="229">
        <v>0.58099999999999996</v>
      </c>
      <c r="CS65" s="228">
        <v>77</v>
      </c>
      <c r="CT65" s="228">
        <v>61</v>
      </c>
      <c r="CU65" s="228">
        <v>16</v>
      </c>
      <c r="CV65" s="229">
        <v>0.2576</v>
      </c>
      <c r="CW65" s="230">
        <v>1180</v>
      </c>
      <c r="CX65" s="230">
        <v>1137</v>
      </c>
      <c r="CY65" s="228">
        <v>42</v>
      </c>
      <c r="CZ65" s="229">
        <v>3.73E-2</v>
      </c>
      <c r="DA65" s="228">
        <v>32.35</v>
      </c>
      <c r="DB65" s="228">
        <v>33.770000000000003</v>
      </c>
      <c r="DC65" s="228">
        <v>-1.42</v>
      </c>
      <c r="DD65" s="228">
        <v>-1.42</v>
      </c>
      <c r="DE65" s="228">
        <v>34.83</v>
      </c>
      <c r="DF65" s="228">
        <v>34.869999999999997</v>
      </c>
      <c r="DG65" s="228">
        <v>-2.48</v>
      </c>
      <c r="DH65" s="228">
        <v>-0.04</v>
      </c>
      <c r="DI65" s="228">
        <v>32.15</v>
      </c>
      <c r="DJ65" s="228">
        <v>32.700000000000003</v>
      </c>
      <c r="DK65" s="228">
        <v>-0.55000000000000004</v>
      </c>
      <c r="DL65" s="228">
        <v>-0.55000000000000004</v>
      </c>
      <c r="DM65" s="228">
        <v>32.78</v>
      </c>
      <c r="DN65" s="228">
        <v>34.450000000000003</v>
      </c>
      <c r="DO65" s="228">
        <v>-1.67</v>
      </c>
      <c r="DP65" s="228">
        <v>-1.67</v>
      </c>
      <c r="DQ65" s="228">
        <v>0.98</v>
      </c>
      <c r="DR65" s="228">
        <v>1.24</v>
      </c>
      <c r="DS65" s="228">
        <v>-0.26</v>
      </c>
      <c r="DT65" s="229">
        <v>-0.2097</v>
      </c>
      <c r="DU65" s="228">
        <v>900</v>
      </c>
      <c r="DV65" s="228">
        <v>840</v>
      </c>
      <c r="DW65" s="228">
        <v>0.46</v>
      </c>
      <c r="DX65" s="228">
        <v>1.17</v>
      </c>
      <c r="DY65" s="228">
        <v>-0.71</v>
      </c>
      <c r="DZ65" s="229">
        <v>-0.60680000000000001</v>
      </c>
      <c r="EA65" s="229">
        <v>1.01E-2</v>
      </c>
      <c r="EB65" s="230">
        <v>12052025</v>
      </c>
      <c r="EC65" s="229">
        <v>6.4999999999999997E-3</v>
      </c>
      <c r="ED65" s="229">
        <v>1.01E-2</v>
      </c>
      <c r="EE65" s="228">
        <v>3.75</v>
      </c>
      <c r="EF65" s="229">
        <v>4.4000000000000003E-3</v>
      </c>
      <c r="EG65" s="230">
        <v>708340</v>
      </c>
      <c r="EH65" s="230">
        <v>776814</v>
      </c>
      <c r="EI65" s="229">
        <v>-8.8099999999999998E-2</v>
      </c>
      <c r="EJ65" s="229">
        <v>0.63859999999999995</v>
      </c>
      <c r="EK65" s="228">
        <v>125.19</v>
      </c>
      <c r="EL65" s="228">
        <v>55.56</v>
      </c>
      <c r="EM65" s="228">
        <v>141.06</v>
      </c>
      <c r="EN65" s="228">
        <v>117.4</v>
      </c>
      <c r="EO65" s="228">
        <v>321.81</v>
      </c>
      <c r="EP65" s="231">
        <v>1146.6199999999999</v>
      </c>
      <c r="EQ65" s="228">
        <v>-824.81</v>
      </c>
      <c r="ER65" s="229">
        <v>-0.71930000000000005</v>
      </c>
      <c r="ES65" s="228">
        <v>82</v>
      </c>
      <c r="ET65" s="228">
        <v>77.819999999999993</v>
      </c>
      <c r="EU65" s="231">
        <v>1025.0999999999999</v>
      </c>
      <c r="EV65" s="231">
        <v>77949604</v>
      </c>
      <c r="EW65" s="231">
        <v>1184.92</v>
      </c>
      <c r="EX65" s="231">
        <v>1132.3</v>
      </c>
      <c r="EY65" s="228">
        <v>52.62</v>
      </c>
      <c r="EZ65" s="229">
        <v>4.65E-2</v>
      </c>
      <c r="FA65" s="229">
        <v>0.17760000000000001</v>
      </c>
      <c r="FB65" s="227" t="s">
        <v>556</v>
      </c>
      <c r="FC65">
        <f t="shared" si="0"/>
        <v>10</v>
      </c>
    </row>
    <row r="66" spans="1:159" ht="17.25" thickBot="1" x14ac:dyDescent="0.3">
      <c r="A66" s="226">
        <v>46050</v>
      </c>
      <c r="B66" s="227" t="s">
        <v>193</v>
      </c>
      <c r="C66" s="227" t="s">
        <v>213</v>
      </c>
      <c r="D66" s="228">
        <v>3150</v>
      </c>
      <c r="E66" s="228">
        <v>27</v>
      </c>
      <c r="F66" s="228">
        <v>168.87</v>
      </c>
      <c r="G66" s="228">
        <v>161.03</v>
      </c>
      <c r="H66" s="228">
        <v>7.84</v>
      </c>
      <c r="I66" s="229">
        <v>4.87E-2</v>
      </c>
      <c r="J66" s="228">
        <v>168.14</v>
      </c>
      <c r="K66" s="228">
        <v>159.97999999999999</v>
      </c>
      <c r="L66" s="228">
        <v>8.16</v>
      </c>
      <c r="M66" s="229">
        <v>5.0999999999999997E-2</v>
      </c>
      <c r="N66" s="228">
        <v>168.87</v>
      </c>
      <c r="O66" s="228">
        <v>160.16999999999999</v>
      </c>
      <c r="P66" s="228">
        <v>8.6999999999999993</v>
      </c>
      <c r="Q66" s="229">
        <v>5.4300000000000001E-2</v>
      </c>
      <c r="R66" s="228">
        <v>169.88</v>
      </c>
      <c r="S66" s="228">
        <v>161.03</v>
      </c>
      <c r="T66" s="228">
        <v>8.85</v>
      </c>
      <c r="U66" s="229">
        <v>5.5E-2</v>
      </c>
      <c r="V66" s="228">
        <v>170.84</v>
      </c>
      <c r="W66" s="228">
        <v>162.16999999999999</v>
      </c>
      <c r="X66" s="228">
        <v>8.67</v>
      </c>
      <c r="Y66" s="229">
        <v>5.3499999999999999E-2</v>
      </c>
      <c r="Z66" s="228">
        <v>0.73</v>
      </c>
      <c r="AA66" s="228">
        <v>1.05</v>
      </c>
      <c r="AB66" s="228">
        <v>-0.32</v>
      </c>
      <c r="AC66" s="229">
        <v>4.3E-3</v>
      </c>
      <c r="AD66" s="228">
        <v>0.73</v>
      </c>
      <c r="AE66" s="228">
        <v>0.19</v>
      </c>
      <c r="AF66" s="228">
        <v>0.54</v>
      </c>
      <c r="AG66" s="229">
        <v>4.3E-3</v>
      </c>
      <c r="AH66" s="228">
        <v>1.74</v>
      </c>
      <c r="AI66" s="228">
        <v>1.05</v>
      </c>
      <c r="AJ66" s="228">
        <v>0.69</v>
      </c>
      <c r="AK66" s="229">
        <v>1.03E-2</v>
      </c>
      <c r="AL66" s="228">
        <v>2.7</v>
      </c>
      <c r="AM66" s="228">
        <v>2.19</v>
      </c>
      <c r="AN66" s="228">
        <v>0.51</v>
      </c>
      <c r="AO66" s="229">
        <v>1.61E-2</v>
      </c>
      <c r="AP66" s="228">
        <v>166.52</v>
      </c>
      <c r="AQ66" s="228">
        <v>167.37</v>
      </c>
      <c r="AR66" s="228">
        <v>0</v>
      </c>
      <c r="AS66" s="228">
        <v>414</v>
      </c>
      <c r="AT66" s="230">
        <v>1478</v>
      </c>
      <c r="AU66" s="230">
        <v>-1064</v>
      </c>
      <c r="AV66" s="229">
        <v>-0.71960000000000002</v>
      </c>
      <c r="AW66" s="228">
        <v>397</v>
      </c>
      <c r="AX66" s="228">
        <v>646</v>
      </c>
      <c r="AY66" s="228">
        <v>-250</v>
      </c>
      <c r="AZ66" s="229">
        <v>-0.38640000000000002</v>
      </c>
      <c r="BA66" s="228">
        <v>17</v>
      </c>
      <c r="BB66" s="228">
        <v>810</v>
      </c>
      <c r="BC66" s="228">
        <v>-793</v>
      </c>
      <c r="BD66" s="229">
        <v>-0.97940000000000005</v>
      </c>
      <c r="BE66" s="228">
        <v>1</v>
      </c>
      <c r="BF66" s="228">
        <v>22</v>
      </c>
      <c r="BG66" s="228">
        <v>-20</v>
      </c>
      <c r="BH66" s="229">
        <v>-0.94810000000000005</v>
      </c>
      <c r="BI66" s="230">
        <v>1050</v>
      </c>
      <c r="BJ66" s="228">
        <v>597</v>
      </c>
      <c r="BK66" s="228">
        <v>453</v>
      </c>
      <c r="BL66" s="229">
        <v>0.75970000000000004</v>
      </c>
      <c r="BM66" s="228">
        <v>395</v>
      </c>
      <c r="BN66" s="228">
        <v>505</v>
      </c>
      <c r="BO66" s="228">
        <v>-110</v>
      </c>
      <c r="BP66" s="229">
        <v>-0.21879999999999999</v>
      </c>
      <c r="BQ66" s="230">
        <v>1859</v>
      </c>
      <c r="BR66" s="230">
        <v>2580</v>
      </c>
      <c r="BS66" s="228">
        <v>-721</v>
      </c>
      <c r="BT66" s="229">
        <v>-0.27929999999999999</v>
      </c>
      <c r="BU66" s="230">
        <v>12016061</v>
      </c>
      <c r="BV66" s="230">
        <v>22193170</v>
      </c>
      <c r="BW66" s="230">
        <v>-10177109</v>
      </c>
      <c r="BX66" s="229">
        <v>-0.45860000000000001</v>
      </c>
      <c r="BY66" s="230">
        <v>1562</v>
      </c>
      <c r="BZ66" s="230">
        <v>1578</v>
      </c>
      <c r="CA66" s="228">
        <v>-16</v>
      </c>
      <c r="CB66" s="229">
        <v>-9.9000000000000008E-3</v>
      </c>
      <c r="CC66" s="230">
        <v>1512</v>
      </c>
      <c r="CD66" s="228">
        <v>140</v>
      </c>
      <c r="CE66" s="230">
        <v>1373</v>
      </c>
      <c r="CF66" s="229">
        <v>9.8270999999999997</v>
      </c>
      <c r="CG66" s="228">
        <v>49</v>
      </c>
      <c r="CH66" s="230">
        <v>1530</v>
      </c>
      <c r="CI66" s="230">
        <v>-1481</v>
      </c>
      <c r="CJ66" s="229">
        <v>-0.96779999999999999</v>
      </c>
      <c r="CK66" s="228">
        <v>0</v>
      </c>
      <c r="CL66" s="228">
        <v>47</v>
      </c>
      <c r="CM66" s="228">
        <v>-47</v>
      </c>
      <c r="CN66" s="229">
        <v>-0.99099999999999999</v>
      </c>
      <c r="CO66" s="228">
        <v>443</v>
      </c>
      <c r="CP66" s="228">
        <v>305</v>
      </c>
      <c r="CQ66" s="228">
        <v>138</v>
      </c>
      <c r="CR66" s="229">
        <v>0.45300000000000001</v>
      </c>
      <c r="CS66" s="228">
        <v>433</v>
      </c>
      <c r="CT66" s="228">
        <v>375</v>
      </c>
      <c r="CU66" s="228">
        <v>58</v>
      </c>
      <c r="CV66" s="229">
        <v>0.1545</v>
      </c>
      <c r="CW66" s="230">
        <v>2438</v>
      </c>
      <c r="CX66" s="230">
        <v>2258</v>
      </c>
      <c r="CY66" s="228">
        <v>180</v>
      </c>
      <c r="CZ66" s="229">
        <v>7.9899999999999999E-2</v>
      </c>
      <c r="DA66" s="228">
        <v>32.229999999999997</v>
      </c>
      <c r="DB66" s="228">
        <v>30.51</v>
      </c>
      <c r="DC66" s="228">
        <v>1.72</v>
      </c>
      <c r="DD66" s="228">
        <v>1.72</v>
      </c>
      <c r="DE66" s="228">
        <v>33.869999999999997</v>
      </c>
      <c r="DF66" s="228">
        <v>33.340000000000003</v>
      </c>
      <c r="DG66" s="228">
        <v>-1.64</v>
      </c>
      <c r="DH66" s="228">
        <v>0.53</v>
      </c>
      <c r="DI66" s="228">
        <v>31.14</v>
      </c>
      <c r="DJ66" s="228">
        <v>30.31</v>
      </c>
      <c r="DK66" s="228">
        <v>0.83</v>
      </c>
      <c r="DL66" s="228">
        <v>0.83</v>
      </c>
      <c r="DM66" s="228">
        <v>35.15</v>
      </c>
      <c r="DN66" s="228">
        <v>30.74</v>
      </c>
      <c r="DO66" s="228">
        <v>4.41</v>
      </c>
      <c r="DP66" s="228">
        <v>4.41</v>
      </c>
      <c r="DQ66" s="228">
        <v>0.98</v>
      </c>
      <c r="DR66" s="228">
        <v>1.23</v>
      </c>
      <c r="DS66" s="228">
        <v>-0.25</v>
      </c>
      <c r="DT66" s="229">
        <v>-0.20330000000000001</v>
      </c>
      <c r="DU66" s="228">
        <v>170</v>
      </c>
      <c r="DV66" s="228">
        <v>150</v>
      </c>
      <c r="DW66" s="228">
        <v>0.38</v>
      </c>
      <c r="DX66" s="228">
        <v>0.85</v>
      </c>
      <c r="DY66" s="228">
        <v>-0.47</v>
      </c>
      <c r="DZ66" s="229">
        <v>-0.55289999999999995</v>
      </c>
      <c r="EA66" s="229">
        <v>3.1800000000000002E-2</v>
      </c>
      <c r="EB66" s="230">
        <v>93429000</v>
      </c>
      <c r="EC66" s="229">
        <v>6.0000000000000001E-3</v>
      </c>
      <c r="ED66" s="229">
        <v>3.1800000000000002E-2</v>
      </c>
      <c r="EE66" s="228">
        <v>0.85</v>
      </c>
      <c r="EF66" s="229">
        <v>5.1000000000000004E-3</v>
      </c>
      <c r="EG66" s="230">
        <v>5601434</v>
      </c>
      <c r="EH66" s="230">
        <v>14744215</v>
      </c>
      <c r="EI66" s="229">
        <v>-0.62009999999999998</v>
      </c>
      <c r="EJ66" s="229">
        <v>0.4662</v>
      </c>
      <c r="EK66" s="231">
        <v>1102.48</v>
      </c>
      <c r="EL66" s="228">
        <v>374.83</v>
      </c>
      <c r="EM66" s="228">
        <v>408.76</v>
      </c>
      <c r="EN66" s="228">
        <v>190.19</v>
      </c>
      <c r="EO66" s="231">
        <v>1886.07</v>
      </c>
      <c r="EP66" s="231">
        <v>2509.8200000000002</v>
      </c>
      <c r="EQ66" s="228">
        <v>-623.74</v>
      </c>
      <c r="ER66" s="229">
        <v>-0.2485</v>
      </c>
      <c r="ES66" s="228">
        <v>458.8</v>
      </c>
      <c r="ET66" s="228">
        <v>428.57</v>
      </c>
      <c r="EU66" s="231">
        <v>1562.34</v>
      </c>
      <c r="EV66" s="231">
        <v>435694919</v>
      </c>
      <c r="EW66" s="231">
        <v>2449.6999999999998</v>
      </c>
      <c r="EX66" s="231">
        <v>2195.37</v>
      </c>
      <c r="EY66" s="228">
        <v>254.33</v>
      </c>
      <c r="EZ66" s="229">
        <v>0.1158</v>
      </c>
      <c r="FA66" s="229">
        <v>0.33139999999999997</v>
      </c>
      <c r="FB66" s="227" t="s">
        <v>556</v>
      </c>
      <c r="FC66">
        <f t="shared" si="0"/>
        <v>50</v>
      </c>
    </row>
    <row r="67" spans="1:159" ht="17.25" thickBot="1" x14ac:dyDescent="0.3">
      <c r="A67" s="226">
        <v>46050</v>
      </c>
      <c r="B67" s="227" t="s">
        <v>170</v>
      </c>
      <c r="C67" s="227" t="s">
        <v>214</v>
      </c>
      <c r="D67" s="228">
        <v>375</v>
      </c>
      <c r="E67" s="228">
        <v>27</v>
      </c>
      <c r="F67" s="231">
        <v>2001.1</v>
      </c>
      <c r="G67" s="231">
        <v>2012.6</v>
      </c>
      <c r="H67" s="228">
        <v>-11.5</v>
      </c>
      <c r="I67" s="229">
        <v>-5.7000000000000002E-3</v>
      </c>
      <c r="J67" s="231">
        <v>1993.5</v>
      </c>
      <c r="K67" s="231">
        <v>1999.7</v>
      </c>
      <c r="L67" s="228">
        <v>-6.2</v>
      </c>
      <c r="M67" s="229">
        <v>-3.0999999999999999E-3</v>
      </c>
      <c r="N67" s="231">
        <v>2001.1</v>
      </c>
      <c r="O67" s="231">
        <v>2003.5</v>
      </c>
      <c r="P67" s="228">
        <v>-2.4</v>
      </c>
      <c r="Q67" s="229">
        <v>-1.1999999999999999E-3</v>
      </c>
      <c r="R67" s="231">
        <v>2015.1</v>
      </c>
      <c r="S67" s="231">
        <v>2012.6</v>
      </c>
      <c r="T67" s="228">
        <v>2.5</v>
      </c>
      <c r="U67" s="229">
        <v>1.1999999999999999E-3</v>
      </c>
      <c r="V67" s="231">
        <v>2015.1</v>
      </c>
      <c r="W67" s="231">
        <v>2022.5</v>
      </c>
      <c r="X67" s="228">
        <v>-7.4</v>
      </c>
      <c r="Y67" s="229">
        <v>-3.7000000000000002E-3</v>
      </c>
      <c r="Z67" s="228">
        <v>7.6</v>
      </c>
      <c r="AA67" s="228">
        <v>12.9</v>
      </c>
      <c r="AB67" s="228">
        <v>-5.3</v>
      </c>
      <c r="AC67" s="229">
        <v>3.8E-3</v>
      </c>
      <c r="AD67" s="228">
        <v>7.6</v>
      </c>
      <c r="AE67" s="228">
        <v>3.8</v>
      </c>
      <c r="AF67" s="228">
        <v>3.8</v>
      </c>
      <c r="AG67" s="229">
        <v>3.8E-3</v>
      </c>
      <c r="AH67" s="228">
        <v>21.6</v>
      </c>
      <c r="AI67" s="228">
        <v>12.9</v>
      </c>
      <c r="AJ67" s="228">
        <v>8.6999999999999993</v>
      </c>
      <c r="AK67" s="229">
        <v>1.0800000000000001E-2</v>
      </c>
      <c r="AL67" s="228">
        <v>21.6</v>
      </c>
      <c r="AM67" s="228">
        <v>22.8</v>
      </c>
      <c r="AN67" s="228">
        <v>-1.2</v>
      </c>
      <c r="AO67" s="229">
        <v>1.0800000000000001E-2</v>
      </c>
      <c r="AP67" s="231">
        <v>1998.43</v>
      </c>
      <c r="AQ67" s="231">
        <v>2012.53</v>
      </c>
      <c r="AR67" s="228">
        <v>0</v>
      </c>
      <c r="AS67" s="228">
        <v>192</v>
      </c>
      <c r="AT67" s="230">
        <v>1503</v>
      </c>
      <c r="AU67" s="230">
        <v>-1310</v>
      </c>
      <c r="AV67" s="229">
        <v>-0.87190000000000001</v>
      </c>
      <c r="AW67" s="228">
        <v>189</v>
      </c>
      <c r="AX67" s="228">
        <v>645</v>
      </c>
      <c r="AY67" s="228">
        <v>-456</v>
      </c>
      <c r="AZ67" s="229">
        <v>-0.70740000000000003</v>
      </c>
      <c r="BA67" s="228">
        <v>4</v>
      </c>
      <c r="BB67" s="228">
        <v>852</v>
      </c>
      <c r="BC67" s="228">
        <v>-849</v>
      </c>
      <c r="BD67" s="229">
        <v>-0.99560000000000004</v>
      </c>
      <c r="BE67" s="228">
        <v>0</v>
      </c>
      <c r="BF67" s="228">
        <v>6</v>
      </c>
      <c r="BG67" s="228">
        <v>-6</v>
      </c>
      <c r="BH67" s="229">
        <v>-0.98670000000000002</v>
      </c>
      <c r="BI67" s="228">
        <v>229</v>
      </c>
      <c r="BJ67" s="228">
        <v>571</v>
      </c>
      <c r="BK67" s="228">
        <v>-342</v>
      </c>
      <c r="BL67" s="229">
        <v>-0.5988</v>
      </c>
      <c r="BM67" s="228">
        <v>131</v>
      </c>
      <c r="BN67" s="228">
        <v>316</v>
      </c>
      <c r="BO67" s="228">
        <v>-185</v>
      </c>
      <c r="BP67" s="229">
        <v>-0.58550000000000002</v>
      </c>
      <c r="BQ67" s="228">
        <v>552</v>
      </c>
      <c r="BR67" s="230">
        <v>2389</v>
      </c>
      <c r="BS67" s="230">
        <v>-1837</v>
      </c>
      <c r="BT67" s="229">
        <v>-0.76880000000000004</v>
      </c>
      <c r="BU67" s="230">
        <v>241136</v>
      </c>
      <c r="BV67" s="230">
        <v>475282</v>
      </c>
      <c r="BW67" s="230">
        <v>-234146</v>
      </c>
      <c r="BX67" s="229">
        <v>-0.49259999999999998</v>
      </c>
      <c r="BY67" s="230">
        <v>2259</v>
      </c>
      <c r="BZ67" s="230">
        <v>2223</v>
      </c>
      <c r="CA67" s="228">
        <v>36</v>
      </c>
      <c r="CB67" s="229">
        <v>1.6299999999999999E-2</v>
      </c>
      <c r="CC67" s="230">
        <v>2250</v>
      </c>
      <c r="CD67" s="228">
        <v>55</v>
      </c>
      <c r="CE67" s="230">
        <v>2195</v>
      </c>
      <c r="CF67" s="229">
        <v>39.841999999999999</v>
      </c>
      <c r="CG67" s="228">
        <v>9</v>
      </c>
      <c r="CH67" s="230">
        <v>2214</v>
      </c>
      <c r="CI67" s="230">
        <v>-2205</v>
      </c>
      <c r="CJ67" s="229">
        <v>-0.99580000000000002</v>
      </c>
      <c r="CK67" s="228">
        <v>0</v>
      </c>
      <c r="CL67" s="228">
        <v>8</v>
      </c>
      <c r="CM67" s="228">
        <v>-8</v>
      </c>
      <c r="CN67" s="229">
        <v>-0.9909</v>
      </c>
      <c r="CO67" s="228">
        <v>240</v>
      </c>
      <c r="CP67" s="228">
        <v>211</v>
      </c>
      <c r="CQ67" s="228">
        <v>29</v>
      </c>
      <c r="CR67" s="229">
        <v>0.13969999999999999</v>
      </c>
      <c r="CS67" s="228">
        <v>173</v>
      </c>
      <c r="CT67" s="228">
        <v>158</v>
      </c>
      <c r="CU67" s="228">
        <v>15</v>
      </c>
      <c r="CV67" s="229">
        <v>9.35E-2</v>
      </c>
      <c r="CW67" s="230">
        <v>2672</v>
      </c>
      <c r="CX67" s="230">
        <v>2591</v>
      </c>
      <c r="CY67" s="228">
        <v>80</v>
      </c>
      <c r="CZ67" s="229">
        <v>3.1E-2</v>
      </c>
      <c r="DA67" s="228">
        <v>34.64</v>
      </c>
      <c r="DB67" s="228">
        <v>34.44</v>
      </c>
      <c r="DC67" s="228">
        <v>0.2</v>
      </c>
      <c r="DD67" s="228">
        <v>0.2</v>
      </c>
      <c r="DE67" s="228">
        <v>35.119999999999997</v>
      </c>
      <c r="DF67" s="228">
        <v>35.200000000000003</v>
      </c>
      <c r="DG67" s="228">
        <v>-0.48</v>
      </c>
      <c r="DH67" s="228">
        <v>-0.08</v>
      </c>
      <c r="DI67" s="228">
        <v>34.43</v>
      </c>
      <c r="DJ67" s="228">
        <v>33.74</v>
      </c>
      <c r="DK67" s="228">
        <v>0.69</v>
      </c>
      <c r="DL67" s="228">
        <v>0.69</v>
      </c>
      <c r="DM67" s="228">
        <v>35.03</v>
      </c>
      <c r="DN67" s="228">
        <v>35.33</v>
      </c>
      <c r="DO67" s="228">
        <v>-0.3</v>
      </c>
      <c r="DP67" s="228">
        <v>-0.3</v>
      </c>
      <c r="DQ67" s="228">
        <v>0.72</v>
      </c>
      <c r="DR67" s="228">
        <v>0.75</v>
      </c>
      <c r="DS67" s="228">
        <v>-0.03</v>
      </c>
      <c r="DT67" s="229">
        <v>-0.04</v>
      </c>
      <c r="DU67" s="231">
        <v>2000</v>
      </c>
      <c r="DV67" s="231">
        <v>2000</v>
      </c>
      <c r="DW67" s="228">
        <v>0.56999999999999995</v>
      </c>
      <c r="DX67" s="228">
        <v>0.55000000000000004</v>
      </c>
      <c r="DY67" s="228">
        <v>0.02</v>
      </c>
      <c r="DZ67" s="229">
        <v>3.6400000000000002E-2</v>
      </c>
      <c r="EA67" s="229">
        <v>4.1000000000000003E-3</v>
      </c>
      <c r="EB67" s="230">
        <v>11107125</v>
      </c>
      <c r="EC67" s="229">
        <v>7.0000000000000001E-3</v>
      </c>
      <c r="ED67" s="229">
        <v>4.1000000000000003E-3</v>
      </c>
      <c r="EE67" s="228">
        <v>14.1</v>
      </c>
      <c r="EF67" s="229">
        <v>7.1000000000000004E-3</v>
      </c>
      <c r="EG67" s="230">
        <v>113810</v>
      </c>
      <c r="EH67" s="230">
        <v>203729</v>
      </c>
      <c r="EI67" s="229">
        <v>-0.44140000000000001</v>
      </c>
      <c r="EJ67" s="229">
        <v>0.47199999999999998</v>
      </c>
      <c r="EK67" s="228">
        <v>243.71</v>
      </c>
      <c r="EL67" s="228">
        <v>129.19</v>
      </c>
      <c r="EM67" s="228">
        <v>192.18</v>
      </c>
      <c r="EN67" s="228">
        <v>199.06</v>
      </c>
      <c r="EO67" s="228">
        <v>565.07000000000005</v>
      </c>
      <c r="EP67" s="231">
        <v>2413.8000000000002</v>
      </c>
      <c r="EQ67" s="231">
        <v>-1848.72</v>
      </c>
      <c r="ER67" s="229">
        <v>-0.76590000000000003</v>
      </c>
      <c r="ES67" s="228">
        <v>248.98</v>
      </c>
      <c r="ET67" s="228">
        <v>169.79</v>
      </c>
      <c r="EU67" s="231">
        <v>2258.96</v>
      </c>
      <c r="EV67" s="231">
        <v>22585180</v>
      </c>
      <c r="EW67" s="231">
        <v>2677.72</v>
      </c>
      <c r="EX67" s="231">
        <v>2608.3200000000002</v>
      </c>
      <c r="EY67" s="228">
        <v>69.400000000000006</v>
      </c>
      <c r="EZ67" s="229">
        <v>2.6599999999999999E-2</v>
      </c>
      <c r="FA67" s="229">
        <v>0.59109999999999996</v>
      </c>
      <c r="FB67" s="227" t="s">
        <v>567</v>
      </c>
      <c r="FC67">
        <f t="shared" ref="FC67:FC130" si="1">BY67-CC67</f>
        <v>9</v>
      </c>
    </row>
    <row r="68" spans="1:159" ht="17.25" thickBot="1" x14ac:dyDescent="0.3">
      <c r="A68" s="226">
        <v>46050</v>
      </c>
      <c r="B68" s="227" t="s">
        <v>215</v>
      </c>
      <c r="C68" s="227" t="s">
        <v>631</v>
      </c>
      <c r="D68" s="228">
        <v>6975</v>
      </c>
      <c r="E68" s="228">
        <v>27</v>
      </c>
      <c r="F68" s="228">
        <v>94.57</v>
      </c>
      <c r="G68" s="228">
        <v>93.31</v>
      </c>
      <c r="H68" s="228">
        <v>1.26</v>
      </c>
      <c r="I68" s="229">
        <v>1.35E-2</v>
      </c>
      <c r="J68" s="228">
        <v>93.91</v>
      </c>
      <c r="K68" s="228">
        <v>92.64</v>
      </c>
      <c r="L68" s="228">
        <v>1.27</v>
      </c>
      <c r="M68" s="229">
        <v>1.37E-2</v>
      </c>
      <c r="N68" s="228">
        <v>94.57</v>
      </c>
      <c r="O68" s="228">
        <v>92.84</v>
      </c>
      <c r="P68" s="228">
        <v>1.73</v>
      </c>
      <c r="Q68" s="229">
        <v>1.8599999999999998E-2</v>
      </c>
      <c r="R68" s="228">
        <v>95.18</v>
      </c>
      <c r="S68" s="228">
        <v>93.31</v>
      </c>
      <c r="T68" s="228">
        <v>1.87</v>
      </c>
      <c r="U68" s="229">
        <v>0.02</v>
      </c>
      <c r="V68" s="228">
        <v>95.86</v>
      </c>
      <c r="W68" s="228">
        <v>93.88</v>
      </c>
      <c r="X68" s="228">
        <v>1.98</v>
      </c>
      <c r="Y68" s="229">
        <v>2.1100000000000001E-2</v>
      </c>
      <c r="Z68" s="228">
        <v>0.66</v>
      </c>
      <c r="AA68" s="228">
        <v>0.67</v>
      </c>
      <c r="AB68" s="228">
        <v>-0.01</v>
      </c>
      <c r="AC68" s="229">
        <v>7.0000000000000001E-3</v>
      </c>
      <c r="AD68" s="228">
        <v>0.66</v>
      </c>
      <c r="AE68" s="228">
        <v>0.2</v>
      </c>
      <c r="AF68" s="228">
        <v>0.46</v>
      </c>
      <c r="AG68" s="229">
        <v>7.0000000000000001E-3</v>
      </c>
      <c r="AH68" s="228">
        <v>1.27</v>
      </c>
      <c r="AI68" s="228">
        <v>0.67</v>
      </c>
      <c r="AJ68" s="228">
        <v>0.6</v>
      </c>
      <c r="AK68" s="229">
        <v>1.35E-2</v>
      </c>
      <c r="AL68" s="228">
        <v>1.95</v>
      </c>
      <c r="AM68" s="228">
        <v>1.24</v>
      </c>
      <c r="AN68" s="228">
        <v>0.71</v>
      </c>
      <c r="AO68" s="229">
        <v>2.0799999999999999E-2</v>
      </c>
      <c r="AP68" s="228">
        <v>93.85</v>
      </c>
      <c r="AQ68" s="228">
        <v>94.43</v>
      </c>
      <c r="AR68" s="228">
        <v>0</v>
      </c>
      <c r="AS68" s="228">
        <v>177</v>
      </c>
      <c r="AT68" s="230">
        <v>1250</v>
      </c>
      <c r="AU68" s="230">
        <v>-1073</v>
      </c>
      <c r="AV68" s="229">
        <v>-0.85829999999999995</v>
      </c>
      <c r="AW68" s="228">
        <v>167</v>
      </c>
      <c r="AX68" s="228">
        <v>504</v>
      </c>
      <c r="AY68" s="228">
        <v>-338</v>
      </c>
      <c r="AZ68" s="229">
        <v>-0.66949999999999998</v>
      </c>
      <c r="BA68" s="228">
        <v>9</v>
      </c>
      <c r="BB68" s="228">
        <v>716</v>
      </c>
      <c r="BC68" s="228">
        <v>-707</v>
      </c>
      <c r="BD68" s="229">
        <v>-0.98770000000000002</v>
      </c>
      <c r="BE68" s="228">
        <v>2</v>
      </c>
      <c r="BF68" s="228">
        <v>29</v>
      </c>
      <c r="BG68" s="228">
        <v>-28</v>
      </c>
      <c r="BH68" s="229">
        <v>-0.94799999999999995</v>
      </c>
      <c r="BI68" s="228">
        <v>486</v>
      </c>
      <c r="BJ68" s="228">
        <v>774</v>
      </c>
      <c r="BK68" s="228">
        <v>-289</v>
      </c>
      <c r="BL68" s="229">
        <v>-0.37269999999999998</v>
      </c>
      <c r="BM68" s="228">
        <v>101</v>
      </c>
      <c r="BN68" s="228">
        <v>518</v>
      </c>
      <c r="BO68" s="228">
        <v>-416</v>
      </c>
      <c r="BP68" s="229">
        <v>-0.80410000000000004</v>
      </c>
      <c r="BQ68" s="228">
        <v>764</v>
      </c>
      <c r="BR68" s="230">
        <v>2542</v>
      </c>
      <c r="BS68" s="230">
        <v>-1777</v>
      </c>
      <c r="BT68" s="229">
        <v>-0.69930000000000003</v>
      </c>
      <c r="BU68" s="230">
        <v>20849768</v>
      </c>
      <c r="BV68" s="230">
        <v>40547468</v>
      </c>
      <c r="BW68" s="230">
        <v>-19697700</v>
      </c>
      <c r="BX68" s="229">
        <v>-0.48580000000000001</v>
      </c>
      <c r="BY68" s="230">
        <v>1551</v>
      </c>
      <c r="BZ68" s="230">
        <v>1541</v>
      </c>
      <c r="CA68" s="228">
        <v>10</v>
      </c>
      <c r="CB68" s="229">
        <v>6.1999999999999998E-3</v>
      </c>
      <c r="CC68" s="230">
        <v>1519</v>
      </c>
      <c r="CD68" s="228">
        <v>255</v>
      </c>
      <c r="CE68" s="230">
        <v>1263</v>
      </c>
      <c r="CF68" s="229">
        <v>4.9516999999999998</v>
      </c>
      <c r="CG68" s="228">
        <v>32</v>
      </c>
      <c r="CH68" s="230">
        <v>1511</v>
      </c>
      <c r="CI68" s="230">
        <v>-1480</v>
      </c>
      <c r="CJ68" s="229">
        <v>-0.97899999999999998</v>
      </c>
      <c r="CK68" s="228">
        <v>1</v>
      </c>
      <c r="CL68" s="228">
        <v>30</v>
      </c>
      <c r="CM68" s="228">
        <v>-29</v>
      </c>
      <c r="CN68" s="229">
        <v>-0.97160000000000002</v>
      </c>
      <c r="CO68" s="228">
        <v>452</v>
      </c>
      <c r="CP68" s="228">
        <v>421</v>
      </c>
      <c r="CQ68" s="228">
        <v>31</v>
      </c>
      <c r="CR68" s="229">
        <v>7.3400000000000007E-2</v>
      </c>
      <c r="CS68" s="228">
        <v>394</v>
      </c>
      <c r="CT68" s="228">
        <v>373</v>
      </c>
      <c r="CU68" s="228">
        <v>21</v>
      </c>
      <c r="CV68" s="229">
        <v>5.7200000000000001E-2</v>
      </c>
      <c r="CW68" s="230">
        <v>2397</v>
      </c>
      <c r="CX68" s="230">
        <v>2336</v>
      </c>
      <c r="CY68" s="228">
        <v>62</v>
      </c>
      <c r="CZ68" s="229">
        <v>2.6499999999999999E-2</v>
      </c>
      <c r="DA68" s="228">
        <v>34.75</v>
      </c>
      <c r="DB68" s="228">
        <v>35.44</v>
      </c>
      <c r="DC68" s="228">
        <v>-0.69</v>
      </c>
      <c r="DD68" s="228">
        <v>-0.69</v>
      </c>
      <c r="DE68" s="228">
        <v>36.61</v>
      </c>
      <c r="DF68" s="228">
        <v>36.659999999999997</v>
      </c>
      <c r="DG68" s="228">
        <v>-1.86</v>
      </c>
      <c r="DH68" s="228">
        <v>-0.05</v>
      </c>
      <c r="DI68" s="228">
        <v>34.450000000000003</v>
      </c>
      <c r="DJ68" s="228">
        <v>35.08</v>
      </c>
      <c r="DK68" s="228">
        <v>-0.63</v>
      </c>
      <c r="DL68" s="228">
        <v>-0.63</v>
      </c>
      <c r="DM68" s="228">
        <v>36.18</v>
      </c>
      <c r="DN68" s="228">
        <v>36.090000000000003</v>
      </c>
      <c r="DO68" s="228">
        <v>0.09</v>
      </c>
      <c r="DP68" s="228">
        <v>0.09</v>
      </c>
      <c r="DQ68" s="228">
        <v>0.87</v>
      </c>
      <c r="DR68" s="228">
        <v>0.88</v>
      </c>
      <c r="DS68" s="228">
        <v>-0.01</v>
      </c>
      <c r="DT68" s="229">
        <v>-1.14E-2</v>
      </c>
      <c r="DU68" s="228">
        <v>100</v>
      </c>
      <c r="DV68" s="228">
        <v>98</v>
      </c>
      <c r="DW68" s="228">
        <v>0.21</v>
      </c>
      <c r="DX68" s="228">
        <v>0.67</v>
      </c>
      <c r="DY68" s="228">
        <v>-0.46</v>
      </c>
      <c r="DZ68" s="229">
        <v>-0.68659999999999999</v>
      </c>
      <c r="EA68" s="229">
        <v>2.1000000000000001E-2</v>
      </c>
      <c r="EB68" s="230">
        <v>162998775</v>
      </c>
      <c r="EC68" s="229">
        <v>6.4999999999999997E-3</v>
      </c>
      <c r="ED68" s="229">
        <v>2.1000000000000001E-2</v>
      </c>
      <c r="EE68" s="228">
        <v>0.57999999999999996</v>
      </c>
      <c r="EF68" s="229">
        <v>6.1999999999999998E-3</v>
      </c>
      <c r="EG68" s="230">
        <v>14409690</v>
      </c>
      <c r="EH68" s="230">
        <v>26635877</v>
      </c>
      <c r="EI68" s="229">
        <v>-0.45900000000000002</v>
      </c>
      <c r="EJ68" s="229">
        <v>0.69110000000000005</v>
      </c>
      <c r="EK68" s="228">
        <v>522.98</v>
      </c>
      <c r="EL68" s="228">
        <v>98.67</v>
      </c>
      <c r="EM68" s="228">
        <v>175.77</v>
      </c>
      <c r="EN68" s="228">
        <v>153.08000000000001</v>
      </c>
      <c r="EO68" s="228">
        <v>797.42</v>
      </c>
      <c r="EP68" s="231">
        <v>2550.61</v>
      </c>
      <c r="EQ68" s="231">
        <v>-1753.19</v>
      </c>
      <c r="ER68" s="229">
        <v>-0.68740000000000001</v>
      </c>
      <c r="ES68" s="228">
        <v>480.8</v>
      </c>
      <c r="ET68" s="228">
        <v>396.28</v>
      </c>
      <c r="EU68" s="231">
        <v>1551.26</v>
      </c>
      <c r="EV68" s="231">
        <v>534704421</v>
      </c>
      <c r="EW68" s="231">
        <v>2428.35</v>
      </c>
      <c r="EX68" s="231">
        <v>2345.2199999999998</v>
      </c>
      <c r="EY68" s="228">
        <v>83.13</v>
      </c>
      <c r="EZ68" s="229">
        <v>3.5400000000000001E-2</v>
      </c>
      <c r="FA68" s="229">
        <v>0.47410000000000002</v>
      </c>
      <c r="FB68" s="227" t="s">
        <v>555</v>
      </c>
      <c r="FC68">
        <f t="shared" si="1"/>
        <v>32</v>
      </c>
    </row>
    <row r="69" spans="1:159" ht="17.25" thickBot="1" x14ac:dyDescent="0.3">
      <c r="A69" s="226">
        <v>46050</v>
      </c>
      <c r="B69" s="227" t="s">
        <v>168</v>
      </c>
      <c r="C69" s="227" t="s">
        <v>217</v>
      </c>
      <c r="D69" s="228">
        <v>500</v>
      </c>
      <c r="E69" s="228">
        <v>27</v>
      </c>
      <c r="F69" s="231">
        <v>1173.2</v>
      </c>
      <c r="G69" s="231">
        <v>1173.9000000000001</v>
      </c>
      <c r="H69" s="228">
        <v>-0.7</v>
      </c>
      <c r="I69" s="229">
        <v>-5.9999999999999995E-4</v>
      </c>
      <c r="J69" s="231">
        <v>1171.8</v>
      </c>
      <c r="K69" s="231">
        <v>1173.9000000000001</v>
      </c>
      <c r="L69" s="228">
        <v>-2.1</v>
      </c>
      <c r="M69" s="229">
        <v>-1.8E-3</v>
      </c>
      <c r="N69" s="231">
        <v>1173.2</v>
      </c>
      <c r="O69" s="231">
        <v>1173.2</v>
      </c>
      <c r="P69" s="228">
        <v>0</v>
      </c>
      <c r="Q69" s="229">
        <v>0</v>
      </c>
      <c r="R69" s="231">
        <v>1178.5999999999999</v>
      </c>
      <c r="S69" s="231">
        <v>1173.9000000000001</v>
      </c>
      <c r="T69" s="228">
        <v>4.7</v>
      </c>
      <c r="U69" s="229">
        <v>4.0000000000000001E-3</v>
      </c>
      <c r="V69" s="228">
        <v>0</v>
      </c>
      <c r="W69" s="231">
        <v>1180.8</v>
      </c>
      <c r="X69" s="228">
        <v>0</v>
      </c>
      <c r="Y69" s="229">
        <v>0</v>
      </c>
      <c r="Z69" s="228">
        <v>1.4</v>
      </c>
      <c r="AA69" s="228">
        <v>0</v>
      </c>
      <c r="AB69" s="228">
        <v>1.4</v>
      </c>
      <c r="AC69" s="229">
        <v>1.1999999999999999E-3</v>
      </c>
      <c r="AD69" s="228">
        <v>1.4</v>
      </c>
      <c r="AE69" s="228">
        <v>-0.7</v>
      </c>
      <c r="AF69" s="228">
        <v>2.1</v>
      </c>
      <c r="AG69" s="229">
        <v>1.1999999999999999E-3</v>
      </c>
      <c r="AH69" s="228">
        <v>6.8</v>
      </c>
      <c r="AI69" s="228">
        <v>0</v>
      </c>
      <c r="AJ69" s="228">
        <v>6.8</v>
      </c>
      <c r="AK69" s="229">
        <v>5.7999999999999996E-3</v>
      </c>
      <c r="AL69" s="228">
        <v>0</v>
      </c>
      <c r="AM69" s="228">
        <v>6.9</v>
      </c>
      <c r="AN69" s="228">
        <v>0</v>
      </c>
      <c r="AO69" s="229">
        <v>0</v>
      </c>
      <c r="AP69" s="231">
        <v>1163.1500000000001</v>
      </c>
      <c r="AQ69" s="231">
        <v>1167.79</v>
      </c>
      <c r="AR69" s="228">
        <v>0</v>
      </c>
      <c r="AS69" s="228">
        <v>144</v>
      </c>
      <c r="AT69" s="230">
        <v>1147</v>
      </c>
      <c r="AU69" s="230">
        <v>-1003</v>
      </c>
      <c r="AV69" s="229">
        <v>-0.87460000000000004</v>
      </c>
      <c r="AW69" s="228">
        <v>140</v>
      </c>
      <c r="AX69" s="228">
        <v>399</v>
      </c>
      <c r="AY69" s="228">
        <v>-259</v>
      </c>
      <c r="AZ69" s="229">
        <v>-0.64939999999999998</v>
      </c>
      <c r="BA69" s="228">
        <v>4</v>
      </c>
      <c r="BB69" s="228">
        <v>745</v>
      </c>
      <c r="BC69" s="228">
        <v>-741</v>
      </c>
      <c r="BD69" s="229">
        <v>-0.99460000000000004</v>
      </c>
      <c r="BE69" s="228">
        <v>0</v>
      </c>
      <c r="BF69" s="228">
        <v>3</v>
      </c>
      <c r="BG69" s="228">
        <v>0</v>
      </c>
      <c r="BH69" s="229">
        <v>0</v>
      </c>
      <c r="BI69" s="228">
        <v>301</v>
      </c>
      <c r="BJ69" s="228">
        <v>667</v>
      </c>
      <c r="BK69" s="228">
        <v>-365</v>
      </c>
      <c r="BL69" s="229">
        <v>-0.54790000000000005</v>
      </c>
      <c r="BM69" s="228">
        <v>274</v>
      </c>
      <c r="BN69" s="228">
        <v>921</v>
      </c>
      <c r="BO69" s="228">
        <v>-648</v>
      </c>
      <c r="BP69" s="229">
        <v>-0.70299999999999996</v>
      </c>
      <c r="BQ69" s="228">
        <v>719</v>
      </c>
      <c r="BR69" s="230">
        <v>2735</v>
      </c>
      <c r="BS69" s="230">
        <v>-2016</v>
      </c>
      <c r="BT69" s="229">
        <v>-0.73709999999999998</v>
      </c>
      <c r="BU69" s="230">
        <v>1379633</v>
      </c>
      <c r="BV69" s="230">
        <v>4630913</v>
      </c>
      <c r="BW69" s="230">
        <v>-3251280</v>
      </c>
      <c r="BX69" s="229">
        <v>-0.70209999999999995</v>
      </c>
      <c r="BY69" s="228">
        <v>926</v>
      </c>
      <c r="BZ69" s="228">
        <v>933</v>
      </c>
      <c r="CA69" s="228">
        <v>-6</v>
      </c>
      <c r="CB69" s="229">
        <v>-6.8999999999999999E-3</v>
      </c>
      <c r="CC69" s="228">
        <v>922</v>
      </c>
      <c r="CD69" s="228">
        <v>54</v>
      </c>
      <c r="CE69" s="228">
        <v>868</v>
      </c>
      <c r="CF69" s="229">
        <v>15.9968</v>
      </c>
      <c r="CG69" s="228">
        <v>4</v>
      </c>
      <c r="CH69" s="228">
        <v>930</v>
      </c>
      <c r="CI69" s="228">
        <v>-926</v>
      </c>
      <c r="CJ69" s="229">
        <v>-0.99570000000000003</v>
      </c>
      <c r="CK69" s="228">
        <v>0</v>
      </c>
      <c r="CL69" s="228">
        <v>3</v>
      </c>
      <c r="CM69" s="228">
        <v>-3</v>
      </c>
      <c r="CN69" s="229">
        <v>-1</v>
      </c>
      <c r="CO69" s="228">
        <v>142</v>
      </c>
      <c r="CP69" s="228">
        <v>115</v>
      </c>
      <c r="CQ69" s="228">
        <v>28</v>
      </c>
      <c r="CR69" s="229">
        <v>0.24079999999999999</v>
      </c>
      <c r="CS69" s="228">
        <v>141</v>
      </c>
      <c r="CT69" s="228">
        <v>88</v>
      </c>
      <c r="CU69" s="228">
        <v>53</v>
      </c>
      <c r="CV69" s="229">
        <v>0.60819999999999996</v>
      </c>
      <c r="CW69" s="230">
        <v>1209</v>
      </c>
      <c r="CX69" s="230">
        <v>1135</v>
      </c>
      <c r="CY69" s="228">
        <v>74</v>
      </c>
      <c r="CZ69" s="229">
        <v>6.5600000000000006E-2</v>
      </c>
      <c r="DA69" s="228">
        <v>27.34</v>
      </c>
      <c r="DB69" s="228">
        <v>29.15</v>
      </c>
      <c r="DC69" s="228">
        <v>-1.81</v>
      </c>
      <c r="DD69" s="228">
        <v>-1.81</v>
      </c>
      <c r="DE69" s="228">
        <v>28.49</v>
      </c>
      <c r="DF69" s="228">
        <v>28.56</v>
      </c>
      <c r="DG69" s="228">
        <v>-1.1499999999999999</v>
      </c>
      <c r="DH69" s="228">
        <v>-7.0000000000000007E-2</v>
      </c>
      <c r="DI69" s="228">
        <v>26.89</v>
      </c>
      <c r="DJ69" s="228">
        <v>29.32</v>
      </c>
      <c r="DK69" s="228">
        <v>-2.4300000000000002</v>
      </c>
      <c r="DL69" s="228">
        <v>-2.4300000000000002</v>
      </c>
      <c r="DM69" s="228">
        <v>27.83</v>
      </c>
      <c r="DN69" s="228">
        <v>29.01</v>
      </c>
      <c r="DO69" s="228">
        <v>-1.18</v>
      </c>
      <c r="DP69" s="228">
        <v>-1.18</v>
      </c>
      <c r="DQ69" s="228">
        <v>0.99</v>
      </c>
      <c r="DR69" s="228">
        <v>0.76</v>
      </c>
      <c r="DS69" s="228">
        <v>0.23</v>
      </c>
      <c r="DT69" s="229">
        <v>0.30259999999999998</v>
      </c>
      <c r="DU69" s="231">
        <v>1200</v>
      </c>
      <c r="DV69" s="231">
        <v>1100</v>
      </c>
      <c r="DW69" s="228">
        <v>0.91</v>
      </c>
      <c r="DX69" s="228">
        <v>1.38</v>
      </c>
      <c r="DY69" s="228">
        <v>-0.47</v>
      </c>
      <c r="DZ69" s="229">
        <v>-0.34060000000000001</v>
      </c>
      <c r="EA69" s="229">
        <v>4.3E-3</v>
      </c>
      <c r="EB69" s="230">
        <v>7949500</v>
      </c>
      <c r="EC69" s="229">
        <v>4.5999999999999999E-3</v>
      </c>
      <c r="ED69" s="229">
        <v>4.3E-3</v>
      </c>
      <c r="EE69" s="228">
        <v>4.6399999999999997</v>
      </c>
      <c r="EF69" s="229">
        <v>4.0000000000000001E-3</v>
      </c>
      <c r="EG69" s="230">
        <v>802209</v>
      </c>
      <c r="EH69" s="230">
        <v>2313745</v>
      </c>
      <c r="EI69" s="229">
        <v>-0.65329999999999999</v>
      </c>
      <c r="EJ69" s="229">
        <v>0.58150000000000002</v>
      </c>
      <c r="EK69" s="228">
        <v>316.94</v>
      </c>
      <c r="EL69" s="228">
        <v>270.63</v>
      </c>
      <c r="EM69" s="228">
        <v>142.62</v>
      </c>
      <c r="EN69" s="228">
        <v>158.93</v>
      </c>
      <c r="EO69" s="228">
        <v>730.19</v>
      </c>
      <c r="EP69" s="231">
        <v>2786.06</v>
      </c>
      <c r="EQ69" s="231">
        <v>-2055.87</v>
      </c>
      <c r="ER69" s="229">
        <v>-0.7379</v>
      </c>
      <c r="ES69" s="228">
        <v>150.81</v>
      </c>
      <c r="ET69" s="228">
        <v>136.34</v>
      </c>
      <c r="EU69" s="228">
        <v>926.26</v>
      </c>
      <c r="EV69" s="231">
        <v>72031016</v>
      </c>
      <c r="EW69" s="231">
        <v>1213.4100000000001</v>
      </c>
      <c r="EX69" s="231">
        <v>1143.02</v>
      </c>
      <c r="EY69" s="228">
        <v>70.39</v>
      </c>
      <c r="EZ69" s="229">
        <v>6.1600000000000002E-2</v>
      </c>
      <c r="FA69" s="229">
        <v>0.1431</v>
      </c>
      <c r="FB69" s="227" t="s">
        <v>568</v>
      </c>
      <c r="FC69">
        <f t="shared" si="1"/>
        <v>4</v>
      </c>
    </row>
    <row r="70" spans="1:159" ht="17.25" thickBot="1" x14ac:dyDescent="0.3">
      <c r="A70" s="226">
        <v>46050</v>
      </c>
      <c r="B70" s="227" t="s">
        <v>206</v>
      </c>
      <c r="C70" s="227" t="s">
        <v>218</v>
      </c>
      <c r="D70" s="228">
        <v>275</v>
      </c>
      <c r="E70" s="228">
        <v>27</v>
      </c>
      <c r="F70" s="231">
        <v>1560.7</v>
      </c>
      <c r="G70" s="231">
        <v>1529</v>
      </c>
      <c r="H70" s="228">
        <v>31.7</v>
      </c>
      <c r="I70" s="229">
        <v>2.07E-2</v>
      </c>
      <c r="J70" s="231">
        <v>1550.3</v>
      </c>
      <c r="K70" s="231">
        <v>1517.9</v>
      </c>
      <c r="L70" s="228">
        <v>32.4</v>
      </c>
      <c r="M70" s="229">
        <v>2.1299999999999999E-2</v>
      </c>
      <c r="N70" s="231">
        <v>1560.7</v>
      </c>
      <c r="O70" s="231">
        <v>1519.8</v>
      </c>
      <c r="P70" s="228">
        <v>40.9</v>
      </c>
      <c r="Q70" s="229">
        <v>2.69E-2</v>
      </c>
      <c r="R70" s="231">
        <v>1571.5</v>
      </c>
      <c r="S70" s="231">
        <v>1529</v>
      </c>
      <c r="T70" s="228">
        <v>42.5</v>
      </c>
      <c r="U70" s="229">
        <v>2.7799999999999998E-2</v>
      </c>
      <c r="V70" s="231">
        <v>1581.6</v>
      </c>
      <c r="W70" s="231">
        <v>1540.7</v>
      </c>
      <c r="X70" s="228">
        <v>40.9</v>
      </c>
      <c r="Y70" s="229">
        <v>2.6499999999999999E-2</v>
      </c>
      <c r="Z70" s="228">
        <v>10.4</v>
      </c>
      <c r="AA70" s="228">
        <v>11.1</v>
      </c>
      <c r="AB70" s="228">
        <v>-0.7</v>
      </c>
      <c r="AC70" s="229">
        <v>6.7000000000000002E-3</v>
      </c>
      <c r="AD70" s="228">
        <v>10.4</v>
      </c>
      <c r="AE70" s="228">
        <v>1.9</v>
      </c>
      <c r="AF70" s="228">
        <v>8.5</v>
      </c>
      <c r="AG70" s="229">
        <v>6.7000000000000002E-3</v>
      </c>
      <c r="AH70" s="228">
        <v>21.2</v>
      </c>
      <c r="AI70" s="228">
        <v>11.1</v>
      </c>
      <c r="AJ70" s="228">
        <v>10.1</v>
      </c>
      <c r="AK70" s="229">
        <v>1.37E-2</v>
      </c>
      <c r="AL70" s="228">
        <v>31.3</v>
      </c>
      <c r="AM70" s="228">
        <v>22.8</v>
      </c>
      <c r="AN70" s="228">
        <v>8.5</v>
      </c>
      <c r="AO70" s="229">
        <v>2.0199999999999999E-2</v>
      </c>
      <c r="AP70" s="231">
        <v>1546.27</v>
      </c>
      <c r="AQ70" s="231">
        <v>1553.75</v>
      </c>
      <c r="AR70" s="228">
        <v>0</v>
      </c>
      <c r="AS70" s="228">
        <v>417</v>
      </c>
      <c r="AT70" s="230">
        <v>1567</v>
      </c>
      <c r="AU70" s="230">
        <v>-1150</v>
      </c>
      <c r="AV70" s="229">
        <v>-0.73380000000000001</v>
      </c>
      <c r="AW70" s="228">
        <v>401</v>
      </c>
      <c r="AX70" s="228">
        <v>511</v>
      </c>
      <c r="AY70" s="228">
        <v>-110</v>
      </c>
      <c r="AZ70" s="229">
        <v>-0.21490000000000001</v>
      </c>
      <c r="BA70" s="228">
        <v>15</v>
      </c>
      <c r="BB70" s="230">
        <v>1004</v>
      </c>
      <c r="BC70" s="228">
        <v>-990</v>
      </c>
      <c r="BD70" s="229">
        <v>-0.98560000000000003</v>
      </c>
      <c r="BE70" s="228">
        <v>1</v>
      </c>
      <c r="BF70" s="228">
        <v>52</v>
      </c>
      <c r="BG70" s="228">
        <v>-51</v>
      </c>
      <c r="BH70" s="229">
        <v>-0.97270000000000001</v>
      </c>
      <c r="BI70" s="228">
        <v>832</v>
      </c>
      <c r="BJ70" s="230">
        <v>1572</v>
      </c>
      <c r="BK70" s="228">
        <v>-740</v>
      </c>
      <c r="BL70" s="229">
        <v>-0.47089999999999999</v>
      </c>
      <c r="BM70" s="228">
        <v>269</v>
      </c>
      <c r="BN70" s="230">
        <v>1088</v>
      </c>
      <c r="BO70" s="228">
        <v>-819</v>
      </c>
      <c r="BP70" s="229">
        <v>-0.75249999999999995</v>
      </c>
      <c r="BQ70" s="230">
        <v>1518</v>
      </c>
      <c r="BR70" s="230">
        <v>4228</v>
      </c>
      <c r="BS70" s="230">
        <v>-2710</v>
      </c>
      <c r="BT70" s="229">
        <v>-0.64090000000000003</v>
      </c>
      <c r="BU70" s="230">
        <v>2006917</v>
      </c>
      <c r="BV70" s="230">
        <v>5129501</v>
      </c>
      <c r="BW70" s="230">
        <v>-3122584</v>
      </c>
      <c r="BX70" s="229">
        <v>-0.60880000000000001</v>
      </c>
      <c r="BY70" s="230">
        <v>2121</v>
      </c>
      <c r="BZ70" s="230">
        <v>2008</v>
      </c>
      <c r="CA70" s="228">
        <v>113</v>
      </c>
      <c r="CB70" s="229">
        <v>5.6300000000000003E-2</v>
      </c>
      <c r="CC70" s="230">
        <v>2067</v>
      </c>
      <c r="CD70" s="228">
        <v>88</v>
      </c>
      <c r="CE70" s="230">
        <v>1978</v>
      </c>
      <c r="CF70" s="229">
        <v>22.3965</v>
      </c>
      <c r="CG70" s="228">
        <v>53</v>
      </c>
      <c r="CH70" s="230">
        <v>1958</v>
      </c>
      <c r="CI70" s="230">
        <v>-1905</v>
      </c>
      <c r="CJ70" s="229">
        <v>-0.97270000000000001</v>
      </c>
      <c r="CK70" s="228">
        <v>1</v>
      </c>
      <c r="CL70" s="228">
        <v>50</v>
      </c>
      <c r="CM70" s="228">
        <v>-49</v>
      </c>
      <c r="CN70" s="229">
        <v>-0.98280000000000001</v>
      </c>
      <c r="CO70" s="228">
        <v>588</v>
      </c>
      <c r="CP70" s="228">
        <v>560</v>
      </c>
      <c r="CQ70" s="228">
        <v>28</v>
      </c>
      <c r="CR70" s="229">
        <v>4.99E-2</v>
      </c>
      <c r="CS70" s="228">
        <v>360</v>
      </c>
      <c r="CT70" s="228">
        <v>327</v>
      </c>
      <c r="CU70" s="228">
        <v>34</v>
      </c>
      <c r="CV70" s="229">
        <v>0.10299999999999999</v>
      </c>
      <c r="CW70" s="230">
        <v>3069</v>
      </c>
      <c r="CX70" s="230">
        <v>2894</v>
      </c>
      <c r="CY70" s="228">
        <v>175</v>
      </c>
      <c r="CZ70" s="229">
        <v>6.0299999999999999E-2</v>
      </c>
      <c r="DA70" s="228">
        <v>46.6</v>
      </c>
      <c r="DB70" s="228">
        <v>49.6</v>
      </c>
      <c r="DC70" s="228">
        <v>-3</v>
      </c>
      <c r="DD70" s="228">
        <v>-3</v>
      </c>
      <c r="DE70" s="228">
        <v>43.32</v>
      </c>
      <c r="DF70" s="228">
        <v>43.34</v>
      </c>
      <c r="DG70" s="228">
        <v>3.28</v>
      </c>
      <c r="DH70" s="228">
        <v>-0.02</v>
      </c>
      <c r="DI70" s="228">
        <v>46.33</v>
      </c>
      <c r="DJ70" s="228">
        <v>49.71</v>
      </c>
      <c r="DK70" s="228">
        <v>-3.38</v>
      </c>
      <c r="DL70" s="228">
        <v>-3.38</v>
      </c>
      <c r="DM70" s="228">
        <v>47.42</v>
      </c>
      <c r="DN70" s="228">
        <v>49.41</v>
      </c>
      <c r="DO70" s="228">
        <v>-1.99</v>
      </c>
      <c r="DP70" s="228">
        <v>-1.99</v>
      </c>
      <c r="DQ70" s="228">
        <v>0.61</v>
      </c>
      <c r="DR70" s="228">
        <v>0.57999999999999996</v>
      </c>
      <c r="DS70" s="228">
        <v>0.03</v>
      </c>
      <c r="DT70" s="229">
        <v>5.1700000000000003E-2</v>
      </c>
      <c r="DU70" s="231">
        <v>1700</v>
      </c>
      <c r="DV70" s="231">
        <v>1500</v>
      </c>
      <c r="DW70" s="228">
        <v>0.32</v>
      </c>
      <c r="DX70" s="228">
        <v>0.69</v>
      </c>
      <c r="DY70" s="228">
        <v>-0.37</v>
      </c>
      <c r="DZ70" s="229">
        <v>-0.53620000000000001</v>
      </c>
      <c r="EA70" s="229">
        <v>2.5600000000000001E-2</v>
      </c>
      <c r="EB70" s="230">
        <v>12864775</v>
      </c>
      <c r="EC70" s="229">
        <v>6.8999999999999999E-3</v>
      </c>
      <c r="ED70" s="229">
        <v>2.5600000000000001E-2</v>
      </c>
      <c r="EE70" s="228">
        <v>7.48</v>
      </c>
      <c r="EF70" s="229">
        <v>4.7999999999999996E-3</v>
      </c>
      <c r="EG70" s="230">
        <v>1044239</v>
      </c>
      <c r="EH70" s="230">
        <v>2795961</v>
      </c>
      <c r="EI70" s="229">
        <v>-0.62649999999999995</v>
      </c>
      <c r="EJ70" s="229">
        <v>0.52029999999999998</v>
      </c>
      <c r="EK70" s="228">
        <v>904.88</v>
      </c>
      <c r="EL70" s="228">
        <v>263.52999999999997</v>
      </c>
      <c r="EM70" s="228">
        <v>413.44</v>
      </c>
      <c r="EN70" s="228">
        <v>321.67</v>
      </c>
      <c r="EO70" s="231">
        <v>1581.85</v>
      </c>
      <c r="EP70" s="231">
        <v>4360.63</v>
      </c>
      <c r="EQ70" s="231">
        <v>-2778.78</v>
      </c>
      <c r="ER70" s="229">
        <v>-0.63719999999999999</v>
      </c>
      <c r="ES70" s="228">
        <v>654.28</v>
      </c>
      <c r="ET70" s="228">
        <v>372.18</v>
      </c>
      <c r="EU70" s="231">
        <v>2121.2399999999998</v>
      </c>
      <c r="EV70" s="231">
        <v>17263909</v>
      </c>
      <c r="EW70" s="231">
        <v>3147.7</v>
      </c>
      <c r="EX70" s="231">
        <v>2931.53</v>
      </c>
      <c r="EY70" s="228">
        <v>216.17</v>
      </c>
      <c r="EZ70" s="229">
        <v>7.3700000000000002E-2</v>
      </c>
      <c r="FA70" s="229">
        <v>1.139</v>
      </c>
      <c r="FB70" s="227" t="s">
        <v>555</v>
      </c>
      <c r="FC70">
        <f t="shared" si="1"/>
        <v>54</v>
      </c>
    </row>
    <row r="71" spans="1:159" ht="17.25" thickBot="1" x14ac:dyDescent="0.3">
      <c r="A71" s="226">
        <v>46050</v>
      </c>
      <c r="B71" s="227" t="s">
        <v>157</v>
      </c>
      <c r="C71" s="227" t="s">
        <v>219</v>
      </c>
      <c r="D71" s="228">
        <v>250</v>
      </c>
      <c r="E71" s="228">
        <v>27</v>
      </c>
      <c r="F71" s="231">
        <v>2856.2</v>
      </c>
      <c r="G71" s="231">
        <v>2876.5</v>
      </c>
      <c r="H71" s="228">
        <v>-20.3</v>
      </c>
      <c r="I71" s="229">
        <v>-7.1000000000000004E-3</v>
      </c>
      <c r="J71" s="231">
        <v>2839.1</v>
      </c>
      <c r="K71" s="231">
        <v>2856.2</v>
      </c>
      <c r="L71" s="228">
        <v>-17.100000000000001</v>
      </c>
      <c r="M71" s="229">
        <v>-6.0000000000000001E-3</v>
      </c>
      <c r="N71" s="231">
        <v>2856.2</v>
      </c>
      <c r="O71" s="231">
        <v>2861</v>
      </c>
      <c r="P71" s="228">
        <v>-4.8</v>
      </c>
      <c r="Q71" s="229">
        <v>-1.6999999999999999E-3</v>
      </c>
      <c r="R71" s="231">
        <v>2873.4</v>
      </c>
      <c r="S71" s="231">
        <v>2876.5</v>
      </c>
      <c r="T71" s="228">
        <v>-3.1</v>
      </c>
      <c r="U71" s="229">
        <v>-1.1000000000000001E-3</v>
      </c>
      <c r="V71" s="231">
        <v>2887.9</v>
      </c>
      <c r="W71" s="231">
        <v>2896</v>
      </c>
      <c r="X71" s="228">
        <v>-8.1</v>
      </c>
      <c r="Y71" s="229">
        <v>-2.8E-3</v>
      </c>
      <c r="Z71" s="228">
        <v>17.100000000000001</v>
      </c>
      <c r="AA71" s="228">
        <v>20.3</v>
      </c>
      <c r="AB71" s="228">
        <v>-3.2</v>
      </c>
      <c r="AC71" s="229">
        <v>6.0000000000000001E-3</v>
      </c>
      <c r="AD71" s="228">
        <v>17.100000000000001</v>
      </c>
      <c r="AE71" s="228">
        <v>4.8</v>
      </c>
      <c r="AF71" s="228">
        <v>12.3</v>
      </c>
      <c r="AG71" s="229">
        <v>6.0000000000000001E-3</v>
      </c>
      <c r="AH71" s="228">
        <v>34.299999999999997</v>
      </c>
      <c r="AI71" s="228">
        <v>20.3</v>
      </c>
      <c r="AJ71" s="228">
        <v>14</v>
      </c>
      <c r="AK71" s="229">
        <v>1.21E-2</v>
      </c>
      <c r="AL71" s="228">
        <v>48.8</v>
      </c>
      <c r="AM71" s="228">
        <v>39.799999999999997</v>
      </c>
      <c r="AN71" s="228">
        <v>9</v>
      </c>
      <c r="AO71" s="229">
        <v>1.72E-2</v>
      </c>
      <c r="AP71" s="231">
        <v>2872.46</v>
      </c>
      <c r="AQ71" s="231">
        <v>2893.4</v>
      </c>
      <c r="AR71" s="228">
        <v>0</v>
      </c>
      <c r="AS71" s="228">
        <v>286</v>
      </c>
      <c r="AT71" s="230">
        <v>1868</v>
      </c>
      <c r="AU71" s="230">
        <v>-1582</v>
      </c>
      <c r="AV71" s="229">
        <v>-0.84699999999999998</v>
      </c>
      <c r="AW71" s="228">
        <v>281</v>
      </c>
      <c r="AX71" s="228">
        <v>779</v>
      </c>
      <c r="AY71" s="228">
        <v>-499</v>
      </c>
      <c r="AZ71" s="229">
        <v>-0.63990000000000002</v>
      </c>
      <c r="BA71" s="228">
        <v>4</v>
      </c>
      <c r="BB71" s="230">
        <v>1084</v>
      </c>
      <c r="BC71" s="230">
        <v>-1079</v>
      </c>
      <c r="BD71" s="229">
        <v>-0.99580000000000002</v>
      </c>
      <c r="BE71" s="228">
        <v>1</v>
      </c>
      <c r="BF71" s="228">
        <v>5</v>
      </c>
      <c r="BG71" s="228">
        <v>-4</v>
      </c>
      <c r="BH71" s="229">
        <v>-0.86109999999999998</v>
      </c>
      <c r="BI71" s="228">
        <v>391</v>
      </c>
      <c r="BJ71" s="230">
        <v>1217</v>
      </c>
      <c r="BK71" s="228">
        <v>-826</v>
      </c>
      <c r="BL71" s="229">
        <v>-0.67830000000000001</v>
      </c>
      <c r="BM71" s="228">
        <v>243</v>
      </c>
      <c r="BN71" s="228">
        <v>852</v>
      </c>
      <c r="BO71" s="228">
        <v>-609</v>
      </c>
      <c r="BP71" s="229">
        <v>-0.71499999999999997</v>
      </c>
      <c r="BQ71" s="228">
        <v>920</v>
      </c>
      <c r="BR71" s="230">
        <v>3937</v>
      </c>
      <c r="BS71" s="230">
        <v>-3017</v>
      </c>
      <c r="BT71" s="229">
        <v>-0.76629999999999998</v>
      </c>
      <c r="BU71" s="230">
        <v>523371</v>
      </c>
      <c r="BV71" s="230">
        <v>1539629</v>
      </c>
      <c r="BW71" s="230">
        <v>-1016258</v>
      </c>
      <c r="BX71" s="229">
        <v>-0.66010000000000002</v>
      </c>
      <c r="BY71" s="230">
        <v>4581</v>
      </c>
      <c r="BZ71" s="230">
        <v>4556</v>
      </c>
      <c r="CA71" s="228">
        <v>25</v>
      </c>
      <c r="CB71" s="229">
        <v>5.4999999999999997E-3</v>
      </c>
      <c r="CC71" s="230">
        <v>4559</v>
      </c>
      <c r="CD71" s="228">
        <v>174</v>
      </c>
      <c r="CE71" s="230">
        <v>4385</v>
      </c>
      <c r="CF71" s="229">
        <v>25.240400000000001</v>
      </c>
      <c r="CG71" s="228">
        <v>22</v>
      </c>
      <c r="CH71" s="230">
        <v>4536</v>
      </c>
      <c r="CI71" s="230">
        <v>-4514</v>
      </c>
      <c r="CJ71" s="229">
        <v>-0.99519999999999997</v>
      </c>
      <c r="CK71" s="228">
        <v>1</v>
      </c>
      <c r="CL71" s="228">
        <v>21</v>
      </c>
      <c r="CM71" s="228">
        <v>-20</v>
      </c>
      <c r="CN71" s="229">
        <v>-0.97240000000000004</v>
      </c>
      <c r="CO71" s="228">
        <v>184</v>
      </c>
      <c r="CP71" s="228">
        <v>132</v>
      </c>
      <c r="CQ71" s="228">
        <v>51</v>
      </c>
      <c r="CR71" s="229">
        <v>0.3886</v>
      </c>
      <c r="CS71" s="228">
        <v>181</v>
      </c>
      <c r="CT71" s="228">
        <v>127</v>
      </c>
      <c r="CU71" s="228">
        <v>55</v>
      </c>
      <c r="CV71" s="229">
        <v>0.43319999999999997</v>
      </c>
      <c r="CW71" s="230">
        <v>4946</v>
      </c>
      <c r="CX71" s="230">
        <v>4815</v>
      </c>
      <c r="CY71" s="228">
        <v>131</v>
      </c>
      <c r="CZ71" s="229">
        <v>2.7199999999999998E-2</v>
      </c>
      <c r="DA71" s="228">
        <v>24.4</v>
      </c>
      <c r="DB71" s="228">
        <v>24.74</v>
      </c>
      <c r="DC71" s="228">
        <v>-0.34</v>
      </c>
      <c r="DD71" s="228">
        <v>-0.34</v>
      </c>
      <c r="DE71" s="228">
        <v>25.23</v>
      </c>
      <c r="DF71" s="228">
        <v>25.28</v>
      </c>
      <c r="DG71" s="228">
        <v>-0.83</v>
      </c>
      <c r="DH71" s="228">
        <v>-0.05</v>
      </c>
      <c r="DI71" s="228">
        <v>24.24</v>
      </c>
      <c r="DJ71" s="228">
        <v>24.39</v>
      </c>
      <c r="DK71" s="228">
        <v>-0.15</v>
      </c>
      <c r="DL71" s="228">
        <v>-0.15</v>
      </c>
      <c r="DM71" s="228">
        <v>24.67</v>
      </c>
      <c r="DN71" s="228">
        <v>25.62</v>
      </c>
      <c r="DO71" s="228">
        <v>-0.95</v>
      </c>
      <c r="DP71" s="228">
        <v>-0.95</v>
      </c>
      <c r="DQ71" s="228">
        <v>0.99</v>
      </c>
      <c r="DR71" s="228">
        <v>0.96</v>
      </c>
      <c r="DS71" s="228">
        <v>0.03</v>
      </c>
      <c r="DT71" s="229">
        <v>3.1300000000000001E-2</v>
      </c>
      <c r="DU71" s="231">
        <v>2900</v>
      </c>
      <c r="DV71" s="231">
        <v>2800</v>
      </c>
      <c r="DW71" s="228">
        <v>0.62</v>
      </c>
      <c r="DX71" s="228">
        <v>0.7</v>
      </c>
      <c r="DY71" s="228">
        <v>-0.08</v>
      </c>
      <c r="DZ71" s="229">
        <v>-0.1143</v>
      </c>
      <c r="EA71" s="229">
        <v>4.8999999999999998E-3</v>
      </c>
      <c r="EB71" s="230">
        <v>15952250</v>
      </c>
      <c r="EC71" s="229">
        <v>6.0000000000000001E-3</v>
      </c>
      <c r="ED71" s="229">
        <v>4.8999999999999998E-3</v>
      </c>
      <c r="EE71" s="228">
        <v>20.94</v>
      </c>
      <c r="EF71" s="229">
        <v>7.3000000000000001E-3</v>
      </c>
      <c r="EG71" s="230">
        <v>275546</v>
      </c>
      <c r="EH71" s="230">
        <v>791960</v>
      </c>
      <c r="EI71" s="229">
        <v>-0.65210000000000001</v>
      </c>
      <c r="EJ71" s="229">
        <v>0.52649999999999997</v>
      </c>
      <c r="EK71" s="228">
        <v>411.08</v>
      </c>
      <c r="EL71" s="228">
        <v>241.16</v>
      </c>
      <c r="EM71" s="228">
        <v>287.57</v>
      </c>
      <c r="EN71" s="228">
        <v>332.83</v>
      </c>
      <c r="EO71" s="228">
        <v>939.81</v>
      </c>
      <c r="EP71" s="231">
        <v>3940.08</v>
      </c>
      <c r="EQ71" s="231">
        <v>-3000.27</v>
      </c>
      <c r="ER71" s="229">
        <v>-0.76149999999999995</v>
      </c>
      <c r="ES71" s="228">
        <v>191.43</v>
      </c>
      <c r="ET71" s="228">
        <v>175.07</v>
      </c>
      <c r="EU71" s="231">
        <v>4581.2700000000004</v>
      </c>
      <c r="EV71" s="231">
        <v>38505832</v>
      </c>
      <c r="EW71" s="231">
        <v>4947.7700000000004</v>
      </c>
      <c r="EX71" s="231">
        <v>4847.5</v>
      </c>
      <c r="EY71" s="228">
        <v>100.27</v>
      </c>
      <c r="EZ71" s="229">
        <v>2.07E-2</v>
      </c>
      <c r="FA71" s="229">
        <v>0.44969999999999999</v>
      </c>
      <c r="FB71" s="227" t="s">
        <v>567</v>
      </c>
      <c r="FC71">
        <f t="shared" si="1"/>
        <v>22</v>
      </c>
    </row>
    <row r="72" spans="1:159" ht="17.25" thickBot="1" x14ac:dyDescent="0.3">
      <c r="A72" s="226">
        <v>46050</v>
      </c>
      <c r="B72" s="227" t="s">
        <v>184</v>
      </c>
      <c r="C72" s="227" t="s">
        <v>513</v>
      </c>
      <c r="D72" s="228">
        <v>150</v>
      </c>
      <c r="E72" s="228">
        <v>27</v>
      </c>
      <c r="F72" s="231">
        <v>4639.5</v>
      </c>
      <c r="G72" s="231">
        <v>4350.6000000000004</v>
      </c>
      <c r="H72" s="228">
        <v>288.89999999999998</v>
      </c>
      <c r="I72" s="229">
        <v>6.6400000000000001E-2</v>
      </c>
      <c r="J72" s="231">
        <v>4624</v>
      </c>
      <c r="K72" s="231">
        <v>4348.5</v>
      </c>
      <c r="L72" s="228">
        <v>275.5</v>
      </c>
      <c r="M72" s="229">
        <v>6.3399999999999998E-2</v>
      </c>
      <c r="N72" s="231">
        <v>4639.5</v>
      </c>
      <c r="O72" s="231">
        <v>4342.1000000000004</v>
      </c>
      <c r="P72" s="228">
        <v>297.39999999999998</v>
      </c>
      <c r="Q72" s="229">
        <v>6.8500000000000005E-2</v>
      </c>
      <c r="R72" s="231">
        <v>4660.8999999999996</v>
      </c>
      <c r="S72" s="231">
        <v>4350.6000000000004</v>
      </c>
      <c r="T72" s="228">
        <v>310.3</v>
      </c>
      <c r="U72" s="229">
        <v>7.1300000000000002E-2</v>
      </c>
      <c r="V72" s="231">
        <v>4690.3</v>
      </c>
      <c r="W72" s="231">
        <v>4382.6000000000004</v>
      </c>
      <c r="X72" s="228">
        <v>307.7</v>
      </c>
      <c r="Y72" s="229">
        <v>7.0199999999999999E-2</v>
      </c>
      <c r="Z72" s="228">
        <v>15.5</v>
      </c>
      <c r="AA72" s="228">
        <v>2.1</v>
      </c>
      <c r="AB72" s="228">
        <v>13.4</v>
      </c>
      <c r="AC72" s="229">
        <v>3.3999999999999998E-3</v>
      </c>
      <c r="AD72" s="228">
        <v>15.5</v>
      </c>
      <c r="AE72" s="228">
        <v>-6.4</v>
      </c>
      <c r="AF72" s="228">
        <v>21.9</v>
      </c>
      <c r="AG72" s="229">
        <v>3.3999999999999998E-3</v>
      </c>
      <c r="AH72" s="228">
        <v>36.9</v>
      </c>
      <c r="AI72" s="228">
        <v>2.1</v>
      </c>
      <c r="AJ72" s="228">
        <v>34.799999999999997</v>
      </c>
      <c r="AK72" s="229">
        <v>8.0000000000000002E-3</v>
      </c>
      <c r="AL72" s="228">
        <v>66.3</v>
      </c>
      <c r="AM72" s="228">
        <v>34.1</v>
      </c>
      <c r="AN72" s="228">
        <v>32.200000000000003</v>
      </c>
      <c r="AO72" s="229">
        <v>1.43E-2</v>
      </c>
      <c r="AP72" s="231">
        <v>4541.6499999999996</v>
      </c>
      <c r="AQ72" s="231">
        <v>4557.3999999999996</v>
      </c>
      <c r="AR72" s="228">
        <v>0</v>
      </c>
      <c r="AS72" s="230">
        <v>1566</v>
      </c>
      <c r="AT72" s="230">
        <v>3249</v>
      </c>
      <c r="AU72" s="230">
        <v>-1683</v>
      </c>
      <c r="AV72" s="229">
        <v>-0.51800000000000002</v>
      </c>
      <c r="AW72" s="230">
        <v>1400</v>
      </c>
      <c r="AX72" s="230">
        <v>1490</v>
      </c>
      <c r="AY72" s="228">
        <v>-90</v>
      </c>
      <c r="AZ72" s="229">
        <v>-6.0400000000000002E-2</v>
      </c>
      <c r="BA72" s="228">
        <v>142</v>
      </c>
      <c r="BB72" s="230">
        <v>1667</v>
      </c>
      <c r="BC72" s="230">
        <v>-1526</v>
      </c>
      <c r="BD72" s="229">
        <v>-0.91510000000000002</v>
      </c>
      <c r="BE72" s="228">
        <v>24</v>
      </c>
      <c r="BF72" s="228">
        <v>92</v>
      </c>
      <c r="BG72" s="228">
        <v>-67</v>
      </c>
      <c r="BH72" s="229">
        <v>-0.73399999999999999</v>
      </c>
      <c r="BI72" s="230">
        <v>6892</v>
      </c>
      <c r="BJ72" s="230">
        <v>4005</v>
      </c>
      <c r="BK72" s="230">
        <v>2887</v>
      </c>
      <c r="BL72" s="229">
        <v>0.72099999999999997</v>
      </c>
      <c r="BM72" s="230">
        <v>1718</v>
      </c>
      <c r="BN72" s="230">
        <v>1868</v>
      </c>
      <c r="BO72" s="228">
        <v>-150</v>
      </c>
      <c r="BP72" s="229">
        <v>-8.0199999999999994E-2</v>
      </c>
      <c r="BQ72" s="230">
        <v>10177</v>
      </c>
      <c r="BR72" s="230">
        <v>9122</v>
      </c>
      <c r="BS72" s="230">
        <v>1055</v>
      </c>
      <c r="BT72" s="229">
        <v>0.11559999999999999</v>
      </c>
      <c r="BU72" s="230">
        <v>1993625</v>
      </c>
      <c r="BV72" s="230">
        <v>1117385</v>
      </c>
      <c r="BW72" s="230">
        <v>876240</v>
      </c>
      <c r="BX72" s="229">
        <v>0.78420000000000001</v>
      </c>
      <c r="BY72" s="230">
        <v>4076</v>
      </c>
      <c r="BZ72" s="230">
        <v>4024</v>
      </c>
      <c r="CA72" s="228">
        <v>52</v>
      </c>
      <c r="CB72" s="229">
        <v>1.29E-2</v>
      </c>
      <c r="CC72" s="230">
        <v>3837</v>
      </c>
      <c r="CD72" s="228">
        <v>286</v>
      </c>
      <c r="CE72" s="230">
        <v>3551</v>
      </c>
      <c r="CF72" s="229">
        <v>12.425599999999999</v>
      </c>
      <c r="CG72" s="228">
        <v>226</v>
      </c>
      <c r="CH72" s="230">
        <v>3820</v>
      </c>
      <c r="CI72" s="230">
        <v>-3594</v>
      </c>
      <c r="CJ72" s="229">
        <v>-0.94089999999999996</v>
      </c>
      <c r="CK72" s="228">
        <v>13</v>
      </c>
      <c r="CL72" s="228">
        <v>204</v>
      </c>
      <c r="CM72" s="228">
        <v>-191</v>
      </c>
      <c r="CN72" s="229">
        <v>-0.9375</v>
      </c>
      <c r="CO72" s="230">
        <v>1483</v>
      </c>
      <c r="CP72" s="230">
        <v>1101</v>
      </c>
      <c r="CQ72" s="228">
        <v>382</v>
      </c>
      <c r="CR72" s="229">
        <v>0.34699999999999998</v>
      </c>
      <c r="CS72" s="230">
        <v>1191</v>
      </c>
      <c r="CT72" s="230">
        <v>1029</v>
      </c>
      <c r="CU72" s="228">
        <v>161</v>
      </c>
      <c r="CV72" s="229">
        <v>0.15659999999999999</v>
      </c>
      <c r="CW72" s="230">
        <v>6750</v>
      </c>
      <c r="CX72" s="230">
        <v>6155</v>
      </c>
      <c r="CY72" s="228">
        <v>595</v>
      </c>
      <c r="CZ72" s="229">
        <v>9.6699999999999994E-2</v>
      </c>
      <c r="DA72" s="228">
        <v>36.28</v>
      </c>
      <c r="DB72" s="228">
        <v>36.15</v>
      </c>
      <c r="DC72" s="228">
        <v>0.13</v>
      </c>
      <c r="DD72" s="228">
        <v>0.13</v>
      </c>
      <c r="DE72" s="228">
        <v>37.47</v>
      </c>
      <c r="DF72" s="228">
        <v>36.54</v>
      </c>
      <c r="DG72" s="228">
        <v>-1.19</v>
      </c>
      <c r="DH72" s="228">
        <v>0.93</v>
      </c>
      <c r="DI72" s="228">
        <v>36.03</v>
      </c>
      <c r="DJ72" s="228">
        <v>35.65</v>
      </c>
      <c r="DK72" s="228">
        <v>0.38</v>
      </c>
      <c r="DL72" s="228">
        <v>0.38</v>
      </c>
      <c r="DM72" s="228">
        <v>37.270000000000003</v>
      </c>
      <c r="DN72" s="228">
        <v>37.01</v>
      </c>
      <c r="DO72" s="228">
        <v>0.26</v>
      </c>
      <c r="DP72" s="228">
        <v>0.26</v>
      </c>
      <c r="DQ72" s="228">
        <v>0.8</v>
      </c>
      <c r="DR72" s="228">
        <v>0.93</v>
      </c>
      <c r="DS72" s="228">
        <v>-0.13</v>
      </c>
      <c r="DT72" s="229">
        <v>-0.13980000000000001</v>
      </c>
      <c r="DU72" s="231">
        <v>5000</v>
      </c>
      <c r="DV72" s="231">
        <v>4300</v>
      </c>
      <c r="DW72" s="228">
        <v>0.25</v>
      </c>
      <c r="DX72" s="228">
        <v>0.47</v>
      </c>
      <c r="DY72" s="228">
        <v>-0.22</v>
      </c>
      <c r="DZ72" s="229">
        <v>-0.46810000000000002</v>
      </c>
      <c r="EA72" s="229">
        <v>5.8500000000000003E-2</v>
      </c>
      <c r="EB72" s="230">
        <v>8673300</v>
      </c>
      <c r="EC72" s="229">
        <v>4.5999999999999999E-3</v>
      </c>
      <c r="ED72" s="229">
        <v>5.8500000000000003E-2</v>
      </c>
      <c r="EE72" s="228">
        <v>15.75</v>
      </c>
      <c r="EF72" s="229">
        <v>3.5000000000000001E-3</v>
      </c>
      <c r="EG72" s="230">
        <v>943469</v>
      </c>
      <c r="EH72" s="230">
        <v>512639</v>
      </c>
      <c r="EI72" s="229">
        <v>0.84040000000000004</v>
      </c>
      <c r="EJ72" s="229">
        <v>0.47320000000000001</v>
      </c>
      <c r="EK72" s="231">
        <v>7183.04</v>
      </c>
      <c r="EL72" s="231">
        <v>1656.87</v>
      </c>
      <c r="EM72" s="231">
        <v>1533.64</v>
      </c>
      <c r="EN72" s="228">
        <v>331.6</v>
      </c>
      <c r="EO72" s="231">
        <v>10373.549999999999</v>
      </c>
      <c r="EP72" s="231">
        <v>8759.51</v>
      </c>
      <c r="EQ72" s="231">
        <v>1614.04</v>
      </c>
      <c r="ER72" s="229">
        <v>0.18429999999999999</v>
      </c>
      <c r="ES72" s="231">
        <v>1496.37</v>
      </c>
      <c r="ET72" s="231">
        <v>1124</v>
      </c>
      <c r="EU72" s="231">
        <v>4077.01</v>
      </c>
      <c r="EV72" s="231">
        <v>28450886</v>
      </c>
      <c r="EW72" s="231">
        <v>6697.38</v>
      </c>
      <c r="EX72" s="231">
        <v>5837.59</v>
      </c>
      <c r="EY72" s="228">
        <v>859.79</v>
      </c>
      <c r="EZ72" s="229">
        <v>0.14729999999999999</v>
      </c>
      <c r="FA72" s="229">
        <v>0.51129999999999998</v>
      </c>
      <c r="FB72" s="227" t="s">
        <v>555</v>
      </c>
      <c r="FC72">
        <f t="shared" si="1"/>
        <v>239</v>
      </c>
    </row>
    <row r="73" spans="1:159" ht="17.25" thickBot="1" x14ac:dyDescent="0.3">
      <c r="A73" s="226">
        <v>46050</v>
      </c>
      <c r="B73" s="227" t="s">
        <v>184</v>
      </c>
      <c r="C73" s="227" t="s">
        <v>220</v>
      </c>
      <c r="D73" s="228">
        <v>500</v>
      </c>
      <c r="E73" s="228">
        <v>27</v>
      </c>
      <c r="F73" s="231">
        <v>1295.5</v>
      </c>
      <c r="G73" s="231">
        <v>1295.7</v>
      </c>
      <c r="H73" s="228">
        <v>-0.2</v>
      </c>
      <c r="I73" s="229">
        <v>-2.0000000000000001E-4</v>
      </c>
      <c r="J73" s="231">
        <v>1286.8</v>
      </c>
      <c r="K73" s="231">
        <v>1288.9000000000001</v>
      </c>
      <c r="L73" s="228">
        <v>-2.1</v>
      </c>
      <c r="M73" s="229">
        <v>-1.6000000000000001E-3</v>
      </c>
      <c r="N73" s="231">
        <v>1295.5</v>
      </c>
      <c r="O73" s="231">
        <v>1287.0999999999999</v>
      </c>
      <c r="P73" s="228">
        <v>8.4</v>
      </c>
      <c r="Q73" s="229">
        <v>6.4999999999999997E-3</v>
      </c>
      <c r="R73" s="231">
        <v>1302.5999999999999</v>
      </c>
      <c r="S73" s="231">
        <v>1295.7</v>
      </c>
      <c r="T73" s="228">
        <v>6.9</v>
      </c>
      <c r="U73" s="229">
        <v>5.3E-3</v>
      </c>
      <c r="V73" s="231">
        <v>1310.8</v>
      </c>
      <c r="W73" s="231">
        <v>1305.4000000000001</v>
      </c>
      <c r="X73" s="228">
        <v>5.4</v>
      </c>
      <c r="Y73" s="229">
        <v>4.1000000000000003E-3</v>
      </c>
      <c r="Z73" s="228">
        <v>8.6999999999999993</v>
      </c>
      <c r="AA73" s="228">
        <v>6.8</v>
      </c>
      <c r="AB73" s="228">
        <v>1.9</v>
      </c>
      <c r="AC73" s="229">
        <v>6.7999999999999996E-3</v>
      </c>
      <c r="AD73" s="228">
        <v>8.6999999999999993</v>
      </c>
      <c r="AE73" s="228">
        <v>-1.8</v>
      </c>
      <c r="AF73" s="228">
        <v>10.5</v>
      </c>
      <c r="AG73" s="229">
        <v>6.7999999999999996E-3</v>
      </c>
      <c r="AH73" s="228">
        <v>15.8</v>
      </c>
      <c r="AI73" s="228">
        <v>6.8</v>
      </c>
      <c r="AJ73" s="228">
        <v>9</v>
      </c>
      <c r="AK73" s="229">
        <v>1.23E-2</v>
      </c>
      <c r="AL73" s="228">
        <v>24</v>
      </c>
      <c r="AM73" s="228">
        <v>16.5</v>
      </c>
      <c r="AN73" s="228">
        <v>7.5</v>
      </c>
      <c r="AO73" s="229">
        <v>1.8700000000000001E-2</v>
      </c>
      <c r="AP73" s="231">
        <v>1296.45</v>
      </c>
      <c r="AQ73" s="231">
        <v>1305.82</v>
      </c>
      <c r="AR73" s="228">
        <v>0</v>
      </c>
      <c r="AS73" s="228">
        <v>152</v>
      </c>
      <c r="AT73" s="228">
        <v>930</v>
      </c>
      <c r="AU73" s="228">
        <v>-777</v>
      </c>
      <c r="AV73" s="229">
        <v>-0.83620000000000005</v>
      </c>
      <c r="AW73" s="228">
        <v>137</v>
      </c>
      <c r="AX73" s="228">
        <v>419</v>
      </c>
      <c r="AY73" s="228">
        <v>-283</v>
      </c>
      <c r="AZ73" s="229">
        <v>-0.6744</v>
      </c>
      <c r="BA73" s="228">
        <v>15</v>
      </c>
      <c r="BB73" s="228">
        <v>502</v>
      </c>
      <c r="BC73" s="228">
        <v>-487</v>
      </c>
      <c r="BD73" s="229">
        <v>-0.9698</v>
      </c>
      <c r="BE73" s="228">
        <v>1</v>
      </c>
      <c r="BF73" s="228">
        <v>8</v>
      </c>
      <c r="BG73" s="228">
        <v>-7</v>
      </c>
      <c r="BH73" s="229">
        <v>-0.93500000000000005</v>
      </c>
      <c r="BI73" s="228">
        <v>181</v>
      </c>
      <c r="BJ73" s="228">
        <v>584</v>
      </c>
      <c r="BK73" s="228">
        <v>-403</v>
      </c>
      <c r="BL73" s="229">
        <v>-0.69010000000000005</v>
      </c>
      <c r="BM73" s="228">
        <v>93</v>
      </c>
      <c r="BN73" s="228">
        <v>598</v>
      </c>
      <c r="BO73" s="228">
        <v>-504</v>
      </c>
      <c r="BP73" s="229">
        <v>-0.84370000000000001</v>
      </c>
      <c r="BQ73" s="228">
        <v>426</v>
      </c>
      <c r="BR73" s="230">
        <v>2111</v>
      </c>
      <c r="BS73" s="230">
        <v>-1684</v>
      </c>
      <c r="BT73" s="229">
        <v>-0.79790000000000005</v>
      </c>
      <c r="BU73" s="230">
        <v>813081</v>
      </c>
      <c r="BV73" s="230">
        <v>1118521</v>
      </c>
      <c r="BW73" s="230">
        <v>-305440</v>
      </c>
      <c r="BX73" s="229">
        <v>-0.27310000000000001</v>
      </c>
      <c r="BY73" s="230">
        <v>1175</v>
      </c>
      <c r="BZ73" s="230">
        <v>1147</v>
      </c>
      <c r="CA73" s="228">
        <v>27</v>
      </c>
      <c r="CB73" s="229">
        <v>2.3599999999999999E-2</v>
      </c>
      <c r="CC73" s="230">
        <v>1148</v>
      </c>
      <c r="CD73" s="228">
        <v>91</v>
      </c>
      <c r="CE73" s="230">
        <v>1056</v>
      </c>
      <c r="CF73" s="229">
        <v>11.5831</v>
      </c>
      <c r="CG73" s="228">
        <v>26</v>
      </c>
      <c r="CH73" s="230">
        <v>1125</v>
      </c>
      <c r="CI73" s="230">
        <v>-1098</v>
      </c>
      <c r="CJ73" s="229">
        <v>-0.97650000000000003</v>
      </c>
      <c r="CK73" s="228">
        <v>0</v>
      </c>
      <c r="CL73" s="228">
        <v>23</v>
      </c>
      <c r="CM73" s="228">
        <v>-22</v>
      </c>
      <c r="CN73" s="229">
        <v>-0.97989999999999999</v>
      </c>
      <c r="CO73" s="228">
        <v>260</v>
      </c>
      <c r="CP73" s="228">
        <v>221</v>
      </c>
      <c r="CQ73" s="228">
        <v>39</v>
      </c>
      <c r="CR73" s="229">
        <v>0.1767</v>
      </c>
      <c r="CS73" s="228">
        <v>244</v>
      </c>
      <c r="CT73" s="228">
        <v>207</v>
      </c>
      <c r="CU73" s="228">
        <v>37</v>
      </c>
      <c r="CV73" s="229">
        <v>0.18090000000000001</v>
      </c>
      <c r="CW73" s="230">
        <v>1679</v>
      </c>
      <c r="CX73" s="230">
        <v>1576</v>
      </c>
      <c r="CY73" s="228">
        <v>104</v>
      </c>
      <c r="CZ73" s="229">
        <v>6.5699999999999995E-2</v>
      </c>
      <c r="DA73" s="228">
        <v>26.13</v>
      </c>
      <c r="DB73" s="228">
        <v>26.41</v>
      </c>
      <c r="DC73" s="228">
        <v>-0.28000000000000003</v>
      </c>
      <c r="DD73" s="228">
        <v>-0.28000000000000003</v>
      </c>
      <c r="DE73" s="228">
        <v>28.33</v>
      </c>
      <c r="DF73" s="228">
        <v>28.41</v>
      </c>
      <c r="DG73" s="228">
        <v>-2.2000000000000002</v>
      </c>
      <c r="DH73" s="228">
        <v>-0.08</v>
      </c>
      <c r="DI73" s="228">
        <v>26.2</v>
      </c>
      <c r="DJ73" s="228">
        <v>26.87</v>
      </c>
      <c r="DK73" s="228">
        <v>-0.67</v>
      </c>
      <c r="DL73" s="228">
        <v>-0.67</v>
      </c>
      <c r="DM73" s="228">
        <v>25.99</v>
      </c>
      <c r="DN73" s="228">
        <v>25.84</v>
      </c>
      <c r="DO73" s="228">
        <v>0.15</v>
      </c>
      <c r="DP73" s="228">
        <v>0.15</v>
      </c>
      <c r="DQ73" s="228">
        <v>0.94</v>
      </c>
      <c r="DR73" s="228">
        <v>0.94</v>
      </c>
      <c r="DS73" s="228">
        <v>0</v>
      </c>
      <c r="DT73" s="229">
        <v>0</v>
      </c>
      <c r="DU73" s="231">
        <v>1400</v>
      </c>
      <c r="DV73" s="231">
        <v>1300</v>
      </c>
      <c r="DW73" s="228">
        <v>0.52</v>
      </c>
      <c r="DX73" s="228">
        <v>1.02</v>
      </c>
      <c r="DY73" s="228">
        <v>-0.5</v>
      </c>
      <c r="DZ73" s="229">
        <v>-0.49020000000000002</v>
      </c>
      <c r="EA73" s="229">
        <v>2.29E-2</v>
      </c>
      <c r="EB73" s="230">
        <v>8857000</v>
      </c>
      <c r="EC73" s="229">
        <v>5.4999999999999997E-3</v>
      </c>
      <c r="ED73" s="229">
        <v>2.29E-2</v>
      </c>
      <c r="EE73" s="228">
        <v>9.3699999999999992</v>
      </c>
      <c r="EF73" s="229">
        <v>7.1999999999999998E-3</v>
      </c>
      <c r="EG73" s="230">
        <v>580750</v>
      </c>
      <c r="EH73" s="230">
        <v>571548</v>
      </c>
      <c r="EI73" s="229">
        <v>1.61E-2</v>
      </c>
      <c r="EJ73" s="229">
        <v>0.71430000000000005</v>
      </c>
      <c r="EK73" s="228">
        <v>191.79</v>
      </c>
      <c r="EL73" s="228">
        <v>91.48</v>
      </c>
      <c r="EM73" s="228">
        <v>152.44999999999999</v>
      </c>
      <c r="EN73" s="228">
        <v>163.44999999999999</v>
      </c>
      <c r="EO73" s="228">
        <v>435.72</v>
      </c>
      <c r="EP73" s="231">
        <v>2153.02</v>
      </c>
      <c r="EQ73" s="231">
        <v>-1717.3</v>
      </c>
      <c r="ER73" s="229">
        <v>-0.79759999999999998</v>
      </c>
      <c r="ES73" s="228">
        <v>282.19</v>
      </c>
      <c r="ET73" s="228">
        <v>242.53</v>
      </c>
      <c r="EU73" s="231">
        <v>1174.6500000000001</v>
      </c>
      <c r="EV73" s="231">
        <v>35667502</v>
      </c>
      <c r="EW73" s="231">
        <v>1699.38</v>
      </c>
      <c r="EX73" s="231">
        <v>1595.39</v>
      </c>
      <c r="EY73" s="228">
        <v>103.99</v>
      </c>
      <c r="EZ73" s="229">
        <v>6.5199999999999994E-2</v>
      </c>
      <c r="FA73" s="229">
        <v>0.3634</v>
      </c>
      <c r="FB73" s="227" t="s">
        <v>567</v>
      </c>
      <c r="FC73">
        <f t="shared" si="1"/>
        <v>27</v>
      </c>
    </row>
    <row r="74" spans="1:159" ht="17.25" thickBot="1" x14ac:dyDescent="0.3">
      <c r="A74" s="226">
        <v>46050</v>
      </c>
      <c r="B74" s="227" t="s">
        <v>221</v>
      </c>
      <c r="C74" s="227" t="s">
        <v>222</v>
      </c>
      <c r="D74" s="228">
        <v>350</v>
      </c>
      <c r="E74" s="228">
        <v>27</v>
      </c>
      <c r="F74" s="231">
        <v>1735.8</v>
      </c>
      <c r="G74" s="231">
        <v>1728.2</v>
      </c>
      <c r="H74" s="228">
        <v>7.6</v>
      </c>
      <c r="I74" s="229">
        <v>4.4000000000000003E-3</v>
      </c>
      <c r="J74" s="231">
        <v>1729.6</v>
      </c>
      <c r="K74" s="231">
        <v>1720.2</v>
      </c>
      <c r="L74" s="228">
        <v>9.4</v>
      </c>
      <c r="M74" s="229">
        <v>5.4999999999999997E-3</v>
      </c>
      <c r="N74" s="231">
        <v>1735.8</v>
      </c>
      <c r="O74" s="231">
        <v>1715.7</v>
      </c>
      <c r="P74" s="228">
        <v>20.100000000000001</v>
      </c>
      <c r="Q74" s="229">
        <v>1.17E-2</v>
      </c>
      <c r="R74" s="231">
        <v>1747.5</v>
      </c>
      <c r="S74" s="231">
        <v>1728.2</v>
      </c>
      <c r="T74" s="228">
        <v>19.3</v>
      </c>
      <c r="U74" s="229">
        <v>1.12E-2</v>
      </c>
      <c r="V74" s="231">
        <v>1750.6</v>
      </c>
      <c r="W74" s="231">
        <v>1740.1</v>
      </c>
      <c r="X74" s="228">
        <v>10.5</v>
      </c>
      <c r="Y74" s="229">
        <v>6.0000000000000001E-3</v>
      </c>
      <c r="Z74" s="228">
        <v>6.2</v>
      </c>
      <c r="AA74" s="228">
        <v>8</v>
      </c>
      <c r="AB74" s="228">
        <v>-1.8</v>
      </c>
      <c r="AC74" s="229">
        <v>3.5999999999999999E-3</v>
      </c>
      <c r="AD74" s="228">
        <v>6.2</v>
      </c>
      <c r="AE74" s="228">
        <v>-4.5</v>
      </c>
      <c r="AF74" s="228">
        <v>10.7</v>
      </c>
      <c r="AG74" s="229">
        <v>3.5999999999999999E-3</v>
      </c>
      <c r="AH74" s="228">
        <v>17.899999999999999</v>
      </c>
      <c r="AI74" s="228">
        <v>8</v>
      </c>
      <c r="AJ74" s="228">
        <v>9.9</v>
      </c>
      <c r="AK74" s="229">
        <v>1.03E-2</v>
      </c>
      <c r="AL74" s="228">
        <v>21</v>
      </c>
      <c r="AM74" s="228">
        <v>19.899999999999999</v>
      </c>
      <c r="AN74" s="228">
        <v>1.1000000000000001</v>
      </c>
      <c r="AO74" s="229">
        <v>1.21E-2</v>
      </c>
      <c r="AP74" s="231">
        <v>1725.2</v>
      </c>
      <c r="AQ74" s="231">
        <v>1734.9</v>
      </c>
      <c r="AR74" s="228">
        <v>0</v>
      </c>
      <c r="AS74" s="228">
        <v>402</v>
      </c>
      <c r="AT74" s="230">
        <v>1126</v>
      </c>
      <c r="AU74" s="228">
        <v>-724</v>
      </c>
      <c r="AV74" s="229">
        <v>-0.64339999999999997</v>
      </c>
      <c r="AW74" s="228">
        <v>393</v>
      </c>
      <c r="AX74" s="228">
        <v>481</v>
      </c>
      <c r="AY74" s="228">
        <v>-88</v>
      </c>
      <c r="AZ74" s="229">
        <v>-0.1835</v>
      </c>
      <c r="BA74" s="228">
        <v>7</v>
      </c>
      <c r="BB74" s="228">
        <v>633</v>
      </c>
      <c r="BC74" s="228">
        <v>-626</v>
      </c>
      <c r="BD74" s="229">
        <v>-0.98929999999999996</v>
      </c>
      <c r="BE74" s="228">
        <v>2</v>
      </c>
      <c r="BF74" s="228">
        <v>13</v>
      </c>
      <c r="BG74" s="228">
        <v>-10</v>
      </c>
      <c r="BH74" s="229">
        <v>-0.82130000000000003</v>
      </c>
      <c r="BI74" s="228">
        <v>945</v>
      </c>
      <c r="BJ74" s="230">
        <v>1455</v>
      </c>
      <c r="BK74" s="228">
        <v>-510</v>
      </c>
      <c r="BL74" s="229">
        <v>-0.35070000000000001</v>
      </c>
      <c r="BM74" s="228">
        <v>527</v>
      </c>
      <c r="BN74" s="228">
        <v>887</v>
      </c>
      <c r="BO74" s="228">
        <v>-361</v>
      </c>
      <c r="BP74" s="229">
        <v>-0.40649999999999997</v>
      </c>
      <c r="BQ74" s="230">
        <v>1873</v>
      </c>
      <c r="BR74" s="230">
        <v>3468</v>
      </c>
      <c r="BS74" s="230">
        <v>-1595</v>
      </c>
      <c r="BT74" s="229">
        <v>-0.46</v>
      </c>
      <c r="BU74" s="230">
        <v>2781066</v>
      </c>
      <c r="BV74" s="230">
        <v>2697143</v>
      </c>
      <c r="BW74" s="230">
        <v>83923</v>
      </c>
      <c r="BX74" s="229">
        <v>3.1099999999999999E-2</v>
      </c>
      <c r="BY74" s="230">
        <v>3032</v>
      </c>
      <c r="BZ74" s="230">
        <v>3024</v>
      </c>
      <c r="CA74" s="228">
        <v>8</v>
      </c>
      <c r="CB74" s="229">
        <v>2.5000000000000001E-3</v>
      </c>
      <c r="CC74" s="230">
        <v>2960</v>
      </c>
      <c r="CD74" s="228">
        <v>358</v>
      </c>
      <c r="CE74" s="230">
        <v>2602</v>
      </c>
      <c r="CF74" s="229">
        <v>7.2779999999999996</v>
      </c>
      <c r="CG74" s="228">
        <v>71</v>
      </c>
      <c r="CH74" s="230">
        <v>2955</v>
      </c>
      <c r="CI74" s="230">
        <v>-2884</v>
      </c>
      <c r="CJ74" s="229">
        <v>-0.97609999999999997</v>
      </c>
      <c r="CK74" s="228">
        <v>2</v>
      </c>
      <c r="CL74" s="228">
        <v>69</v>
      </c>
      <c r="CM74" s="228">
        <v>-68</v>
      </c>
      <c r="CN74" s="229">
        <v>-0.97460000000000002</v>
      </c>
      <c r="CO74" s="228">
        <v>344</v>
      </c>
      <c r="CP74" s="228">
        <v>282</v>
      </c>
      <c r="CQ74" s="228">
        <v>62</v>
      </c>
      <c r="CR74" s="229">
        <v>0.2203</v>
      </c>
      <c r="CS74" s="228">
        <v>287</v>
      </c>
      <c r="CT74" s="228">
        <v>218</v>
      </c>
      <c r="CU74" s="228">
        <v>69</v>
      </c>
      <c r="CV74" s="229">
        <v>0.31580000000000003</v>
      </c>
      <c r="CW74" s="230">
        <v>3663</v>
      </c>
      <c r="CX74" s="230">
        <v>3524</v>
      </c>
      <c r="CY74" s="228">
        <v>139</v>
      </c>
      <c r="CZ74" s="229">
        <v>3.9300000000000002E-2</v>
      </c>
      <c r="DA74" s="228">
        <v>22.11</v>
      </c>
      <c r="DB74" s="228">
        <v>23</v>
      </c>
      <c r="DC74" s="228">
        <v>-0.89</v>
      </c>
      <c r="DD74" s="228">
        <v>-0.89</v>
      </c>
      <c r="DE74" s="228">
        <v>27.25</v>
      </c>
      <c r="DF74" s="228">
        <v>27.3</v>
      </c>
      <c r="DG74" s="228">
        <v>-5.14</v>
      </c>
      <c r="DH74" s="228">
        <v>-0.05</v>
      </c>
      <c r="DI74" s="228">
        <v>21.27</v>
      </c>
      <c r="DJ74" s="228">
        <v>22.2</v>
      </c>
      <c r="DK74" s="228">
        <v>-0.93</v>
      </c>
      <c r="DL74" s="228">
        <v>-0.93</v>
      </c>
      <c r="DM74" s="228">
        <v>23.63</v>
      </c>
      <c r="DN74" s="228">
        <v>24.24</v>
      </c>
      <c r="DO74" s="228">
        <v>-0.61</v>
      </c>
      <c r="DP74" s="228">
        <v>-0.61</v>
      </c>
      <c r="DQ74" s="228">
        <v>0.83</v>
      </c>
      <c r="DR74" s="228">
        <v>0.77</v>
      </c>
      <c r="DS74" s="228">
        <v>0.06</v>
      </c>
      <c r="DT74" s="229">
        <v>7.7899999999999997E-2</v>
      </c>
      <c r="DU74" s="231">
        <v>1760</v>
      </c>
      <c r="DV74" s="231">
        <v>1620</v>
      </c>
      <c r="DW74" s="228">
        <v>0.56000000000000005</v>
      </c>
      <c r="DX74" s="228">
        <v>0.61</v>
      </c>
      <c r="DY74" s="228">
        <v>-0.05</v>
      </c>
      <c r="DZ74" s="229">
        <v>-8.2000000000000003E-2</v>
      </c>
      <c r="EA74" s="229">
        <v>2.3900000000000001E-2</v>
      </c>
      <c r="EB74" s="230">
        <v>17423350</v>
      </c>
      <c r="EC74" s="229">
        <v>6.7000000000000002E-3</v>
      </c>
      <c r="ED74" s="229">
        <v>2.3900000000000001E-2</v>
      </c>
      <c r="EE74" s="228">
        <v>9.6999999999999993</v>
      </c>
      <c r="EF74" s="229">
        <v>5.5999999999999999E-3</v>
      </c>
      <c r="EG74" s="230">
        <v>1799184</v>
      </c>
      <c r="EH74" s="230">
        <v>1545670</v>
      </c>
      <c r="EI74" s="229">
        <v>0.16400000000000001</v>
      </c>
      <c r="EJ74" s="229">
        <v>0.64690000000000003</v>
      </c>
      <c r="EK74" s="228">
        <v>972.59</v>
      </c>
      <c r="EL74" s="228">
        <v>515.16</v>
      </c>
      <c r="EM74" s="228">
        <v>399.18</v>
      </c>
      <c r="EN74" s="228">
        <v>303.94</v>
      </c>
      <c r="EO74" s="231">
        <v>1886.93</v>
      </c>
      <c r="EP74" s="231">
        <v>3445.91</v>
      </c>
      <c r="EQ74" s="231">
        <v>-1558.98</v>
      </c>
      <c r="ER74" s="229">
        <v>-0.45240000000000002</v>
      </c>
      <c r="ES74" s="228">
        <v>350.27</v>
      </c>
      <c r="ET74" s="228">
        <v>272.13</v>
      </c>
      <c r="EU74" s="231">
        <v>3032.49</v>
      </c>
      <c r="EV74" s="231">
        <v>106857976</v>
      </c>
      <c r="EW74" s="231">
        <v>3654.89</v>
      </c>
      <c r="EX74" s="231">
        <v>3504.22</v>
      </c>
      <c r="EY74" s="228">
        <v>150.66999999999999</v>
      </c>
      <c r="EZ74" s="229">
        <v>4.2999999999999997E-2</v>
      </c>
      <c r="FA74" s="229">
        <v>0.19750000000000001</v>
      </c>
      <c r="FB74" s="227" t="s">
        <v>555</v>
      </c>
      <c r="FC74">
        <f t="shared" si="1"/>
        <v>72</v>
      </c>
    </row>
    <row r="75" spans="1:159" ht="17.25" thickBot="1" x14ac:dyDescent="0.3">
      <c r="A75" s="226">
        <v>46050</v>
      </c>
      <c r="B75" s="227" t="s">
        <v>175</v>
      </c>
      <c r="C75" s="227" t="s">
        <v>475</v>
      </c>
      <c r="D75" s="228">
        <v>300</v>
      </c>
      <c r="E75" s="228">
        <v>27</v>
      </c>
      <c r="F75" s="231">
        <v>2489.8000000000002</v>
      </c>
      <c r="G75" s="231">
        <v>2452.6</v>
      </c>
      <c r="H75" s="228">
        <v>37.200000000000003</v>
      </c>
      <c r="I75" s="229">
        <v>1.52E-2</v>
      </c>
      <c r="J75" s="231">
        <v>2477.6</v>
      </c>
      <c r="K75" s="231">
        <v>2436.8000000000002</v>
      </c>
      <c r="L75" s="228">
        <v>40.799999999999997</v>
      </c>
      <c r="M75" s="229">
        <v>1.67E-2</v>
      </c>
      <c r="N75" s="231">
        <v>2489.8000000000002</v>
      </c>
      <c r="O75" s="231">
        <v>2440.6999999999998</v>
      </c>
      <c r="P75" s="228">
        <v>49.1</v>
      </c>
      <c r="Q75" s="229">
        <v>2.01E-2</v>
      </c>
      <c r="R75" s="231">
        <v>2503.6999999999998</v>
      </c>
      <c r="S75" s="231">
        <v>2452.6</v>
      </c>
      <c r="T75" s="228">
        <v>51.1</v>
      </c>
      <c r="U75" s="229">
        <v>2.0799999999999999E-2</v>
      </c>
      <c r="V75" s="228">
        <v>0</v>
      </c>
      <c r="W75" s="231">
        <v>2467.8000000000002</v>
      </c>
      <c r="X75" s="228">
        <v>0</v>
      </c>
      <c r="Y75" s="229">
        <v>0</v>
      </c>
      <c r="Z75" s="228">
        <v>12.2</v>
      </c>
      <c r="AA75" s="228">
        <v>15.8</v>
      </c>
      <c r="AB75" s="228">
        <v>-3.6</v>
      </c>
      <c r="AC75" s="229">
        <v>4.8999999999999998E-3</v>
      </c>
      <c r="AD75" s="228">
        <v>12.2</v>
      </c>
      <c r="AE75" s="228">
        <v>3.9</v>
      </c>
      <c r="AF75" s="228">
        <v>8.3000000000000007</v>
      </c>
      <c r="AG75" s="229">
        <v>4.8999999999999998E-3</v>
      </c>
      <c r="AH75" s="228">
        <v>26.1</v>
      </c>
      <c r="AI75" s="228">
        <v>15.8</v>
      </c>
      <c r="AJ75" s="228">
        <v>10.3</v>
      </c>
      <c r="AK75" s="229">
        <v>1.0500000000000001E-2</v>
      </c>
      <c r="AL75" s="228">
        <v>0</v>
      </c>
      <c r="AM75" s="228">
        <v>31</v>
      </c>
      <c r="AN75" s="228">
        <v>0</v>
      </c>
      <c r="AO75" s="229">
        <v>0</v>
      </c>
      <c r="AP75" s="231">
        <v>2465.58</v>
      </c>
      <c r="AQ75" s="231">
        <v>2474.84</v>
      </c>
      <c r="AR75" s="228">
        <v>0</v>
      </c>
      <c r="AS75" s="228">
        <v>276</v>
      </c>
      <c r="AT75" s="228">
        <v>634</v>
      </c>
      <c r="AU75" s="228">
        <v>-358</v>
      </c>
      <c r="AV75" s="229">
        <v>-0.56469999999999998</v>
      </c>
      <c r="AW75" s="228">
        <v>273</v>
      </c>
      <c r="AX75" s="228">
        <v>271</v>
      </c>
      <c r="AY75" s="228">
        <v>2</v>
      </c>
      <c r="AZ75" s="229">
        <v>9.1000000000000004E-3</v>
      </c>
      <c r="BA75" s="228">
        <v>3</v>
      </c>
      <c r="BB75" s="228">
        <v>360</v>
      </c>
      <c r="BC75" s="228">
        <v>-357</v>
      </c>
      <c r="BD75" s="229">
        <v>-0.99129999999999996</v>
      </c>
      <c r="BE75" s="228">
        <v>0</v>
      </c>
      <c r="BF75" s="228">
        <v>4</v>
      </c>
      <c r="BG75" s="228">
        <v>0</v>
      </c>
      <c r="BH75" s="229">
        <v>0</v>
      </c>
      <c r="BI75" s="228">
        <v>348</v>
      </c>
      <c r="BJ75" s="228">
        <v>456</v>
      </c>
      <c r="BK75" s="228">
        <v>-108</v>
      </c>
      <c r="BL75" s="229">
        <v>-0.23730000000000001</v>
      </c>
      <c r="BM75" s="228">
        <v>103</v>
      </c>
      <c r="BN75" s="228">
        <v>323</v>
      </c>
      <c r="BO75" s="228">
        <v>-220</v>
      </c>
      <c r="BP75" s="229">
        <v>-0.68220000000000003</v>
      </c>
      <c r="BQ75" s="228">
        <v>726</v>
      </c>
      <c r="BR75" s="230">
        <v>1413</v>
      </c>
      <c r="BS75" s="228">
        <v>-687</v>
      </c>
      <c r="BT75" s="229">
        <v>-0.4859</v>
      </c>
      <c r="BU75" s="230">
        <v>1308519</v>
      </c>
      <c r="BV75" s="230">
        <v>1454394</v>
      </c>
      <c r="BW75" s="230">
        <v>-145875</v>
      </c>
      <c r="BX75" s="229">
        <v>-0.1003</v>
      </c>
      <c r="BY75" s="230">
        <v>1804</v>
      </c>
      <c r="BZ75" s="230">
        <v>1760</v>
      </c>
      <c r="CA75" s="228">
        <v>44</v>
      </c>
      <c r="CB75" s="229">
        <v>2.4899999999999999E-2</v>
      </c>
      <c r="CC75" s="230">
        <v>1794</v>
      </c>
      <c r="CD75" s="228">
        <v>227</v>
      </c>
      <c r="CE75" s="230">
        <v>1567</v>
      </c>
      <c r="CF75" s="229">
        <v>6.9100999999999999</v>
      </c>
      <c r="CG75" s="228">
        <v>10</v>
      </c>
      <c r="CH75" s="230">
        <v>1751</v>
      </c>
      <c r="CI75" s="230">
        <v>-1741</v>
      </c>
      <c r="CJ75" s="229">
        <v>-0.99439999999999995</v>
      </c>
      <c r="CK75" s="228">
        <v>0</v>
      </c>
      <c r="CL75" s="228">
        <v>9</v>
      </c>
      <c r="CM75" s="228">
        <v>-9</v>
      </c>
      <c r="CN75" s="229">
        <v>-1</v>
      </c>
      <c r="CO75" s="228">
        <v>250</v>
      </c>
      <c r="CP75" s="228">
        <v>198</v>
      </c>
      <c r="CQ75" s="228">
        <v>51</v>
      </c>
      <c r="CR75" s="229">
        <v>0.25869999999999999</v>
      </c>
      <c r="CS75" s="228">
        <v>158</v>
      </c>
      <c r="CT75" s="228">
        <v>127</v>
      </c>
      <c r="CU75" s="228">
        <v>31</v>
      </c>
      <c r="CV75" s="229">
        <v>0.2427</v>
      </c>
      <c r="CW75" s="230">
        <v>2211</v>
      </c>
      <c r="CX75" s="230">
        <v>2085</v>
      </c>
      <c r="CY75" s="228">
        <v>126</v>
      </c>
      <c r="CZ75" s="229">
        <v>6.0400000000000002E-2</v>
      </c>
      <c r="DA75" s="228">
        <v>26.1</v>
      </c>
      <c r="DB75" s="228">
        <v>26.59</v>
      </c>
      <c r="DC75" s="228">
        <v>-0.49</v>
      </c>
      <c r="DD75" s="228">
        <v>-0.49</v>
      </c>
      <c r="DE75" s="228">
        <v>33.64</v>
      </c>
      <c r="DF75" s="228">
        <v>33.65</v>
      </c>
      <c r="DG75" s="228">
        <v>-7.54</v>
      </c>
      <c r="DH75" s="228">
        <v>-0.01</v>
      </c>
      <c r="DI75" s="228">
        <v>25.6</v>
      </c>
      <c r="DJ75" s="228">
        <v>26.07</v>
      </c>
      <c r="DK75" s="228">
        <v>-0.47</v>
      </c>
      <c r="DL75" s="228">
        <v>-0.47</v>
      </c>
      <c r="DM75" s="228">
        <v>27.78</v>
      </c>
      <c r="DN75" s="228">
        <v>27.93</v>
      </c>
      <c r="DO75" s="228">
        <v>-0.15</v>
      </c>
      <c r="DP75" s="228">
        <v>-0.15</v>
      </c>
      <c r="DQ75" s="228">
        <v>0.63</v>
      </c>
      <c r="DR75" s="228">
        <v>0.64</v>
      </c>
      <c r="DS75" s="228">
        <v>-0.01</v>
      </c>
      <c r="DT75" s="229">
        <v>-1.5599999999999999E-2</v>
      </c>
      <c r="DU75" s="231">
        <v>2500</v>
      </c>
      <c r="DV75" s="231">
        <v>2400</v>
      </c>
      <c r="DW75" s="228">
        <v>0.28999999999999998</v>
      </c>
      <c r="DX75" s="228">
        <v>0.71</v>
      </c>
      <c r="DY75" s="228">
        <v>-0.42</v>
      </c>
      <c r="DZ75" s="229">
        <v>-0.59150000000000003</v>
      </c>
      <c r="EA75" s="229">
        <v>5.4000000000000003E-3</v>
      </c>
      <c r="EB75" s="230">
        <v>7068000</v>
      </c>
      <c r="EC75" s="229">
        <v>5.5999999999999999E-3</v>
      </c>
      <c r="ED75" s="229">
        <v>5.4000000000000003E-3</v>
      </c>
      <c r="EE75" s="228">
        <v>9.26</v>
      </c>
      <c r="EF75" s="229">
        <v>3.8E-3</v>
      </c>
      <c r="EG75" s="230">
        <v>900953</v>
      </c>
      <c r="EH75" s="230">
        <v>939048</v>
      </c>
      <c r="EI75" s="229">
        <v>-4.0599999999999997E-2</v>
      </c>
      <c r="EJ75" s="229">
        <v>0.6885</v>
      </c>
      <c r="EK75" s="228">
        <v>363.67</v>
      </c>
      <c r="EL75" s="228">
        <v>100.28</v>
      </c>
      <c r="EM75" s="228">
        <v>273.47000000000003</v>
      </c>
      <c r="EN75" s="228">
        <v>163.03</v>
      </c>
      <c r="EO75" s="228">
        <v>737.42</v>
      </c>
      <c r="EP75" s="231">
        <v>1418.23</v>
      </c>
      <c r="EQ75" s="228">
        <v>-680.82</v>
      </c>
      <c r="ER75" s="229">
        <v>-0.48</v>
      </c>
      <c r="ES75" s="228">
        <v>263.81</v>
      </c>
      <c r="ET75" s="228">
        <v>155.18</v>
      </c>
      <c r="EU75" s="231">
        <v>1803.62</v>
      </c>
      <c r="EV75" s="231">
        <v>30592324</v>
      </c>
      <c r="EW75" s="231">
        <v>2222.61</v>
      </c>
      <c r="EX75" s="231">
        <v>2069.5</v>
      </c>
      <c r="EY75" s="228">
        <v>153.11000000000001</v>
      </c>
      <c r="EZ75" s="229">
        <v>7.3999999999999996E-2</v>
      </c>
      <c r="FA75" s="229">
        <v>0.2903</v>
      </c>
      <c r="FB75" s="227" t="s">
        <v>555</v>
      </c>
      <c r="FC75">
        <f t="shared" si="1"/>
        <v>10</v>
      </c>
    </row>
    <row r="76" spans="1:159" ht="17.25" thickBot="1" x14ac:dyDescent="0.3">
      <c r="A76" s="226">
        <v>46050</v>
      </c>
      <c r="B76" s="227" t="s">
        <v>172</v>
      </c>
      <c r="C76" s="227" t="s">
        <v>224</v>
      </c>
      <c r="D76" s="228">
        <v>550</v>
      </c>
      <c r="E76" s="228">
        <v>27</v>
      </c>
      <c r="F76" s="228">
        <v>936.2</v>
      </c>
      <c r="G76" s="228">
        <v>932.8</v>
      </c>
      <c r="H76" s="228">
        <v>3.4</v>
      </c>
      <c r="I76" s="229">
        <v>3.5999999999999999E-3</v>
      </c>
      <c r="J76" s="228">
        <v>932.7</v>
      </c>
      <c r="K76" s="228">
        <v>926.4</v>
      </c>
      <c r="L76" s="228">
        <v>6.3</v>
      </c>
      <c r="M76" s="229">
        <v>6.7999999999999996E-3</v>
      </c>
      <c r="N76" s="228">
        <v>936.2</v>
      </c>
      <c r="O76" s="228">
        <v>925.2</v>
      </c>
      <c r="P76" s="228">
        <v>11</v>
      </c>
      <c r="Q76" s="229">
        <v>1.1900000000000001E-2</v>
      </c>
      <c r="R76" s="228">
        <v>942.25</v>
      </c>
      <c r="S76" s="228">
        <v>932.8</v>
      </c>
      <c r="T76" s="228">
        <v>9.4499999999999993</v>
      </c>
      <c r="U76" s="229">
        <v>1.01E-2</v>
      </c>
      <c r="V76" s="228">
        <v>947.75</v>
      </c>
      <c r="W76" s="228">
        <v>938.6</v>
      </c>
      <c r="X76" s="228">
        <v>9.15</v>
      </c>
      <c r="Y76" s="229">
        <v>9.7000000000000003E-3</v>
      </c>
      <c r="Z76" s="228">
        <v>3.5</v>
      </c>
      <c r="AA76" s="228">
        <v>6.4</v>
      </c>
      <c r="AB76" s="228">
        <v>-2.9</v>
      </c>
      <c r="AC76" s="229">
        <v>3.8E-3</v>
      </c>
      <c r="AD76" s="228">
        <v>3.5</v>
      </c>
      <c r="AE76" s="228">
        <v>-1.2</v>
      </c>
      <c r="AF76" s="228">
        <v>4.7</v>
      </c>
      <c r="AG76" s="229">
        <v>3.8E-3</v>
      </c>
      <c r="AH76" s="228">
        <v>9.5500000000000007</v>
      </c>
      <c r="AI76" s="228">
        <v>6.4</v>
      </c>
      <c r="AJ76" s="228">
        <v>3.15</v>
      </c>
      <c r="AK76" s="229">
        <v>1.0200000000000001E-2</v>
      </c>
      <c r="AL76" s="228">
        <v>15.05</v>
      </c>
      <c r="AM76" s="228">
        <v>12.2</v>
      </c>
      <c r="AN76" s="228">
        <v>2.85</v>
      </c>
      <c r="AO76" s="229">
        <v>1.61E-2</v>
      </c>
      <c r="AP76" s="228">
        <v>938.58</v>
      </c>
      <c r="AQ76" s="228">
        <v>943.93</v>
      </c>
      <c r="AR76" s="228">
        <v>0</v>
      </c>
      <c r="AS76" s="230">
        <v>2771</v>
      </c>
      <c r="AT76" s="230">
        <v>9670</v>
      </c>
      <c r="AU76" s="230">
        <v>-6899</v>
      </c>
      <c r="AV76" s="229">
        <v>-0.71340000000000003</v>
      </c>
      <c r="AW76" s="230">
        <v>2657</v>
      </c>
      <c r="AX76" s="230">
        <v>3959</v>
      </c>
      <c r="AY76" s="230">
        <v>-1301</v>
      </c>
      <c r="AZ76" s="229">
        <v>-0.32869999999999999</v>
      </c>
      <c r="BA76" s="228">
        <v>97</v>
      </c>
      <c r="BB76" s="230">
        <v>5573</v>
      </c>
      <c r="BC76" s="230">
        <v>-5476</v>
      </c>
      <c r="BD76" s="229">
        <v>-0.98260000000000003</v>
      </c>
      <c r="BE76" s="228">
        <v>17</v>
      </c>
      <c r="BF76" s="228">
        <v>139</v>
      </c>
      <c r="BG76" s="228">
        <v>-122</v>
      </c>
      <c r="BH76" s="229">
        <v>-0.87609999999999999</v>
      </c>
      <c r="BI76" s="230">
        <v>6196</v>
      </c>
      <c r="BJ76" s="230">
        <v>7786</v>
      </c>
      <c r="BK76" s="230">
        <v>-1590</v>
      </c>
      <c r="BL76" s="229">
        <v>-0.20419999999999999</v>
      </c>
      <c r="BM76" s="230">
        <v>3692</v>
      </c>
      <c r="BN76" s="230">
        <v>5036</v>
      </c>
      <c r="BO76" s="230">
        <v>-1344</v>
      </c>
      <c r="BP76" s="229">
        <v>-0.26690000000000003</v>
      </c>
      <c r="BQ76" s="230">
        <v>12659</v>
      </c>
      <c r="BR76" s="230">
        <v>22492</v>
      </c>
      <c r="BS76" s="230">
        <v>-9833</v>
      </c>
      <c r="BT76" s="229">
        <v>-0.43719999999999998</v>
      </c>
      <c r="BU76" s="230">
        <v>36672247</v>
      </c>
      <c r="BV76" s="230">
        <v>45836965</v>
      </c>
      <c r="BW76" s="230">
        <v>-9164718</v>
      </c>
      <c r="BX76" s="229">
        <v>-0.19989999999999999</v>
      </c>
      <c r="BY76" s="230">
        <v>24184</v>
      </c>
      <c r="BZ76" s="230">
        <v>24438</v>
      </c>
      <c r="CA76" s="228">
        <v>-253</v>
      </c>
      <c r="CB76" s="229">
        <v>-1.04E-2</v>
      </c>
      <c r="CC76" s="230">
        <v>21847</v>
      </c>
      <c r="CD76" s="230">
        <v>1454</v>
      </c>
      <c r="CE76" s="230">
        <v>20393</v>
      </c>
      <c r="CF76" s="229">
        <v>14.0274</v>
      </c>
      <c r="CG76" s="230">
        <v>2324</v>
      </c>
      <c r="CH76" s="230">
        <v>22143</v>
      </c>
      <c r="CI76" s="230">
        <v>-19819</v>
      </c>
      <c r="CJ76" s="229">
        <v>-0.89500000000000002</v>
      </c>
      <c r="CK76" s="228">
        <v>13</v>
      </c>
      <c r="CL76" s="230">
        <v>2294</v>
      </c>
      <c r="CM76" s="230">
        <v>-2281</v>
      </c>
      <c r="CN76" s="229">
        <v>-0.99419999999999997</v>
      </c>
      <c r="CO76" s="230">
        <v>3398</v>
      </c>
      <c r="CP76" s="230">
        <v>3339</v>
      </c>
      <c r="CQ76" s="228">
        <v>59</v>
      </c>
      <c r="CR76" s="229">
        <v>1.78E-2</v>
      </c>
      <c r="CS76" s="230">
        <v>2404</v>
      </c>
      <c r="CT76" s="230">
        <v>2289</v>
      </c>
      <c r="CU76" s="228">
        <v>115</v>
      </c>
      <c r="CV76" s="229">
        <v>5.0200000000000002E-2</v>
      </c>
      <c r="CW76" s="230">
        <v>29986</v>
      </c>
      <c r="CX76" s="230">
        <v>30065</v>
      </c>
      <c r="CY76" s="228">
        <v>-79</v>
      </c>
      <c r="CZ76" s="229">
        <v>-2.5999999999999999E-3</v>
      </c>
      <c r="DA76" s="228">
        <v>19.63</v>
      </c>
      <c r="DB76" s="228">
        <v>20.82</v>
      </c>
      <c r="DC76" s="228">
        <v>-1.19</v>
      </c>
      <c r="DD76" s="228">
        <v>-1.19</v>
      </c>
      <c r="DE76" s="228">
        <v>19.559999999999999</v>
      </c>
      <c r="DF76" s="228">
        <v>19.59</v>
      </c>
      <c r="DG76" s="228">
        <v>7.0000000000000007E-2</v>
      </c>
      <c r="DH76" s="228">
        <v>-0.03</v>
      </c>
      <c r="DI76" s="228">
        <v>19.43</v>
      </c>
      <c r="DJ76" s="228">
        <v>20.36</v>
      </c>
      <c r="DK76" s="228">
        <v>-0.93</v>
      </c>
      <c r="DL76" s="228">
        <v>-0.93</v>
      </c>
      <c r="DM76" s="228">
        <v>19.96</v>
      </c>
      <c r="DN76" s="228">
        <v>21.59</v>
      </c>
      <c r="DO76" s="228">
        <v>-1.63</v>
      </c>
      <c r="DP76" s="228">
        <v>-1.63</v>
      </c>
      <c r="DQ76" s="228">
        <v>0.71</v>
      </c>
      <c r="DR76" s="228">
        <v>0.69</v>
      </c>
      <c r="DS76" s="228">
        <v>0.02</v>
      </c>
      <c r="DT76" s="229">
        <v>2.9000000000000001E-2</v>
      </c>
      <c r="DU76" s="231">
        <v>1000</v>
      </c>
      <c r="DV76" s="231">
        <v>1000</v>
      </c>
      <c r="DW76" s="228">
        <v>0.6</v>
      </c>
      <c r="DX76" s="228">
        <v>0.65</v>
      </c>
      <c r="DY76" s="228">
        <v>-0.05</v>
      </c>
      <c r="DZ76" s="229">
        <v>-7.6899999999999996E-2</v>
      </c>
      <c r="EA76" s="229">
        <v>9.6699999999999994E-2</v>
      </c>
      <c r="EB76" s="230">
        <v>261030550</v>
      </c>
      <c r="EC76" s="229">
        <v>6.4999999999999997E-3</v>
      </c>
      <c r="ED76" s="229">
        <v>9.6699999999999994E-2</v>
      </c>
      <c r="EE76" s="228">
        <v>5.35</v>
      </c>
      <c r="EF76" s="229">
        <v>5.7000000000000002E-3</v>
      </c>
      <c r="EG76" s="230">
        <v>26602847</v>
      </c>
      <c r="EH76" s="230">
        <v>25563338</v>
      </c>
      <c r="EI76" s="229">
        <v>4.07E-2</v>
      </c>
      <c r="EJ76" s="229">
        <v>0.72540000000000004</v>
      </c>
      <c r="EK76" s="231">
        <v>6418.17</v>
      </c>
      <c r="EL76" s="231">
        <v>3697.26</v>
      </c>
      <c r="EM76" s="231">
        <v>2779.22</v>
      </c>
      <c r="EN76" s="231">
        <v>2301.9499999999998</v>
      </c>
      <c r="EO76" s="231">
        <v>12894.65</v>
      </c>
      <c r="EP76" s="231">
        <v>22428.63</v>
      </c>
      <c r="EQ76" s="231">
        <v>-9533.98</v>
      </c>
      <c r="ER76" s="229">
        <v>-0.42509999999999998</v>
      </c>
      <c r="ES76" s="231">
        <v>3480.36</v>
      </c>
      <c r="ET76" s="231">
        <v>2376.3200000000002</v>
      </c>
      <c r="EU76" s="231">
        <v>24199.58</v>
      </c>
      <c r="EV76" s="231">
        <v>1330694977</v>
      </c>
      <c r="EW76" s="231">
        <v>30056.26</v>
      </c>
      <c r="EX76" s="231">
        <v>30030.66</v>
      </c>
      <c r="EY76" s="228">
        <v>25.6</v>
      </c>
      <c r="EZ76" s="229">
        <v>8.9999999999999998E-4</v>
      </c>
      <c r="FA76" s="229">
        <v>0.2407</v>
      </c>
      <c r="FB76" s="227" t="s">
        <v>556</v>
      </c>
      <c r="FC76">
        <f t="shared" si="1"/>
        <v>2337</v>
      </c>
    </row>
    <row r="77" spans="1:159" ht="17.25" thickBot="1" x14ac:dyDescent="0.3">
      <c r="A77" s="226">
        <v>46050</v>
      </c>
      <c r="B77" s="227" t="s">
        <v>175</v>
      </c>
      <c r="C77" s="227" t="s">
        <v>225</v>
      </c>
      <c r="D77" s="228">
        <v>1100</v>
      </c>
      <c r="E77" s="228">
        <v>27</v>
      </c>
      <c r="F77" s="228">
        <v>730.5</v>
      </c>
      <c r="G77" s="228">
        <v>724.4</v>
      </c>
      <c r="H77" s="228">
        <v>6.1</v>
      </c>
      <c r="I77" s="229">
        <v>8.3999999999999995E-3</v>
      </c>
      <c r="J77" s="228">
        <v>728.6</v>
      </c>
      <c r="K77" s="228">
        <v>720.05</v>
      </c>
      <c r="L77" s="228">
        <v>8.5500000000000007</v>
      </c>
      <c r="M77" s="229">
        <v>1.1900000000000001E-2</v>
      </c>
      <c r="N77" s="228">
        <v>730.5</v>
      </c>
      <c r="O77" s="228">
        <v>721.8</v>
      </c>
      <c r="P77" s="228">
        <v>8.6999999999999993</v>
      </c>
      <c r="Q77" s="229">
        <v>1.21E-2</v>
      </c>
      <c r="R77" s="228">
        <v>735.4</v>
      </c>
      <c r="S77" s="228">
        <v>724.4</v>
      </c>
      <c r="T77" s="228">
        <v>11</v>
      </c>
      <c r="U77" s="229">
        <v>1.52E-2</v>
      </c>
      <c r="V77" s="228">
        <v>737.05</v>
      </c>
      <c r="W77" s="228">
        <v>728.9</v>
      </c>
      <c r="X77" s="228">
        <v>8.15</v>
      </c>
      <c r="Y77" s="229">
        <v>1.12E-2</v>
      </c>
      <c r="Z77" s="228">
        <v>1.9</v>
      </c>
      <c r="AA77" s="228">
        <v>4.3499999999999996</v>
      </c>
      <c r="AB77" s="228">
        <v>-2.4500000000000002</v>
      </c>
      <c r="AC77" s="229">
        <v>2.5999999999999999E-3</v>
      </c>
      <c r="AD77" s="228">
        <v>1.9</v>
      </c>
      <c r="AE77" s="228">
        <v>1.75</v>
      </c>
      <c r="AF77" s="228">
        <v>0.15</v>
      </c>
      <c r="AG77" s="229">
        <v>2.5999999999999999E-3</v>
      </c>
      <c r="AH77" s="228">
        <v>6.8</v>
      </c>
      <c r="AI77" s="228">
        <v>4.3499999999999996</v>
      </c>
      <c r="AJ77" s="228">
        <v>2.4500000000000002</v>
      </c>
      <c r="AK77" s="229">
        <v>9.2999999999999992E-3</v>
      </c>
      <c r="AL77" s="228">
        <v>8.4499999999999993</v>
      </c>
      <c r="AM77" s="228">
        <v>8.85</v>
      </c>
      <c r="AN77" s="228">
        <v>-0.4</v>
      </c>
      <c r="AO77" s="229">
        <v>1.1599999999999999E-2</v>
      </c>
      <c r="AP77" s="228">
        <v>727.52</v>
      </c>
      <c r="AQ77" s="228">
        <v>732.21</v>
      </c>
      <c r="AR77" s="228">
        <v>0</v>
      </c>
      <c r="AS77" s="228">
        <v>224</v>
      </c>
      <c r="AT77" s="230">
        <v>1085</v>
      </c>
      <c r="AU77" s="228">
        <v>-860</v>
      </c>
      <c r="AV77" s="229">
        <v>-0.79330000000000001</v>
      </c>
      <c r="AW77" s="228">
        <v>217</v>
      </c>
      <c r="AX77" s="228">
        <v>505</v>
      </c>
      <c r="AY77" s="228">
        <v>-287</v>
      </c>
      <c r="AZ77" s="229">
        <v>-0.56920000000000004</v>
      </c>
      <c r="BA77" s="228">
        <v>6</v>
      </c>
      <c r="BB77" s="228">
        <v>571</v>
      </c>
      <c r="BC77" s="228">
        <v>-565</v>
      </c>
      <c r="BD77" s="229">
        <v>-0.98939999999999995</v>
      </c>
      <c r="BE77" s="228">
        <v>1</v>
      </c>
      <c r="BF77" s="228">
        <v>9</v>
      </c>
      <c r="BG77" s="228">
        <v>-8</v>
      </c>
      <c r="BH77" s="229">
        <v>-0.9204</v>
      </c>
      <c r="BI77" s="228">
        <v>740</v>
      </c>
      <c r="BJ77" s="228">
        <v>610</v>
      </c>
      <c r="BK77" s="228">
        <v>130</v>
      </c>
      <c r="BL77" s="229">
        <v>0.2135</v>
      </c>
      <c r="BM77" s="228">
        <v>231</v>
      </c>
      <c r="BN77" s="228">
        <v>398</v>
      </c>
      <c r="BO77" s="228">
        <v>-167</v>
      </c>
      <c r="BP77" s="229">
        <v>-0.42080000000000001</v>
      </c>
      <c r="BQ77" s="230">
        <v>1195</v>
      </c>
      <c r="BR77" s="230">
        <v>2092</v>
      </c>
      <c r="BS77" s="228">
        <v>-898</v>
      </c>
      <c r="BT77" s="229">
        <v>-0.42899999999999999</v>
      </c>
      <c r="BU77" s="230">
        <v>1828349</v>
      </c>
      <c r="BV77" s="230">
        <v>3378298</v>
      </c>
      <c r="BW77" s="230">
        <v>-1549949</v>
      </c>
      <c r="BX77" s="229">
        <v>-0.45879999999999999</v>
      </c>
      <c r="BY77" s="230">
        <v>2385</v>
      </c>
      <c r="BZ77" s="230">
        <v>2472</v>
      </c>
      <c r="CA77" s="228">
        <v>-86</v>
      </c>
      <c r="CB77" s="229">
        <v>-3.49E-2</v>
      </c>
      <c r="CC77" s="230">
        <v>2352</v>
      </c>
      <c r="CD77" s="228">
        <v>387</v>
      </c>
      <c r="CE77" s="230">
        <v>1965</v>
      </c>
      <c r="CF77" s="229">
        <v>5.0808</v>
      </c>
      <c r="CG77" s="228">
        <v>33</v>
      </c>
      <c r="CH77" s="230">
        <v>2441</v>
      </c>
      <c r="CI77" s="230">
        <v>-2408</v>
      </c>
      <c r="CJ77" s="229">
        <v>-0.98650000000000004</v>
      </c>
      <c r="CK77" s="228">
        <v>1</v>
      </c>
      <c r="CL77" s="228">
        <v>30</v>
      </c>
      <c r="CM77" s="228">
        <v>-30</v>
      </c>
      <c r="CN77" s="229">
        <v>-0.97889999999999999</v>
      </c>
      <c r="CO77" s="228">
        <v>420</v>
      </c>
      <c r="CP77" s="228">
        <v>243</v>
      </c>
      <c r="CQ77" s="228">
        <v>178</v>
      </c>
      <c r="CR77" s="229">
        <v>0.73229999999999995</v>
      </c>
      <c r="CS77" s="228">
        <v>247</v>
      </c>
      <c r="CT77" s="228">
        <v>209</v>
      </c>
      <c r="CU77" s="228">
        <v>37</v>
      </c>
      <c r="CV77" s="229">
        <v>0.17680000000000001</v>
      </c>
      <c r="CW77" s="230">
        <v>3052</v>
      </c>
      <c r="CX77" s="230">
        <v>2924</v>
      </c>
      <c r="CY77" s="228">
        <v>128</v>
      </c>
      <c r="CZ77" s="229">
        <v>4.3900000000000002E-2</v>
      </c>
      <c r="DA77" s="228">
        <v>21.21</v>
      </c>
      <c r="DB77" s="228">
        <v>23.12</v>
      </c>
      <c r="DC77" s="228">
        <v>-1.91</v>
      </c>
      <c r="DD77" s="228">
        <v>-1.91</v>
      </c>
      <c r="DE77" s="228">
        <v>24.69</v>
      </c>
      <c r="DF77" s="228">
        <v>24.7</v>
      </c>
      <c r="DG77" s="228">
        <v>-3.48</v>
      </c>
      <c r="DH77" s="228">
        <v>-0.01</v>
      </c>
      <c r="DI77" s="228">
        <v>20.74</v>
      </c>
      <c r="DJ77" s="228">
        <v>22.76</v>
      </c>
      <c r="DK77" s="228">
        <v>-2.02</v>
      </c>
      <c r="DL77" s="228">
        <v>-2.02</v>
      </c>
      <c r="DM77" s="228">
        <v>22.74</v>
      </c>
      <c r="DN77" s="228">
        <v>23.84</v>
      </c>
      <c r="DO77" s="228">
        <v>-1.1000000000000001</v>
      </c>
      <c r="DP77" s="228">
        <v>-1.1000000000000001</v>
      </c>
      <c r="DQ77" s="228">
        <v>0.59</v>
      </c>
      <c r="DR77" s="228">
        <v>0.86</v>
      </c>
      <c r="DS77" s="228">
        <v>-0.27</v>
      </c>
      <c r="DT77" s="229">
        <v>-0.314</v>
      </c>
      <c r="DU77" s="228">
        <v>740</v>
      </c>
      <c r="DV77" s="228">
        <v>720</v>
      </c>
      <c r="DW77" s="228">
        <v>0.31</v>
      </c>
      <c r="DX77" s="228">
        <v>0.65</v>
      </c>
      <c r="DY77" s="228">
        <v>-0.34</v>
      </c>
      <c r="DZ77" s="229">
        <v>-0.52310000000000001</v>
      </c>
      <c r="EA77" s="229">
        <v>1.41E-2</v>
      </c>
      <c r="EB77" s="230">
        <v>33836000</v>
      </c>
      <c r="EC77" s="229">
        <v>6.7000000000000002E-3</v>
      </c>
      <c r="ED77" s="229">
        <v>1.41E-2</v>
      </c>
      <c r="EE77" s="228">
        <v>4.6900000000000004</v>
      </c>
      <c r="EF77" s="229">
        <v>6.4000000000000003E-3</v>
      </c>
      <c r="EG77" s="230">
        <v>1214770</v>
      </c>
      <c r="EH77" s="230">
        <v>1920016</v>
      </c>
      <c r="EI77" s="229">
        <v>-0.36730000000000002</v>
      </c>
      <c r="EJ77" s="229">
        <v>0.66439999999999999</v>
      </c>
      <c r="EK77" s="228">
        <v>774.28</v>
      </c>
      <c r="EL77" s="228">
        <v>226.36</v>
      </c>
      <c r="EM77" s="228">
        <v>223.32</v>
      </c>
      <c r="EN77" s="228">
        <v>206.45</v>
      </c>
      <c r="EO77" s="231">
        <v>1223.97</v>
      </c>
      <c r="EP77" s="231">
        <v>2088</v>
      </c>
      <c r="EQ77" s="228">
        <v>-864.03</v>
      </c>
      <c r="ER77" s="229">
        <v>-0.4138</v>
      </c>
      <c r="ES77" s="228">
        <v>436.87</v>
      </c>
      <c r="ET77" s="228">
        <v>240.17</v>
      </c>
      <c r="EU77" s="231">
        <v>2385.65</v>
      </c>
      <c r="EV77" s="231">
        <v>128849634</v>
      </c>
      <c r="EW77" s="231">
        <v>3062.68</v>
      </c>
      <c r="EX77" s="231">
        <v>2908.44</v>
      </c>
      <c r="EY77" s="228">
        <v>154.24</v>
      </c>
      <c r="EZ77" s="229">
        <v>5.2999999999999999E-2</v>
      </c>
      <c r="FA77" s="229">
        <v>0.32429999999999998</v>
      </c>
      <c r="FB77" s="227" t="s">
        <v>556</v>
      </c>
      <c r="FC77">
        <f t="shared" si="1"/>
        <v>33</v>
      </c>
    </row>
    <row r="78" spans="1:159" ht="17.25" thickBot="1" x14ac:dyDescent="0.3">
      <c r="A78" s="226">
        <v>46050</v>
      </c>
      <c r="B78" s="227" t="s">
        <v>162</v>
      </c>
      <c r="C78" s="227" t="s">
        <v>226</v>
      </c>
      <c r="D78" s="228">
        <v>150</v>
      </c>
      <c r="E78" s="228">
        <v>27</v>
      </c>
      <c r="F78" s="231">
        <v>5511</v>
      </c>
      <c r="G78" s="231">
        <v>5366.5</v>
      </c>
      <c r="H78" s="228">
        <v>144.5</v>
      </c>
      <c r="I78" s="229">
        <v>2.69E-2</v>
      </c>
      <c r="J78" s="231">
        <v>5512.5</v>
      </c>
      <c r="K78" s="231">
        <v>5380</v>
      </c>
      <c r="L78" s="228">
        <v>132.5</v>
      </c>
      <c r="M78" s="229">
        <v>2.46E-2</v>
      </c>
      <c r="N78" s="231">
        <v>5511</v>
      </c>
      <c r="O78" s="231">
        <v>5372.5</v>
      </c>
      <c r="P78" s="228">
        <v>138.5</v>
      </c>
      <c r="Q78" s="229">
        <v>2.58E-2</v>
      </c>
      <c r="R78" s="231">
        <v>5538.5</v>
      </c>
      <c r="S78" s="231">
        <v>5366.5</v>
      </c>
      <c r="T78" s="228">
        <v>172</v>
      </c>
      <c r="U78" s="229">
        <v>3.2099999999999997E-2</v>
      </c>
      <c r="V78" s="231">
        <v>5568.5</v>
      </c>
      <c r="W78" s="231">
        <v>5411</v>
      </c>
      <c r="X78" s="228">
        <v>157.5</v>
      </c>
      <c r="Y78" s="229">
        <v>2.9100000000000001E-2</v>
      </c>
      <c r="Z78" s="228">
        <v>-1.5</v>
      </c>
      <c r="AA78" s="228">
        <v>-13.5</v>
      </c>
      <c r="AB78" s="228">
        <v>12</v>
      </c>
      <c r="AC78" s="229">
        <v>-2.9999999999999997E-4</v>
      </c>
      <c r="AD78" s="228">
        <v>-1.5</v>
      </c>
      <c r="AE78" s="228">
        <v>-7.5</v>
      </c>
      <c r="AF78" s="228">
        <v>6</v>
      </c>
      <c r="AG78" s="229">
        <v>-2.9999999999999997E-4</v>
      </c>
      <c r="AH78" s="228">
        <v>26</v>
      </c>
      <c r="AI78" s="228">
        <v>-13.5</v>
      </c>
      <c r="AJ78" s="228">
        <v>39.5</v>
      </c>
      <c r="AK78" s="229">
        <v>4.7000000000000002E-3</v>
      </c>
      <c r="AL78" s="228">
        <v>56</v>
      </c>
      <c r="AM78" s="228">
        <v>31</v>
      </c>
      <c r="AN78" s="228">
        <v>25</v>
      </c>
      <c r="AO78" s="229">
        <v>1.0200000000000001E-2</v>
      </c>
      <c r="AP78" s="231">
        <v>5416.47</v>
      </c>
      <c r="AQ78" s="231">
        <v>5451.09</v>
      </c>
      <c r="AR78" s="228">
        <v>0</v>
      </c>
      <c r="AS78" s="228">
        <v>573</v>
      </c>
      <c r="AT78" s="230">
        <v>1174</v>
      </c>
      <c r="AU78" s="228">
        <v>-601</v>
      </c>
      <c r="AV78" s="229">
        <v>-0.51200000000000001</v>
      </c>
      <c r="AW78" s="228">
        <v>557</v>
      </c>
      <c r="AX78" s="228">
        <v>503</v>
      </c>
      <c r="AY78" s="228">
        <v>54</v>
      </c>
      <c r="AZ78" s="229">
        <v>0.1067</v>
      </c>
      <c r="BA78" s="228">
        <v>15</v>
      </c>
      <c r="BB78" s="228">
        <v>660</v>
      </c>
      <c r="BC78" s="228">
        <v>-645</v>
      </c>
      <c r="BD78" s="229">
        <v>-0.97689999999999999</v>
      </c>
      <c r="BE78" s="228">
        <v>1</v>
      </c>
      <c r="BF78" s="228">
        <v>11</v>
      </c>
      <c r="BG78" s="228">
        <v>-10</v>
      </c>
      <c r="BH78" s="229">
        <v>-0.89780000000000004</v>
      </c>
      <c r="BI78" s="230">
        <v>1411</v>
      </c>
      <c r="BJ78" s="230">
        <v>1830</v>
      </c>
      <c r="BK78" s="228">
        <v>-418</v>
      </c>
      <c r="BL78" s="229">
        <v>-0.22869999999999999</v>
      </c>
      <c r="BM78" s="228">
        <v>643</v>
      </c>
      <c r="BN78" s="228">
        <v>942</v>
      </c>
      <c r="BO78" s="228">
        <v>-299</v>
      </c>
      <c r="BP78" s="229">
        <v>-0.31759999999999999</v>
      </c>
      <c r="BQ78" s="230">
        <v>2627</v>
      </c>
      <c r="BR78" s="230">
        <v>3946</v>
      </c>
      <c r="BS78" s="230">
        <v>-1319</v>
      </c>
      <c r="BT78" s="229">
        <v>-0.3342</v>
      </c>
      <c r="BU78" s="230">
        <v>563676</v>
      </c>
      <c r="BV78" s="230">
        <v>412484</v>
      </c>
      <c r="BW78" s="230">
        <v>151192</v>
      </c>
      <c r="BX78" s="229">
        <v>0.36649999999999999</v>
      </c>
      <c r="BY78" s="230">
        <v>1929</v>
      </c>
      <c r="BZ78" s="230">
        <v>1944</v>
      </c>
      <c r="CA78" s="228">
        <v>-15</v>
      </c>
      <c r="CB78" s="229">
        <v>-8.0000000000000002E-3</v>
      </c>
      <c r="CC78" s="230">
        <v>1898</v>
      </c>
      <c r="CD78" s="228">
        <v>678</v>
      </c>
      <c r="CE78" s="230">
        <v>1220</v>
      </c>
      <c r="CF78" s="229">
        <v>1.8003</v>
      </c>
      <c r="CG78" s="228">
        <v>30</v>
      </c>
      <c r="CH78" s="230">
        <v>1915</v>
      </c>
      <c r="CI78" s="230">
        <v>-1885</v>
      </c>
      <c r="CJ78" s="229">
        <v>-0.98429999999999995</v>
      </c>
      <c r="CK78" s="228">
        <v>1</v>
      </c>
      <c r="CL78" s="228">
        <v>29</v>
      </c>
      <c r="CM78" s="228">
        <v>-28</v>
      </c>
      <c r="CN78" s="229">
        <v>-0.96879999999999999</v>
      </c>
      <c r="CO78" s="228">
        <v>515</v>
      </c>
      <c r="CP78" s="228">
        <v>430</v>
      </c>
      <c r="CQ78" s="228">
        <v>86</v>
      </c>
      <c r="CR78" s="229">
        <v>0.1996</v>
      </c>
      <c r="CS78" s="228">
        <v>380</v>
      </c>
      <c r="CT78" s="228">
        <v>327</v>
      </c>
      <c r="CU78" s="228">
        <v>53</v>
      </c>
      <c r="CV78" s="229">
        <v>0.1628</v>
      </c>
      <c r="CW78" s="230">
        <v>2824</v>
      </c>
      <c r="CX78" s="230">
        <v>2701</v>
      </c>
      <c r="CY78" s="228">
        <v>124</v>
      </c>
      <c r="CZ78" s="229">
        <v>4.5699999999999998E-2</v>
      </c>
      <c r="DA78" s="228">
        <v>30.78</v>
      </c>
      <c r="DB78" s="228">
        <v>30.47</v>
      </c>
      <c r="DC78" s="228">
        <v>0.31</v>
      </c>
      <c r="DD78" s="228">
        <v>0.31</v>
      </c>
      <c r="DE78" s="228">
        <v>30.01</v>
      </c>
      <c r="DF78" s="228">
        <v>29.91</v>
      </c>
      <c r="DG78" s="228">
        <v>0.77</v>
      </c>
      <c r="DH78" s="228">
        <v>0.1</v>
      </c>
      <c r="DI78" s="228">
        <v>30.38</v>
      </c>
      <c r="DJ78" s="228">
        <v>30.58</v>
      </c>
      <c r="DK78" s="228">
        <v>-0.2</v>
      </c>
      <c r="DL78" s="228">
        <v>-0.2</v>
      </c>
      <c r="DM78" s="228">
        <v>31.68</v>
      </c>
      <c r="DN78" s="228">
        <v>30.29</v>
      </c>
      <c r="DO78" s="228">
        <v>1.39</v>
      </c>
      <c r="DP78" s="228">
        <v>1.39</v>
      </c>
      <c r="DQ78" s="228">
        <v>0.74</v>
      </c>
      <c r="DR78" s="228">
        <v>0.76</v>
      </c>
      <c r="DS78" s="228">
        <v>-0.02</v>
      </c>
      <c r="DT78" s="229">
        <v>-2.63E-2</v>
      </c>
      <c r="DU78" s="231">
        <v>6000</v>
      </c>
      <c r="DV78" s="231">
        <v>5500</v>
      </c>
      <c r="DW78" s="228">
        <v>0.46</v>
      </c>
      <c r="DX78" s="228">
        <v>0.51</v>
      </c>
      <c r="DY78" s="228">
        <v>-0.05</v>
      </c>
      <c r="DZ78" s="229">
        <v>-9.8000000000000004E-2</v>
      </c>
      <c r="EA78" s="229">
        <v>1.6E-2</v>
      </c>
      <c r="EB78" s="230">
        <v>3528150</v>
      </c>
      <c r="EC78" s="229">
        <v>5.0000000000000001E-3</v>
      </c>
      <c r="ED78" s="229">
        <v>1.6E-2</v>
      </c>
      <c r="EE78" s="228">
        <v>34.619999999999997</v>
      </c>
      <c r="EF78" s="229">
        <v>6.4000000000000003E-3</v>
      </c>
      <c r="EG78" s="230">
        <v>290795</v>
      </c>
      <c r="EH78" s="230">
        <v>195878</v>
      </c>
      <c r="EI78" s="229">
        <v>0.48459999999999998</v>
      </c>
      <c r="EJ78" s="229">
        <v>0.51590000000000003</v>
      </c>
      <c r="EK78" s="231">
        <v>1478.24</v>
      </c>
      <c r="EL78" s="228">
        <v>626.86</v>
      </c>
      <c r="EM78" s="228">
        <v>563.23</v>
      </c>
      <c r="EN78" s="228">
        <v>249.84</v>
      </c>
      <c r="EO78" s="231">
        <v>2668.33</v>
      </c>
      <c r="EP78" s="231">
        <v>3998.83</v>
      </c>
      <c r="EQ78" s="231">
        <v>-1330.5</v>
      </c>
      <c r="ER78" s="229">
        <v>-0.3327</v>
      </c>
      <c r="ES78" s="228">
        <v>546.05999999999995</v>
      </c>
      <c r="ET78" s="228">
        <v>368.06</v>
      </c>
      <c r="EU78" s="231">
        <v>1929.06</v>
      </c>
      <c r="EV78" s="231">
        <v>19586951</v>
      </c>
      <c r="EW78" s="231">
        <v>2843.18</v>
      </c>
      <c r="EX78" s="231">
        <v>2665.62</v>
      </c>
      <c r="EY78" s="228">
        <v>177.56</v>
      </c>
      <c r="EZ78" s="229">
        <v>6.6600000000000006E-2</v>
      </c>
      <c r="FA78" s="229">
        <v>0.26169999999999999</v>
      </c>
      <c r="FB78" s="227" t="s">
        <v>556</v>
      </c>
      <c r="FC78">
        <f t="shared" si="1"/>
        <v>31</v>
      </c>
    </row>
    <row r="79" spans="1:159" ht="17.25" thickBot="1" x14ac:dyDescent="0.3">
      <c r="A79" s="226">
        <v>46050</v>
      </c>
      <c r="B79" s="227" t="s">
        <v>227</v>
      </c>
      <c r="C79" s="227" t="s">
        <v>228</v>
      </c>
      <c r="D79" s="228">
        <v>700</v>
      </c>
      <c r="E79" s="228">
        <v>27</v>
      </c>
      <c r="F79" s="228">
        <v>998.85</v>
      </c>
      <c r="G79" s="228">
        <v>963.65</v>
      </c>
      <c r="H79" s="228">
        <v>35.200000000000003</v>
      </c>
      <c r="I79" s="229">
        <v>3.6499999999999998E-2</v>
      </c>
      <c r="J79" s="228">
        <v>998.2</v>
      </c>
      <c r="K79" s="228">
        <v>961.85</v>
      </c>
      <c r="L79" s="228">
        <v>36.35</v>
      </c>
      <c r="M79" s="229">
        <v>3.78E-2</v>
      </c>
      <c r="N79" s="228">
        <v>998.85</v>
      </c>
      <c r="O79" s="228">
        <v>960.1</v>
      </c>
      <c r="P79" s="228">
        <v>38.75</v>
      </c>
      <c r="Q79" s="229">
        <v>4.0399999999999998E-2</v>
      </c>
      <c r="R79" s="231">
        <v>1006.2</v>
      </c>
      <c r="S79" s="228">
        <v>963.65</v>
      </c>
      <c r="T79" s="228">
        <v>42.55</v>
      </c>
      <c r="U79" s="229">
        <v>4.4200000000000003E-2</v>
      </c>
      <c r="V79" s="231">
        <v>1014.1</v>
      </c>
      <c r="W79" s="228">
        <v>969.4</v>
      </c>
      <c r="X79" s="228">
        <v>44.7</v>
      </c>
      <c r="Y79" s="229">
        <v>4.6100000000000002E-2</v>
      </c>
      <c r="Z79" s="228">
        <v>0.65</v>
      </c>
      <c r="AA79" s="228">
        <v>1.8</v>
      </c>
      <c r="AB79" s="228">
        <v>-1.1499999999999999</v>
      </c>
      <c r="AC79" s="229">
        <v>6.9999999999999999E-4</v>
      </c>
      <c r="AD79" s="228">
        <v>0.65</v>
      </c>
      <c r="AE79" s="228">
        <v>-1.75</v>
      </c>
      <c r="AF79" s="228">
        <v>2.4</v>
      </c>
      <c r="AG79" s="229">
        <v>6.9999999999999999E-4</v>
      </c>
      <c r="AH79" s="228">
        <v>8</v>
      </c>
      <c r="AI79" s="228">
        <v>1.8</v>
      </c>
      <c r="AJ79" s="228">
        <v>6.2</v>
      </c>
      <c r="AK79" s="229">
        <v>8.0000000000000002E-3</v>
      </c>
      <c r="AL79" s="228">
        <v>15.9</v>
      </c>
      <c r="AM79" s="228">
        <v>7.55</v>
      </c>
      <c r="AN79" s="228">
        <v>8.35</v>
      </c>
      <c r="AO79" s="229">
        <v>1.5900000000000001E-2</v>
      </c>
      <c r="AP79" s="228">
        <v>993.16</v>
      </c>
      <c r="AQ79" s="228">
        <v>999.74</v>
      </c>
      <c r="AR79" s="228">
        <v>0</v>
      </c>
      <c r="AS79" s="230">
        <v>1844</v>
      </c>
      <c r="AT79" s="230">
        <v>3085</v>
      </c>
      <c r="AU79" s="230">
        <v>-1242</v>
      </c>
      <c r="AV79" s="229">
        <v>-0.40239999999999998</v>
      </c>
      <c r="AW79" s="230">
        <v>1755</v>
      </c>
      <c r="AX79" s="230">
        <v>1223</v>
      </c>
      <c r="AY79" s="228">
        <v>532</v>
      </c>
      <c r="AZ79" s="229">
        <v>0.43519999999999998</v>
      </c>
      <c r="BA79" s="228">
        <v>80</v>
      </c>
      <c r="BB79" s="230">
        <v>1832</v>
      </c>
      <c r="BC79" s="230">
        <v>-1751</v>
      </c>
      <c r="BD79" s="229">
        <v>-0.95609999999999995</v>
      </c>
      <c r="BE79" s="228">
        <v>8</v>
      </c>
      <c r="BF79" s="228">
        <v>31</v>
      </c>
      <c r="BG79" s="228">
        <v>-23</v>
      </c>
      <c r="BH79" s="229">
        <v>-0.73529999999999995</v>
      </c>
      <c r="BI79" s="230">
        <v>3909</v>
      </c>
      <c r="BJ79" s="230">
        <v>2481</v>
      </c>
      <c r="BK79" s="230">
        <v>1428</v>
      </c>
      <c r="BL79" s="229">
        <v>0.57550000000000001</v>
      </c>
      <c r="BM79" s="230">
        <v>1692</v>
      </c>
      <c r="BN79" s="230">
        <v>1354</v>
      </c>
      <c r="BO79" s="228">
        <v>338</v>
      </c>
      <c r="BP79" s="229">
        <v>0.2495</v>
      </c>
      <c r="BQ79" s="230">
        <v>7445</v>
      </c>
      <c r="BR79" s="230">
        <v>6921</v>
      </c>
      <c r="BS79" s="228">
        <v>524</v>
      </c>
      <c r="BT79" s="229">
        <v>7.5700000000000003E-2</v>
      </c>
      <c r="BU79" s="230">
        <v>13237196</v>
      </c>
      <c r="BV79" s="230">
        <v>10223319</v>
      </c>
      <c r="BW79" s="230">
        <v>3013877</v>
      </c>
      <c r="BX79" s="229">
        <v>0.29480000000000001</v>
      </c>
      <c r="BY79" s="230">
        <v>4651</v>
      </c>
      <c r="BZ79" s="230">
        <v>4708</v>
      </c>
      <c r="CA79" s="228">
        <v>-57</v>
      </c>
      <c r="CB79" s="229">
        <v>-1.2E-2</v>
      </c>
      <c r="CC79" s="230">
        <v>4490</v>
      </c>
      <c r="CD79" s="228">
        <v>268</v>
      </c>
      <c r="CE79" s="230">
        <v>4222</v>
      </c>
      <c r="CF79" s="229">
        <v>15.744199999999999</v>
      </c>
      <c r="CG79" s="228">
        <v>157</v>
      </c>
      <c r="CH79" s="230">
        <v>4580</v>
      </c>
      <c r="CI79" s="230">
        <v>-4424</v>
      </c>
      <c r="CJ79" s="229">
        <v>-0.96579999999999999</v>
      </c>
      <c r="CK79" s="228">
        <v>5</v>
      </c>
      <c r="CL79" s="228">
        <v>127</v>
      </c>
      <c r="CM79" s="228">
        <v>-123</v>
      </c>
      <c r="CN79" s="229">
        <v>-0.96209999999999996</v>
      </c>
      <c r="CO79" s="228">
        <v>554</v>
      </c>
      <c r="CP79" s="228">
        <v>451</v>
      </c>
      <c r="CQ79" s="228">
        <v>103</v>
      </c>
      <c r="CR79" s="229">
        <v>0.22700000000000001</v>
      </c>
      <c r="CS79" s="228">
        <v>493</v>
      </c>
      <c r="CT79" s="228">
        <v>365</v>
      </c>
      <c r="CU79" s="228">
        <v>128</v>
      </c>
      <c r="CV79" s="229">
        <v>0.34970000000000001</v>
      </c>
      <c r="CW79" s="230">
        <v>5698</v>
      </c>
      <c r="CX79" s="230">
        <v>5525</v>
      </c>
      <c r="CY79" s="228">
        <v>174</v>
      </c>
      <c r="CZ79" s="229">
        <v>3.1399999999999997E-2</v>
      </c>
      <c r="DA79" s="228">
        <v>33.619999999999997</v>
      </c>
      <c r="DB79" s="228">
        <v>32.799999999999997</v>
      </c>
      <c r="DC79" s="228">
        <v>0.82</v>
      </c>
      <c r="DD79" s="228">
        <v>0.82</v>
      </c>
      <c r="DE79" s="228">
        <v>32.49</v>
      </c>
      <c r="DF79" s="228">
        <v>32.18</v>
      </c>
      <c r="DG79" s="228">
        <v>1.1299999999999999</v>
      </c>
      <c r="DH79" s="228">
        <v>0.31</v>
      </c>
      <c r="DI79" s="228">
        <v>33.450000000000003</v>
      </c>
      <c r="DJ79" s="228">
        <v>32.79</v>
      </c>
      <c r="DK79" s="228">
        <v>0.66</v>
      </c>
      <c r="DL79" s="228">
        <v>0.66</v>
      </c>
      <c r="DM79" s="228">
        <v>33.99</v>
      </c>
      <c r="DN79" s="228">
        <v>32.82</v>
      </c>
      <c r="DO79" s="228">
        <v>1.17</v>
      </c>
      <c r="DP79" s="228">
        <v>1.17</v>
      </c>
      <c r="DQ79" s="228">
        <v>0.89</v>
      </c>
      <c r="DR79" s="228">
        <v>0.81</v>
      </c>
      <c r="DS79" s="228">
        <v>0.08</v>
      </c>
      <c r="DT79" s="229">
        <v>9.8799999999999999E-2</v>
      </c>
      <c r="DU79" s="231">
        <v>1000</v>
      </c>
      <c r="DV79" s="228">
        <v>900</v>
      </c>
      <c r="DW79" s="228">
        <v>0.43</v>
      </c>
      <c r="DX79" s="228">
        <v>0.55000000000000004</v>
      </c>
      <c r="DY79" s="228">
        <v>-0.12</v>
      </c>
      <c r="DZ79" s="229">
        <v>-0.21820000000000001</v>
      </c>
      <c r="EA79" s="229">
        <v>3.4700000000000002E-2</v>
      </c>
      <c r="EB79" s="230">
        <v>47133100</v>
      </c>
      <c r="EC79" s="229">
        <v>7.4000000000000003E-3</v>
      </c>
      <c r="ED79" s="229">
        <v>3.4700000000000002E-2</v>
      </c>
      <c r="EE79" s="228">
        <v>6.58</v>
      </c>
      <c r="EF79" s="229">
        <v>6.6E-3</v>
      </c>
      <c r="EG79" s="230">
        <v>7762344</v>
      </c>
      <c r="EH79" s="230">
        <v>5412667</v>
      </c>
      <c r="EI79" s="229">
        <v>0.43409999999999999</v>
      </c>
      <c r="EJ79" s="229">
        <v>0.58640000000000003</v>
      </c>
      <c r="EK79" s="231">
        <v>4067.7</v>
      </c>
      <c r="EL79" s="231">
        <v>1657.37</v>
      </c>
      <c r="EM79" s="231">
        <v>1833.8</v>
      </c>
      <c r="EN79" s="228">
        <v>462.8</v>
      </c>
      <c r="EO79" s="231">
        <v>7558.87</v>
      </c>
      <c r="EP79" s="231">
        <v>6714.44</v>
      </c>
      <c r="EQ79" s="228">
        <v>844.43</v>
      </c>
      <c r="ER79" s="229">
        <v>0.1258</v>
      </c>
      <c r="ES79" s="228">
        <v>550.55999999999995</v>
      </c>
      <c r="ET79" s="228">
        <v>459.53</v>
      </c>
      <c r="EU79" s="231">
        <v>4652.55</v>
      </c>
      <c r="EV79" s="231">
        <v>212176873</v>
      </c>
      <c r="EW79" s="231">
        <v>5662.64</v>
      </c>
      <c r="EX79" s="231">
        <v>5318.72</v>
      </c>
      <c r="EY79" s="228">
        <v>343.92</v>
      </c>
      <c r="EZ79" s="229">
        <v>6.4699999999999994E-2</v>
      </c>
      <c r="FA79" s="229">
        <v>0.26889999999999997</v>
      </c>
      <c r="FB79" s="227" t="s">
        <v>556</v>
      </c>
      <c r="FC79">
        <f t="shared" si="1"/>
        <v>161</v>
      </c>
    </row>
    <row r="80" spans="1:159" ht="17.25" thickBot="1" x14ac:dyDescent="0.3">
      <c r="A80" s="226">
        <v>46050</v>
      </c>
      <c r="B80" s="227" t="s">
        <v>193</v>
      </c>
      <c r="C80" s="227" t="s">
        <v>229</v>
      </c>
      <c r="D80" s="228">
        <v>2025</v>
      </c>
      <c r="E80" s="228">
        <v>27</v>
      </c>
      <c r="F80" s="228">
        <v>434.75</v>
      </c>
      <c r="G80" s="228">
        <v>421.85</v>
      </c>
      <c r="H80" s="228">
        <v>12.9</v>
      </c>
      <c r="I80" s="229">
        <v>3.0599999999999999E-2</v>
      </c>
      <c r="J80" s="228">
        <v>433.25</v>
      </c>
      <c r="K80" s="228">
        <v>419.35</v>
      </c>
      <c r="L80" s="228">
        <v>13.9</v>
      </c>
      <c r="M80" s="229">
        <v>3.3099999999999997E-2</v>
      </c>
      <c r="N80" s="228">
        <v>434.75</v>
      </c>
      <c r="O80" s="228">
        <v>419.35</v>
      </c>
      <c r="P80" s="228">
        <v>15.4</v>
      </c>
      <c r="Q80" s="229">
        <v>3.6700000000000003E-2</v>
      </c>
      <c r="R80" s="228">
        <v>437.35</v>
      </c>
      <c r="S80" s="228">
        <v>421.85</v>
      </c>
      <c r="T80" s="228">
        <v>15.5</v>
      </c>
      <c r="U80" s="229">
        <v>3.6700000000000003E-2</v>
      </c>
      <c r="V80" s="228">
        <v>435.05</v>
      </c>
      <c r="W80" s="228">
        <v>424.7</v>
      </c>
      <c r="X80" s="228">
        <v>10.35</v>
      </c>
      <c r="Y80" s="229">
        <v>2.4400000000000002E-2</v>
      </c>
      <c r="Z80" s="228">
        <v>1.5</v>
      </c>
      <c r="AA80" s="228">
        <v>2.5</v>
      </c>
      <c r="AB80" s="228">
        <v>-1</v>
      </c>
      <c r="AC80" s="229">
        <v>3.5000000000000001E-3</v>
      </c>
      <c r="AD80" s="228">
        <v>1.5</v>
      </c>
      <c r="AE80" s="228">
        <v>0</v>
      </c>
      <c r="AF80" s="228">
        <v>1.5</v>
      </c>
      <c r="AG80" s="229">
        <v>3.5000000000000001E-3</v>
      </c>
      <c r="AH80" s="228">
        <v>4.0999999999999996</v>
      </c>
      <c r="AI80" s="228">
        <v>2.5</v>
      </c>
      <c r="AJ80" s="228">
        <v>1.6</v>
      </c>
      <c r="AK80" s="229">
        <v>9.4999999999999998E-3</v>
      </c>
      <c r="AL80" s="228">
        <v>1.8</v>
      </c>
      <c r="AM80" s="228">
        <v>5.35</v>
      </c>
      <c r="AN80" s="228">
        <v>-3.55</v>
      </c>
      <c r="AO80" s="229">
        <v>4.1999999999999997E-3</v>
      </c>
      <c r="AP80" s="228">
        <v>432.54</v>
      </c>
      <c r="AQ80" s="228">
        <v>435.24</v>
      </c>
      <c r="AR80" s="228">
        <v>0</v>
      </c>
      <c r="AS80" s="228">
        <v>339</v>
      </c>
      <c r="AT80" s="230">
        <v>1182</v>
      </c>
      <c r="AU80" s="228">
        <v>-842</v>
      </c>
      <c r="AV80" s="229">
        <v>-0.71289999999999998</v>
      </c>
      <c r="AW80" s="228">
        <v>327</v>
      </c>
      <c r="AX80" s="228">
        <v>551</v>
      </c>
      <c r="AY80" s="228">
        <v>-224</v>
      </c>
      <c r="AZ80" s="229">
        <v>-0.40639999999999998</v>
      </c>
      <c r="BA80" s="228">
        <v>12</v>
      </c>
      <c r="BB80" s="228">
        <v>624</v>
      </c>
      <c r="BC80" s="228">
        <v>-612</v>
      </c>
      <c r="BD80" s="229">
        <v>-0.98099999999999998</v>
      </c>
      <c r="BE80" s="228">
        <v>0</v>
      </c>
      <c r="BF80" s="228">
        <v>7</v>
      </c>
      <c r="BG80" s="228">
        <v>-6</v>
      </c>
      <c r="BH80" s="229">
        <v>-0.93240000000000001</v>
      </c>
      <c r="BI80" s="228">
        <v>963</v>
      </c>
      <c r="BJ80" s="228">
        <v>629</v>
      </c>
      <c r="BK80" s="228">
        <v>334</v>
      </c>
      <c r="BL80" s="229">
        <v>0.53049999999999997</v>
      </c>
      <c r="BM80" s="228">
        <v>428</v>
      </c>
      <c r="BN80" s="228">
        <v>418</v>
      </c>
      <c r="BO80" s="228">
        <v>10</v>
      </c>
      <c r="BP80" s="229">
        <v>2.47E-2</v>
      </c>
      <c r="BQ80" s="230">
        <v>1730</v>
      </c>
      <c r="BR80" s="230">
        <v>2229</v>
      </c>
      <c r="BS80" s="228">
        <v>-498</v>
      </c>
      <c r="BT80" s="229">
        <v>-0.22359999999999999</v>
      </c>
      <c r="BU80" s="230">
        <v>5401432</v>
      </c>
      <c r="BV80" s="230">
        <v>4328490</v>
      </c>
      <c r="BW80" s="230">
        <v>1072942</v>
      </c>
      <c r="BX80" s="229">
        <v>0.24790000000000001</v>
      </c>
      <c r="BY80" s="230">
        <v>1582</v>
      </c>
      <c r="BZ80" s="230">
        <v>1572</v>
      </c>
      <c r="CA80" s="228">
        <v>11</v>
      </c>
      <c r="CB80" s="229">
        <v>6.7000000000000002E-3</v>
      </c>
      <c r="CC80" s="230">
        <v>1564</v>
      </c>
      <c r="CD80" s="228">
        <v>161</v>
      </c>
      <c r="CE80" s="230">
        <v>1403</v>
      </c>
      <c r="CF80" s="229">
        <v>8.6912000000000003</v>
      </c>
      <c r="CG80" s="228">
        <v>18</v>
      </c>
      <c r="CH80" s="230">
        <v>1555</v>
      </c>
      <c r="CI80" s="230">
        <v>-1537</v>
      </c>
      <c r="CJ80" s="229">
        <v>-0.98839999999999995</v>
      </c>
      <c r="CK80" s="228">
        <v>0</v>
      </c>
      <c r="CL80" s="228">
        <v>17</v>
      </c>
      <c r="CM80" s="228">
        <v>-17</v>
      </c>
      <c r="CN80" s="229">
        <v>-0.97919999999999996</v>
      </c>
      <c r="CO80" s="228">
        <v>358</v>
      </c>
      <c r="CP80" s="228">
        <v>300</v>
      </c>
      <c r="CQ80" s="228">
        <v>58</v>
      </c>
      <c r="CR80" s="229">
        <v>0.19259999999999999</v>
      </c>
      <c r="CS80" s="228">
        <v>322</v>
      </c>
      <c r="CT80" s="228">
        <v>288</v>
      </c>
      <c r="CU80" s="228">
        <v>34</v>
      </c>
      <c r="CV80" s="229">
        <v>0.1192</v>
      </c>
      <c r="CW80" s="230">
        <v>2263</v>
      </c>
      <c r="CX80" s="230">
        <v>2160</v>
      </c>
      <c r="CY80" s="228">
        <v>103</v>
      </c>
      <c r="CZ80" s="229">
        <v>4.7600000000000003E-2</v>
      </c>
      <c r="DA80" s="228">
        <v>33.43</v>
      </c>
      <c r="DB80" s="228">
        <v>34.35</v>
      </c>
      <c r="DC80" s="228">
        <v>-0.92</v>
      </c>
      <c r="DD80" s="228">
        <v>-0.92</v>
      </c>
      <c r="DE80" s="228">
        <v>38.94</v>
      </c>
      <c r="DF80" s="228">
        <v>38.83</v>
      </c>
      <c r="DG80" s="228">
        <v>-5.51</v>
      </c>
      <c r="DH80" s="228">
        <v>0.11</v>
      </c>
      <c r="DI80" s="228">
        <v>33.090000000000003</v>
      </c>
      <c r="DJ80" s="228">
        <v>33.94</v>
      </c>
      <c r="DK80" s="228">
        <v>-0.85</v>
      </c>
      <c r="DL80" s="228">
        <v>-0.85</v>
      </c>
      <c r="DM80" s="228">
        <v>34.21</v>
      </c>
      <c r="DN80" s="228">
        <v>34.94</v>
      </c>
      <c r="DO80" s="228">
        <v>-0.73</v>
      </c>
      <c r="DP80" s="228">
        <v>-0.73</v>
      </c>
      <c r="DQ80" s="228">
        <v>0.9</v>
      </c>
      <c r="DR80" s="228">
        <v>0.96</v>
      </c>
      <c r="DS80" s="228">
        <v>-0.06</v>
      </c>
      <c r="DT80" s="229">
        <v>-6.25E-2</v>
      </c>
      <c r="DU80" s="228">
        <v>450</v>
      </c>
      <c r="DV80" s="228">
        <v>440</v>
      </c>
      <c r="DW80" s="228">
        <v>0.44</v>
      </c>
      <c r="DX80" s="228">
        <v>0.66</v>
      </c>
      <c r="DY80" s="228">
        <v>-0.22</v>
      </c>
      <c r="DZ80" s="229">
        <v>-0.33329999999999999</v>
      </c>
      <c r="EA80" s="229">
        <v>1.1599999999999999E-2</v>
      </c>
      <c r="EB80" s="230">
        <v>36150300</v>
      </c>
      <c r="EC80" s="229">
        <v>6.0000000000000001E-3</v>
      </c>
      <c r="ED80" s="229">
        <v>1.1599999999999999E-2</v>
      </c>
      <c r="EE80" s="228">
        <v>2.7</v>
      </c>
      <c r="EF80" s="229">
        <v>6.1999999999999998E-3</v>
      </c>
      <c r="EG80" s="230">
        <v>2620597</v>
      </c>
      <c r="EH80" s="230">
        <v>2153371</v>
      </c>
      <c r="EI80" s="229">
        <v>0.217</v>
      </c>
      <c r="EJ80" s="229">
        <v>0.48520000000000002</v>
      </c>
      <c r="EK80" s="231">
        <v>1019.62</v>
      </c>
      <c r="EL80" s="228">
        <v>424.82</v>
      </c>
      <c r="EM80" s="228">
        <v>337.64</v>
      </c>
      <c r="EN80" s="228">
        <v>132.54</v>
      </c>
      <c r="EO80" s="231">
        <v>1782.08</v>
      </c>
      <c r="EP80" s="231">
        <v>2200.5</v>
      </c>
      <c r="EQ80" s="228">
        <v>-418.42</v>
      </c>
      <c r="ER80" s="229">
        <v>-0.19009999999999999</v>
      </c>
      <c r="ES80" s="228">
        <v>377.66</v>
      </c>
      <c r="ET80" s="228">
        <v>316.17</v>
      </c>
      <c r="EU80" s="231">
        <v>1582.31</v>
      </c>
      <c r="EV80" s="231">
        <v>143933168</v>
      </c>
      <c r="EW80" s="231">
        <v>2276.14</v>
      </c>
      <c r="EX80" s="231">
        <v>2121.31</v>
      </c>
      <c r="EY80" s="228">
        <v>154.83000000000001</v>
      </c>
      <c r="EZ80" s="229">
        <v>7.2999999999999995E-2</v>
      </c>
      <c r="FA80" s="229">
        <v>0.36159999999999998</v>
      </c>
      <c r="FB80" s="227" t="s">
        <v>555</v>
      </c>
      <c r="FC80">
        <f t="shared" si="1"/>
        <v>18</v>
      </c>
    </row>
    <row r="81" spans="1:159" ht="17.25" thickBot="1" x14ac:dyDescent="0.3">
      <c r="A81" s="226">
        <v>46050</v>
      </c>
      <c r="B81" s="227" t="s">
        <v>168</v>
      </c>
      <c r="C81" s="227" t="s">
        <v>230</v>
      </c>
      <c r="D81" s="228">
        <v>300</v>
      </c>
      <c r="E81" s="228">
        <v>27</v>
      </c>
      <c r="F81" s="231">
        <v>2382.4</v>
      </c>
      <c r="G81" s="231">
        <v>2417.6999999999998</v>
      </c>
      <c r="H81" s="228">
        <v>-35.299999999999997</v>
      </c>
      <c r="I81" s="229">
        <v>-1.46E-2</v>
      </c>
      <c r="J81" s="231">
        <v>2378.4</v>
      </c>
      <c r="K81" s="231">
        <v>2400.9</v>
      </c>
      <c r="L81" s="228">
        <v>-22.5</v>
      </c>
      <c r="M81" s="229">
        <v>-9.4000000000000004E-3</v>
      </c>
      <c r="N81" s="231">
        <v>2382.4</v>
      </c>
      <c r="O81" s="231">
        <v>2402.9</v>
      </c>
      <c r="P81" s="228">
        <v>-20.5</v>
      </c>
      <c r="Q81" s="229">
        <v>-8.5000000000000006E-3</v>
      </c>
      <c r="R81" s="231">
        <v>2396.9</v>
      </c>
      <c r="S81" s="231">
        <v>2417.6999999999998</v>
      </c>
      <c r="T81" s="228">
        <v>-20.8</v>
      </c>
      <c r="U81" s="229">
        <v>-8.6E-3</v>
      </c>
      <c r="V81" s="231">
        <v>2405</v>
      </c>
      <c r="W81" s="231">
        <v>2431.3000000000002</v>
      </c>
      <c r="X81" s="228">
        <v>-26.3</v>
      </c>
      <c r="Y81" s="229">
        <v>-1.0800000000000001E-2</v>
      </c>
      <c r="Z81" s="228">
        <v>4</v>
      </c>
      <c r="AA81" s="228">
        <v>16.8</v>
      </c>
      <c r="AB81" s="228">
        <v>-12.8</v>
      </c>
      <c r="AC81" s="229">
        <v>1.6999999999999999E-3</v>
      </c>
      <c r="AD81" s="228">
        <v>4</v>
      </c>
      <c r="AE81" s="228">
        <v>2</v>
      </c>
      <c r="AF81" s="228">
        <v>2</v>
      </c>
      <c r="AG81" s="229">
        <v>1.6999999999999999E-3</v>
      </c>
      <c r="AH81" s="228">
        <v>18.5</v>
      </c>
      <c r="AI81" s="228">
        <v>16.8</v>
      </c>
      <c r="AJ81" s="228">
        <v>1.7</v>
      </c>
      <c r="AK81" s="229">
        <v>7.7999999999999996E-3</v>
      </c>
      <c r="AL81" s="228">
        <v>26.6</v>
      </c>
      <c r="AM81" s="228">
        <v>30.4</v>
      </c>
      <c r="AN81" s="228">
        <v>-3.8</v>
      </c>
      <c r="AO81" s="229">
        <v>1.12E-2</v>
      </c>
      <c r="AP81" s="231">
        <v>2375.0100000000002</v>
      </c>
      <c r="AQ81" s="231">
        <v>2385.89</v>
      </c>
      <c r="AR81" s="228">
        <v>0</v>
      </c>
      <c r="AS81" s="228">
        <v>663</v>
      </c>
      <c r="AT81" s="230">
        <v>1479</v>
      </c>
      <c r="AU81" s="228">
        <v>-816</v>
      </c>
      <c r="AV81" s="229">
        <v>-0.55189999999999995</v>
      </c>
      <c r="AW81" s="228">
        <v>640</v>
      </c>
      <c r="AX81" s="228">
        <v>616</v>
      </c>
      <c r="AY81" s="228">
        <v>24</v>
      </c>
      <c r="AZ81" s="229">
        <v>3.8899999999999997E-2</v>
      </c>
      <c r="BA81" s="228">
        <v>20</v>
      </c>
      <c r="BB81" s="228">
        <v>846</v>
      </c>
      <c r="BC81" s="228">
        <v>-826</v>
      </c>
      <c r="BD81" s="229">
        <v>-0.9768</v>
      </c>
      <c r="BE81" s="228">
        <v>3</v>
      </c>
      <c r="BF81" s="228">
        <v>17</v>
      </c>
      <c r="BG81" s="228">
        <v>-14</v>
      </c>
      <c r="BH81" s="229">
        <v>-0.82230000000000003</v>
      </c>
      <c r="BI81" s="230">
        <v>1100</v>
      </c>
      <c r="BJ81" s="230">
        <v>1715</v>
      </c>
      <c r="BK81" s="228">
        <v>-616</v>
      </c>
      <c r="BL81" s="229">
        <v>-0.3589</v>
      </c>
      <c r="BM81" s="228">
        <v>881</v>
      </c>
      <c r="BN81" s="228">
        <v>979</v>
      </c>
      <c r="BO81" s="228">
        <v>-98</v>
      </c>
      <c r="BP81" s="229">
        <v>-0.10059999999999999</v>
      </c>
      <c r="BQ81" s="230">
        <v>2643</v>
      </c>
      <c r="BR81" s="230">
        <v>4174</v>
      </c>
      <c r="BS81" s="230">
        <v>-1530</v>
      </c>
      <c r="BT81" s="229">
        <v>-0.36670000000000003</v>
      </c>
      <c r="BU81" s="230">
        <v>1869497</v>
      </c>
      <c r="BV81" s="230">
        <v>2113932</v>
      </c>
      <c r="BW81" s="230">
        <v>-244435</v>
      </c>
      <c r="BX81" s="229">
        <v>-0.11559999999999999</v>
      </c>
      <c r="BY81" s="230">
        <v>3332</v>
      </c>
      <c r="BZ81" s="230">
        <v>3248</v>
      </c>
      <c r="CA81" s="228">
        <v>85</v>
      </c>
      <c r="CB81" s="229">
        <v>2.5999999999999999E-2</v>
      </c>
      <c r="CC81" s="230">
        <v>3280</v>
      </c>
      <c r="CD81" s="228">
        <v>316</v>
      </c>
      <c r="CE81" s="230">
        <v>2964</v>
      </c>
      <c r="CF81" s="229">
        <v>9.3741000000000003</v>
      </c>
      <c r="CG81" s="228">
        <v>50</v>
      </c>
      <c r="CH81" s="230">
        <v>3197</v>
      </c>
      <c r="CI81" s="230">
        <v>-3147</v>
      </c>
      <c r="CJ81" s="229">
        <v>-0.98429999999999995</v>
      </c>
      <c r="CK81" s="228">
        <v>2</v>
      </c>
      <c r="CL81" s="228">
        <v>50</v>
      </c>
      <c r="CM81" s="228">
        <v>-49</v>
      </c>
      <c r="CN81" s="229">
        <v>-0.96179999999999999</v>
      </c>
      <c r="CO81" s="228">
        <v>504</v>
      </c>
      <c r="CP81" s="228">
        <v>387</v>
      </c>
      <c r="CQ81" s="228">
        <v>117</v>
      </c>
      <c r="CR81" s="229">
        <v>0.30249999999999999</v>
      </c>
      <c r="CS81" s="228">
        <v>512</v>
      </c>
      <c r="CT81" s="228">
        <v>333</v>
      </c>
      <c r="CU81" s="228">
        <v>179</v>
      </c>
      <c r="CV81" s="229">
        <v>0.53620000000000001</v>
      </c>
      <c r="CW81" s="230">
        <v>4348</v>
      </c>
      <c r="CX81" s="230">
        <v>3968</v>
      </c>
      <c r="CY81" s="228">
        <v>380</v>
      </c>
      <c r="CZ81" s="229">
        <v>9.5799999999999996E-2</v>
      </c>
      <c r="DA81" s="228">
        <v>26.04</v>
      </c>
      <c r="DB81" s="228">
        <v>24.64</v>
      </c>
      <c r="DC81" s="228">
        <v>1.4</v>
      </c>
      <c r="DD81" s="228">
        <v>1.4</v>
      </c>
      <c r="DE81" s="228">
        <v>21.77</v>
      </c>
      <c r="DF81" s="228">
        <v>21.79</v>
      </c>
      <c r="DG81" s="228">
        <v>4.2699999999999996</v>
      </c>
      <c r="DH81" s="228">
        <v>-0.02</v>
      </c>
      <c r="DI81" s="228">
        <v>25.59</v>
      </c>
      <c r="DJ81" s="228">
        <v>24.35</v>
      </c>
      <c r="DK81" s="228">
        <v>1.24</v>
      </c>
      <c r="DL81" s="228">
        <v>1.24</v>
      </c>
      <c r="DM81" s="228">
        <v>26.61</v>
      </c>
      <c r="DN81" s="228">
        <v>25.12</v>
      </c>
      <c r="DO81" s="228">
        <v>1.49</v>
      </c>
      <c r="DP81" s="228">
        <v>1.49</v>
      </c>
      <c r="DQ81" s="228">
        <v>1.02</v>
      </c>
      <c r="DR81" s="228">
        <v>0.86</v>
      </c>
      <c r="DS81" s="228">
        <v>0.16</v>
      </c>
      <c r="DT81" s="229">
        <v>0.186</v>
      </c>
      <c r="DU81" s="231">
        <v>2500</v>
      </c>
      <c r="DV81" s="231">
        <v>2340</v>
      </c>
      <c r="DW81" s="228">
        <v>0.8</v>
      </c>
      <c r="DX81" s="228">
        <v>0.56999999999999995</v>
      </c>
      <c r="DY81" s="228">
        <v>0.23</v>
      </c>
      <c r="DZ81" s="229">
        <v>0.40350000000000003</v>
      </c>
      <c r="EA81" s="229">
        <v>1.5599999999999999E-2</v>
      </c>
      <c r="EB81" s="230">
        <v>13632300</v>
      </c>
      <c r="EC81" s="229">
        <v>6.1000000000000004E-3</v>
      </c>
      <c r="ED81" s="229">
        <v>1.5599999999999999E-2</v>
      </c>
      <c r="EE81" s="228">
        <v>10.88</v>
      </c>
      <c r="EF81" s="229">
        <v>4.5999999999999999E-3</v>
      </c>
      <c r="EG81" s="230">
        <v>1162976</v>
      </c>
      <c r="EH81" s="230">
        <v>1151249</v>
      </c>
      <c r="EI81" s="229">
        <v>1.0200000000000001E-2</v>
      </c>
      <c r="EJ81" s="229">
        <v>0.62209999999999999</v>
      </c>
      <c r="EK81" s="231">
        <v>1156.54</v>
      </c>
      <c r="EL81" s="228">
        <v>866.83</v>
      </c>
      <c r="EM81" s="228">
        <v>660.82</v>
      </c>
      <c r="EN81" s="228">
        <v>335.91</v>
      </c>
      <c r="EO81" s="231">
        <v>2684.19</v>
      </c>
      <c r="EP81" s="231">
        <v>4247.41</v>
      </c>
      <c r="EQ81" s="231">
        <v>-1563.23</v>
      </c>
      <c r="ER81" s="229">
        <v>-0.36799999999999999</v>
      </c>
      <c r="ES81" s="228">
        <v>532.14</v>
      </c>
      <c r="ET81" s="228">
        <v>494.18</v>
      </c>
      <c r="EU81" s="231">
        <v>3332.63</v>
      </c>
      <c r="EV81" s="231">
        <v>91001773</v>
      </c>
      <c r="EW81" s="231">
        <v>4358.95</v>
      </c>
      <c r="EX81" s="231">
        <v>4031.5</v>
      </c>
      <c r="EY81" s="228">
        <v>327.45</v>
      </c>
      <c r="EZ81" s="229">
        <v>8.1199999999999994E-2</v>
      </c>
      <c r="FA81" s="229">
        <v>0.20050000000000001</v>
      </c>
      <c r="FB81" s="227" t="s">
        <v>567</v>
      </c>
      <c r="FC81">
        <f t="shared" si="1"/>
        <v>52</v>
      </c>
    </row>
    <row r="82" spans="1:159" ht="17.25" thickBot="1" x14ac:dyDescent="0.3">
      <c r="A82" s="226">
        <v>46050</v>
      </c>
      <c r="B82" s="227" t="s">
        <v>227</v>
      </c>
      <c r="C82" s="227" t="s">
        <v>667</v>
      </c>
      <c r="D82" s="228">
        <v>1225</v>
      </c>
      <c r="E82" s="228">
        <v>27</v>
      </c>
      <c r="F82" s="228">
        <v>706.35</v>
      </c>
      <c r="G82" s="228">
        <v>725.9</v>
      </c>
      <c r="H82" s="228">
        <v>-19.55</v>
      </c>
      <c r="I82" s="229">
        <v>-2.69E-2</v>
      </c>
      <c r="J82" s="228">
        <v>708.2</v>
      </c>
      <c r="K82" s="228">
        <v>727.2</v>
      </c>
      <c r="L82" s="228">
        <v>-19</v>
      </c>
      <c r="M82" s="229">
        <v>-2.6100000000000002E-2</v>
      </c>
      <c r="N82" s="228">
        <v>706.35</v>
      </c>
      <c r="O82" s="228">
        <v>726.5</v>
      </c>
      <c r="P82" s="228">
        <v>-20.149999999999999</v>
      </c>
      <c r="Q82" s="229">
        <v>-2.7699999999999999E-2</v>
      </c>
      <c r="R82" s="228">
        <v>710.45</v>
      </c>
      <c r="S82" s="228">
        <v>725.9</v>
      </c>
      <c r="T82" s="228">
        <v>-15.45</v>
      </c>
      <c r="U82" s="229">
        <v>-2.1299999999999999E-2</v>
      </c>
      <c r="V82" s="228">
        <v>713.1</v>
      </c>
      <c r="W82" s="228">
        <v>727.45</v>
      </c>
      <c r="X82" s="228">
        <v>-14.35</v>
      </c>
      <c r="Y82" s="229">
        <v>-1.9699999999999999E-2</v>
      </c>
      <c r="Z82" s="228">
        <v>-1.85</v>
      </c>
      <c r="AA82" s="228">
        <v>-1.3</v>
      </c>
      <c r="AB82" s="228">
        <v>-0.55000000000000004</v>
      </c>
      <c r="AC82" s="229">
        <v>-2.5999999999999999E-3</v>
      </c>
      <c r="AD82" s="228">
        <v>-1.85</v>
      </c>
      <c r="AE82" s="228">
        <v>-0.7</v>
      </c>
      <c r="AF82" s="228">
        <v>-1.1499999999999999</v>
      </c>
      <c r="AG82" s="229">
        <v>-2.5999999999999999E-3</v>
      </c>
      <c r="AH82" s="228">
        <v>2.25</v>
      </c>
      <c r="AI82" s="228">
        <v>-1.3</v>
      </c>
      <c r="AJ82" s="228">
        <v>3.55</v>
      </c>
      <c r="AK82" s="229">
        <v>3.2000000000000002E-3</v>
      </c>
      <c r="AL82" s="228">
        <v>4.9000000000000004</v>
      </c>
      <c r="AM82" s="228">
        <v>0.25</v>
      </c>
      <c r="AN82" s="228">
        <v>4.6500000000000004</v>
      </c>
      <c r="AO82" s="229">
        <v>6.8999999999999999E-3</v>
      </c>
      <c r="AP82" s="228">
        <v>714.18</v>
      </c>
      <c r="AQ82" s="228">
        <v>716.81</v>
      </c>
      <c r="AR82" s="228">
        <v>0</v>
      </c>
      <c r="AS82" s="230">
        <v>3138</v>
      </c>
      <c r="AT82" s="230">
        <v>3178</v>
      </c>
      <c r="AU82" s="228">
        <v>-40</v>
      </c>
      <c r="AV82" s="229">
        <v>-1.2699999999999999E-2</v>
      </c>
      <c r="AW82" s="230">
        <v>3009</v>
      </c>
      <c r="AX82" s="230">
        <v>1184</v>
      </c>
      <c r="AY82" s="230">
        <v>1825</v>
      </c>
      <c r="AZ82" s="229">
        <v>1.5424</v>
      </c>
      <c r="BA82" s="228">
        <v>117</v>
      </c>
      <c r="BB82" s="230">
        <v>1917</v>
      </c>
      <c r="BC82" s="230">
        <v>-1800</v>
      </c>
      <c r="BD82" s="229">
        <v>-0.93879999999999997</v>
      </c>
      <c r="BE82" s="228">
        <v>11</v>
      </c>
      <c r="BF82" s="228">
        <v>78</v>
      </c>
      <c r="BG82" s="228">
        <v>-66</v>
      </c>
      <c r="BH82" s="229">
        <v>-0.85509999999999997</v>
      </c>
      <c r="BI82" s="230">
        <v>12218</v>
      </c>
      <c r="BJ82" s="230">
        <v>11600</v>
      </c>
      <c r="BK82" s="228">
        <v>618</v>
      </c>
      <c r="BL82" s="229">
        <v>5.33E-2</v>
      </c>
      <c r="BM82" s="230">
        <v>4650</v>
      </c>
      <c r="BN82" s="230">
        <v>5730</v>
      </c>
      <c r="BO82" s="230">
        <v>-1080</v>
      </c>
      <c r="BP82" s="229">
        <v>-0.1885</v>
      </c>
      <c r="BQ82" s="230">
        <v>20006</v>
      </c>
      <c r="BR82" s="230">
        <v>20509</v>
      </c>
      <c r="BS82" s="228">
        <v>-502</v>
      </c>
      <c r="BT82" s="229">
        <v>-2.4500000000000001E-2</v>
      </c>
      <c r="BU82" s="230">
        <v>40215016</v>
      </c>
      <c r="BV82" s="230">
        <v>27755032</v>
      </c>
      <c r="BW82" s="230">
        <v>12459984</v>
      </c>
      <c r="BX82" s="229">
        <v>0.44890000000000002</v>
      </c>
      <c r="BY82" s="230">
        <v>2697</v>
      </c>
      <c r="BZ82" s="230">
        <v>2343</v>
      </c>
      <c r="CA82" s="228">
        <v>354</v>
      </c>
      <c r="CB82" s="229">
        <v>0.15090000000000001</v>
      </c>
      <c r="CC82" s="230">
        <v>2549</v>
      </c>
      <c r="CD82" s="228">
        <v>317</v>
      </c>
      <c r="CE82" s="230">
        <v>2232</v>
      </c>
      <c r="CF82" s="229">
        <v>7.0423</v>
      </c>
      <c r="CG82" s="228">
        <v>142</v>
      </c>
      <c r="CH82" s="230">
        <v>2225</v>
      </c>
      <c r="CI82" s="230">
        <v>-2084</v>
      </c>
      <c r="CJ82" s="229">
        <v>-0.93640000000000001</v>
      </c>
      <c r="CK82" s="228">
        <v>6</v>
      </c>
      <c r="CL82" s="228">
        <v>118</v>
      </c>
      <c r="CM82" s="228">
        <v>-112</v>
      </c>
      <c r="CN82" s="229">
        <v>-0.94650000000000001</v>
      </c>
      <c r="CO82" s="230">
        <v>2334</v>
      </c>
      <c r="CP82" s="230">
        <v>1877</v>
      </c>
      <c r="CQ82" s="228">
        <v>458</v>
      </c>
      <c r="CR82" s="229">
        <v>0.24399999999999999</v>
      </c>
      <c r="CS82" s="230">
        <v>1710</v>
      </c>
      <c r="CT82" s="230">
        <v>1105</v>
      </c>
      <c r="CU82" s="228">
        <v>605</v>
      </c>
      <c r="CV82" s="229">
        <v>0.54700000000000004</v>
      </c>
      <c r="CW82" s="230">
        <v>6742</v>
      </c>
      <c r="CX82" s="230">
        <v>5325</v>
      </c>
      <c r="CY82" s="230">
        <v>1416</v>
      </c>
      <c r="CZ82" s="229">
        <v>0.26590000000000003</v>
      </c>
      <c r="DA82" s="228">
        <v>53.5</v>
      </c>
      <c r="DB82" s="228">
        <v>56.11</v>
      </c>
      <c r="DC82" s="228">
        <v>-2.61</v>
      </c>
      <c r="DD82" s="228">
        <v>-2.61</v>
      </c>
      <c r="DE82" s="228">
        <v>45.12</v>
      </c>
      <c r="DF82" s="228">
        <v>45.08</v>
      </c>
      <c r="DG82" s="228">
        <v>8.3800000000000008</v>
      </c>
      <c r="DH82" s="228">
        <v>0.04</v>
      </c>
      <c r="DI82" s="228">
        <v>53.62</v>
      </c>
      <c r="DJ82" s="228">
        <v>55.87</v>
      </c>
      <c r="DK82" s="228">
        <v>-2.25</v>
      </c>
      <c r="DL82" s="228">
        <v>-2.25</v>
      </c>
      <c r="DM82" s="228">
        <v>53.19</v>
      </c>
      <c r="DN82" s="228">
        <v>56.78</v>
      </c>
      <c r="DO82" s="228">
        <v>-3.59</v>
      </c>
      <c r="DP82" s="228">
        <v>-3.59</v>
      </c>
      <c r="DQ82" s="228">
        <v>0.73</v>
      </c>
      <c r="DR82" s="228">
        <v>0.59</v>
      </c>
      <c r="DS82" s="228">
        <v>0.14000000000000001</v>
      </c>
      <c r="DT82" s="229">
        <v>0.23730000000000001</v>
      </c>
      <c r="DU82" s="228">
        <v>750</v>
      </c>
      <c r="DV82" s="228">
        <v>700</v>
      </c>
      <c r="DW82" s="228">
        <v>0.38</v>
      </c>
      <c r="DX82" s="228">
        <v>0.49</v>
      </c>
      <c r="DY82" s="228">
        <v>-0.11</v>
      </c>
      <c r="DZ82" s="229">
        <v>-0.22450000000000001</v>
      </c>
      <c r="EA82" s="229">
        <v>5.4899999999999997E-2</v>
      </c>
      <c r="EB82" s="230">
        <v>33176675</v>
      </c>
      <c r="EC82" s="229">
        <v>5.7999999999999996E-3</v>
      </c>
      <c r="ED82" s="229">
        <v>5.4899999999999997E-2</v>
      </c>
      <c r="EE82" s="228">
        <v>2.63</v>
      </c>
      <c r="EF82" s="229">
        <v>3.7000000000000002E-3</v>
      </c>
      <c r="EG82" s="230">
        <v>11297509</v>
      </c>
      <c r="EH82" s="230">
        <v>9466134</v>
      </c>
      <c r="EI82" s="229">
        <v>0.19350000000000001</v>
      </c>
      <c r="EJ82" s="229">
        <v>0.28089999999999998</v>
      </c>
      <c r="EK82" s="231">
        <v>13576.36</v>
      </c>
      <c r="EL82" s="231">
        <v>4656.8599999999997</v>
      </c>
      <c r="EM82" s="231">
        <v>3172.92</v>
      </c>
      <c r="EN82" s="228">
        <v>400.41</v>
      </c>
      <c r="EO82" s="231">
        <v>21406.14</v>
      </c>
      <c r="EP82" s="231">
        <v>21200.799999999999</v>
      </c>
      <c r="EQ82" s="228">
        <v>205.34</v>
      </c>
      <c r="ER82" s="229">
        <v>9.7000000000000003E-3</v>
      </c>
      <c r="ES82" s="231">
        <v>2439.88</v>
      </c>
      <c r="ET82" s="231">
        <v>1610.99</v>
      </c>
      <c r="EU82" s="231">
        <v>2697.87</v>
      </c>
      <c r="EV82" s="231">
        <v>161247058</v>
      </c>
      <c r="EW82" s="231">
        <v>6748.74</v>
      </c>
      <c r="EX82" s="231">
        <v>5385.06</v>
      </c>
      <c r="EY82" s="231">
        <v>1363.68</v>
      </c>
      <c r="EZ82" s="229">
        <v>0.25319999999999998</v>
      </c>
      <c r="FA82" s="229">
        <v>0.59189999999999998</v>
      </c>
      <c r="FB82" s="227" t="s">
        <v>567</v>
      </c>
      <c r="FC82">
        <f t="shared" si="1"/>
        <v>148</v>
      </c>
    </row>
    <row r="83" spans="1:159" ht="17.25" thickBot="1" x14ac:dyDescent="0.3">
      <c r="A83" s="226">
        <v>46050</v>
      </c>
      <c r="B83" s="227" t="s">
        <v>206</v>
      </c>
      <c r="C83" s="227" t="s">
        <v>608</v>
      </c>
      <c r="D83" s="228">
        <v>2775</v>
      </c>
      <c r="E83" s="228">
        <v>27</v>
      </c>
      <c r="F83" s="228">
        <v>204.7</v>
      </c>
      <c r="G83" s="228">
        <v>198.39</v>
      </c>
      <c r="H83" s="228">
        <v>6.31</v>
      </c>
      <c r="I83" s="229">
        <v>3.1800000000000002E-2</v>
      </c>
      <c r="J83" s="228">
        <v>204.33</v>
      </c>
      <c r="K83" s="228">
        <v>198.13</v>
      </c>
      <c r="L83" s="228">
        <v>6.2</v>
      </c>
      <c r="M83" s="229">
        <v>3.1300000000000001E-2</v>
      </c>
      <c r="N83" s="228">
        <v>204.7</v>
      </c>
      <c r="O83" s="228">
        <v>198.02</v>
      </c>
      <c r="P83" s="228">
        <v>6.68</v>
      </c>
      <c r="Q83" s="229">
        <v>3.3700000000000001E-2</v>
      </c>
      <c r="R83" s="228">
        <v>205.64</v>
      </c>
      <c r="S83" s="228">
        <v>198.39</v>
      </c>
      <c r="T83" s="228">
        <v>7.25</v>
      </c>
      <c r="U83" s="229">
        <v>3.6499999999999998E-2</v>
      </c>
      <c r="V83" s="228">
        <v>205</v>
      </c>
      <c r="W83" s="228">
        <v>200</v>
      </c>
      <c r="X83" s="228">
        <v>5</v>
      </c>
      <c r="Y83" s="229">
        <v>2.5000000000000001E-2</v>
      </c>
      <c r="Z83" s="228">
        <v>0.37</v>
      </c>
      <c r="AA83" s="228">
        <v>0.26</v>
      </c>
      <c r="AB83" s="228">
        <v>0.11</v>
      </c>
      <c r="AC83" s="229">
        <v>1.8E-3</v>
      </c>
      <c r="AD83" s="228">
        <v>0.37</v>
      </c>
      <c r="AE83" s="228">
        <v>-0.11</v>
      </c>
      <c r="AF83" s="228">
        <v>0.48</v>
      </c>
      <c r="AG83" s="229">
        <v>1.8E-3</v>
      </c>
      <c r="AH83" s="228">
        <v>1.31</v>
      </c>
      <c r="AI83" s="228">
        <v>0.26</v>
      </c>
      <c r="AJ83" s="228">
        <v>1.05</v>
      </c>
      <c r="AK83" s="229">
        <v>6.4000000000000003E-3</v>
      </c>
      <c r="AL83" s="228">
        <v>0.67</v>
      </c>
      <c r="AM83" s="228">
        <v>1.87</v>
      </c>
      <c r="AN83" s="228">
        <v>-1.2</v>
      </c>
      <c r="AO83" s="229">
        <v>3.3E-3</v>
      </c>
      <c r="AP83" s="228">
        <v>201.39</v>
      </c>
      <c r="AQ83" s="228">
        <v>202.1</v>
      </c>
      <c r="AR83" s="228">
        <v>0</v>
      </c>
      <c r="AS83" s="228">
        <v>199</v>
      </c>
      <c r="AT83" s="228">
        <v>998</v>
      </c>
      <c r="AU83" s="228">
        <v>-798</v>
      </c>
      <c r="AV83" s="229">
        <v>-0.80020000000000002</v>
      </c>
      <c r="AW83" s="228">
        <v>187</v>
      </c>
      <c r="AX83" s="228">
        <v>446</v>
      </c>
      <c r="AY83" s="228">
        <v>-259</v>
      </c>
      <c r="AZ83" s="229">
        <v>-0.58079999999999998</v>
      </c>
      <c r="BA83" s="228">
        <v>12</v>
      </c>
      <c r="BB83" s="228">
        <v>539</v>
      </c>
      <c r="BC83" s="228">
        <v>-527</v>
      </c>
      <c r="BD83" s="229">
        <v>-0.97760000000000002</v>
      </c>
      <c r="BE83" s="228">
        <v>0</v>
      </c>
      <c r="BF83" s="228">
        <v>12</v>
      </c>
      <c r="BG83" s="228">
        <v>-12</v>
      </c>
      <c r="BH83" s="229">
        <v>-0.99529999999999996</v>
      </c>
      <c r="BI83" s="228">
        <v>317</v>
      </c>
      <c r="BJ83" s="228">
        <v>393</v>
      </c>
      <c r="BK83" s="228">
        <v>-75</v>
      </c>
      <c r="BL83" s="229">
        <v>-0.192</v>
      </c>
      <c r="BM83" s="228">
        <v>162</v>
      </c>
      <c r="BN83" s="228">
        <v>368</v>
      </c>
      <c r="BO83" s="228">
        <v>-205</v>
      </c>
      <c r="BP83" s="229">
        <v>-0.55859999999999999</v>
      </c>
      <c r="BQ83" s="228">
        <v>679</v>
      </c>
      <c r="BR83" s="230">
        <v>1758</v>
      </c>
      <c r="BS83" s="230">
        <v>-1079</v>
      </c>
      <c r="BT83" s="229">
        <v>-0.61380000000000001</v>
      </c>
      <c r="BU83" s="230">
        <v>4199756</v>
      </c>
      <c r="BV83" s="230">
        <v>7660201</v>
      </c>
      <c r="BW83" s="230">
        <v>-3460445</v>
      </c>
      <c r="BX83" s="229">
        <v>-0.45169999999999999</v>
      </c>
      <c r="BY83" s="228">
        <v>751</v>
      </c>
      <c r="BZ83" s="228">
        <v>739</v>
      </c>
      <c r="CA83" s="228">
        <v>12</v>
      </c>
      <c r="CB83" s="229">
        <v>1.5800000000000002E-2</v>
      </c>
      <c r="CC83" s="228">
        <v>727</v>
      </c>
      <c r="CD83" s="228">
        <v>53</v>
      </c>
      <c r="CE83" s="228">
        <v>674</v>
      </c>
      <c r="CF83" s="229">
        <v>12.7729</v>
      </c>
      <c r="CG83" s="228">
        <v>24</v>
      </c>
      <c r="CH83" s="228">
        <v>718</v>
      </c>
      <c r="CI83" s="228">
        <v>-694</v>
      </c>
      <c r="CJ83" s="229">
        <v>-0.96660000000000001</v>
      </c>
      <c r="CK83" s="228">
        <v>0</v>
      </c>
      <c r="CL83" s="228">
        <v>22</v>
      </c>
      <c r="CM83" s="228">
        <v>-22</v>
      </c>
      <c r="CN83" s="229">
        <v>-0.99739999999999995</v>
      </c>
      <c r="CO83" s="228">
        <v>252</v>
      </c>
      <c r="CP83" s="228">
        <v>209</v>
      </c>
      <c r="CQ83" s="228">
        <v>43</v>
      </c>
      <c r="CR83" s="229">
        <v>0.20530000000000001</v>
      </c>
      <c r="CS83" s="228">
        <v>240</v>
      </c>
      <c r="CT83" s="228">
        <v>205</v>
      </c>
      <c r="CU83" s="228">
        <v>35</v>
      </c>
      <c r="CV83" s="229">
        <v>0.1701</v>
      </c>
      <c r="CW83" s="230">
        <v>1242</v>
      </c>
      <c r="CX83" s="230">
        <v>1153</v>
      </c>
      <c r="CY83" s="228">
        <v>89</v>
      </c>
      <c r="CZ83" s="229">
        <v>7.7600000000000002E-2</v>
      </c>
      <c r="DA83" s="228">
        <v>44.54</v>
      </c>
      <c r="DB83" s="228">
        <v>46.93</v>
      </c>
      <c r="DC83" s="228">
        <v>-2.39</v>
      </c>
      <c r="DD83" s="228">
        <v>-2.39</v>
      </c>
      <c r="DE83" s="228">
        <v>50.01</v>
      </c>
      <c r="DF83" s="228">
        <v>49.96</v>
      </c>
      <c r="DG83" s="228">
        <v>-5.47</v>
      </c>
      <c r="DH83" s="228">
        <v>0.05</v>
      </c>
      <c r="DI83" s="228">
        <v>44.03</v>
      </c>
      <c r="DJ83" s="228">
        <v>46.98</v>
      </c>
      <c r="DK83" s="228">
        <v>-2.95</v>
      </c>
      <c r="DL83" s="228">
        <v>-2.95</v>
      </c>
      <c r="DM83" s="228">
        <v>45.53</v>
      </c>
      <c r="DN83" s="228">
        <v>46.89</v>
      </c>
      <c r="DO83" s="228">
        <v>-1.36</v>
      </c>
      <c r="DP83" s="228">
        <v>-1.36</v>
      </c>
      <c r="DQ83" s="228">
        <v>0.95</v>
      </c>
      <c r="DR83" s="228">
        <v>0.98</v>
      </c>
      <c r="DS83" s="228">
        <v>-0.03</v>
      </c>
      <c r="DT83" s="229">
        <v>-3.0599999999999999E-2</v>
      </c>
      <c r="DU83" s="228">
        <v>210</v>
      </c>
      <c r="DV83" s="228">
        <v>200</v>
      </c>
      <c r="DW83" s="228">
        <v>0.51</v>
      </c>
      <c r="DX83" s="228">
        <v>0.94</v>
      </c>
      <c r="DY83" s="228">
        <v>-0.43</v>
      </c>
      <c r="DZ83" s="229">
        <v>-0.45739999999999997</v>
      </c>
      <c r="EA83" s="229">
        <v>3.2000000000000001E-2</v>
      </c>
      <c r="EB83" s="230">
        <v>36108300</v>
      </c>
      <c r="EC83" s="229">
        <v>4.5999999999999999E-3</v>
      </c>
      <c r="ED83" s="229">
        <v>3.2000000000000001E-2</v>
      </c>
      <c r="EE83" s="228">
        <v>0.71</v>
      </c>
      <c r="EF83" s="229">
        <v>3.5000000000000001E-3</v>
      </c>
      <c r="EG83" s="230">
        <v>1152366</v>
      </c>
      <c r="EH83" s="230">
        <v>1558912</v>
      </c>
      <c r="EI83" s="229">
        <v>-0.26079999999999998</v>
      </c>
      <c r="EJ83" s="229">
        <v>0.27439999999999998</v>
      </c>
      <c r="EK83" s="228">
        <v>339.84</v>
      </c>
      <c r="EL83" s="228">
        <v>156.27000000000001</v>
      </c>
      <c r="EM83" s="228">
        <v>196.15</v>
      </c>
      <c r="EN83" s="228">
        <v>122.71</v>
      </c>
      <c r="EO83" s="228">
        <v>692.27</v>
      </c>
      <c r="EP83" s="231">
        <v>1739.55</v>
      </c>
      <c r="EQ83" s="231">
        <v>-1047.29</v>
      </c>
      <c r="ER83" s="229">
        <v>-0.60199999999999998</v>
      </c>
      <c r="ES83" s="228">
        <v>265.97000000000003</v>
      </c>
      <c r="ET83" s="228">
        <v>233.36</v>
      </c>
      <c r="EU83" s="228">
        <v>750.95</v>
      </c>
      <c r="EV83" s="231">
        <v>75071250</v>
      </c>
      <c r="EW83" s="231">
        <v>1250.27</v>
      </c>
      <c r="EX83" s="231">
        <v>1137.53</v>
      </c>
      <c r="EY83" s="228">
        <v>112.74</v>
      </c>
      <c r="EZ83" s="229">
        <v>9.9099999999999994E-2</v>
      </c>
      <c r="FA83" s="229">
        <v>0.80830000000000002</v>
      </c>
      <c r="FB83" s="227" t="s">
        <v>555</v>
      </c>
      <c r="FC83">
        <f t="shared" si="1"/>
        <v>24</v>
      </c>
    </row>
    <row r="84" spans="1:159" ht="17.25" thickBot="1" x14ac:dyDescent="0.3">
      <c r="A84" s="226">
        <v>46050</v>
      </c>
      <c r="B84" s="227" t="s">
        <v>172</v>
      </c>
      <c r="C84" s="227" t="s">
        <v>232</v>
      </c>
      <c r="D84" s="228">
        <v>700</v>
      </c>
      <c r="E84" s="228">
        <v>27</v>
      </c>
      <c r="F84" s="231">
        <v>1373.2</v>
      </c>
      <c r="G84" s="231">
        <v>1371.1</v>
      </c>
      <c r="H84" s="228">
        <v>2.1</v>
      </c>
      <c r="I84" s="229">
        <v>1.5E-3</v>
      </c>
      <c r="J84" s="231">
        <v>1367.7</v>
      </c>
      <c r="K84" s="231">
        <v>1361.4</v>
      </c>
      <c r="L84" s="228">
        <v>6.3</v>
      </c>
      <c r="M84" s="229">
        <v>4.5999999999999999E-3</v>
      </c>
      <c r="N84" s="231">
        <v>1373.2</v>
      </c>
      <c r="O84" s="231">
        <v>1363.6</v>
      </c>
      <c r="P84" s="228">
        <v>9.6</v>
      </c>
      <c r="Q84" s="229">
        <v>7.0000000000000001E-3</v>
      </c>
      <c r="R84" s="231">
        <v>1382.1</v>
      </c>
      <c r="S84" s="231">
        <v>1371.1</v>
      </c>
      <c r="T84" s="228">
        <v>11</v>
      </c>
      <c r="U84" s="229">
        <v>8.0000000000000002E-3</v>
      </c>
      <c r="V84" s="231">
        <v>1390.4</v>
      </c>
      <c r="W84" s="231">
        <v>1379.3</v>
      </c>
      <c r="X84" s="228">
        <v>11.1</v>
      </c>
      <c r="Y84" s="229">
        <v>8.0000000000000002E-3</v>
      </c>
      <c r="Z84" s="228">
        <v>5.5</v>
      </c>
      <c r="AA84" s="228">
        <v>9.6999999999999993</v>
      </c>
      <c r="AB84" s="228">
        <v>-4.2</v>
      </c>
      <c r="AC84" s="229">
        <v>4.0000000000000001E-3</v>
      </c>
      <c r="AD84" s="228">
        <v>5.5</v>
      </c>
      <c r="AE84" s="228">
        <v>2.2000000000000002</v>
      </c>
      <c r="AF84" s="228">
        <v>3.3</v>
      </c>
      <c r="AG84" s="229">
        <v>4.0000000000000001E-3</v>
      </c>
      <c r="AH84" s="228">
        <v>14.4</v>
      </c>
      <c r="AI84" s="228">
        <v>9.6999999999999993</v>
      </c>
      <c r="AJ84" s="228">
        <v>4.7</v>
      </c>
      <c r="AK84" s="229">
        <v>1.0500000000000001E-2</v>
      </c>
      <c r="AL84" s="228">
        <v>22.7</v>
      </c>
      <c r="AM84" s="228">
        <v>17.899999999999999</v>
      </c>
      <c r="AN84" s="228">
        <v>4.8</v>
      </c>
      <c r="AO84" s="229">
        <v>1.66E-2</v>
      </c>
      <c r="AP84" s="231">
        <v>1376.14</v>
      </c>
      <c r="AQ84" s="231">
        <v>1383.75</v>
      </c>
      <c r="AR84" s="228">
        <v>0</v>
      </c>
      <c r="AS84" s="230">
        <v>1889</v>
      </c>
      <c r="AT84" s="230">
        <v>7564</v>
      </c>
      <c r="AU84" s="230">
        <v>-5675</v>
      </c>
      <c r="AV84" s="229">
        <v>-0.75029999999999997</v>
      </c>
      <c r="AW84" s="230">
        <v>1821</v>
      </c>
      <c r="AX84" s="230">
        <v>2883</v>
      </c>
      <c r="AY84" s="230">
        <v>-1062</v>
      </c>
      <c r="AZ84" s="229">
        <v>-0.36830000000000002</v>
      </c>
      <c r="BA84" s="228">
        <v>61</v>
      </c>
      <c r="BB84" s="230">
        <v>4594</v>
      </c>
      <c r="BC84" s="230">
        <v>-4533</v>
      </c>
      <c r="BD84" s="229">
        <v>-0.98680000000000001</v>
      </c>
      <c r="BE84" s="228">
        <v>7</v>
      </c>
      <c r="BF84" s="228">
        <v>87</v>
      </c>
      <c r="BG84" s="228">
        <v>-80</v>
      </c>
      <c r="BH84" s="229">
        <v>-0.91649999999999998</v>
      </c>
      <c r="BI84" s="230">
        <v>4203</v>
      </c>
      <c r="BJ84" s="230">
        <v>9130</v>
      </c>
      <c r="BK84" s="230">
        <v>-4927</v>
      </c>
      <c r="BL84" s="229">
        <v>-0.53969999999999996</v>
      </c>
      <c r="BM84" s="230">
        <v>2874</v>
      </c>
      <c r="BN84" s="230">
        <v>5470</v>
      </c>
      <c r="BO84" s="230">
        <v>-2596</v>
      </c>
      <c r="BP84" s="229">
        <v>-0.47460000000000002</v>
      </c>
      <c r="BQ84" s="230">
        <v>8966</v>
      </c>
      <c r="BR84" s="230">
        <v>22164</v>
      </c>
      <c r="BS84" s="230">
        <v>-13198</v>
      </c>
      <c r="BT84" s="229">
        <v>-0.59550000000000003</v>
      </c>
      <c r="BU84" s="230">
        <v>14097123</v>
      </c>
      <c r="BV84" s="230">
        <v>25459516</v>
      </c>
      <c r="BW84" s="230">
        <v>-11362393</v>
      </c>
      <c r="BX84" s="229">
        <v>-0.44629999999999997</v>
      </c>
      <c r="BY84" s="230">
        <v>17417</v>
      </c>
      <c r="BZ84" s="230">
        <v>17596</v>
      </c>
      <c r="CA84" s="228">
        <v>-179</v>
      </c>
      <c r="CB84" s="229">
        <v>-1.0200000000000001E-2</v>
      </c>
      <c r="CC84" s="230">
        <v>15742</v>
      </c>
      <c r="CD84" s="230">
        <v>1098</v>
      </c>
      <c r="CE84" s="230">
        <v>14644</v>
      </c>
      <c r="CF84" s="229">
        <v>13.335699999999999</v>
      </c>
      <c r="CG84" s="230">
        <v>1668</v>
      </c>
      <c r="CH84" s="230">
        <v>15960</v>
      </c>
      <c r="CI84" s="230">
        <v>-14292</v>
      </c>
      <c r="CJ84" s="229">
        <v>-0.89549999999999996</v>
      </c>
      <c r="CK84" s="228">
        <v>7</v>
      </c>
      <c r="CL84" s="230">
        <v>1637</v>
      </c>
      <c r="CM84" s="230">
        <v>-1630</v>
      </c>
      <c r="CN84" s="229">
        <v>-0.99580000000000002</v>
      </c>
      <c r="CO84" s="230">
        <v>2260</v>
      </c>
      <c r="CP84" s="230">
        <v>2088</v>
      </c>
      <c r="CQ84" s="228">
        <v>172</v>
      </c>
      <c r="CR84" s="229">
        <v>8.2400000000000001E-2</v>
      </c>
      <c r="CS84" s="230">
        <v>2242</v>
      </c>
      <c r="CT84" s="230">
        <v>2016</v>
      </c>
      <c r="CU84" s="228">
        <v>226</v>
      </c>
      <c r="CV84" s="229">
        <v>0.112</v>
      </c>
      <c r="CW84" s="230">
        <v>21919</v>
      </c>
      <c r="CX84" s="230">
        <v>21700</v>
      </c>
      <c r="CY84" s="228">
        <v>219</v>
      </c>
      <c r="CZ84" s="229">
        <v>1.01E-2</v>
      </c>
      <c r="DA84" s="228">
        <v>17.77</v>
      </c>
      <c r="DB84" s="228">
        <v>18.100000000000001</v>
      </c>
      <c r="DC84" s="228">
        <v>-0.33</v>
      </c>
      <c r="DD84" s="228">
        <v>-0.33</v>
      </c>
      <c r="DE84" s="228">
        <v>20.71</v>
      </c>
      <c r="DF84" s="228">
        <v>20.76</v>
      </c>
      <c r="DG84" s="228">
        <v>-2.94</v>
      </c>
      <c r="DH84" s="228">
        <v>-0.05</v>
      </c>
      <c r="DI84" s="228">
        <v>17.59</v>
      </c>
      <c r="DJ84" s="228">
        <v>17.61</v>
      </c>
      <c r="DK84" s="228">
        <v>-0.02</v>
      </c>
      <c r="DL84" s="228">
        <v>-0.02</v>
      </c>
      <c r="DM84" s="228">
        <v>18.02</v>
      </c>
      <c r="DN84" s="228">
        <v>18.73</v>
      </c>
      <c r="DO84" s="228">
        <v>-0.71</v>
      </c>
      <c r="DP84" s="228">
        <v>-0.71</v>
      </c>
      <c r="DQ84" s="228">
        <v>0.99</v>
      </c>
      <c r="DR84" s="228">
        <v>0.97</v>
      </c>
      <c r="DS84" s="228">
        <v>0.02</v>
      </c>
      <c r="DT84" s="229">
        <v>2.06E-2</v>
      </c>
      <c r="DU84" s="231">
        <v>1400</v>
      </c>
      <c r="DV84" s="231">
        <v>1400</v>
      </c>
      <c r="DW84" s="228">
        <v>0.68</v>
      </c>
      <c r="DX84" s="228">
        <v>0.6</v>
      </c>
      <c r="DY84" s="228">
        <v>0.08</v>
      </c>
      <c r="DZ84" s="229">
        <v>0.1333</v>
      </c>
      <c r="EA84" s="229">
        <v>9.6199999999999994E-2</v>
      </c>
      <c r="EB84" s="230">
        <v>128141300</v>
      </c>
      <c r="EC84" s="229">
        <v>6.4999999999999997E-3</v>
      </c>
      <c r="ED84" s="229">
        <v>9.6199999999999994E-2</v>
      </c>
      <c r="EE84" s="228">
        <v>7.61</v>
      </c>
      <c r="EF84" s="229">
        <v>5.4999999999999997E-3</v>
      </c>
      <c r="EG84" s="230">
        <v>10632094</v>
      </c>
      <c r="EH84" s="230">
        <v>14780781</v>
      </c>
      <c r="EI84" s="229">
        <v>-0.28070000000000001</v>
      </c>
      <c r="EJ84" s="229">
        <v>0.75419999999999998</v>
      </c>
      <c r="EK84" s="231">
        <v>4357.45</v>
      </c>
      <c r="EL84" s="231">
        <v>2849.74</v>
      </c>
      <c r="EM84" s="231">
        <v>1893.59</v>
      </c>
      <c r="EN84" s="228">
        <v>914.11</v>
      </c>
      <c r="EO84" s="231">
        <v>9100.7800000000007</v>
      </c>
      <c r="EP84" s="231">
        <v>22137.17</v>
      </c>
      <c r="EQ84" s="231">
        <v>-13036.39</v>
      </c>
      <c r="ER84" s="229">
        <v>-0.58889999999999998</v>
      </c>
      <c r="ES84" s="231">
        <v>2319.5500000000002</v>
      </c>
      <c r="ET84" s="231">
        <v>2198.8200000000002</v>
      </c>
      <c r="EU84" s="231">
        <v>17427.990000000002</v>
      </c>
      <c r="EV84" s="231">
        <v>580601807</v>
      </c>
      <c r="EW84" s="231">
        <v>21946.36</v>
      </c>
      <c r="EX84" s="231">
        <v>21684.51</v>
      </c>
      <c r="EY84" s="228">
        <v>261.85000000000002</v>
      </c>
      <c r="EZ84" s="229">
        <v>1.21E-2</v>
      </c>
      <c r="FA84" s="229">
        <v>0.27489999999999998</v>
      </c>
      <c r="FB84" s="227" t="s">
        <v>556</v>
      </c>
      <c r="FC84">
        <f t="shared" si="1"/>
        <v>1675</v>
      </c>
    </row>
    <row r="85" spans="1:159" ht="17.25" thickBot="1" x14ac:dyDescent="0.3">
      <c r="A85" s="226">
        <v>46050</v>
      </c>
      <c r="B85" s="227" t="s">
        <v>175</v>
      </c>
      <c r="C85" s="227" t="s">
        <v>472</v>
      </c>
      <c r="D85" s="228">
        <v>325</v>
      </c>
      <c r="E85" s="228">
        <v>27</v>
      </c>
      <c r="F85" s="231">
        <v>1826</v>
      </c>
      <c r="G85" s="231">
        <v>1817.7</v>
      </c>
      <c r="H85" s="228">
        <v>8.3000000000000007</v>
      </c>
      <c r="I85" s="229">
        <v>4.5999999999999999E-3</v>
      </c>
      <c r="J85" s="231">
        <v>1822.2</v>
      </c>
      <c r="K85" s="231">
        <v>1805.9</v>
      </c>
      <c r="L85" s="228">
        <v>16.3</v>
      </c>
      <c r="M85" s="229">
        <v>8.9999999999999993E-3</v>
      </c>
      <c r="N85" s="231">
        <v>1826</v>
      </c>
      <c r="O85" s="231">
        <v>1808.5</v>
      </c>
      <c r="P85" s="228">
        <v>17.5</v>
      </c>
      <c r="Q85" s="229">
        <v>9.7000000000000003E-3</v>
      </c>
      <c r="R85" s="231">
        <v>1826.8</v>
      </c>
      <c r="S85" s="231">
        <v>1817.7</v>
      </c>
      <c r="T85" s="228">
        <v>9.1</v>
      </c>
      <c r="U85" s="229">
        <v>5.0000000000000001E-3</v>
      </c>
      <c r="V85" s="228">
        <v>0</v>
      </c>
      <c r="W85" s="231">
        <v>1828.6</v>
      </c>
      <c r="X85" s="228">
        <v>0</v>
      </c>
      <c r="Y85" s="229">
        <v>0</v>
      </c>
      <c r="Z85" s="228">
        <v>3.8</v>
      </c>
      <c r="AA85" s="228">
        <v>11.8</v>
      </c>
      <c r="AB85" s="228">
        <v>-8</v>
      </c>
      <c r="AC85" s="229">
        <v>2.0999999999999999E-3</v>
      </c>
      <c r="AD85" s="228">
        <v>3.8</v>
      </c>
      <c r="AE85" s="228">
        <v>2.6</v>
      </c>
      <c r="AF85" s="228">
        <v>1.2</v>
      </c>
      <c r="AG85" s="229">
        <v>2.0999999999999999E-3</v>
      </c>
      <c r="AH85" s="228">
        <v>4.5999999999999996</v>
      </c>
      <c r="AI85" s="228">
        <v>11.8</v>
      </c>
      <c r="AJ85" s="228">
        <v>-7.2</v>
      </c>
      <c r="AK85" s="229">
        <v>2.5000000000000001E-3</v>
      </c>
      <c r="AL85" s="228">
        <v>0</v>
      </c>
      <c r="AM85" s="228">
        <v>22.7</v>
      </c>
      <c r="AN85" s="228">
        <v>0</v>
      </c>
      <c r="AO85" s="229">
        <v>0</v>
      </c>
      <c r="AP85" s="231">
        <v>1828.46</v>
      </c>
      <c r="AQ85" s="231">
        <v>1831.73</v>
      </c>
      <c r="AR85" s="228">
        <v>0</v>
      </c>
      <c r="AS85" s="228">
        <v>64</v>
      </c>
      <c r="AT85" s="228">
        <v>473</v>
      </c>
      <c r="AU85" s="228">
        <v>-409</v>
      </c>
      <c r="AV85" s="229">
        <v>-0.86480000000000001</v>
      </c>
      <c r="AW85" s="228">
        <v>63</v>
      </c>
      <c r="AX85" s="228">
        <v>222</v>
      </c>
      <c r="AY85" s="228">
        <v>-159</v>
      </c>
      <c r="AZ85" s="229">
        <v>-0.71599999999999997</v>
      </c>
      <c r="BA85" s="228">
        <v>1</v>
      </c>
      <c r="BB85" s="228">
        <v>250</v>
      </c>
      <c r="BC85" s="228">
        <v>-249</v>
      </c>
      <c r="BD85" s="229">
        <v>-0.99619999999999997</v>
      </c>
      <c r="BE85" s="228">
        <v>0</v>
      </c>
      <c r="BF85" s="228">
        <v>2</v>
      </c>
      <c r="BG85" s="228">
        <v>0</v>
      </c>
      <c r="BH85" s="229">
        <v>0</v>
      </c>
      <c r="BI85" s="228">
        <v>55</v>
      </c>
      <c r="BJ85" s="228">
        <v>111</v>
      </c>
      <c r="BK85" s="228">
        <v>-56</v>
      </c>
      <c r="BL85" s="229">
        <v>-0.50639999999999996</v>
      </c>
      <c r="BM85" s="228">
        <v>57</v>
      </c>
      <c r="BN85" s="228">
        <v>161</v>
      </c>
      <c r="BO85" s="228">
        <v>-104</v>
      </c>
      <c r="BP85" s="229">
        <v>-0.6452</v>
      </c>
      <c r="BQ85" s="228">
        <v>176</v>
      </c>
      <c r="BR85" s="228">
        <v>746</v>
      </c>
      <c r="BS85" s="228">
        <v>-570</v>
      </c>
      <c r="BT85" s="229">
        <v>-0.76400000000000001</v>
      </c>
      <c r="BU85" s="230">
        <v>1206879</v>
      </c>
      <c r="BV85" s="230">
        <v>1619814</v>
      </c>
      <c r="BW85" s="230">
        <v>-412935</v>
      </c>
      <c r="BX85" s="229">
        <v>-0.25490000000000002</v>
      </c>
      <c r="BY85" s="230">
        <v>1001</v>
      </c>
      <c r="BZ85" s="230">
        <v>1003</v>
      </c>
      <c r="CA85" s="228">
        <v>-2</v>
      </c>
      <c r="CB85" s="229">
        <v>-1.6999999999999999E-3</v>
      </c>
      <c r="CC85" s="228">
        <v>994</v>
      </c>
      <c r="CD85" s="228">
        <v>34</v>
      </c>
      <c r="CE85" s="228">
        <v>960</v>
      </c>
      <c r="CF85" s="229">
        <v>28.1829</v>
      </c>
      <c r="CG85" s="228">
        <v>7</v>
      </c>
      <c r="CH85" s="228">
        <v>996</v>
      </c>
      <c r="CI85" s="228">
        <v>-989</v>
      </c>
      <c r="CJ85" s="229">
        <v>-0.99319999999999997</v>
      </c>
      <c r="CK85" s="228">
        <v>0</v>
      </c>
      <c r="CL85" s="228">
        <v>7</v>
      </c>
      <c r="CM85" s="228">
        <v>-7</v>
      </c>
      <c r="CN85" s="229">
        <v>-1</v>
      </c>
      <c r="CO85" s="228">
        <v>59</v>
      </c>
      <c r="CP85" s="228">
        <v>46</v>
      </c>
      <c r="CQ85" s="228">
        <v>13</v>
      </c>
      <c r="CR85" s="229">
        <v>0.2727</v>
      </c>
      <c r="CS85" s="228">
        <v>73</v>
      </c>
      <c r="CT85" s="228">
        <v>64</v>
      </c>
      <c r="CU85" s="228">
        <v>9</v>
      </c>
      <c r="CV85" s="229">
        <v>0.1414</v>
      </c>
      <c r="CW85" s="230">
        <v>1133</v>
      </c>
      <c r="CX85" s="230">
        <v>1113</v>
      </c>
      <c r="CY85" s="228">
        <v>20</v>
      </c>
      <c r="CZ85" s="229">
        <v>1.7999999999999999E-2</v>
      </c>
      <c r="DA85" s="228">
        <v>24.19</v>
      </c>
      <c r="DB85" s="228">
        <v>25.29</v>
      </c>
      <c r="DC85" s="228">
        <v>-1.1000000000000001</v>
      </c>
      <c r="DD85" s="228">
        <v>-1.1000000000000001</v>
      </c>
      <c r="DE85" s="228">
        <v>27.47</v>
      </c>
      <c r="DF85" s="228">
        <v>27.51</v>
      </c>
      <c r="DG85" s="228">
        <v>-3.28</v>
      </c>
      <c r="DH85" s="228">
        <v>-0.04</v>
      </c>
      <c r="DI85" s="228">
        <v>23.67</v>
      </c>
      <c r="DJ85" s="228">
        <v>25.35</v>
      </c>
      <c r="DK85" s="228">
        <v>-1.68</v>
      </c>
      <c r="DL85" s="228">
        <v>-1.68</v>
      </c>
      <c r="DM85" s="228">
        <v>24.69</v>
      </c>
      <c r="DN85" s="228">
        <v>25.26</v>
      </c>
      <c r="DO85" s="228">
        <v>-0.56999999999999995</v>
      </c>
      <c r="DP85" s="228">
        <v>-0.56999999999999995</v>
      </c>
      <c r="DQ85" s="228">
        <v>1.24</v>
      </c>
      <c r="DR85" s="228">
        <v>1.39</v>
      </c>
      <c r="DS85" s="228">
        <v>-0.15</v>
      </c>
      <c r="DT85" s="229">
        <v>-0.1079</v>
      </c>
      <c r="DU85" s="231">
        <v>2000</v>
      </c>
      <c r="DV85" s="231">
        <v>1700</v>
      </c>
      <c r="DW85" s="228">
        <v>1.05</v>
      </c>
      <c r="DX85" s="228">
        <v>1.45</v>
      </c>
      <c r="DY85" s="228">
        <v>-0.4</v>
      </c>
      <c r="DZ85" s="229">
        <v>-0.27589999999999998</v>
      </c>
      <c r="EA85" s="229">
        <v>6.7999999999999996E-3</v>
      </c>
      <c r="EB85" s="230">
        <v>5490550</v>
      </c>
      <c r="EC85" s="229">
        <v>4.0000000000000002E-4</v>
      </c>
      <c r="ED85" s="229">
        <v>6.7999999999999996E-3</v>
      </c>
      <c r="EE85" s="228">
        <v>3.27</v>
      </c>
      <c r="EF85" s="229">
        <v>1.8E-3</v>
      </c>
      <c r="EG85" s="230">
        <v>862322</v>
      </c>
      <c r="EH85" s="230">
        <v>1033513</v>
      </c>
      <c r="EI85" s="229">
        <v>-0.1656</v>
      </c>
      <c r="EJ85" s="229">
        <v>0.71450000000000002</v>
      </c>
      <c r="EK85" s="228">
        <v>57.74</v>
      </c>
      <c r="EL85" s="228">
        <v>56.61</v>
      </c>
      <c r="EM85" s="228">
        <v>64.06</v>
      </c>
      <c r="EN85" s="228">
        <v>132.71</v>
      </c>
      <c r="EO85" s="228">
        <v>178.42</v>
      </c>
      <c r="EP85" s="228">
        <v>741.89</v>
      </c>
      <c r="EQ85" s="228">
        <v>-563.47</v>
      </c>
      <c r="ER85" s="229">
        <v>-0.75949999999999995</v>
      </c>
      <c r="ES85" s="228">
        <v>62.41</v>
      </c>
      <c r="ET85" s="228">
        <v>71.760000000000005</v>
      </c>
      <c r="EU85" s="231">
        <v>1000.86</v>
      </c>
      <c r="EV85" s="231">
        <v>28747897</v>
      </c>
      <c r="EW85" s="231">
        <v>1135.03</v>
      </c>
      <c r="EX85" s="231">
        <v>1109.67</v>
      </c>
      <c r="EY85" s="228">
        <v>25.36</v>
      </c>
      <c r="EZ85" s="229">
        <v>2.29E-2</v>
      </c>
      <c r="FA85" s="229">
        <v>0.21590000000000001</v>
      </c>
      <c r="FB85" s="227" t="s">
        <v>556</v>
      </c>
      <c r="FC85">
        <f t="shared" si="1"/>
        <v>7</v>
      </c>
    </row>
    <row r="86" spans="1:159" ht="17.25" thickBot="1" x14ac:dyDescent="0.3">
      <c r="A86" s="226">
        <v>46050</v>
      </c>
      <c r="B86" s="227" t="s">
        <v>175</v>
      </c>
      <c r="C86" s="227" t="s">
        <v>233</v>
      </c>
      <c r="D86" s="228">
        <v>925</v>
      </c>
      <c r="E86" s="228">
        <v>27</v>
      </c>
      <c r="F86" s="228">
        <v>644.95000000000005</v>
      </c>
      <c r="G86" s="228">
        <v>648.35</v>
      </c>
      <c r="H86" s="228">
        <v>-3.4</v>
      </c>
      <c r="I86" s="229">
        <v>-5.1999999999999998E-3</v>
      </c>
      <c r="J86" s="228">
        <v>642.4</v>
      </c>
      <c r="K86" s="228">
        <v>643.85</v>
      </c>
      <c r="L86" s="228">
        <v>-1.45</v>
      </c>
      <c r="M86" s="229">
        <v>-2.3E-3</v>
      </c>
      <c r="N86" s="228">
        <v>644.95000000000005</v>
      </c>
      <c r="O86" s="228">
        <v>645.4</v>
      </c>
      <c r="P86" s="228">
        <v>-0.45</v>
      </c>
      <c r="Q86" s="229">
        <v>-6.9999999999999999E-4</v>
      </c>
      <c r="R86" s="228">
        <v>649.1</v>
      </c>
      <c r="S86" s="228">
        <v>648.35</v>
      </c>
      <c r="T86" s="228">
        <v>0.75</v>
      </c>
      <c r="U86" s="229">
        <v>1.1999999999999999E-3</v>
      </c>
      <c r="V86" s="228">
        <v>0</v>
      </c>
      <c r="W86" s="228">
        <v>653.65</v>
      </c>
      <c r="X86" s="228">
        <v>0</v>
      </c>
      <c r="Y86" s="229">
        <v>0</v>
      </c>
      <c r="Z86" s="228">
        <v>2.5499999999999998</v>
      </c>
      <c r="AA86" s="228">
        <v>4.5</v>
      </c>
      <c r="AB86" s="228">
        <v>-1.95</v>
      </c>
      <c r="AC86" s="229">
        <v>4.0000000000000001E-3</v>
      </c>
      <c r="AD86" s="228">
        <v>2.5499999999999998</v>
      </c>
      <c r="AE86" s="228">
        <v>1.55</v>
      </c>
      <c r="AF86" s="228">
        <v>1</v>
      </c>
      <c r="AG86" s="229">
        <v>4.0000000000000001E-3</v>
      </c>
      <c r="AH86" s="228">
        <v>6.7</v>
      </c>
      <c r="AI86" s="228">
        <v>4.5</v>
      </c>
      <c r="AJ86" s="228">
        <v>2.2000000000000002</v>
      </c>
      <c r="AK86" s="229">
        <v>1.04E-2</v>
      </c>
      <c r="AL86" s="228">
        <v>0</v>
      </c>
      <c r="AM86" s="228">
        <v>9.8000000000000007</v>
      </c>
      <c r="AN86" s="228">
        <v>0</v>
      </c>
      <c r="AO86" s="229">
        <v>0</v>
      </c>
      <c r="AP86" s="228">
        <v>648.01</v>
      </c>
      <c r="AQ86" s="228">
        <v>649.46</v>
      </c>
      <c r="AR86" s="228">
        <v>0</v>
      </c>
      <c r="AS86" s="228">
        <v>81</v>
      </c>
      <c r="AT86" s="228">
        <v>294</v>
      </c>
      <c r="AU86" s="228">
        <v>-213</v>
      </c>
      <c r="AV86" s="229">
        <v>-0.7248</v>
      </c>
      <c r="AW86" s="228">
        <v>79</v>
      </c>
      <c r="AX86" s="228">
        <v>133</v>
      </c>
      <c r="AY86" s="228">
        <v>-54</v>
      </c>
      <c r="AZ86" s="229">
        <v>-0.40389999999999998</v>
      </c>
      <c r="BA86" s="228">
        <v>2</v>
      </c>
      <c r="BB86" s="228">
        <v>160</v>
      </c>
      <c r="BC86" s="228">
        <v>-159</v>
      </c>
      <c r="BD86" s="229">
        <v>-0.98960000000000004</v>
      </c>
      <c r="BE86" s="228">
        <v>0</v>
      </c>
      <c r="BF86" s="228">
        <v>1</v>
      </c>
      <c r="BG86" s="228">
        <v>0</v>
      </c>
      <c r="BH86" s="229">
        <v>0</v>
      </c>
      <c r="BI86" s="228">
        <v>85</v>
      </c>
      <c r="BJ86" s="228">
        <v>186</v>
      </c>
      <c r="BK86" s="228">
        <v>-101</v>
      </c>
      <c r="BL86" s="229">
        <v>-0.54290000000000005</v>
      </c>
      <c r="BM86" s="228">
        <v>74</v>
      </c>
      <c r="BN86" s="228">
        <v>161</v>
      </c>
      <c r="BO86" s="228">
        <v>-86</v>
      </c>
      <c r="BP86" s="229">
        <v>-0.53639999999999999</v>
      </c>
      <c r="BQ86" s="228">
        <v>240</v>
      </c>
      <c r="BR86" s="228">
        <v>640</v>
      </c>
      <c r="BS86" s="228">
        <v>-400</v>
      </c>
      <c r="BT86" s="229">
        <v>-0.62480000000000002</v>
      </c>
      <c r="BU86" s="230">
        <v>455004</v>
      </c>
      <c r="BV86" s="230">
        <v>1778333</v>
      </c>
      <c r="BW86" s="230">
        <v>-1323329</v>
      </c>
      <c r="BX86" s="229">
        <v>-0.74409999999999998</v>
      </c>
      <c r="BY86" s="228">
        <v>863</v>
      </c>
      <c r="BZ86" s="228">
        <v>859</v>
      </c>
      <c r="CA86" s="228">
        <v>5</v>
      </c>
      <c r="CB86" s="229">
        <v>5.4000000000000003E-3</v>
      </c>
      <c r="CC86" s="228">
        <v>861</v>
      </c>
      <c r="CD86" s="228">
        <v>266</v>
      </c>
      <c r="CE86" s="228">
        <v>594</v>
      </c>
      <c r="CF86" s="229">
        <v>2.2319</v>
      </c>
      <c r="CG86" s="228">
        <v>3</v>
      </c>
      <c r="CH86" s="228">
        <v>856</v>
      </c>
      <c r="CI86" s="228">
        <v>-854</v>
      </c>
      <c r="CJ86" s="229">
        <v>-0.99709999999999999</v>
      </c>
      <c r="CK86" s="228">
        <v>0</v>
      </c>
      <c r="CL86" s="228">
        <v>2</v>
      </c>
      <c r="CM86" s="228">
        <v>-2</v>
      </c>
      <c r="CN86" s="229">
        <v>-1</v>
      </c>
      <c r="CO86" s="228">
        <v>90</v>
      </c>
      <c r="CP86" s="228">
        <v>73</v>
      </c>
      <c r="CQ86" s="228">
        <v>17</v>
      </c>
      <c r="CR86" s="229">
        <v>0.23930000000000001</v>
      </c>
      <c r="CS86" s="228">
        <v>86</v>
      </c>
      <c r="CT86" s="228">
        <v>59</v>
      </c>
      <c r="CU86" s="228">
        <v>27</v>
      </c>
      <c r="CV86" s="229">
        <v>0.46650000000000003</v>
      </c>
      <c r="CW86" s="230">
        <v>1039</v>
      </c>
      <c r="CX86" s="228">
        <v>990</v>
      </c>
      <c r="CY86" s="228">
        <v>49</v>
      </c>
      <c r="CZ86" s="229">
        <v>4.9799999999999997E-2</v>
      </c>
      <c r="DA86" s="228">
        <v>26.45</v>
      </c>
      <c r="DB86" s="228">
        <v>27.03</v>
      </c>
      <c r="DC86" s="228">
        <v>-0.57999999999999996</v>
      </c>
      <c r="DD86" s="228">
        <v>-0.57999999999999996</v>
      </c>
      <c r="DE86" s="228">
        <v>26.82</v>
      </c>
      <c r="DF86" s="228">
        <v>26.88</v>
      </c>
      <c r="DG86" s="228">
        <v>-0.37</v>
      </c>
      <c r="DH86" s="228">
        <v>-0.06</v>
      </c>
      <c r="DI86" s="228">
        <v>25.81</v>
      </c>
      <c r="DJ86" s="228">
        <v>25.88</v>
      </c>
      <c r="DK86" s="228">
        <v>-7.0000000000000007E-2</v>
      </c>
      <c r="DL86" s="228">
        <v>-7.0000000000000007E-2</v>
      </c>
      <c r="DM86" s="228">
        <v>27.19</v>
      </c>
      <c r="DN86" s="228">
        <v>28.82</v>
      </c>
      <c r="DO86" s="228">
        <v>-1.63</v>
      </c>
      <c r="DP86" s="228">
        <v>-1.63</v>
      </c>
      <c r="DQ86" s="228">
        <v>0.96</v>
      </c>
      <c r="DR86" s="228">
        <v>0.81</v>
      </c>
      <c r="DS86" s="228">
        <v>0.15</v>
      </c>
      <c r="DT86" s="229">
        <v>0.1852</v>
      </c>
      <c r="DU86" s="228">
        <v>660</v>
      </c>
      <c r="DV86" s="228">
        <v>600</v>
      </c>
      <c r="DW86" s="228">
        <v>0.88</v>
      </c>
      <c r="DX86" s="228">
        <v>0.86</v>
      </c>
      <c r="DY86" s="228">
        <v>0.02</v>
      </c>
      <c r="DZ86" s="229">
        <v>2.3300000000000001E-2</v>
      </c>
      <c r="EA86" s="229">
        <v>2.8999999999999998E-3</v>
      </c>
      <c r="EB86" s="230">
        <v>13312600</v>
      </c>
      <c r="EC86" s="229">
        <v>6.4000000000000003E-3</v>
      </c>
      <c r="ED86" s="229">
        <v>2.8999999999999998E-3</v>
      </c>
      <c r="EE86" s="228">
        <v>1.45</v>
      </c>
      <c r="EF86" s="229">
        <v>2.2000000000000001E-3</v>
      </c>
      <c r="EG86" s="230">
        <v>236096</v>
      </c>
      <c r="EH86" s="230">
        <v>991904</v>
      </c>
      <c r="EI86" s="229">
        <v>-0.76200000000000001</v>
      </c>
      <c r="EJ86" s="229">
        <v>0.51890000000000003</v>
      </c>
      <c r="EK86" s="228">
        <v>89.46</v>
      </c>
      <c r="EL86" s="228">
        <v>73.819999999999993</v>
      </c>
      <c r="EM86" s="228">
        <v>81.28</v>
      </c>
      <c r="EN86" s="228">
        <v>102.07</v>
      </c>
      <c r="EO86" s="228">
        <v>244.56</v>
      </c>
      <c r="EP86" s="228">
        <v>649.59</v>
      </c>
      <c r="EQ86" s="228">
        <v>-405.02</v>
      </c>
      <c r="ER86" s="229">
        <v>-0.62350000000000005</v>
      </c>
      <c r="ES86" s="228">
        <v>93.9</v>
      </c>
      <c r="ET86" s="228">
        <v>83.18</v>
      </c>
      <c r="EU86" s="228">
        <v>863.21</v>
      </c>
      <c r="EV86" s="231">
        <v>58746582</v>
      </c>
      <c r="EW86" s="231">
        <v>1040.29</v>
      </c>
      <c r="EX86" s="228">
        <v>995.86</v>
      </c>
      <c r="EY86" s="228">
        <v>44.43</v>
      </c>
      <c r="EZ86" s="229">
        <v>4.4600000000000001E-2</v>
      </c>
      <c r="FA86" s="229">
        <v>0.27429999999999999</v>
      </c>
      <c r="FB86" s="227" t="s">
        <v>567</v>
      </c>
      <c r="FC86">
        <f t="shared" si="1"/>
        <v>2</v>
      </c>
    </row>
    <row r="87" spans="1:159" ht="17.25" thickBot="1" x14ac:dyDescent="0.3">
      <c r="A87" s="226">
        <v>46050</v>
      </c>
      <c r="B87" s="227" t="s">
        <v>188</v>
      </c>
      <c r="C87" s="227" t="s">
        <v>234</v>
      </c>
      <c r="D87" s="228">
        <v>71475</v>
      </c>
      <c r="E87" s="228">
        <v>27</v>
      </c>
      <c r="F87" s="228">
        <v>10.01</v>
      </c>
      <c r="G87" s="228">
        <v>9.9</v>
      </c>
      <c r="H87" s="228">
        <v>0.11</v>
      </c>
      <c r="I87" s="229">
        <v>1.11E-2</v>
      </c>
      <c r="J87" s="228">
        <v>9.9499999999999993</v>
      </c>
      <c r="K87" s="228">
        <v>9.83</v>
      </c>
      <c r="L87" s="228">
        <v>0.12</v>
      </c>
      <c r="M87" s="229">
        <v>1.2200000000000001E-2</v>
      </c>
      <c r="N87" s="228">
        <v>10.01</v>
      </c>
      <c r="O87" s="228">
        <v>9.83</v>
      </c>
      <c r="P87" s="228">
        <v>0.18</v>
      </c>
      <c r="Q87" s="229">
        <v>1.83E-2</v>
      </c>
      <c r="R87" s="228">
        <v>10.08</v>
      </c>
      <c r="S87" s="228">
        <v>9.9</v>
      </c>
      <c r="T87" s="228">
        <v>0.18</v>
      </c>
      <c r="U87" s="229">
        <v>1.8200000000000001E-2</v>
      </c>
      <c r="V87" s="228">
        <v>10.130000000000001</v>
      </c>
      <c r="W87" s="228">
        <v>9.9700000000000006</v>
      </c>
      <c r="X87" s="228">
        <v>0.16</v>
      </c>
      <c r="Y87" s="229">
        <v>1.6E-2</v>
      </c>
      <c r="Z87" s="228">
        <v>0.06</v>
      </c>
      <c r="AA87" s="228">
        <v>7.0000000000000007E-2</v>
      </c>
      <c r="AB87" s="228">
        <v>-0.01</v>
      </c>
      <c r="AC87" s="229">
        <v>6.0000000000000001E-3</v>
      </c>
      <c r="AD87" s="228">
        <v>0.06</v>
      </c>
      <c r="AE87" s="228">
        <v>0</v>
      </c>
      <c r="AF87" s="228">
        <v>0.06</v>
      </c>
      <c r="AG87" s="229">
        <v>6.0000000000000001E-3</v>
      </c>
      <c r="AH87" s="228">
        <v>0.13</v>
      </c>
      <c r="AI87" s="228">
        <v>7.0000000000000007E-2</v>
      </c>
      <c r="AJ87" s="228">
        <v>0.06</v>
      </c>
      <c r="AK87" s="229">
        <v>1.3100000000000001E-2</v>
      </c>
      <c r="AL87" s="228">
        <v>0.18</v>
      </c>
      <c r="AM87" s="228">
        <v>0.14000000000000001</v>
      </c>
      <c r="AN87" s="228">
        <v>0.04</v>
      </c>
      <c r="AO87" s="229">
        <v>1.8100000000000002E-2</v>
      </c>
      <c r="AP87" s="228">
        <v>10.01</v>
      </c>
      <c r="AQ87" s="228">
        <v>10.07</v>
      </c>
      <c r="AR87" s="228">
        <v>0</v>
      </c>
      <c r="AS87" s="228">
        <v>840</v>
      </c>
      <c r="AT87" s="230">
        <v>5039</v>
      </c>
      <c r="AU87" s="230">
        <v>-4198</v>
      </c>
      <c r="AV87" s="229">
        <v>-0.83330000000000004</v>
      </c>
      <c r="AW87" s="228">
        <v>777</v>
      </c>
      <c r="AX87" s="230">
        <v>2416</v>
      </c>
      <c r="AY87" s="230">
        <v>-1639</v>
      </c>
      <c r="AZ87" s="229">
        <v>-0.67859999999999998</v>
      </c>
      <c r="BA87" s="228">
        <v>58</v>
      </c>
      <c r="BB87" s="230">
        <v>2561</v>
      </c>
      <c r="BC87" s="230">
        <v>-2504</v>
      </c>
      <c r="BD87" s="229">
        <v>-0.97750000000000004</v>
      </c>
      <c r="BE87" s="228">
        <v>6</v>
      </c>
      <c r="BF87" s="228">
        <v>61</v>
      </c>
      <c r="BG87" s="228">
        <v>-55</v>
      </c>
      <c r="BH87" s="229">
        <v>-0.90329999999999999</v>
      </c>
      <c r="BI87" s="230">
        <v>1706</v>
      </c>
      <c r="BJ87" s="230">
        <v>1612</v>
      </c>
      <c r="BK87" s="228">
        <v>94</v>
      </c>
      <c r="BL87" s="229">
        <v>5.8200000000000002E-2</v>
      </c>
      <c r="BM87" s="228">
        <v>451</v>
      </c>
      <c r="BN87" s="230">
        <v>1223</v>
      </c>
      <c r="BO87" s="228">
        <v>-772</v>
      </c>
      <c r="BP87" s="229">
        <v>-0.63119999999999998</v>
      </c>
      <c r="BQ87" s="230">
        <v>2997</v>
      </c>
      <c r="BR87" s="230">
        <v>7874</v>
      </c>
      <c r="BS87" s="230">
        <v>-4876</v>
      </c>
      <c r="BT87" s="229">
        <v>-0.61929999999999996</v>
      </c>
      <c r="BU87" s="230">
        <v>692758621</v>
      </c>
      <c r="BV87" s="230">
        <v>609822545</v>
      </c>
      <c r="BW87" s="230">
        <v>82936076</v>
      </c>
      <c r="BX87" s="229">
        <v>0.13600000000000001</v>
      </c>
      <c r="BY87" s="230">
        <v>7155</v>
      </c>
      <c r="BZ87" s="230">
        <v>7023</v>
      </c>
      <c r="CA87" s="228">
        <v>132</v>
      </c>
      <c r="CB87" s="229">
        <v>1.89E-2</v>
      </c>
      <c r="CC87" s="230">
        <v>6983</v>
      </c>
      <c r="CD87" s="228">
        <v>323</v>
      </c>
      <c r="CE87" s="230">
        <v>6661</v>
      </c>
      <c r="CF87" s="229">
        <v>20.6419</v>
      </c>
      <c r="CG87" s="228">
        <v>167</v>
      </c>
      <c r="CH87" s="230">
        <v>6867</v>
      </c>
      <c r="CI87" s="230">
        <v>-6699</v>
      </c>
      <c r="CJ87" s="229">
        <v>-0.97560000000000002</v>
      </c>
      <c r="CK87" s="228">
        <v>4</v>
      </c>
      <c r="CL87" s="228">
        <v>156</v>
      </c>
      <c r="CM87" s="228">
        <v>-151</v>
      </c>
      <c r="CN87" s="229">
        <v>-0.97289999999999999</v>
      </c>
      <c r="CO87" s="230">
        <v>1165</v>
      </c>
      <c r="CP87" s="230">
        <v>1006</v>
      </c>
      <c r="CQ87" s="228">
        <v>159</v>
      </c>
      <c r="CR87" s="229">
        <v>0.15809999999999999</v>
      </c>
      <c r="CS87" s="228">
        <v>840</v>
      </c>
      <c r="CT87" s="228">
        <v>760</v>
      </c>
      <c r="CU87" s="228">
        <v>80</v>
      </c>
      <c r="CV87" s="229">
        <v>0.1055</v>
      </c>
      <c r="CW87" s="230">
        <v>9160</v>
      </c>
      <c r="CX87" s="230">
        <v>8788</v>
      </c>
      <c r="CY87" s="228">
        <v>372</v>
      </c>
      <c r="CZ87" s="229">
        <v>4.2299999999999997E-2</v>
      </c>
      <c r="DA87" s="228">
        <v>60.16</v>
      </c>
      <c r="DB87" s="228">
        <v>61.38</v>
      </c>
      <c r="DC87" s="228">
        <v>-1.22</v>
      </c>
      <c r="DD87" s="228">
        <v>-1.22</v>
      </c>
      <c r="DE87" s="228">
        <v>67.13</v>
      </c>
      <c r="DF87" s="228">
        <v>67.28</v>
      </c>
      <c r="DG87" s="228">
        <v>-6.97</v>
      </c>
      <c r="DH87" s="228">
        <v>-0.15</v>
      </c>
      <c r="DI87" s="228">
        <v>60.62</v>
      </c>
      <c r="DJ87" s="228">
        <v>62.98</v>
      </c>
      <c r="DK87" s="228">
        <v>-2.36</v>
      </c>
      <c r="DL87" s="228">
        <v>-2.36</v>
      </c>
      <c r="DM87" s="228">
        <v>58.4</v>
      </c>
      <c r="DN87" s="228">
        <v>59.15</v>
      </c>
      <c r="DO87" s="228">
        <v>-0.75</v>
      </c>
      <c r="DP87" s="228">
        <v>-0.75</v>
      </c>
      <c r="DQ87" s="228">
        <v>0.72</v>
      </c>
      <c r="DR87" s="228">
        <v>0.75</v>
      </c>
      <c r="DS87" s="228">
        <v>-0.03</v>
      </c>
      <c r="DT87" s="229">
        <v>-0.04</v>
      </c>
      <c r="DU87" s="228">
        <v>11</v>
      </c>
      <c r="DV87" s="228">
        <v>10</v>
      </c>
      <c r="DW87" s="228">
        <v>0.26</v>
      </c>
      <c r="DX87" s="228">
        <v>0.76</v>
      </c>
      <c r="DY87" s="228">
        <v>-0.5</v>
      </c>
      <c r="DZ87" s="229">
        <v>-0.65790000000000004</v>
      </c>
      <c r="EA87" s="229">
        <v>2.4E-2</v>
      </c>
      <c r="EB87" s="230">
        <v>7015485675</v>
      </c>
      <c r="EC87" s="229">
        <v>7.0000000000000001E-3</v>
      </c>
      <c r="ED87" s="229">
        <v>2.4E-2</v>
      </c>
      <c r="EE87" s="228">
        <v>0.06</v>
      </c>
      <c r="EF87" s="229">
        <v>6.0000000000000001E-3</v>
      </c>
      <c r="EG87" s="230">
        <v>160749120</v>
      </c>
      <c r="EH87" s="230">
        <v>111091932</v>
      </c>
      <c r="EI87" s="229">
        <v>0.44700000000000001</v>
      </c>
      <c r="EJ87" s="229">
        <v>0.23200000000000001</v>
      </c>
      <c r="EK87" s="231">
        <v>2046.41</v>
      </c>
      <c r="EL87" s="228">
        <v>433.71</v>
      </c>
      <c r="EM87" s="228">
        <v>840.2</v>
      </c>
      <c r="EN87" s="228">
        <v>567.98</v>
      </c>
      <c r="EO87" s="231">
        <v>3320.32</v>
      </c>
      <c r="EP87" s="231">
        <v>8131.47</v>
      </c>
      <c r="EQ87" s="231">
        <v>-4811.1499999999996</v>
      </c>
      <c r="ER87" s="229">
        <v>-0.5917</v>
      </c>
      <c r="ES87" s="231">
        <v>1397.27</v>
      </c>
      <c r="ET87" s="228">
        <v>859.04</v>
      </c>
      <c r="EU87" s="231">
        <v>7156.16</v>
      </c>
      <c r="EV87" s="231">
        <v>12037179660</v>
      </c>
      <c r="EW87" s="231">
        <v>9412.4599999999991</v>
      </c>
      <c r="EX87" s="231">
        <v>8947.36</v>
      </c>
      <c r="EY87" s="228">
        <v>465.1</v>
      </c>
      <c r="EZ87" s="229">
        <v>5.1999999999999998E-2</v>
      </c>
      <c r="FA87" s="229">
        <v>0.76019999999999999</v>
      </c>
      <c r="FB87" s="227" t="s">
        <v>555</v>
      </c>
      <c r="FC87">
        <f t="shared" si="1"/>
        <v>172</v>
      </c>
    </row>
    <row r="88" spans="1:159" ht="17.25" thickBot="1" x14ac:dyDescent="0.3">
      <c r="A88" s="226">
        <v>46050</v>
      </c>
      <c r="B88" s="227" t="s">
        <v>172</v>
      </c>
      <c r="C88" s="227" t="s">
        <v>235</v>
      </c>
      <c r="D88" s="228">
        <v>9275</v>
      </c>
      <c r="E88" s="228">
        <v>27</v>
      </c>
      <c r="F88" s="228">
        <v>83.23</v>
      </c>
      <c r="G88" s="228">
        <v>83.81</v>
      </c>
      <c r="H88" s="228">
        <v>-0.57999999999999996</v>
      </c>
      <c r="I88" s="229">
        <v>-6.8999999999999999E-3</v>
      </c>
      <c r="J88" s="228">
        <v>82.93</v>
      </c>
      <c r="K88" s="228">
        <v>83.5</v>
      </c>
      <c r="L88" s="228">
        <v>-0.56999999999999995</v>
      </c>
      <c r="M88" s="229">
        <v>-6.7999999999999996E-3</v>
      </c>
      <c r="N88" s="228">
        <v>83.23</v>
      </c>
      <c r="O88" s="228">
        <v>83.3</v>
      </c>
      <c r="P88" s="228">
        <v>-7.0000000000000007E-2</v>
      </c>
      <c r="Q88" s="229">
        <v>-8.0000000000000004E-4</v>
      </c>
      <c r="R88" s="228">
        <v>83.78</v>
      </c>
      <c r="S88" s="228">
        <v>83.81</v>
      </c>
      <c r="T88" s="228">
        <v>-0.03</v>
      </c>
      <c r="U88" s="229">
        <v>-4.0000000000000002E-4</v>
      </c>
      <c r="V88" s="228">
        <v>84.25</v>
      </c>
      <c r="W88" s="228">
        <v>84.3</v>
      </c>
      <c r="X88" s="228">
        <v>-0.05</v>
      </c>
      <c r="Y88" s="229">
        <v>-5.9999999999999995E-4</v>
      </c>
      <c r="Z88" s="228">
        <v>0.3</v>
      </c>
      <c r="AA88" s="228">
        <v>0.31</v>
      </c>
      <c r="AB88" s="228">
        <v>-0.01</v>
      </c>
      <c r="AC88" s="229">
        <v>3.5999999999999999E-3</v>
      </c>
      <c r="AD88" s="228">
        <v>0.3</v>
      </c>
      <c r="AE88" s="228">
        <v>-0.2</v>
      </c>
      <c r="AF88" s="228">
        <v>0.5</v>
      </c>
      <c r="AG88" s="229">
        <v>3.5999999999999999E-3</v>
      </c>
      <c r="AH88" s="228">
        <v>0.85</v>
      </c>
      <c r="AI88" s="228">
        <v>0.31</v>
      </c>
      <c r="AJ88" s="228">
        <v>0.54</v>
      </c>
      <c r="AK88" s="229">
        <v>1.0200000000000001E-2</v>
      </c>
      <c r="AL88" s="228">
        <v>1.32</v>
      </c>
      <c r="AM88" s="228">
        <v>0.8</v>
      </c>
      <c r="AN88" s="228">
        <v>0.52</v>
      </c>
      <c r="AO88" s="229">
        <v>1.5900000000000001E-2</v>
      </c>
      <c r="AP88" s="228">
        <v>82.85</v>
      </c>
      <c r="AQ88" s="228">
        <v>83.34</v>
      </c>
      <c r="AR88" s="228">
        <v>0</v>
      </c>
      <c r="AS88" s="228">
        <v>341</v>
      </c>
      <c r="AT88" s="230">
        <v>1334</v>
      </c>
      <c r="AU88" s="228">
        <v>-993</v>
      </c>
      <c r="AV88" s="229">
        <v>-0.74439999999999995</v>
      </c>
      <c r="AW88" s="228">
        <v>320</v>
      </c>
      <c r="AX88" s="228">
        <v>504</v>
      </c>
      <c r="AY88" s="228">
        <v>-184</v>
      </c>
      <c r="AZ88" s="229">
        <v>-0.3659</v>
      </c>
      <c r="BA88" s="228">
        <v>19</v>
      </c>
      <c r="BB88" s="228">
        <v>802</v>
      </c>
      <c r="BC88" s="228">
        <v>-784</v>
      </c>
      <c r="BD88" s="229">
        <v>-0.97650000000000003</v>
      </c>
      <c r="BE88" s="228">
        <v>3</v>
      </c>
      <c r="BF88" s="228">
        <v>27</v>
      </c>
      <c r="BG88" s="228">
        <v>-25</v>
      </c>
      <c r="BH88" s="229">
        <v>-0.90700000000000003</v>
      </c>
      <c r="BI88" s="228">
        <v>543</v>
      </c>
      <c r="BJ88" s="228">
        <v>852</v>
      </c>
      <c r="BK88" s="228">
        <v>-308</v>
      </c>
      <c r="BL88" s="229">
        <v>-0.36209999999999998</v>
      </c>
      <c r="BM88" s="228">
        <v>393</v>
      </c>
      <c r="BN88" s="228">
        <v>645</v>
      </c>
      <c r="BO88" s="228">
        <v>-252</v>
      </c>
      <c r="BP88" s="229">
        <v>-0.39129999999999998</v>
      </c>
      <c r="BQ88" s="230">
        <v>1277</v>
      </c>
      <c r="BR88" s="230">
        <v>2830</v>
      </c>
      <c r="BS88" s="230">
        <v>-1554</v>
      </c>
      <c r="BT88" s="229">
        <v>-0.54890000000000005</v>
      </c>
      <c r="BU88" s="230">
        <v>21842188</v>
      </c>
      <c r="BV88" s="230">
        <v>32584395</v>
      </c>
      <c r="BW88" s="230">
        <v>-10742207</v>
      </c>
      <c r="BX88" s="229">
        <v>-0.32969999999999999</v>
      </c>
      <c r="BY88" s="230">
        <v>2416</v>
      </c>
      <c r="BZ88" s="230">
        <v>2391</v>
      </c>
      <c r="CA88" s="228">
        <v>25</v>
      </c>
      <c r="CB88" s="229">
        <v>1.0500000000000001E-2</v>
      </c>
      <c r="CC88" s="230">
        <v>2302</v>
      </c>
      <c r="CD88" s="228">
        <v>87</v>
      </c>
      <c r="CE88" s="230">
        <v>2215</v>
      </c>
      <c r="CF88" s="229">
        <v>25.481300000000001</v>
      </c>
      <c r="CG88" s="228">
        <v>113</v>
      </c>
      <c r="CH88" s="230">
        <v>2280</v>
      </c>
      <c r="CI88" s="230">
        <v>-2168</v>
      </c>
      <c r="CJ88" s="229">
        <v>-0.95050000000000001</v>
      </c>
      <c r="CK88" s="228">
        <v>2</v>
      </c>
      <c r="CL88" s="228">
        <v>111</v>
      </c>
      <c r="CM88" s="228">
        <v>-109</v>
      </c>
      <c r="CN88" s="229">
        <v>-0.98540000000000005</v>
      </c>
      <c r="CO88" s="228">
        <v>669</v>
      </c>
      <c r="CP88" s="228">
        <v>565</v>
      </c>
      <c r="CQ88" s="228">
        <v>104</v>
      </c>
      <c r="CR88" s="229">
        <v>0.1842</v>
      </c>
      <c r="CS88" s="228">
        <v>582</v>
      </c>
      <c r="CT88" s="228">
        <v>425</v>
      </c>
      <c r="CU88" s="228">
        <v>157</v>
      </c>
      <c r="CV88" s="229">
        <v>0.36840000000000001</v>
      </c>
      <c r="CW88" s="230">
        <v>3667</v>
      </c>
      <c r="CX88" s="230">
        <v>3381</v>
      </c>
      <c r="CY88" s="228">
        <v>286</v>
      </c>
      <c r="CZ88" s="229">
        <v>8.4500000000000006E-2</v>
      </c>
      <c r="DA88" s="228">
        <v>36.46</v>
      </c>
      <c r="DB88" s="228">
        <v>35.79</v>
      </c>
      <c r="DC88" s="228">
        <v>0.67</v>
      </c>
      <c r="DD88" s="228">
        <v>0.67</v>
      </c>
      <c r="DE88" s="228">
        <v>31.94</v>
      </c>
      <c r="DF88" s="228">
        <v>32.01</v>
      </c>
      <c r="DG88" s="228">
        <v>4.5199999999999996</v>
      </c>
      <c r="DH88" s="228">
        <v>-7.0000000000000007E-2</v>
      </c>
      <c r="DI88" s="228">
        <v>35.72</v>
      </c>
      <c r="DJ88" s="228">
        <v>34.74</v>
      </c>
      <c r="DK88" s="228">
        <v>0.98</v>
      </c>
      <c r="DL88" s="228">
        <v>0.98</v>
      </c>
      <c r="DM88" s="228">
        <v>37.479999999999997</v>
      </c>
      <c r="DN88" s="228">
        <v>37.369999999999997</v>
      </c>
      <c r="DO88" s="228">
        <v>0.11</v>
      </c>
      <c r="DP88" s="228">
        <v>0.11</v>
      </c>
      <c r="DQ88" s="228">
        <v>0.87</v>
      </c>
      <c r="DR88" s="228">
        <v>0.75</v>
      </c>
      <c r="DS88" s="228">
        <v>0.12</v>
      </c>
      <c r="DT88" s="229">
        <v>0.16</v>
      </c>
      <c r="DU88" s="228">
        <v>85</v>
      </c>
      <c r="DV88" s="228">
        <v>80</v>
      </c>
      <c r="DW88" s="228">
        <v>0.72</v>
      </c>
      <c r="DX88" s="228">
        <v>0.76</v>
      </c>
      <c r="DY88" s="228">
        <v>-0.04</v>
      </c>
      <c r="DZ88" s="229">
        <v>-5.2600000000000001E-2</v>
      </c>
      <c r="EA88" s="229">
        <v>4.7399999999999998E-2</v>
      </c>
      <c r="EB88" s="230">
        <v>287311675</v>
      </c>
      <c r="EC88" s="229">
        <v>6.6E-3</v>
      </c>
      <c r="ED88" s="229">
        <v>4.7399999999999998E-2</v>
      </c>
      <c r="EE88" s="228">
        <v>0.49</v>
      </c>
      <c r="EF88" s="229">
        <v>5.8999999999999999E-3</v>
      </c>
      <c r="EG88" s="230">
        <v>11251463</v>
      </c>
      <c r="EH88" s="230">
        <v>19232037</v>
      </c>
      <c r="EI88" s="229">
        <v>-0.41499999999999998</v>
      </c>
      <c r="EJ88" s="229">
        <v>0.5151</v>
      </c>
      <c r="EK88" s="228">
        <v>585.97</v>
      </c>
      <c r="EL88" s="228">
        <v>370.42</v>
      </c>
      <c r="EM88" s="228">
        <v>339.49</v>
      </c>
      <c r="EN88" s="228">
        <v>215.27</v>
      </c>
      <c r="EO88" s="231">
        <v>1295.8800000000001</v>
      </c>
      <c r="EP88" s="231">
        <v>2854.87</v>
      </c>
      <c r="EQ88" s="231">
        <v>-1558.99</v>
      </c>
      <c r="ER88" s="229">
        <v>-0.54610000000000003</v>
      </c>
      <c r="ES88" s="228">
        <v>704.67</v>
      </c>
      <c r="ET88" s="228">
        <v>554.39</v>
      </c>
      <c r="EU88" s="231">
        <v>2417.15</v>
      </c>
      <c r="EV88" s="231">
        <v>936861183</v>
      </c>
      <c r="EW88" s="231">
        <v>3676.21</v>
      </c>
      <c r="EX88" s="231">
        <v>3414.94</v>
      </c>
      <c r="EY88" s="228">
        <v>261.27</v>
      </c>
      <c r="EZ88" s="229">
        <v>7.6499999999999999E-2</v>
      </c>
      <c r="FA88" s="229">
        <v>0.47020000000000001</v>
      </c>
      <c r="FB88" s="227" t="s">
        <v>567</v>
      </c>
      <c r="FC88">
        <f t="shared" si="1"/>
        <v>114</v>
      </c>
    </row>
    <row r="89" spans="1:159" ht="17.25" thickBot="1" x14ac:dyDescent="0.3">
      <c r="A89" s="226">
        <v>46050</v>
      </c>
      <c r="B89" s="227" t="s">
        <v>161</v>
      </c>
      <c r="C89" s="227" t="s">
        <v>514</v>
      </c>
      <c r="D89" s="228">
        <v>3750</v>
      </c>
      <c r="E89" s="228">
        <v>27</v>
      </c>
      <c r="F89" s="228">
        <v>128.31</v>
      </c>
      <c r="G89" s="228">
        <v>127.05</v>
      </c>
      <c r="H89" s="228">
        <v>1.26</v>
      </c>
      <c r="I89" s="229">
        <v>9.9000000000000008E-3</v>
      </c>
      <c r="J89" s="228">
        <v>128.71</v>
      </c>
      <c r="K89" s="228">
        <v>127.55</v>
      </c>
      <c r="L89" s="228">
        <v>1.1599999999999999</v>
      </c>
      <c r="M89" s="229">
        <v>9.1000000000000004E-3</v>
      </c>
      <c r="N89" s="228">
        <v>128.31</v>
      </c>
      <c r="O89" s="228">
        <v>127.54</v>
      </c>
      <c r="P89" s="228">
        <v>0.77</v>
      </c>
      <c r="Q89" s="229">
        <v>6.0000000000000001E-3</v>
      </c>
      <c r="R89" s="228">
        <v>128.84</v>
      </c>
      <c r="S89" s="228">
        <v>127.05</v>
      </c>
      <c r="T89" s="228">
        <v>1.79</v>
      </c>
      <c r="U89" s="229">
        <v>1.41E-2</v>
      </c>
      <c r="V89" s="228">
        <v>129.75</v>
      </c>
      <c r="W89" s="228">
        <v>127.74</v>
      </c>
      <c r="X89" s="228">
        <v>2.0099999999999998</v>
      </c>
      <c r="Y89" s="229">
        <v>1.5699999999999999E-2</v>
      </c>
      <c r="Z89" s="228">
        <v>-0.4</v>
      </c>
      <c r="AA89" s="228">
        <v>-0.5</v>
      </c>
      <c r="AB89" s="228">
        <v>0.1</v>
      </c>
      <c r="AC89" s="229">
        <v>-3.0999999999999999E-3</v>
      </c>
      <c r="AD89" s="228">
        <v>-0.4</v>
      </c>
      <c r="AE89" s="228">
        <v>-0.01</v>
      </c>
      <c r="AF89" s="228">
        <v>-0.39</v>
      </c>
      <c r="AG89" s="229">
        <v>-3.0999999999999999E-3</v>
      </c>
      <c r="AH89" s="228">
        <v>0.13</v>
      </c>
      <c r="AI89" s="228">
        <v>-0.5</v>
      </c>
      <c r="AJ89" s="228">
        <v>0.63</v>
      </c>
      <c r="AK89" s="229">
        <v>1E-3</v>
      </c>
      <c r="AL89" s="228">
        <v>1.04</v>
      </c>
      <c r="AM89" s="228">
        <v>0.19</v>
      </c>
      <c r="AN89" s="228">
        <v>0.85</v>
      </c>
      <c r="AO89" s="229">
        <v>8.0999999999999996E-3</v>
      </c>
      <c r="AP89" s="228">
        <v>127.4</v>
      </c>
      <c r="AQ89" s="228">
        <v>127.94</v>
      </c>
      <c r="AR89" s="228">
        <v>0</v>
      </c>
      <c r="AS89" s="228">
        <v>117</v>
      </c>
      <c r="AT89" s="228">
        <v>814</v>
      </c>
      <c r="AU89" s="228">
        <v>-697</v>
      </c>
      <c r="AV89" s="229">
        <v>-0.85640000000000005</v>
      </c>
      <c r="AW89" s="228">
        <v>108</v>
      </c>
      <c r="AX89" s="228">
        <v>388</v>
      </c>
      <c r="AY89" s="228">
        <v>-280</v>
      </c>
      <c r="AZ89" s="229">
        <v>-0.72209999999999996</v>
      </c>
      <c r="BA89" s="228">
        <v>8</v>
      </c>
      <c r="BB89" s="228">
        <v>409</v>
      </c>
      <c r="BC89" s="228">
        <v>-401</v>
      </c>
      <c r="BD89" s="229">
        <v>-0.98019999999999996</v>
      </c>
      <c r="BE89" s="228">
        <v>1</v>
      </c>
      <c r="BF89" s="228">
        <v>17</v>
      </c>
      <c r="BG89" s="228">
        <v>-16</v>
      </c>
      <c r="BH89" s="229">
        <v>-0.94810000000000005</v>
      </c>
      <c r="BI89" s="228">
        <v>309</v>
      </c>
      <c r="BJ89" s="228">
        <v>764</v>
      </c>
      <c r="BK89" s="228">
        <v>-455</v>
      </c>
      <c r="BL89" s="229">
        <v>-0.59550000000000003</v>
      </c>
      <c r="BM89" s="228">
        <v>130</v>
      </c>
      <c r="BN89" s="228">
        <v>535</v>
      </c>
      <c r="BO89" s="228">
        <v>-405</v>
      </c>
      <c r="BP89" s="229">
        <v>-0.75719999999999998</v>
      </c>
      <c r="BQ89" s="228">
        <v>556</v>
      </c>
      <c r="BR89" s="230">
        <v>2113</v>
      </c>
      <c r="BS89" s="230">
        <v>-1557</v>
      </c>
      <c r="BT89" s="229">
        <v>-0.7369</v>
      </c>
      <c r="BU89" s="230">
        <v>7313845</v>
      </c>
      <c r="BV89" s="230">
        <v>15135555</v>
      </c>
      <c r="BW89" s="230">
        <v>-7821710</v>
      </c>
      <c r="BX89" s="229">
        <v>-0.51680000000000004</v>
      </c>
      <c r="BY89" s="228">
        <v>931</v>
      </c>
      <c r="BZ89" s="228">
        <v>926</v>
      </c>
      <c r="CA89" s="228">
        <v>5</v>
      </c>
      <c r="CB89" s="229">
        <v>5.4999999999999997E-3</v>
      </c>
      <c r="CC89" s="228">
        <v>892</v>
      </c>
      <c r="CD89" s="228">
        <v>146</v>
      </c>
      <c r="CE89" s="228">
        <v>746</v>
      </c>
      <c r="CF89" s="229">
        <v>5.1111000000000004</v>
      </c>
      <c r="CG89" s="228">
        <v>38</v>
      </c>
      <c r="CH89" s="228">
        <v>888</v>
      </c>
      <c r="CI89" s="228">
        <v>-850</v>
      </c>
      <c r="CJ89" s="229">
        <v>-0.95679999999999998</v>
      </c>
      <c r="CK89" s="228">
        <v>1</v>
      </c>
      <c r="CL89" s="228">
        <v>37</v>
      </c>
      <c r="CM89" s="228">
        <v>-37</v>
      </c>
      <c r="CN89" s="229">
        <v>-0.97940000000000005</v>
      </c>
      <c r="CO89" s="228">
        <v>424</v>
      </c>
      <c r="CP89" s="228">
        <v>358</v>
      </c>
      <c r="CQ89" s="228">
        <v>65</v>
      </c>
      <c r="CR89" s="229">
        <v>0.18160000000000001</v>
      </c>
      <c r="CS89" s="228">
        <v>395</v>
      </c>
      <c r="CT89" s="228">
        <v>369</v>
      </c>
      <c r="CU89" s="228">
        <v>26</v>
      </c>
      <c r="CV89" s="229">
        <v>7.0599999999999996E-2</v>
      </c>
      <c r="CW89" s="230">
        <v>1750</v>
      </c>
      <c r="CX89" s="230">
        <v>1653</v>
      </c>
      <c r="CY89" s="228">
        <v>96</v>
      </c>
      <c r="CZ89" s="229">
        <v>5.8200000000000002E-2</v>
      </c>
      <c r="DA89" s="228">
        <v>44.01</v>
      </c>
      <c r="DB89" s="228">
        <v>45</v>
      </c>
      <c r="DC89" s="228">
        <v>-0.99</v>
      </c>
      <c r="DD89" s="228">
        <v>-0.99</v>
      </c>
      <c r="DE89" s="228">
        <v>54.3</v>
      </c>
      <c r="DF89" s="228">
        <v>54.42</v>
      </c>
      <c r="DG89" s="228">
        <v>-10.29</v>
      </c>
      <c r="DH89" s="228">
        <v>-0.12</v>
      </c>
      <c r="DI89" s="228">
        <v>43.9</v>
      </c>
      <c r="DJ89" s="228">
        <v>44.89</v>
      </c>
      <c r="DK89" s="228">
        <v>-0.99</v>
      </c>
      <c r="DL89" s="228">
        <v>-0.99</v>
      </c>
      <c r="DM89" s="228">
        <v>44.29</v>
      </c>
      <c r="DN89" s="228">
        <v>45.17</v>
      </c>
      <c r="DO89" s="228">
        <v>-0.88</v>
      </c>
      <c r="DP89" s="228">
        <v>-0.88</v>
      </c>
      <c r="DQ89" s="228">
        <v>0.93</v>
      </c>
      <c r="DR89" s="228">
        <v>1.03</v>
      </c>
      <c r="DS89" s="228">
        <v>-0.1</v>
      </c>
      <c r="DT89" s="229">
        <v>-9.7100000000000006E-2</v>
      </c>
      <c r="DU89" s="228">
        <v>140</v>
      </c>
      <c r="DV89" s="228">
        <v>140</v>
      </c>
      <c r="DW89" s="228">
        <v>0.42</v>
      </c>
      <c r="DX89" s="228">
        <v>0.7</v>
      </c>
      <c r="DY89" s="228">
        <v>-0.28000000000000003</v>
      </c>
      <c r="DZ89" s="229">
        <v>-0.4</v>
      </c>
      <c r="EA89" s="229">
        <v>4.2000000000000003E-2</v>
      </c>
      <c r="EB89" s="230">
        <v>72138750</v>
      </c>
      <c r="EC89" s="229">
        <v>4.1000000000000003E-3</v>
      </c>
      <c r="ED89" s="229">
        <v>4.2000000000000003E-2</v>
      </c>
      <c r="EE89" s="228">
        <v>0.54</v>
      </c>
      <c r="EF89" s="229">
        <v>4.1999999999999997E-3</v>
      </c>
      <c r="EG89" s="230">
        <v>3276342</v>
      </c>
      <c r="EH89" s="230">
        <v>5800660</v>
      </c>
      <c r="EI89" s="229">
        <v>-0.43519999999999998</v>
      </c>
      <c r="EJ89" s="229">
        <v>0.44800000000000001</v>
      </c>
      <c r="EK89" s="228">
        <v>339.27</v>
      </c>
      <c r="EL89" s="228">
        <v>127.73</v>
      </c>
      <c r="EM89" s="228">
        <v>116.09</v>
      </c>
      <c r="EN89" s="228">
        <v>169</v>
      </c>
      <c r="EO89" s="228">
        <v>583.09</v>
      </c>
      <c r="EP89" s="231">
        <v>2192.4</v>
      </c>
      <c r="EQ89" s="231">
        <v>-1609.31</v>
      </c>
      <c r="ER89" s="229">
        <v>-0.73399999999999999</v>
      </c>
      <c r="ES89" s="228">
        <v>470.21</v>
      </c>
      <c r="ET89" s="228">
        <v>408.41</v>
      </c>
      <c r="EU89" s="228">
        <v>930.83</v>
      </c>
      <c r="EV89" s="231">
        <v>133395043</v>
      </c>
      <c r="EW89" s="231">
        <v>1809.45</v>
      </c>
      <c r="EX89" s="231">
        <v>1699.13</v>
      </c>
      <c r="EY89" s="228">
        <v>110.32</v>
      </c>
      <c r="EZ89" s="229">
        <v>6.4899999999999999E-2</v>
      </c>
      <c r="FA89" s="229">
        <v>1.0223</v>
      </c>
      <c r="FB89" s="227" t="s">
        <v>555</v>
      </c>
      <c r="FC89">
        <f t="shared" si="1"/>
        <v>39</v>
      </c>
    </row>
    <row r="90" spans="1:159" ht="17.25" thickBot="1" x14ac:dyDescent="0.3">
      <c r="A90" s="226">
        <v>46050</v>
      </c>
      <c r="B90" s="227" t="s">
        <v>206</v>
      </c>
      <c r="C90" s="227" t="s">
        <v>501</v>
      </c>
      <c r="D90" s="228">
        <v>1000</v>
      </c>
      <c r="E90" s="228">
        <v>27</v>
      </c>
      <c r="F90" s="228">
        <v>659.3</v>
      </c>
      <c r="G90" s="228">
        <v>656.15</v>
      </c>
      <c r="H90" s="228">
        <v>3.15</v>
      </c>
      <c r="I90" s="229">
        <v>4.7999999999999996E-3</v>
      </c>
      <c r="J90" s="228">
        <v>656.2</v>
      </c>
      <c r="K90" s="228">
        <v>651.35</v>
      </c>
      <c r="L90" s="228">
        <v>4.8499999999999996</v>
      </c>
      <c r="M90" s="229">
        <v>7.4000000000000003E-3</v>
      </c>
      <c r="N90" s="228">
        <v>659.3</v>
      </c>
      <c r="O90" s="228">
        <v>652.1</v>
      </c>
      <c r="P90" s="228">
        <v>7.2</v>
      </c>
      <c r="Q90" s="229">
        <v>1.0999999999999999E-2</v>
      </c>
      <c r="R90" s="228">
        <v>663.6</v>
      </c>
      <c r="S90" s="228">
        <v>656.15</v>
      </c>
      <c r="T90" s="228">
        <v>7.45</v>
      </c>
      <c r="U90" s="229">
        <v>1.14E-2</v>
      </c>
      <c r="V90" s="228">
        <v>664.5</v>
      </c>
      <c r="W90" s="228">
        <v>660.8</v>
      </c>
      <c r="X90" s="228">
        <v>3.7</v>
      </c>
      <c r="Y90" s="229">
        <v>5.5999999999999999E-3</v>
      </c>
      <c r="Z90" s="228">
        <v>3.1</v>
      </c>
      <c r="AA90" s="228">
        <v>4.8</v>
      </c>
      <c r="AB90" s="228">
        <v>-1.7</v>
      </c>
      <c r="AC90" s="229">
        <v>4.7000000000000002E-3</v>
      </c>
      <c r="AD90" s="228">
        <v>3.1</v>
      </c>
      <c r="AE90" s="228">
        <v>0.75</v>
      </c>
      <c r="AF90" s="228">
        <v>2.35</v>
      </c>
      <c r="AG90" s="229">
        <v>4.7000000000000002E-3</v>
      </c>
      <c r="AH90" s="228">
        <v>7.4</v>
      </c>
      <c r="AI90" s="228">
        <v>4.8</v>
      </c>
      <c r="AJ90" s="228">
        <v>2.6</v>
      </c>
      <c r="AK90" s="229">
        <v>1.1299999999999999E-2</v>
      </c>
      <c r="AL90" s="228">
        <v>8.3000000000000007</v>
      </c>
      <c r="AM90" s="228">
        <v>9.4499999999999993</v>
      </c>
      <c r="AN90" s="228">
        <v>-1.1499999999999999</v>
      </c>
      <c r="AO90" s="229">
        <v>1.26E-2</v>
      </c>
      <c r="AP90" s="228">
        <v>657.67</v>
      </c>
      <c r="AQ90" s="228">
        <v>661.42</v>
      </c>
      <c r="AR90" s="228">
        <v>0</v>
      </c>
      <c r="AS90" s="228">
        <v>176</v>
      </c>
      <c r="AT90" s="230">
        <v>1487</v>
      </c>
      <c r="AU90" s="230">
        <v>-1312</v>
      </c>
      <c r="AV90" s="229">
        <v>-0.88200000000000001</v>
      </c>
      <c r="AW90" s="228">
        <v>170</v>
      </c>
      <c r="AX90" s="228">
        <v>674</v>
      </c>
      <c r="AY90" s="228">
        <v>-504</v>
      </c>
      <c r="AZ90" s="229">
        <v>-0.74770000000000003</v>
      </c>
      <c r="BA90" s="228">
        <v>5</v>
      </c>
      <c r="BB90" s="228">
        <v>793</v>
      </c>
      <c r="BC90" s="228">
        <v>-789</v>
      </c>
      <c r="BD90" s="229">
        <v>-0.99429999999999996</v>
      </c>
      <c r="BE90" s="228">
        <v>1</v>
      </c>
      <c r="BF90" s="228">
        <v>20</v>
      </c>
      <c r="BG90" s="228">
        <v>-19</v>
      </c>
      <c r="BH90" s="229">
        <v>-0.95150000000000001</v>
      </c>
      <c r="BI90" s="228">
        <v>247</v>
      </c>
      <c r="BJ90" s="228">
        <v>564</v>
      </c>
      <c r="BK90" s="228">
        <v>-317</v>
      </c>
      <c r="BL90" s="229">
        <v>-0.5625</v>
      </c>
      <c r="BM90" s="228">
        <v>91</v>
      </c>
      <c r="BN90" s="228">
        <v>499</v>
      </c>
      <c r="BO90" s="228">
        <v>-408</v>
      </c>
      <c r="BP90" s="229">
        <v>-0.81740000000000002</v>
      </c>
      <c r="BQ90" s="228">
        <v>513</v>
      </c>
      <c r="BR90" s="230">
        <v>2550</v>
      </c>
      <c r="BS90" s="230">
        <v>-2037</v>
      </c>
      <c r="BT90" s="229">
        <v>-0.79869999999999997</v>
      </c>
      <c r="BU90" s="230">
        <v>3716132</v>
      </c>
      <c r="BV90" s="230">
        <v>7274508</v>
      </c>
      <c r="BW90" s="230">
        <v>-3558376</v>
      </c>
      <c r="BX90" s="229">
        <v>-0.48920000000000002</v>
      </c>
      <c r="BY90" s="230">
        <v>1800</v>
      </c>
      <c r="BZ90" s="230">
        <v>1804</v>
      </c>
      <c r="CA90" s="228">
        <v>-3</v>
      </c>
      <c r="CB90" s="229">
        <v>-1.8E-3</v>
      </c>
      <c r="CC90" s="230">
        <v>1758</v>
      </c>
      <c r="CD90" s="228">
        <v>135</v>
      </c>
      <c r="CE90" s="230">
        <v>1623</v>
      </c>
      <c r="CF90" s="229">
        <v>12.062200000000001</v>
      </c>
      <c r="CG90" s="228">
        <v>42</v>
      </c>
      <c r="CH90" s="230">
        <v>1762</v>
      </c>
      <c r="CI90" s="230">
        <v>-1721</v>
      </c>
      <c r="CJ90" s="229">
        <v>-0.97640000000000005</v>
      </c>
      <c r="CK90" s="228">
        <v>1</v>
      </c>
      <c r="CL90" s="228">
        <v>41</v>
      </c>
      <c r="CM90" s="228">
        <v>-40</v>
      </c>
      <c r="CN90" s="229">
        <v>-0.97599999999999998</v>
      </c>
      <c r="CO90" s="228">
        <v>373</v>
      </c>
      <c r="CP90" s="228">
        <v>340</v>
      </c>
      <c r="CQ90" s="228">
        <v>33</v>
      </c>
      <c r="CR90" s="229">
        <v>9.7699999999999995E-2</v>
      </c>
      <c r="CS90" s="228">
        <v>391</v>
      </c>
      <c r="CT90" s="228">
        <v>373</v>
      </c>
      <c r="CU90" s="228">
        <v>18</v>
      </c>
      <c r="CV90" s="229">
        <v>4.9500000000000002E-2</v>
      </c>
      <c r="CW90" s="230">
        <v>2565</v>
      </c>
      <c r="CX90" s="230">
        <v>2516</v>
      </c>
      <c r="CY90" s="228">
        <v>48</v>
      </c>
      <c r="CZ90" s="229">
        <v>1.9300000000000001E-2</v>
      </c>
      <c r="DA90" s="228">
        <v>28.74</v>
      </c>
      <c r="DB90" s="228">
        <v>30.52</v>
      </c>
      <c r="DC90" s="228">
        <v>-1.78</v>
      </c>
      <c r="DD90" s="228">
        <v>-1.78</v>
      </c>
      <c r="DE90" s="228">
        <v>33.299999999999997</v>
      </c>
      <c r="DF90" s="228">
        <v>33.36</v>
      </c>
      <c r="DG90" s="228">
        <v>-4.5599999999999996</v>
      </c>
      <c r="DH90" s="228">
        <v>-0.06</v>
      </c>
      <c r="DI90" s="228">
        <v>28.64</v>
      </c>
      <c r="DJ90" s="228">
        <v>29.82</v>
      </c>
      <c r="DK90" s="228">
        <v>-1.18</v>
      </c>
      <c r="DL90" s="228">
        <v>-1.18</v>
      </c>
      <c r="DM90" s="228">
        <v>29.03</v>
      </c>
      <c r="DN90" s="228">
        <v>31.48</v>
      </c>
      <c r="DO90" s="228">
        <v>-2.4500000000000002</v>
      </c>
      <c r="DP90" s="228">
        <v>-2.4500000000000002</v>
      </c>
      <c r="DQ90" s="228">
        <v>1.05</v>
      </c>
      <c r="DR90" s="228">
        <v>1.1000000000000001</v>
      </c>
      <c r="DS90" s="228">
        <v>-0.05</v>
      </c>
      <c r="DT90" s="229">
        <v>-4.5499999999999999E-2</v>
      </c>
      <c r="DU90" s="228">
        <v>700</v>
      </c>
      <c r="DV90" s="228">
        <v>650</v>
      </c>
      <c r="DW90" s="228">
        <v>0.37</v>
      </c>
      <c r="DX90" s="228">
        <v>0.89</v>
      </c>
      <c r="DY90" s="228">
        <v>-0.52</v>
      </c>
      <c r="DZ90" s="229">
        <v>-0.58430000000000004</v>
      </c>
      <c r="EA90" s="229">
        <v>2.3699999999999999E-2</v>
      </c>
      <c r="EB90" s="230">
        <v>27355000</v>
      </c>
      <c r="EC90" s="229">
        <v>6.4999999999999997E-3</v>
      </c>
      <c r="ED90" s="229">
        <v>2.3699999999999999E-2</v>
      </c>
      <c r="EE90" s="228">
        <v>3.75</v>
      </c>
      <c r="EF90" s="229">
        <v>5.7000000000000002E-3</v>
      </c>
      <c r="EG90" s="230">
        <v>2573869</v>
      </c>
      <c r="EH90" s="230">
        <v>5371260</v>
      </c>
      <c r="EI90" s="229">
        <v>-0.52080000000000004</v>
      </c>
      <c r="EJ90" s="229">
        <v>0.69259999999999999</v>
      </c>
      <c r="EK90" s="228">
        <v>260.16000000000003</v>
      </c>
      <c r="EL90" s="228">
        <v>90.7</v>
      </c>
      <c r="EM90" s="228">
        <v>175.17</v>
      </c>
      <c r="EN90" s="228">
        <v>205.8</v>
      </c>
      <c r="EO90" s="228">
        <v>526.04</v>
      </c>
      <c r="EP90" s="231">
        <v>2574.12</v>
      </c>
      <c r="EQ90" s="231">
        <v>-2048.09</v>
      </c>
      <c r="ER90" s="229">
        <v>-0.79559999999999997</v>
      </c>
      <c r="ES90" s="228">
        <v>393.86</v>
      </c>
      <c r="ET90" s="228">
        <v>393.95</v>
      </c>
      <c r="EU90" s="231">
        <v>1800.56</v>
      </c>
      <c r="EV90" s="231">
        <v>132129624</v>
      </c>
      <c r="EW90" s="231">
        <v>2588.38</v>
      </c>
      <c r="EX90" s="231">
        <v>2529.69</v>
      </c>
      <c r="EY90" s="228">
        <v>58.69</v>
      </c>
      <c r="EZ90" s="229">
        <v>2.3199999999999998E-2</v>
      </c>
      <c r="FA90" s="229">
        <v>0.2944</v>
      </c>
      <c r="FB90" s="227" t="s">
        <v>556</v>
      </c>
      <c r="FC90">
        <f t="shared" si="1"/>
        <v>42</v>
      </c>
    </row>
    <row r="91" spans="1:159" ht="17.25" thickBot="1" x14ac:dyDescent="0.3">
      <c r="A91" s="226">
        <v>46050</v>
      </c>
      <c r="B91" s="227" t="s">
        <v>172</v>
      </c>
      <c r="C91" s="227" t="s">
        <v>578</v>
      </c>
      <c r="D91" s="228">
        <v>1000</v>
      </c>
      <c r="E91" s="228">
        <v>27</v>
      </c>
      <c r="F91" s="228">
        <v>901</v>
      </c>
      <c r="G91" s="228">
        <v>883</v>
      </c>
      <c r="H91" s="228">
        <v>18</v>
      </c>
      <c r="I91" s="229">
        <v>2.0400000000000001E-2</v>
      </c>
      <c r="J91" s="228">
        <v>898.35</v>
      </c>
      <c r="K91" s="228">
        <v>876.7</v>
      </c>
      <c r="L91" s="228">
        <v>21.65</v>
      </c>
      <c r="M91" s="229">
        <v>2.47E-2</v>
      </c>
      <c r="N91" s="228">
        <v>901</v>
      </c>
      <c r="O91" s="228">
        <v>877.5</v>
      </c>
      <c r="P91" s="228">
        <v>23.5</v>
      </c>
      <c r="Q91" s="229">
        <v>2.6800000000000001E-2</v>
      </c>
      <c r="R91" s="228">
        <v>904.25</v>
      </c>
      <c r="S91" s="228">
        <v>883</v>
      </c>
      <c r="T91" s="228">
        <v>21.25</v>
      </c>
      <c r="U91" s="229">
        <v>2.41E-2</v>
      </c>
      <c r="V91" s="228">
        <v>908.7</v>
      </c>
      <c r="W91" s="228">
        <v>886</v>
      </c>
      <c r="X91" s="228">
        <v>22.7</v>
      </c>
      <c r="Y91" s="229">
        <v>2.5600000000000001E-2</v>
      </c>
      <c r="Z91" s="228">
        <v>2.65</v>
      </c>
      <c r="AA91" s="228">
        <v>6.3</v>
      </c>
      <c r="AB91" s="228">
        <v>-3.65</v>
      </c>
      <c r="AC91" s="229">
        <v>2.8999999999999998E-3</v>
      </c>
      <c r="AD91" s="228">
        <v>2.65</v>
      </c>
      <c r="AE91" s="228">
        <v>0.8</v>
      </c>
      <c r="AF91" s="228">
        <v>1.85</v>
      </c>
      <c r="AG91" s="229">
        <v>2.8999999999999998E-3</v>
      </c>
      <c r="AH91" s="228">
        <v>5.9</v>
      </c>
      <c r="AI91" s="228">
        <v>6.3</v>
      </c>
      <c r="AJ91" s="228">
        <v>-0.4</v>
      </c>
      <c r="AK91" s="229">
        <v>6.6E-3</v>
      </c>
      <c r="AL91" s="228">
        <v>10.35</v>
      </c>
      <c r="AM91" s="228">
        <v>9.3000000000000007</v>
      </c>
      <c r="AN91" s="228">
        <v>1.05</v>
      </c>
      <c r="AO91" s="229">
        <v>1.15E-2</v>
      </c>
      <c r="AP91" s="228">
        <v>892.58</v>
      </c>
      <c r="AQ91" s="228">
        <v>896.09</v>
      </c>
      <c r="AR91" s="228">
        <v>0</v>
      </c>
      <c r="AS91" s="228">
        <v>213</v>
      </c>
      <c r="AT91" s="228">
        <v>561</v>
      </c>
      <c r="AU91" s="228">
        <v>-348</v>
      </c>
      <c r="AV91" s="229">
        <v>-0.61990000000000001</v>
      </c>
      <c r="AW91" s="228">
        <v>204</v>
      </c>
      <c r="AX91" s="228">
        <v>181</v>
      </c>
      <c r="AY91" s="228">
        <v>23</v>
      </c>
      <c r="AZ91" s="229">
        <v>0.12520000000000001</v>
      </c>
      <c r="BA91" s="228">
        <v>9</v>
      </c>
      <c r="BB91" s="228">
        <v>372</v>
      </c>
      <c r="BC91" s="228">
        <v>-364</v>
      </c>
      <c r="BD91" s="229">
        <v>-0.97650000000000003</v>
      </c>
      <c r="BE91" s="228">
        <v>1</v>
      </c>
      <c r="BF91" s="228">
        <v>7</v>
      </c>
      <c r="BG91" s="228">
        <v>-7</v>
      </c>
      <c r="BH91" s="229">
        <v>-0.92769999999999997</v>
      </c>
      <c r="BI91" s="228">
        <v>459</v>
      </c>
      <c r="BJ91" s="228">
        <v>657</v>
      </c>
      <c r="BK91" s="228">
        <v>-197</v>
      </c>
      <c r="BL91" s="229">
        <v>-0.30070000000000002</v>
      </c>
      <c r="BM91" s="228">
        <v>139</v>
      </c>
      <c r="BN91" s="228">
        <v>384</v>
      </c>
      <c r="BO91" s="228">
        <v>-245</v>
      </c>
      <c r="BP91" s="229">
        <v>-0.63880000000000003</v>
      </c>
      <c r="BQ91" s="228">
        <v>811</v>
      </c>
      <c r="BR91" s="230">
        <v>1601</v>
      </c>
      <c r="BS91" s="228">
        <v>-790</v>
      </c>
      <c r="BT91" s="229">
        <v>-0.49349999999999999</v>
      </c>
      <c r="BU91" s="230">
        <v>1191650</v>
      </c>
      <c r="BV91" s="230">
        <v>1736991</v>
      </c>
      <c r="BW91" s="230">
        <v>-545341</v>
      </c>
      <c r="BX91" s="229">
        <v>-0.314</v>
      </c>
      <c r="BY91" s="228">
        <v>883</v>
      </c>
      <c r="BZ91" s="228">
        <v>863</v>
      </c>
      <c r="CA91" s="228">
        <v>20</v>
      </c>
      <c r="CB91" s="229">
        <v>2.3400000000000001E-2</v>
      </c>
      <c r="CC91" s="228">
        <v>871</v>
      </c>
      <c r="CD91" s="228">
        <v>53</v>
      </c>
      <c r="CE91" s="228">
        <v>817</v>
      </c>
      <c r="CF91" s="229">
        <v>15.3209</v>
      </c>
      <c r="CG91" s="228">
        <v>13</v>
      </c>
      <c r="CH91" s="228">
        <v>853</v>
      </c>
      <c r="CI91" s="228">
        <v>-840</v>
      </c>
      <c r="CJ91" s="229">
        <v>-0.98519999999999996</v>
      </c>
      <c r="CK91" s="228">
        <v>0</v>
      </c>
      <c r="CL91" s="228">
        <v>11</v>
      </c>
      <c r="CM91" s="228">
        <v>-10</v>
      </c>
      <c r="CN91" s="229">
        <v>-0.97440000000000004</v>
      </c>
      <c r="CO91" s="228">
        <v>230</v>
      </c>
      <c r="CP91" s="228">
        <v>200</v>
      </c>
      <c r="CQ91" s="228">
        <v>30</v>
      </c>
      <c r="CR91" s="229">
        <v>0.1525</v>
      </c>
      <c r="CS91" s="228">
        <v>151</v>
      </c>
      <c r="CT91" s="228">
        <v>124</v>
      </c>
      <c r="CU91" s="228">
        <v>27</v>
      </c>
      <c r="CV91" s="229">
        <v>0.21920000000000001</v>
      </c>
      <c r="CW91" s="230">
        <v>1264</v>
      </c>
      <c r="CX91" s="230">
        <v>1187</v>
      </c>
      <c r="CY91" s="228">
        <v>78</v>
      </c>
      <c r="CZ91" s="229">
        <v>6.5500000000000003E-2</v>
      </c>
      <c r="DA91" s="228">
        <v>33.42</v>
      </c>
      <c r="DB91" s="228">
        <v>34.6</v>
      </c>
      <c r="DC91" s="228">
        <v>-1.18</v>
      </c>
      <c r="DD91" s="228">
        <v>-1.18</v>
      </c>
      <c r="DE91" s="228">
        <v>37.89</v>
      </c>
      <c r="DF91" s="228">
        <v>37.840000000000003</v>
      </c>
      <c r="DG91" s="228">
        <v>-4.47</v>
      </c>
      <c r="DH91" s="228">
        <v>0.05</v>
      </c>
      <c r="DI91" s="228">
        <v>33.270000000000003</v>
      </c>
      <c r="DJ91" s="228">
        <v>34.479999999999997</v>
      </c>
      <c r="DK91" s="228">
        <v>-1.21</v>
      </c>
      <c r="DL91" s="228">
        <v>-1.21</v>
      </c>
      <c r="DM91" s="228">
        <v>33.92</v>
      </c>
      <c r="DN91" s="228">
        <v>34.909999999999997</v>
      </c>
      <c r="DO91" s="228">
        <v>-0.99</v>
      </c>
      <c r="DP91" s="228">
        <v>-0.99</v>
      </c>
      <c r="DQ91" s="228">
        <v>0.66</v>
      </c>
      <c r="DR91" s="228">
        <v>0.62</v>
      </c>
      <c r="DS91" s="228">
        <v>0.04</v>
      </c>
      <c r="DT91" s="229">
        <v>6.4500000000000002E-2</v>
      </c>
      <c r="DU91" s="228">
        <v>900</v>
      </c>
      <c r="DV91" s="228">
        <v>840</v>
      </c>
      <c r="DW91" s="228">
        <v>0.3</v>
      </c>
      <c r="DX91" s="228">
        <v>0.57999999999999996</v>
      </c>
      <c r="DY91" s="228">
        <v>-0.28000000000000003</v>
      </c>
      <c r="DZ91" s="229">
        <v>-0.48280000000000001</v>
      </c>
      <c r="EA91" s="229">
        <v>1.46E-2</v>
      </c>
      <c r="EB91" s="230">
        <v>9581000</v>
      </c>
      <c r="EC91" s="229">
        <v>3.5999999999999999E-3</v>
      </c>
      <c r="ED91" s="229">
        <v>1.46E-2</v>
      </c>
      <c r="EE91" s="228">
        <v>3.51</v>
      </c>
      <c r="EF91" s="229">
        <v>3.8999999999999998E-3</v>
      </c>
      <c r="EG91" s="230">
        <v>494743</v>
      </c>
      <c r="EH91" s="230">
        <v>578792</v>
      </c>
      <c r="EI91" s="229">
        <v>-0.1452</v>
      </c>
      <c r="EJ91" s="229">
        <v>0.41520000000000001</v>
      </c>
      <c r="EK91" s="228">
        <v>478.84</v>
      </c>
      <c r="EL91" s="228">
        <v>133.58000000000001</v>
      </c>
      <c r="EM91" s="228">
        <v>211.32</v>
      </c>
      <c r="EN91" s="228">
        <v>119.59</v>
      </c>
      <c r="EO91" s="228">
        <v>823.74</v>
      </c>
      <c r="EP91" s="231">
        <v>1572.97</v>
      </c>
      <c r="EQ91" s="228">
        <v>-749.22</v>
      </c>
      <c r="ER91" s="229">
        <v>-0.4763</v>
      </c>
      <c r="ES91" s="228">
        <v>236.24</v>
      </c>
      <c r="ET91" s="228">
        <v>141.08000000000001</v>
      </c>
      <c r="EU91" s="228">
        <v>883.48</v>
      </c>
      <c r="EV91" s="231">
        <v>52862157</v>
      </c>
      <c r="EW91" s="231">
        <v>1260.8</v>
      </c>
      <c r="EX91" s="231">
        <v>1165.8800000000001</v>
      </c>
      <c r="EY91" s="228">
        <v>94.92</v>
      </c>
      <c r="EZ91" s="229">
        <v>8.14E-2</v>
      </c>
      <c r="FA91" s="229">
        <v>0.26550000000000001</v>
      </c>
      <c r="FB91" s="227" t="s">
        <v>555</v>
      </c>
      <c r="FC91">
        <f t="shared" si="1"/>
        <v>12</v>
      </c>
    </row>
    <row r="92" spans="1:159" ht="17.25" thickBot="1" x14ac:dyDescent="0.3">
      <c r="A92" s="226">
        <v>46050</v>
      </c>
      <c r="B92" s="227" t="s">
        <v>181</v>
      </c>
      <c r="C92" s="227" t="s">
        <v>687</v>
      </c>
      <c r="D92" s="228">
        <v>1</v>
      </c>
      <c r="E92" s="228">
        <v>27</v>
      </c>
      <c r="F92" s="228">
        <v>13.53</v>
      </c>
      <c r="G92" s="228">
        <v>0</v>
      </c>
      <c r="H92" s="228">
        <v>13.53</v>
      </c>
      <c r="I92" s="229">
        <v>0</v>
      </c>
      <c r="J92" s="228">
        <v>13.53</v>
      </c>
      <c r="K92" s="228">
        <v>14.45</v>
      </c>
      <c r="L92" s="228">
        <v>-0.92</v>
      </c>
      <c r="M92" s="229">
        <v>-6.4000000000000001E-2</v>
      </c>
      <c r="N92" s="228">
        <v>0</v>
      </c>
      <c r="O92" s="228">
        <v>0</v>
      </c>
      <c r="P92" s="228">
        <v>0</v>
      </c>
      <c r="Q92" s="229">
        <v>0</v>
      </c>
      <c r="R92" s="228">
        <v>0</v>
      </c>
      <c r="S92" s="228">
        <v>0</v>
      </c>
      <c r="T92" s="228">
        <v>0</v>
      </c>
      <c r="U92" s="229">
        <v>0</v>
      </c>
      <c r="V92" s="228">
        <v>0</v>
      </c>
      <c r="W92" s="228">
        <v>0</v>
      </c>
      <c r="X92" s="228">
        <v>0</v>
      </c>
      <c r="Y92" s="229">
        <v>0</v>
      </c>
      <c r="Z92" s="228">
        <v>0</v>
      </c>
      <c r="AA92" s="228">
        <v>0</v>
      </c>
      <c r="AB92" s="228">
        <v>0</v>
      </c>
      <c r="AC92" s="229">
        <v>0</v>
      </c>
      <c r="AD92" s="228">
        <v>0</v>
      </c>
      <c r="AE92" s="228">
        <v>0</v>
      </c>
      <c r="AF92" s="228">
        <v>0</v>
      </c>
      <c r="AG92" s="229">
        <v>0</v>
      </c>
      <c r="AH92" s="228">
        <v>0</v>
      </c>
      <c r="AI92" s="228">
        <v>0</v>
      </c>
      <c r="AJ92" s="228">
        <v>0</v>
      </c>
      <c r="AK92" s="229">
        <v>0</v>
      </c>
      <c r="AL92" s="228">
        <v>0</v>
      </c>
      <c r="AM92" s="228">
        <v>0</v>
      </c>
      <c r="AN92" s="228">
        <v>0</v>
      </c>
      <c r="AO92" s="229">
        <v>0</v>
      </c>
      <c r="AP92" s="228">
        <v>0</v>
      </c>
      <c r="AQ92" s="228">
        <v>0</v>
      </c>
      <c r="AR92" s="228">
        <v>0</v>
      </c>
      <c r="AS92" s="228">
        <v>0</v>
      </c>
      <c r="AT92" s="228">
        <v>0</v>
      </c>
      <c r="AU92" s="228">
        <v>0</v>
      </c>
      <c r="AV92" s="229">
        <v>0</v>
      </c>
      <c r="AW92" s="228">
        <v>0</v>
      </c>
      <c r="AX92" s="228">
        <v>0</v>
      </c>
      <c r="AY92" s="228">
        <v>0</v>
      </c>
      <c r="AZ92" s="229">
        <v>0</v>
      </c>
      <c r="BA92" s="228">
        <v>0</v>
      </c>
      <c r="BB92" s="228">
        <v>0</v>
      </c>
      <c r="BC92" s="228">
        <v>0</v>
      </c>
      <c r="BD92" s="229">
        <v>0</v>
      </c>
      <c r="BE92" s="228">
        <v>0</v>
      </c>
      <c r="BF92" s="228">
        <v>0</v>
      </c>
      <c r="BG92" s="228">
        <v>0</v>
      </c>
      <c r="BH92" s="229">
        <v>0</v>
      </c>
      <c r="BI92" s="228">
        <v>0</v>
      </c>
      <c r="BJ92" s="228">
        <v>0</v>
      </c>
      <c r="BK92" s="228">
        <v>0</v>
      </c>
      <c r="BL92" s="229">
        <v>0</v>
      </c>
      <c r="BM92" s="228">
        <v>0</v>
      </c>
      <c r="BN92" s="228">
        <v>0</v>
      </c>
      <c r="BO92" s="228">
        <v>0</v>
      </c>
      <c r="BP92" s="229">
        <v>0</v>
      </c>
      <c r="BQ92" s="228">
        <v>0</v>
      </c>
      <c r="BR92" s="228">
        <v>0</v>
      </c>
      <c r="BS92" s="228">
        <v>0</v>
      </c>
      <c r="BT92" s="229">
        <v>0</v>
      </c>
      <c r="BU92" s="228">
        <v>0</v>
      </c>
      <c r="BV92" s="228">
        <v>0</v>
      </c>
      <c r="BW92" s="228">
        <v>0</v>
      </c>
      <c r="BX92" s="229">
        <v>0</v>
      </c>
      <c r="BY92" s="228">
        <v>0</v>
      </c>
      <c r="BZ92" s="228">
        <v>0</v>
      </c>
      <c r="CA92" s="228">
        <v>0</v>
      </c>
      <c r="CB92" s="229">
        <v>0</v>
      </c>
      <c r="CC92" s="228">
        <v>0</v>
      </c>
      <c r="CD92" s="228">
        <v>0</v>
      </c>
      <c r="CE92" s="228">
        <v>0</v>
      </c>
      <c r="CF92" s="229">
        <v>0</v>
      </c>
      <c r="CG92" s="228">
        <v>0</v>
      </c>
      <c r="CH92" s="228">
        <v>0</v>
      </c>
      <c r="CI92" s="228">
        <v>0</v>
      </c>
      <c r="CJ92" s="229">
        <v>0</v>
      </c>
      <c r="CK92" s="228">
        <v>0</v>
      </c>
      <c r="CL92" s="228">
        <v>0</v>
      </c>
      <c r="CM92" s="228">
        <v>0</v>
      </c>
      <c r="CN92" s="229">
        <v>0</v>
      </c>
      <c r="CO92" s="228">
        <v>0</v>
      </c>
      <c r="CP92" s="228">
        <v>0</v>
      </c>
      <c r="CQ92" s="228">
        <v>0</v>
      </c>
      <c r="CR92" s="229">
        <v>0</v>
      </c>
      <c r="CS92" s="228">
        <v>0</v>
      </c>
      <c r="CT92" s="228">
        <v>0</v>
      </c>
      <c r="CU92" s="228">
        <v>0</v>
      </c>
      <c r="CV92" s="229">
        <v>0</v>
      </c>
      <c r="CW92" s="228">
        <v>0</v>
      </c>
      <c r="CX92" s="228">
        <v>0</v>
      </c>
      <c r="CY92" s="228">
        <v>0</v>
      </c>
      <c r="CZ92" s="229">
        <v>0</v>
      </c>
      <c r="DA92" s="228">
        <v>0</v>
      </c>
      <c r="DB92" s="228">
        <v>0</v>
      </c>
      <c r="DC92" s="228">
        <v>0</v>
      </c>
      <c r="DD92" s="228">
        <v>0</v>
      </c>
      <c r="DE92" s="228">
        <v>0</v>
      </c>
      <c r="DF92" s="228">
        <v>0</v>
      </c>
      <c r="DG92" s="228">
        <v>0</v>
      </c>
      <c r="DH92" s="228">
        <v>0</v>
      </c>
      <c r="DI92" s="228">
        <v>0</v>
      </c>
      <c r="DJ92" s="228">
        <v>0</v>
      </c>
      <c r="DK92" s="228">
        <v>0</v>
      </c>
      <c r="DL92" s="228">
        <v>0</v>
      </c>
      <c r="DM92" s="228">
        <v>0</v>
      </c>
      <c r="DN92" s="228">
        <v>0</v>
      </c>
      <c r="DO92" s="228">
        <v>0</v>
      </c>
      <c r="DP92" s="228">
        <v>0</v>
      </c>
      <c r="DQ92" s="228">
        <v>0</v>
      </c>
      <c r="DR92" s="228">
        <v>0</v>
      </c>
      <c r="DS92" s="228">
        <v>0</v>
      </c>
      <c r="DT92" s="229">
        <v>0</v>
      </c>
      <c r="DU92" s="228">
        <v>0</v>
      </c>
      <c r="DV92" s="228">
        <v>0</v>
      </c>
      <c r="DW92" s="228">
        <v>0</v>
      </c>
      <c r="DX92" s="228">
        <v>0</v>
      </c>
      <c r="DY92" s="228">
        <v>0</v>
      </c>
      <c r="DZ92" s="229">
        <v>0</v>
      </c>
      <c r="EA92" s="229">
        <v>0</v>
      </c>
      <c r="EB92" s="228">
        <v>0</v>
      </c>
      <c r="EC92" s="229">
        <v>0</v>
      </c>
      <c r="ED92" s="229">
        <v>0</v>
      </c>
      <c r="EE92" s="228">
        <v>0</v>
      </c>
      <c r="EF92" s="229">
        <v>0</v>
      </c>
      <c r="EG92" s="228">
        <v>0</v>
      </c>
      <c r="EH92" s="228">
        <v>0</v>
      </c>
      <c r="EI92" s="229">
        <v>0</v>
      </c>
      <c r="EJ92" s="229">
        <v>0</v>
      </c>
      <c r="EK92" s="228">
        <v>0</v>
      </c>
      <c r="EL92" s="228">
        <v>0</v>
      </c>
      <c r="EM92" s="228">
        <v>0</v>
      </c>
      <c r="EN92" s="228">
        <v>0</v>
      </c>
      <c r="EO92" s="228">
        <v>0</v>
      </c>
      <c r="EP92" s="228">
        <v>0</v>
      </c>
      <c r="EQ92" s="228">
        <v>0</v>
      </c>
      <c r="ER92" s="229">
        <v>0</v>
      </c>
      <c r="ES92" s="228">
        <v>0</v>
      </c>
      <c r="ET92" s="228">
        <v>0</v>
      </c>
      <c r="EU92" s="228">
        <v>0</v>
      </c>
      <c r="EV92" s="228">
        <v>0</v>
      </c>
      <c r="EW92" s="228">
        <v>0</v>
      </c>
      <c r="EX92" s="228">
        <v>0</v>
      </c>
      <c r="EY92" s="228">
        <v>0</v>
      </c>
      <c r="EZ92" s="229">
        <v>0</v>
      </c>
      <c r="FA92" s="229">
        <v>0</v>
      </c>
      <c r="FB92" s="227" t="s">
        <v>237</v>
      </c>
      <c r="FC92">
        <f t="shared" si="1"/>
        <v>0</v>
      </c>
    </row>
    <row r="93" spans="1:159" ht="17.25" thickBot="1" x14ac:dyDescent="0.3">
      <c r="A93" s="226">
        <v>46050</v>
      </c>
      <c r="B93" s="227" t="s">
        <v>215</v>
      </c>
      <c r="C93" s="227" t="s">
        <v>238</v>
      </c>
      <c r="D93" s="228">
        <v>150</v>
      </c>
      <c r="E93" s="228">
        <v>27</v>
      </c>
      <c r="F93" s="231">
        <v>4780</v>
      </c>
      <c r="G93" s="231">
        <v>4803</v>
      </c>
      <c r="H93" s="228">
        <v>-23</v>
      </c>
      <c r="I93" s="229">
        <v>-4.7999999999999996E-3</v>
      </c>
      <c r="J93" s="231">
        <v>4749</v>
      </c>
      <c r="K93" s="231">
        <v>4769</v>
      </c>
      <c r="L93" s="228">
        <v>-20</v>
      </c>
      <c r="M93" s="229">
        <v>-4.1999999999999997E-3</v>
      </c>
      <c r="N93" s="231">
        <v>4780</v>
      </c>
      <c r="O93" s="231">
        <v>4766.5</v>
      </c>
      <c r="P93" s="228">
        <v>13.5</v>
      </c>
      <c r="Q93" s="229">
        <v>2.8E-3</v>
      </c>
      <c r="R93" s="231">
        <v>4806</v>
      </c>
      <c r="S93" s="231">
        <v>4803</v>
      </c>
      <c r="T93" s="228">
        <v>3</v>
      </c>
      <c r="U93" s="229">
        <v>5.9999999999999995E-4</v>
      </c>
      <c r="V93" s="231">
        <v>4835</v>
      </c>
      <c r="W93" s="231">
        <v>4832</v>
      </c>
      <c r="X93" s="228">
        <v>3</v>
      </c>
      <c r="Y93" s="229">
        <v>5.9999999999999995E-4</v>
      </c>
      <c r="Z93" s="228">
        <v>31</v>
      </c>
      <c r="AA93" s="228">
        <v>34</v>
      </c>
      <c r="AB93" s="228">
        <v>-3</v>
      </c>
      <c r="AC93" s="229">
        <v>6.4999999999999997E-3</v>
      </c>
      <c r="AD93" s="228">
        <v>31</v>
      </c>
      <c r="AE93" s="228">
        <v>-2.5</v>
      </c>
      <c r="AF93" s="228">
        <v>33.5</v>
      </c>
      <c r="AG93" s="229">
        <v>6.4999999999999997E-3</v>
      </c>
      <c r="AH93" s="228">
        <v>57</v>
      </c>
      <c r="AI93" s="228">
        <v>34</v>
      </c>
      <c r="AJ93" s="228">
        <v>23</v>
      </c>
      <c r="AK93" s="229">
        <v>1.2E-2</v>
      </c>
      <c r="AL93" s="228">
        <v>86</v>
      </c>
      <c r="AM93" s="228">
        <v>63</v>
      </c>
      <c r="AN93" s="228">
        <v>23</v>
      </c>
      <c r="AO93" s="229">
        <v>1.8100000000000002E-2</v>
      </c>
      <c r="AP93" s="231">
        <v>4784.9799999999996</v>
      </c>
      <c r="AQ93" s="231">
        <v>4811.68</v>
      </c>
      <c r="AR93" s="228">
        <v>0</v>
      </c>
      <c r="AS93" s="228">
        <v>660</v>
      </c>
      <c r="AT93" s="230">
        <v>3134</v>
      </c>
      <c r="AU93" s="230">
        <v>-2473</v>
      </c>
      <c r="AV93" s="229">
        <v>-0.7893</v>
      </c>
      <c r="AW93" s="228">
        <v>636</v>
      </c>
      <c r="AX93" s="230">
        <v>1471</v>
      </c>
      <c r="AY93" s="228">
        <v>-835</v>
      </c>
      <c r="AZ93" s="229">
        <v>-0.5675</v>
      </c>
      <c r="BA93" s="228">
        <v>22</v>
      </c>
      <c r="BB93" s="230">
        <v>1631</v>
      </c>
      <c r="BC93" s="230">
        <v>-1609</v>
      </c>
      <c r="BD93" s="229">
        <v>-0.98670000000000002</v>
      </c>
      <c r="BE93" s="228">
        <v>2</v>
      </c>
      <c r="BF93" s="228">
        <v>31</v>
      </c>
      <c r="BG93" s="228">
        <v>-29</v>
      </c>
      <c r="BH93" s="229">
        <v>-0.93100000000000005</v>
      </c>
      <c r="BI93" s="230">
        <v>1175</v>
      </c>
      <c r="BJ93" s="230">
        <v>2772</v>
      </c>
      <c r="BK93" s="230">
        <v>-1597</v>
      </c>
      <c r="BL93" s="229">
        <v>-0.57609999999999995</v>
      </c>
      <c r="BM93" s="228">
        <v>970</v>
      </c>
      <c r="BN93" s="230">
        <v>2246</v>
      </c>
      <c r="BO93" s="230">
        <v>-1276</v>
      </c>
      <c r="BP93" s="229">
        <v>-0.56820000000000004</v>
      </c>
      <c r="BQ93" s="230">
        <v>2805</v>
      </c>
      <c r="BR93" s="230">
        <v>8152</v>
      </c>
      <c r="BS93" s="230">
        <v>-5347</v>
      </c>
      <c r="BT93" s="229">
        <v>-0.65590000000000004</v>
      </c>
      <c r="BU93" s="230">
        <v>1131962</v>
      </c>
      <c r="BV93" s="230">
        <v>1276436</v>
      </c>
      <c r="BW93" s="230">
        <v>-144474</v>
      </c>
      <c r="BX93" s="229">
        <v>-0.1132</v>
      </c>
      <c r="BY93" s="230">
        <v>4088</v>
      </c>
      <c r="BZ93" s="230">
        <v>3880</v>
      </c>
      <c r="CA93" s="228">
        <v>207</v>
      </c>
      <c r="CB93" s="229">
        <v>5.3499999999999999E-2</v>
      </c>
      <c r="CC93" s="230">
        <v>4015</v>
      </c>
      <c r="CD93" s="228">
        <v>343</v>
      </c>
      <c r="CE93" s="230">
        <v>3672</v>
      </c>
      <c r="CF93" s="229">
        <v>10.7057</v>
      </c>
      <c r="CG93" s="228">
        <v>71</v>
      </c>
      <c r="CH93" s="230">
        <v>3811</v>
      </c>
      <c r="CI93" s="230">
        <v>-3740</v>
      </c>
      <c r="CJ93" s="229">
        <v>-0.98129999999999995</v>
      </c>
      <c r="CK93" s="228">
        <v>1</v>
      </c>
      <c r="CL93" s="228">
        <v>69</v>
      </c>
      <c r="CM93" s="228">
        <v>-68</v>
      </c>
      <c r="CN93" s="229">
        <v>-0.98240000000000005</v>
      </c>
      <c r="CO93" s="228">
        <v>988</v>
      </c>
      <c r="CP93" s="228">
        <v>871</v>
      </c>
      <c r="CQ93" s="228">
        <v>117</v>
      </c>
      <c r="CR93" s="229">
        <v>0.1343</v>
      </c>
      <c r="CS93" s="228">
        <v>887</v>
      </c>
      <c r="CT93" s="228">
        <v>776</v>
      </c>
      <c r="CU93" s="228">
        <v>111</v>
      </c>
      <c r="CV93" s="229">
        <v>0.14380000000000001</v>
      </c>
      <c r="CW93" s="230">
        <v>5963</v>
      </c>
      <c r="CX93" s="230">
        <v>5527</v>
      </c>
      <c r="CY93" s="228">
        <v>436</v>
      </c>
      <c r="CZ93" s="229">
        <v>7.8899999999999998E-2</v>
      </c>
      <c r="DA93" s="228">
        <v>27.62</v>
      </c>
      <c r="DB93" s="228">
        <v>28.88</v>
      </c>
      <c r="DC93" s="228">
        <v>-1.26</v>
      </c>
      <c r="DD93" s="228">
        <v>-1.26</v>
      </c>
      <c r="DE93" s="228">
        <v>33.6</v>
      </c>
      <c r="DF93" s="228">
        <v>33.68</v>
      </c>
      <c r="DG93" s="228">
        <v>-5.98</v>
      </c>
      <c r="DH93" s="228">
        <v>-0.08</v>
      </c>
      <c r="DI93" s="228">
        <v>26.79</v>
      </c>
      <c r="DJ93" s="228">
        <v>27.97</v>
      </c>
      <c r="DK93" s="228">
        <v>-1.18</v>
      </c>
      <c r="DL93" s="228">
        <v>-1.18</v>
      </c>
      <c r="DM93" s="228">
        <v>28.63</v>
      </c>
      <c r="DN93" s="228">
        <v>29.86</v>
      </c>
      <c r="DO93" s="228">
        <v>-1.23</v>
      </c>
      <c r="DP93" s="228">
        <v>-1.23</v>
      </c>
      <c r="DQ93" s="228">
        <v>0.9</v>
      </c>
      <c r="DR93" s="228">
        <v>0.89</v>
      </c>
      <c r="DS93" s="228">
        <v>0.01</v>
      </c>
      <c r="DT93" s="229">
        <v>1.12E-2</v>
      </c>
      <c r="DU93" s="231">
        <v>4800</v>
      </c>
      <c r="DV93" s="231">
        <v>4700</v>
      </c>
      <c r="DW93" s="228">
        <v>0.83</v>
      </c>
      <c r="DX93" s="228">
        <v>0.81</v>
      </c>
      <c r="DY93" s="228">
        <v>0.02</v>
      </c>
      <c r="DZ93" s="229">
        <v>2.47E-2</v>
      </c>
      <c r="EA93" s="229">
        <v>1.77E-2</v>
      </c>
      <c r="EB93" s="230">
        <v>8117700</v>
      </c>
      <c r="EC93" s="229">
        <v>5.4000000000000003E-3</v>
      </c>
      <c r="ED93" s="229">
        <v>1.77E-2</v>
      </c>
      <c r="EE93" s="228">
        <v>26.7</v>
      </c>
      <c r="EF93" s="229">
        <v>5.5999999999999999E-3</v>
      </c>
      <c r="EG93" s="230">
        <v>773990</v>
      </c>
      <c r="EH93" s="230">
        <v>728811</v>
      </c>
      <c r="EI93" s="229">
        <v>6.2E-2</v>
      </c>
      <c r="EJ93" s="229">
        <v>0.68379999999999996</v>
      </c>
      <c r="EK93" s="231">
        <v>1249.4000000000001</v>
      </c>
      <c r="EL93" s="228">
        <v>960.09</v>
      </c>
      <c r="EM93" s="228">
        <v>661.12</v>
      </c>
      <c r="EN93" s="228">
        <v>453.91</v>
      </c>
      <c r="EO93" s="231">
        <v>2870.6</v>
      </c>
      <c r="EP93" s="231">
        <v>8265.01</v>
      </c>
      <c r="EQ93" s="231">
        <v>-5394.41</v>
      </c>
      <c r="ER93" s="229">
        <v>-0.65269999999999995</v>
      </c>
      <c r="ES93" s="231">
        <v>1053.3699999999999</v>
      </c>
      <c r="ET93" s="228">
        <v>884.42</v>
      </c>
      <c r="EU93" s="231">
        <v>4088.09</v>
      </c>
      <c r="EV93" s="231">
        <v>33874835</v>
      </c>
      <c r="EW93" s="231">
        <v>6025.88</v>
      </c>
      <c r="EX93" s="231">
        <v>5608.85</v>
      </c>
      <c r="EY93" s="228">
        <v>417.03</v>
      </c>
      <c r="EZ93" s="229">
        <v>7.4399999999999994E-2</v>
      </c>
      <c r="FA93" s="229">
        <v>0.36820000000000003</v>
      </c>
      <c r="FB93" s="227" t="s">
        <v>567</v>
      </c>
      <c r="FC93">
        <f t="shared" si="1"/>
        <v>73</v>
      </c>
    </row>
    <row r="94" spans="1:159" ht="17.25" thickBot="1" x14ac:dyDescent="0.3">
      <c r="A94" s="226">
        <v>46050</v>
      </c>
      <c r="B94" s="227" t="s">
        <v>172</v>
      </c>
      <c r="C94" s="227" t="s">
        <v>239</v>
      </c>
      <c r="D94" s="228">
        <v>700</v>
      </c>
      <c r="E94" s="228">
        <v>27</v>
      </c>
      <c r="F94" s="228">
        <v>903.85</v>
      </c>
      <c r="G94" s="228">
        <v>899.5</v>
      </c>
      <c r="H94" s="228">
        <v>4.3499999999999996</v>
      </c>
      <c r="I94" s="229">
        <v>4.7999999999999996E-3</v>
      </c>
      <c r="J94" s="228">
        <v>901.7</v>
      </c>
      <c r="K94" s="228">
        <v>894.75</v>
      </c>
      <c r="L94" s="228">
        <v>6.95</v>
      </c>
      <c r="M94" s="229">
        <v>7.7999999999999996E-3</v>
      </c>
      <c r="N94" s="228">
        <v>903.85</v>
      </c>
      <c r="O94" s="228">
        <v>892.85</v>
      </c>
      <c r="P94" s="228">
        <v>11</v>
      </c>
      <c r="Q94" s="229">
        <v>1.23E-2</v>
      </c>
      <c r="R94" s="228">
        <v>909.25</v>
      </c>
      <c r="S94" s="228">
        <v>899.5</v>
      </c>
      <c r="T94" s="228">
        <v>9.75</v>
      </c>
      <c r="U94" s="229">
        <v>1.0800000000000001E-2</v>
      </c>
      <c r="V94" s="228">
        <v>912.4</v>
      </c>
      <c r="W94" s="228">
        <v>905.65</v>
      </c>
      <c r="X94" s="228">
        <v>6.75</v>
      </c>
      <c r="Y94" s="229">
        <v>7.4999999999999997E-3</v>
      </c>
      <c r="Z94" s="228">
        <v>2.15</v>
      </c>
      <c r="AA94" s="228">
        <v>4.75</v>
      </c>
      <c r="AB94" s="228">
        <v>-2.6</v>
      </c>
      <c r="AC94" s="229">
        <v>2.3999999999999998E-3</v>
      </c>
      <c r="AD94" s="228">
        <v>2.15</v>
      </c>
      <c r="AE94" s="228">
        <v>-1.9</v>
      </c>
      <c r="AF94" s="228">
        <v>4.05</v>
      </c>
      <c r="AG94" s="229">
        <v>2.3999999999999998E-3</v>
      </c>
      <c r="AH94" s="228">
        <v>7.55</v>
      </c>
      <c r="AI94" s="228">
        <v>4.75</v>
      </c>
      <c r="AJ94" s="228">
        <v>2.8</v>
      </c>
      <c r="AK94" s="229">
        <v>8.3999999999999995E-3</v>
      </c>
      <c r="AL94" s="228">
        <v>10.7</v>
      </c>
      <c r="AM94" s="228">
        <v>10.9</v>
      </c>
      <c r="AN94" s="228">
        <v>-0.2</v>
      </c>
      <c r="AO94" s="229">
        <v>1.1900000000000001E-2</v>
      </c>
      <c r="AP94" s="228">
        <v>895.71</v>
      </c>
      <c r="AQ94" s="228">
        <v>899.75</v>
      </c>
      <c r="AR94" s="228">
        <v>0</v>
      </c>
      <c r="AS94" s="228">
        <v>534</v>
      </c>
      <c r="AT94" s="230">
        <v>3363</v>
      </c>
      <c r="AU94" s="230">
        <v>-2829</v>
      </c>
      <c r="AV94" s="229">
        <v>-0.84130000000000005</v>
      </c>
      <c r="AW94" s="228">
        <v>516</v>
      </c>
      <c r="AX94" s="230">
        <v>1452</v>
      </c>
      <c r="AY94" s="228">
        <v>-936</v>
      </c>
      <c r="AZ94" s="229">
        <v>-0.64459999999999995</v>
      </c>
      <c r="BA94" s="228">
        <v>17</v>
      </c>
      <c r="BB94" s="230">
        <v>1885</v>
      </c>
      <c r="BC94" s="230">
        <v>-1868</v>
      </c>
      <c r="BD94" s="229">
        <v>-0.99109999999999998</v>
      </c>
      <c r="BE94" s="228">
        <v>1</v>
      </c>
      <c r="BF94" s="228">
        <v>26</v>
      </c>
      <c r="BG94" s="228">
        <v>-25</v>
      </c>
      <c r="BH94" s="229">
        <v>-0.96589999999999998</v>
      </c>
      <c r="BI94" s="228">
        <v>899</v>
      </c>
      <c r="BJ94" s="230">
        <v>3063</v>
      </c>
      <c r="BK94" s="230">
        <v>-2164</v>
      </c>
      <c r="BL94" s="229">
        <v>-0.70650000000000002</v>
      </c>
      <c r="BM94" s="228">
        <v>622</v>
      </c>
      <c r="BN94" s="230">
        <v>2674</v>
      </c>
      <c r="BO94" s="230">
        <v>-2053</v>
      </c>
      <c r="BP94" s="229">
        <v>-0.76759999999999995</v>
      </c>
      <c r="BQ94" s="230">
        <v>2054</v>
      </c>
      <c r="BR94" s="230">
        <v>9100</v>
      </c>
      <c r="BS94" s="230">
        <v>-7046</v>
      </c>
      <c r="BT94" s="229">
        <v>-0.77429999999999999</v>
      </c>
      <c r="BU94" s="230">
        <v>3085573</v>
      </c>
      <c r="BV94" s="230">
        <v>8750427</v>
      </c>
      <c r="BW94" s="230">
        <v>-5664854</v>
      </c>
      <c r="BX94" s="229">
        <v>-0.64739999999999998</v>
      </c>
      <c r="BY94" s="230">
        <v>3281</v>
      </c>
      <c r="BZ94" s="230">
        <v>3255</v>
      </c>
      <c r="CA94" s="228">
        <v>25</v>
      </c>
      <c r="CB94" s="229">
        <v>7.7999999999999996E-3</v>
      </c>
      <c r="CC94" s="230">
        <v>3223</v>
      </c>
      <c r="CD94" s="228">
        <v>299</v>
      </c>
      <c r="CE94" s="230">
        <v>2925</v>
      </c>
      <c r="CF94" s="229">
        <v>9.7941000000000003</v>
      </c>
      <c r="CG94" s="228">
        <v>57</v>
      </c>
      <c r="CH94" s="230">
        <v>3205</v>
      </c>
      <c r="CI94" s="230">
        <v>-3148</v>
      </c>
      <c r="CJ94" s="229">
        <v>-0.98219999999999996</v>
      </c>
      <c r="CK94" s="228">
        <v>0</v>
      </c>
      <c r="CL94" s="228">
        <v>51</v>
      </c>
      <c r="CM94" s="228">
        <v>-50</v>
      </c>
      <c r="CN94" s="229">
        <v>-0.99250000000000005</v>
      </c>
      <c r="CO94" s="228">
        <v>535</v>
      </c>
      <c r="CP94" s="228">
        <v>477</v>
      </c>
      <c r="CQ94" s="228">
        <v>58</v>
      </c>
      <c r="CR94" s="229">
        <v>0.12189999999999999</v>
      </c>
      <c r="CS94" s="228">
        <v>446</v>
      </c>
      <c r="CT94" s="228">
        <v>417</v>
      </c>
      <c r="CU94" s="228">
        <v>29</v>
      </c>
      <c r="CV94" s="229">
        <v>6.8599999999999994E-2</v>
      </c>
      <c r="CW94" s="230">
        <v>4261</v>
      </c>
      <c r="CX94" s="230">
        <v>4149</v>
      </c>
      <c r="CY94" s="228">
        <v>112</v>
      </c>
      <c r="CZ94" s="229">
        <v>2.7E-2</v>
      </c>
      <c r="DA94" s="228">
        <v>32.07</v>
      </c>
      <c r="DB94" s="228">
        <v>33.4</v>
      </c>
      <c r="DC94" s="228">
        <v>-1.33</v>
      </c>
      <c r="DD94" s="228">
        <v>-1.33</v>
      </c>
      <c r="DE94" s="228">
        <v>43.03</v>
      </c>
      <c r="DF94" s="228">
        <v>43.12</v>
      </c>
      <c r="DG94" s="228">
        <v>-10.96</v>
      </c>
      <c r="DH94" s="228">
        <v>-0.09</v>
      </c>
      <c r="DI94" s="228">
        <v>31.42</v>
      </c>
      <c r="DJ94" s="228">
        <v>32.549999999999997</v>
      </c>
      <c r="DK94" s="228">
        <v>-1.1299999999999999</v>
      </c>
      <c r="DL94" s="228">
        <v>-1.1299999999999999</v>
      </c>
      <c r="DM94" s="228">
        <v>33</v>
      </c>
      <c r="DN94" s="228">
        <v>34.5</v>
      </c>
      <c r="DO94" s="228">
        <v>-1.5</v>
      </c>
      <c r="DP94" s="228">
        <v>-1.5</v>
      </c>
      <c r="DQ94" s="228">
        <v>0.83</v>
      </c>
      <c r="DR94" s="228">
        <v>0.87</v>
      </c>
      <c r="DS94" s="228">
        <v>-0.04</v>
      </c>
      <c r="DT94" s="229">
        <v>-4.5999999999999999E-2</v>
      </c>
      <c r="DU94" s="228">
        <v>950</v>
      </c>
      <c r="DV94" s="228">
        <v>900</v>
      </c>
      <c r="DW94" s="228">
        <v>0.69</v>
      </c>
      <c r="DX94" s="228">
        <v>0.87</v>
      </c>
      <c r="DY94" s="228">
        <v>-0.18</v>
      </c>
      <c r="DZ94" s="229">
        <v>-0.2069</v>
      </c>
      <c r="EA94" s="229">
        <v>1.7500000000000002E-2</v>
      </c>
      <c r="EB94" s="230">
        <v>36017800</v>
      </c>
      <c r="EC94" s="229">
        <v>6.0000000000000001E-3</v>
      </c>
      <c r="ED94" s="229">
        <v>1.7500000000000002E-2</v>
      </c>
      <c r="EE94" s="228">
        <v>4.04</v>
      </c>
      <c r="EF94" s="229">
        <v>4.4999999999999997E-3</v>
      </c>
      <c r="EG94" s="230">
        <v>1633685</v>
      </c>
      <c r="EH94" s="230">
        <v>3662740</v>
      </c>
      <c r="EI94" s="229">
        <v>-0.55400000000000005</v>
      </c>
      <c r="EJ94" s="229">
        <v>0.52949999999999997</v>
      </c>
      <c r="EK94" s="228">
        <v>943.25</v>
      </c>
      <c r="EL94" s="228">
        <v>612.01</v>
      </c>
      <c r="EM94" s="228">
        <v>529.02</v>
      </c>
      <c r="EN94" s="228">
        <v>407.38</v>
      </c>
      <c r="EO94" s="231">
        <v>2084.2800000000002</v>
      </c>
      <c r="EP94" s="231">
        <v>9064.94</v>
      </c>
      <c r="EQ94" s="231">
        <v>-6980.66</v>
      </c>
      <c r="ER94" s="229">
        <v>-0.77010000000000001</v>
      </c>
      <c r="ES94" s="228">
        <v>556.92999999999995</v>
      </c>
      <c r="ET94" s="228">
        <v>430.46</v>
      </c>
      <c r="EU94" s="231">
        <v>3281.18</v>
      </c>
      <c r="EV94" s="231">
        <v>93808799</v>
      </c>
      <c r="EW94" s="231">
        <v>4268.58</v>
      </c>
      <c r="EX94" s="231">
        <v>4138.2700000000004</v>
      </c>
      <c r="EY94" s="228">
        <v>130.31</v>
      </c>
      <c r="EZ94" s="229">
        <v>3.15E-2</v>
      </c>
      <c r="FA94" s="229">
        <v>0.50260000000000005</v>
      </c>
      <c r="FB94" s="227" t="s">
        <v>555</v>
      </c>
      <c r="FC94">
        <f t="shared" si="1"/>
        <v>58</v>
      </c>
    </row>
    <row r="95" spans="1:159" ht="17.25" thickBot="1" x14ac:dyDescent="0.3">
      <c r="A95" s="226">
        <v>46050</v>
      </c>
      <c r="B95" s="227" t="s">
        <v>188</v>
      </c>
      <c r="C95" s="227" t="s">
        <v>473</v>
      </c>
      <c r="D95" s="228">
        <v>1700</v>
      </c>
      <c r="E95" s="228">
        <v>27</v>
      </c>
      <c r="F95" s="228">
        <v>426.95</v>
      </c>
      <c r="G95" s="228">
        <v>424.55</v>
      </c>
      <c r="H95" s="228">
        <v>2.4</v>
      </c>
      <c r="I95" s="229">
        <v>5.7000000000000002E-3</v>
      </c>
      <c r="J95" s="228">
        <v>425.3</v>
      </c>
      <c r="K95" s="228">
        <v>422.55</v>
      </c>
      <c r="L95" s="228">
        <v>2.75</v>
      </c>
      <c r="M95" s="229">
        <v>6.4999999999999997E-3</v>
      </c>
      <c r="N95" s="228">
        <v>426.95</v>
      </c>
      <c r="O95" s="228">
        <v>422.05</v>
      </c>
      <c r="P95" s="228">
        <v>4.9000000000000004</v>
      </c>
      <c r="Q95" s="229">
        <v>1.1599999999999999E-2</v>
      </c>
      <c r="R95" s="228">
        <v>430</v>
      </c>
      <c r="S95" s="228">
        <v>424.55</v>
      </c>
      <c r="T95" s="228">
        <v>5.45</v>
      </c>
      <c r="U95" s="229">
        <v>1.2800000000000001E-2</v>
      </c>
      <c r="V95" s="228">
        <v>0</v>
      </c>
      <c r="W95" s="228">
        <v>427.3</v>
      </c>
      <c r="X95" s="228">
        <v>0</v>
      </c>
      <c r="Y95" s="229">
        <v>0</v>
      </c>
      <c r="Z95" s="228">
        <v>1.65</v>
      </c>
      <c r="AA95" s="228">
        <v>2</v>
      </c>
      <c r="AB95" s="228">
        <v>-0.35</v>
      </c>
      <c r="AC95" s="229">
        <v>3.8999999999999998E-3</v>
      </c>
      <c r="AD95" s="228">
        <v>1.65</v>
      </c>
      <c r="AE95" s="228">
        <v>-0.5</v>
      </c>
      <c r="AF95" s="228">
        <v>2.15</v>
      </c>
      <c r="AG95" s="229">
        <v>3.8999999999999998E-3</v>
      </c>
      <c r="AH95" s="228">
        <v>4.7</v>
      </c>
      <c r="AI95" s="228">
        <v>2</v>
      </c>
      <c r="AJ95" s="228">
        <v>2.7</v>
      </c>
      <c r="AK95" s="229">
        <v>1.11E-2</v>
      </c>
      <c r="AL95" s="228">
        <v>0</v>
      </c>
      <c r="AM95" s="228">
        <v>4.75</v>
      </c>
      <c r="AN95" s="228">
        <v>0</v>
      </c>
      <c r="AO95" s="229">
        <v>0</v>
      </c>
      <c r="AP95" s="228">
        <v>426.54</v>
      </c>
      <c r="AQ95" s="228">
        <v>429.75</v>
      </c>
      <c r="AR95" s="228">
        <v>0</v>
      </c>
      <c r="AS95" s="228">
        <v>443</v>
      </c>
      <c r="AT95" s="230">
        <v>2378</v>
      </c>
      <c r="AU95" s="230">
        <v>-1935</v>
      </c>
      <c r="AV95" s="229">
        <v>-0.81359999999999999</v>
      </c>
      <c r="AW95" s="228">
        <v>434</v>
      </c>
      <c r="AX95" s="230">
        <v>1061</v>
      </c>
      <c r="AY95" s="228">
        <v>-627</v>
      </c>
      <c r="AZ95" s="229">
        <v>-0.59089999999999998</v>
      </c>
      <c r="BA95" s="228">
        <v>9</v>
      </c>
      <c r="BB95" s="230">
        <v>1310</v>
      </c>
      <c r="BC95" s="230">
        <v>-1301</v>
      </c>
      <c r="BD95" s="229">
        <v>-0.9929</v>
      </c>
      <c r="BE95" s="228">
        <v>0</v>
      </c>
      <c r="BF95" s="228">
        <v>7</v>
      </c>
      <c r="BG95" s="228">
        <v>0</v>
      </c>
      <c r="BH95" s="229">
        <v>0</v>
      </c>
      <c r="BI95" s="228">
        <v>499</v>
      </c>
      <c r="BJ95" s="228">
        <v>921</v>
      </c>
      <c r="BK95" s="228">
        <v>-422</v>
      </c>
      <c r="BL95" s="229">
        <v>-0.45810000000000001</v>
      </c>
      <c r="BM95" s="228">
        <v>263</v>
      </c>
      <c r="BN95" s="228">
        <v>612</v>
      </c>
      <c r="BO95" s="228">
        <v>-349</v>
      </c>
      <c r="BP95" s="229">
        <v>-0.5696</v>
      </c>
      <c r="BQ95" s="230">
        <v>1206</v>
      </c>
      <c r="BR95" s="230">
        <v>3911</v>
      </c>
      <c r="BS95" s="230">
        <v>-2705</v>
      </c>
      <c r="BT95" s="229">
        <v>-0.69169999999999998</v>
      </c>
      <c r="BU95" s="230">
        <v>5348920</v>
      </c>
      <c r="BV95" s="230">
        <v>7569551</v>
      </c>
      <c r="BW95" s="230">
        <v>-2220631</v>
      </c>
      <c r="BX95" s="229">
        <v>-0.29339999999999999</v>
      </c>
      <c r="BY95" s="230">
        <v>4108</v>
      </c>
      <c r="BZ95" s="230">
        <v>4086</v>
      </c>
      <c r="CA95" s="228">
        <v>21</v>
      </c>
      <c r="CB95" s="229">
        <v>5.1999999999999998E-3</v>
      </c>
      <c r="CC95" s="230">
        <v>4086</v>
      </c>
      <c r="CD95" s="228">
        <v>123</v>
      </c>
      <c r="CE95" s="230">
        <v>3963</v>
      </c>
      <c r="CF95" s="229">
        <v>32.252200000000002</v>
      </c>
      <c r="CG95" s="228">
        <v>22</v>
      </c>
      <c r="CH95" s="230">
        <v>4066</v>
      </c>
      <c r="CI95" s="230">
        <v>-4044</v>
      </c>
      <c r="CJ95" s="229">
        <v>-0.99460000000000004</v>
      </c>
      <c r="CK95" s="228">
        <v>0</v>
      </c>
      <c r="CL95" s="228">
        <v>21</v>
      </c>
      <c r="CM95" s="228">
        <v>-21</v>
      </c>
      <c r="CN95" s="229">
        <v>-1</v>
      </c>
      <c r="CO95" s="228">
        <v>340</v>
      </c>
      <c r="CP95" s="228">
        <v>305</v>
      </c>
      <c r="CQ95" s="228">
        <v>34</v>
      </c>
      <c r="CR95" s="229">
        <v>0.1125</v>
      </c>
      <c r="CS95" s="228">
        <v>238</v>
      </c>
      <c r="CT95" s="228">
        <v>229</v>
      </c>
      <c r="CU95" s="228">
        <v>9</v>
      </c>
      <c r="CV95" s="229">
        <v>3.8899999999999997E-2</v>
      </c>
      <c r="CW95" s="230">
        <v>4686</v>
      </c>
      <c r="CX95" s="230">
        <v>4621</v>
      </c>
      <c r="CY95" s="228">
        <v>65</v>
      </c>
      <c r="CZ95" s="229">
        <v>1.4E-2</v>
      </c>
      <c r="DA95" s="228">
        <v>35.07</v>
      </c>
      <c r="DB95" s="228">
        <v>35.369999999999997</v>
      </c>
      <c r="DC95" s="228">
        <v>-0.3</v>
      </c>
      <c r="DD95" s="228">
        <v>-0.3</v>
      </c>
      <c r="DE95" s="228">
        <v>37.53</v>
      </c>
      <c r="DF95" s="228">
        <v>37.619999999999997</v>
      </c>
      <c r="DG95" s="228">
        <v>-2.46</v>
      </c>
      <c r="DH95" s="228">
        <v>-0.09</v>
      </c>
      <c r="DI95" s="228">
        <v>34.630000000000003</v>
      </c>
      <c r="DJ95" s="228">
        <v>34.72</v>
      </c>
      <c r="DK95" s="228">
        <v>-0.09</v>
      </c>
      <c r="DL95" s="228">
        <v>-0.09</v>
      </c>
      <c r="DM95" s="228">
        <v>35.909999999999997</v>
      </c>
      <c r="DN95" s="228">
        <v>36.340000000000003</v>
      </c>
      <c r="DO95" s="228">
        <v>-0.43</v>
      </c>
      <c r="DP95" s="228">
        <v>-0.43</v>
      </c>
      <c r="DQ95" s="228">
        <v>0.7</v>
      </c>
      <c r="DR95" s="228">
        <v>0.75</v>
      </c>
      <c r="DS95" s="228">
        <v>-0.05</v>
      </c>
      <c r="DT95" s="229">
        <v>-6.6699999999999995E-2</v>
      </c>
      <c r="DU95" s="228">
        <v>450</v>
      </c>
      <c r="DV95" s="228">
        <v>400</v>
      </c>
      <c r="DW95" s="228">
        <v>0.53</v>
      </c>
      <c r="DX95" s="228">
        <v>0.66</v>
      </c>
      <c r="DY95" s="228">
        <v>-0.13</v>
      </c>
      <c r="DZ95" s="229">
        <v>-0.19700000000000001</v>
      </c>
      <c r="EA95" s="229">
        <v>5.3E-3</v>
      </c>
      <c r="EB95" s="230">
        <v>95711700</v>
      </c>
      <c r="EC95" s="229">
        <v>7.1000000000000004E-3</v>
      </c>
      <c r="ED95" s="229">
        <v>5.3E-3</v>
      </c>
      <c r="EE95" s="228">
        <v>3.21</v>
      </c>
      <c r="EF95" s="229">
        <v>7.4999999999999997E-3</v>
      </c>
      <c r="EG95" s="230">
        <v>3378921</v>
      </c>
      <c r="EH95" s="230">
        <v>4269976</v>
      </c>
      <c r="EI95" s="229">
        <v>-0.2087</v>
      </c>
      <c r="EJ95" s="229">
        <v>0.63170000000000004</v>
      </c>
      <c r="EK95" s="228">
        <v>529.57000000000005</v>
      </c>
      <c r="EL95" s="228">
        <v>264.3</v>
      </c>
      <c r="EM95" s="228">
        <v>442.97</v>
      </c>
      <c r="EN95" s="228">
        <v>349.59</v>
      </c>
      <c r="EO95" s="231">
        <v>1236.8399999999999</v>
      </c>
      <c r="EP95" s="231">
        <v>3865.38</v>
      </c>
      <c r="EQ95" s="231">
        <v>-2628.54</v>
      </c>
      <c r="ER95" s="229">
        <v>-0.68</v>
      </c>
      <c r="ES95" s="228">
        <v>357.9</v>
      </c>
      <c r="ET95" s="228">
        <v>226.63</v>
      </c>
      <c r="EU95" s="231">
        <v>4107.9799999999996</v>
      </c>
      <c r="EV95" s="231">
        <v>193623116</v>
      </c>
      <c r="EW95" s="231">
        <v>4692.51</v>
      </c>
      <c r="EX95" s="231">
        <v>4603.55</v>
      </c>
      <c r="EY95" s="228">
        <v>88.96</v>
      </c>
      <c r="EZ95" s="229">
        <v>1.9300000000000001E-2</v>
      </c>
      <c r="FA95" s="229">
        <v>0.56679999999999997</v>
      </c>
      <c r="FB95" s="227" t="s">
        <v>555</v>
      </c>
      <c r="FC95">
        <f t="shared" si="1"/>
        <v>22</v>
      </c>
    </row>
    <row r="96" spans="1:159" ht="17.25" thickBot="1" x14ac:dyDescent="0.3">
      <c r="A96" s="226">
        <v>46050</v>
      </c>
      <c r="B96" s="227" t="s">
        <v>221</v>
      </c>
      <c r="C96" s="227" t="s">
        <v>240</v>
      </c>
      <c r="D96" s="228">
        <v>400</v>
      </c>
      <c r="E96" s="228">
        <v>27</v>
      </c>
      <c r="F96" s="231">
        <v>1673.2</v>
      </c>
      <c r="G96" s="231">
        <v>1695.6</v>
      </c>
      <c r="H96" s="228">
        <v>-22.4</v>
      </c>
      <c r="I96" s="229">
        <v>-1.32E-2</v>
      </c>
      <c r="J96" s="231">
        <v>1666.5</v>
      </c>
      <c r="K96" s="231">
        <v>1682.7</v>
      </c>
      <c r="L96" s="228">
        <v>-16.2</v>
      </c>
      <c r="M96" s="229">
        <v>-9.5999999999999992E-3</v>
      </c>
      <c r="N96" s="231">
        <v>1673.2</v>
      </c>
      <c r="O96" s="231">
        <v>1684.7</v>
      </c>
      <c r="P96" s="228">
        <v>-11.5</v>
      </c>
      <c r="Q96" s="229">
        <v>-6.7999999999999996E-3</v>
      </c>
      <c r="R96" s="231">
        <v>1683.8</v>
      </c>
      <c r="S96" s="231">
        <v>1695.6</v>
      </c>
      <c r="T96" s="228">
        <v>-11.8</v>
      </c>
      <c r="U96" s="229">
        <v>-7.0000000000000001E-3</v>
      </c>
      <c r="V96" s="231">
        <v>1694.8</v>
      </c>
      <c r="W96" s="231">
        <v>1706</v>
      </c>
      <c r="X96" s="228">
        <v>-11.2</v>
      </c>
      <c r="Y96" s="229">
        <v>-6.6E-3</v>
      </c>
      <c r="Z96" s="228">
        <v>6.7</v>
      </c>
      <c r="AA96" s="228">
        <v>12.9</v>
      </c>
      <c r="AB96" s="228">
        <v>-6.2</v>
      </c>
      <c r="AC96" s="229">
        <v>4.0000000000000001E-3</v>
      </c>
      <c r="AD96" s="228">
        <v>6.7</v>
      </c>
      <c r="AE96" s="228">
        <v>2</v>
      </c>
      <c r="AF96" s="228">
        <v>4.7</v>
      </c>
      <c r="AG96" s="229">
        <v>4.0000000000000001E-3</v>
      </c>
      <c r="AH96" s="228">
        <v>17.3</v>
      </c>
      <c r="AI96" s="228">
        <v>12.9</v>
      </c>
      <c r="AJ96" s="228">
        <v>4.4000000000000004</v>
      </c>
      <c r="AK96" s="229">
        <v>1.04E-2</v>
      </c>
      <c r="AL96" s="228">
        <v>28.3</v>
      </c>
      <c r="AM96" s="228">
        <v>23.3</v>
      </c>
      <c r="AN96" s="228">
        <v>5</v>
      </c>
      <c r="AO96" s="229">
        <v>1.7000000000000001E-2</v>
      </c>
      <c r="AP96" s="231">
        <v>1672.61</v>
      </c>
      <c r="AQ96" s="231">
        <v>1682.58</v>
      </c>
      <c r="AR96" s="228">
        <v>0</v>
      </c>
      <c r="AS96" s="230">
        <v>1320</v>
      </c>
      <c r="AT96" s="230">
        <v>5225</v>
      </c>
      <c r="AU96" s="230">
        <v>-3906</v>
      </c>
      <c r="AV96" s="229">
        <v>-0.74739999999999995</v>
      </c>
      <c r="AW96" s="230">
        <v>1257</v>
      </c>
      <c r="AX96" s="230">
        <v>2386</v>
      </c>
      <c r="AY96" s="230">
        <v>-1129</v>
      </c>
      <c r="AZ96" s="229">
        <v>-0.4733</v>
      </c>
      <c r="BA96" s="228">
        <v>58</v>
      </c>
      <c r="BB96" s="230">
        <v>2795</v>
      </c>
      <c r="BC96" s="230">
        <v>-2737</v>
      </c>
      <c r="BD96" s="229">
        <v>-0.97909999999999997</v>
      </c>
      <c r="BE96" s="228">
        <v>5</v>
      </c>
      <c r="BF96" s="228">
        <v>44</v>
      </c>
      <c r="BG96" s="228">
        <v>-39</v>
      </c>
      <c r="BH96" s="229">
        <v>-0.89349999999999996</v>
      </c>
      <c r="BI96" s="230">
        <v>3082</v>
      </c>
      <c r="BJ96" s="230">
        <v>5762</v>
      </c>
      <c r="BK96" s="230">
        <v>-2680</v>
      </c>
      <c r="BL96" s="229">
        <v>-0.4652</v>
      </c>
      <c r="BM96" s="230">
        <v>1971</v>
      </c>
      <c r="BN96" s="230">
        <v>2968</v>
      </c>
      <c r="BO96" s="228">
        <v>-996</v>
      </c>
      <c r="BP96" s="229">
        <v>-0.33560000000000001</v>
      </c>
      <c r="BQ96" s="230">
        <v>6373</v>
      </c>
      <c r="BR96" s="230">
        <v>13955</v>
      </c>
      <c r="BS96" s="230">
        <v>-7582</v>
      </c>
      <c r="BT96" s="229">
        <v>-0.54330000000000001</v>
      </c>
      <c r="BU96" s="230">
        <v>8962992</v>
      </c>
      <c r="BV96" s="230">
        <v>11165698</v>
      </c>
      <c r="BW96" s="230">
        <v>-2202706</v>
      </c>
      <c r="BX96" s="229">
        <v>-0.1973</v>
      </c>
      <c r="BY96" s="230">
        <v>11030</v>
      </c>
      <c r="BZ96" s="230">
        <v>11177</v>
      </c>
      <c r="CA96" s="228">
        <v>-148</v>
      </c>
      <c r="CB96" s="229">
        <v>-1.32E-2</v>
      </c>
      <c r="CC96" s="230">
        <v>10861</v>
      </c>
      <c r="CD96" s="230">
        <v>1328</v>
      </c>
      <c r="CE96" s="230">
        <v>9533</v>
      </c>
      <c r="CF96" s="229">
        <v>7.1795</v>
      </c>
      <c r="CG96" s="228">
        <v>165</v>
      </c>
      <c r="CH96" s="230">
        <v>11018</v>
      </c>
      <c r="CI96" s="230">
        <v>-10853</v>
      </c>
      <c r="CJ96" s="229">
        <v>-0.98499999999999999</v>
      </c>
      <c r="CK96" s="228">
        <v>3</v>
      </c>
      <c r="CL96" s="228">
        <v>159</v>
      </c>
      <c r="CM96" s="228">
        <v>-155</v>
      </c>
      <c r="CN96" s="229">
        <v>-0.97809999999999997</v>
      </c>
      <c r="CO96" s="230">
        <v>1170</v>
      </c>
      <c r="CP96" s="228">
        <v>843</v>
      </c>
      <c r="CQ96" s="228">
        <v>327</v>
      </c>
      <c r="CR96" s="229">
        <v>0.38800000000000001</v>
      </c>
      <c r="CS96" s="228">
        <v>887</v>
      </c>
      <c r="CT96" s="228">
        <v>712</v>
      </c>
      <c r="CU96" s="228">
        <v>176</v>
      </c>
      <c r="CV96" s="229">
        <v>0.2467</v>
      </c>
      <c r="CW96" s="230">
        <v>13087</v>
      </c>
      <c r="CX96" s="230">
        <v>12732</v>
      </c>
      <c r="CY96" s="228">
        <v>355</v>
      </c>
      <c r="CZ96" s="229">
        <v>2.7900000000000001E-2</v>
      </c>
      <c r="DA96" s="228">
        <v>22.1</v>
      </c>
      <c r="DB96" s="228">
        <v>23.07</v>
      </c>
      <c r="DC96" s="228">
        <v>-0.97</v>
      </c>
      <c r="DD96" s="228">
        <v>-0.97</v>
      </c>
      <c r="DE96" s="228">
        <v>28.51</v>
      </c>
      <c r="DF96" s="228">
        <v>28.55</v>
      </c>
      <c r="DG96" s="228">
        <v>-6.41</v>
      </c>
      <c r="DH96" s="228">
        <v>-0.04</v>
      </c>
      <c r="DI96" s="228">
        <v>21.28</v>
      </c>
      <c r="DJ96" s="228">
        <v>22.14</v>
      </c>
      <c r="DK96" s="228">
        <v>-0.86</v>
      </c>
      <c r="DL96" s="228">
        <v>-0.86</v>
      </c>
      <c r="DM96" s="228">
        <v>23.4</v>
      </c>
      <c r="DN96" s="228">
        <v>24.76</v>
      </c>
      <c r="DO96" s="228">
        <v>-1.36</v>
      </c>
      <c r="DP96" s="228">
        <v>-1.36</v>
      </c>
      <c r="DQ96" s="228">
        <v>0.76</v>
      </c>
      <c r="DR96" s="228">
        <v>0.84</v>
      </c>
      <c r="DS96" s="228">
        <v>-0.08</v>
      </c>
      <c r="DT96" s="229">
        <v>-9.5200000000000007E-2</v>
      </c>
      <c r="DU96" s="231">
        <v>1700</v>
      </c>
      <c r="DV96" s="231">
        <v>1600</v>
      </c>
      <c r="DW96" s="228">
        <v>0.64</v>
      </c>
      <c r="DX96" s="228">
        <v>0.52</v>
      </c>
      <c r="DY96" s="228">
        <v>0.12</v>
      </c>
      <c r="DZ96" s="229">
        <v>0.23080000000000001</v>
      </c>
      <c r="EA96" s="229">
        <v>1.5299999999999999E-2</v>
      </c>
      <c r="EB96" s="230">
        <v>66801600</v>
      </c>
      <c r="EC96" s="229">
        <v>6.3E-3</v>
      </c>
      <c r="ED96" s="229">
        <v>1.5299999999999999E-2</v>
      </c>
      <c r="EE96" s="228">
        <v>9.9700000000000006</v>
      </c>
      <c r="EF96" s="229">
        <v>6.0000000000000001E-3</v>
      </c>
      <c r="EG96" s="230">
        <v>5400277</v>
      </c>
      <c r="EH96" s="230">
        <v>7671769</v>
      </c>
      <c r="EI96" s="229">
        <v>-0.29609999999999997</v>
      </c>
      <c r="EJ96" s="229">
        <v>0.60250000000000004</v>
      </c>
      <c r="EK96" s="231">
        <v>3227.6</v>
      </c>
      <c r="EL96" s="231">
        <v>1937.74</v>
      </c>
      <c r="EM96" s="231">
        <v>1319.61</v>
      </c>
      <c r="EN96" s="231">
        <v>1035.47</v>
      </c>
      <c r="EO96" s="231">
        <v>6484.95</v>
      </c>
      <c r="EP96" s="231">
        <v>14074.84</v>
      </c>
      <c r="EQ96" s="231">
        <v>-7589.9</v>
      </c>
      <c r="ER96" s="229">
        <v>-0.5393</v>
      </c>
      <c r="ES96" s="231">
        <v>1208.8499999999999</v>
      </c>
      <c r="ET96" s="228">
        <v>844.81</v>
      </c>
      <c r="EU96" s="231">
        <v>11030.83</v>
      </c>
      <c r="EV96" s="231">
        <v>368703409</v>
      </c>
      <c r="EW96" s="231">
        <v>13084.48</v>
      </c>
      <c r="EX96" s="231">
        <v>12878.32</v>
      </c>
      <c r="EY96" s="228">
        <v>206.16</v>
      </c>
      <c r="EZ96" s="229">
        <v>1.6E-2</v>
      </c>
      <c r="FA96" s="229">
        <v>0.21210000000000001</v>
      </c>
      <c r="FB96" s="227" t="s">
        <v>568</v>
      </c>
      <c r="FC96">
        <f t="shared" si="1"/>
        <v>169</v>
      </c>
    </row>
    <row r="97" spans="1:159" ht="17.25" thickBot="1" x14ac:dyDescent="0.3">
      <c r="A97" s="226">
        <v>46050</v>
      </c>
      <c r="B97" s="227" t="s">
        <v>161</v>
      </c>
      <c r="C97" s="227" t="s">
        <v>668</v>
      </c>
      <c r="D97" s="228">
        <v>3575</v>
      </c>
      <c r="E97" s="228">
        <v>27</v>
      </c>
      <c r="F97" s="228">
        <v>109.79</v>
      </c>
      <c r="G97" s="228">
        <v>105.16</v>
      </c>
      <c r="H97" s="228">
        <v>4.63</v>
      </c>
      <c r="I97" s="229">
        <v>4.3999999999999997E-2</v>
      </c>
      <c r="J97" s="228">
        <v>109.25</v>
      </c>
      <c r="K97" s="228">
        <v>104.72</v>
      </c>
      <c r="L97" s="228">
        <v>4.53</v>
      </c>
      <c r="M97" s="229">
        <v>4.3299999999999998E-2</v>
      </c>
      <c r="N97" s="228">
        <v>109.79</v>
      </c>
      <c r="O97" s="228">
        <v>104.53</v>
      </c>
      <c r="P97" s="228">
        <v>5.26</v>
      </c>
      <c r="Q97" s="229">
        <v>5.0299999999999997E-2</v>
      </c>
      <c r="R97" s="228">
        <v>110.49</v>
      </c>
      <c r="S97" s="228">
        <v>105.16</v>
      </c>
      <c r="T97" s="228">
        <v>5.33</v>
      </c>
      <c r="U97" s="229">
        <v>5.0700000000000002E-2</v>
      </c>
      <c r="V97" s="228">
        <v>111.21</v>
      </c>
      <c r="W97" s="228">
        <v>105.97</v>
      </c>
      <c r="X97" s="228">
        <v>5.24</v>
      </c>
      <c r="Y97" s="229">
        <v>4.9399999999999999E-2</v>
      </c>
      <c r="Z97" s="228">
        <v>0.54</v>
      </c>
      <c r="AA97" s="228">
        <v>0.44</v>
      </c>
      <c r="AB97" s="228">
        <v>0.1</v>
      </c>
      <c r="AC97" s="229">
        <v>4.8999999999999998E-3</v>
      </c>
      <c r="AD97" s="228">
        <v>0.54</v>
      </c>
      <c r="AE97" s="228">
        <v>-0.19</v>
      </c>
      <c r="AF97" s="228">
        <v>0.73</v>
      </c>
      <c r="AG97" s="229">
        <v>4.8999999999999998E-3</v>
      </c>
      <c r="AH97" s="228">
        <v>1.24</v>
      </c>
      <c r="AI97" s="228">
        <v>0.44</v>
      </c>
      <c r="AJ97" s="228">
        <v>0.8</v>
      </c>
      <c r="AK97" s="229">
        <v>1.14E-2</v>
      </c>
      <c r="AL97" s="228">
        <v>1.96</v>
      </c>
      <c r="AM97" s="228">
        <v>1.25</v>
      </c>
      <c r="AN97" s="228">
        <v>0.71</v>
      </c>
      <c r="AO97" s="229">
        <v>1.7899999999999999E-2</v>
      </c>
      <c r="AP97" s="228">
        <v>108.24</v>
      </c>
      <c r="AQ97" s="228">
        <v>108.75</v>
      </c>
      <c r="AR97" s="228">
        <v>0</v>
      </c>
      <c r="AS97" s="228">
        <v>105</v>
      </c>
      <c r="AT97" s="230">
        <v>1111</v>
      </c>
      <c r="AU97" s="230">
        <v>-1005</v>
      </c>
      <c r="AV97" s="229">
        <v>-0.90529999999999999</v>
      </c>
      <c r="AW97" s="228">
        <v>98</v>
      </c>
      <c r="AX97" s="228">
        <v>537</v>
      </c>
      <c r="AY97" s="228">
        <v>-439</v>
      </c>
      <c r="AZ97" s="229">
        <v>-0.81689999999999996</v>
      </c>
      <c r="BA97" s="228">
        <v>6</v>
      </c>
      <c r="BB97" s="228">
        <v>564</v>
      </c>
      <c r="BC97" s="228">
        <v>-558</v>
      </c>
      <c r="BD97" s="229">
        <v>-0.98860000000000003</v>
      </c>
      <c r="BE97" s="228">
        <v>0</v>
      </c>
      <c r="BF97" s="228">
        <v>9</v>
      </c>
      <c r="BG97" s="228">
        <v>-9</v>
      </c>
      <c r="BH97" s="229">
        <v>-0.95399999999999996</v>
      </c>
      <c r="BI97" s="228">
        <v>182</v>
      </c>
      <c r="BJ97" s="228">
        <v>231</v>
      </c>
      <c r="BK97" s="228">
        <v>-50</v>
      </c>
      <c r="BL97" s="229">
        <v>-0.21460000000000001</v>
      </c>
      <c r="BM97" s="228">
        <v>93</v>
      </c>
      <c r="BN97" s="228">
        <v>253</v>
      </c>
      <c r="BO97" s="228">
        <v>-160</v>
      </c>
      <c r="BP97" s="229">
        <v>-0.63190000000000002</v>
      </c>
      <c r="BQ97" s="228">
        <v>380</v>
      </c>
      <c r="BR97" s="230">
        <v>1595</v>
      </c>
      <c r="BS97" s="230">
        <v>-1215</v>
      </c>
      <c r="BT97" s="229">
        <v>-0.76180000000000003</v>
      </c>
      <c r="BU97" s="230">
        <v>6277588</v>
      </c>
      <c r="BV97" s="230">
        <v>9759656</v>
      </c>
      <c r="BW97" s="230">
        <v>-3482068</v>
      </c>
      <c r="BX97" s="229">
        <v>-0.35680000000000001</v>
      </c>
      <c r="BY97" s="230">
        <v>1013</v>
      </c>
      <c r="BZ97" s="230">
        <v>1012</v>
      </c>
      <c r="CA97" s="228">
        <v>1</v>
      </c>
      <c r="CB97" s="229">
        <v>1.5E-3</v>
      </c>
      <c r="CC97" s="228">
        <v>989</v>
      </c>
      <c r="CD97" s="228">
        <v>44</v>
      </c>
      <c r="CE97" s="228">
        <v>945</v>
      </c>
      <c r="CF97" s="229">
        <v>21.242699999999999</v>
      </c>
      <c r="CG97" s="228">
        <v>24</v>
      </c>
      <c r="CH97" s="228">
        <v>990</v>
      </c>
      <c r="CI97" s="228">
        <v>-966</v>
      </c>
      <c r="CJ97" s="229">
        <v>-0.97570000000000001</v>
      </c>
      <c r="CK97" s="228">
        <v>0</v>
      </c>
      <c r="CL97" s="228">
        <v>22</v>
      </c>
      <c r="CM97" s="228">
        <v>-22</v>
      </c>
      <c r="CN97" s="229">
        <v>-0.9859</v>
      </c>
      <c r="CO97" s="228">
        <v>140</v>
      </c>
      <c r="CP97" s="228">
        <v>107</v>
      </c>
      <c r="CQ97" s="228">
        <v>34</v>
      </c>
      <c r="CR97" s="229">
        <v>0.31730000000000003</v>
      </c>
      <c r="CS97" s="228">
        <v>157</v>
      </c>
      <c r="CT97" s="228">
        <v>124</v>
      </c>
      <c r="CU97" s="228">
        <v>33</v>
      </c>
      <c r="CV97" s="229">
        <v>0.27010000000000001</v>
      </c>
      <c r="CW97" s="230">
        <v>1311</v>
      </c>
      <c r="CX97" s="230">
        <v>1242</v>
      </c>
      <c r="CY97" s="228">
        <v>69</v>
      </c>
      <c r="CZ97" s="229">
        <v>5.5300000000000002E-2</v>
      </c>
      <c r="DA97" s="228">
        <v>49.58</v>
      </c>
      <c r="DB97" s="228">
        <v>50.01</v>
      </c>
      <c r="DC97" s="228">
        <v>-0.43</v>
      </c>
      <c r="DD97" s="228">
        <v>-0.43</v>
      </c>
      <c r="DE97" s="228">
        <v>51.95</v>
      </c>
      <c r="DF97" s="228">
        <v>51.75</v>
      </c>
      <c r="DG97" s="228">
        <v>-2.37</v>
      </c>
      <c r="DH97" s="228">
        <v>0.2</v>
      </c>
      <c r="DI97" s="228">
        <v>47.33</v>
      </c>
      <c r="DJ97" s="228">
        <v>48.96</v>
      </c>
      <c r="DK97" s="228">
        <v>-1.63</v>
      </c>
      <c r="DL97" s="228">
        <v>-1.63</v>
      </c>
      <c r="DM97" s="228">
        <v>53.98</v>
      </c>
      <c r="DN97" s="228">
        <v>51.41</v>
      </c>
      <c r="DO97" s="228">
        <v>2.57</v>
      </c>
      <c r="DP97" s="228">
        <v>2.57</v>
      </c>
      <c r="DQ97" s="228">
        <v>1.1200000000000001</v>
      </c>
      <c r="DR97" s="228">
        <v>1.1599999999999999</v>
      </c>
      <c r="DS97" s="228">
        <v>-0.04</v>
      </c>
      <c r="DT97" s="229">
        <v>-3.4500000000000003E-2</v>
      </c>
      <c r="DU97" s="228">
        <v>110</v>
      </c>
      <c r="DV97" s="228">
        <v>110</v>
      </c>
      <c r="DW97" s="228">
        <v>0.51</v>
      </c>
      <c r="DX97" s="228">
        <v>1.0900000000000001</v>
      </c>
      <c r="DY97" s="228">
        <v>-0.57999999999999996</v>
      </c>
      <c r="DZ97" s="229">
        <v>-0.53210000000000002</v>
      </c>
      <c r="EA97" s="229">
        <v>2.4E-2</v>
      </c>
      <c r="EB97" s="230">
        <v>92174225</v>
      </c>
      <c r="EC97" s="229">
        <v>6.4000000000000003E-3</v>
      </c>
      <c r="ED97" s="229">
        <v>2.4E-2</v>
      </c>
      <c r="EE97" s="228">
        <v>0.51</v>
      </c>
      <c r="EF97" s="229">
        <v>4.7000000000000002E-3</v>
      </c>
      <c r="EG97" s="230">
        <v>2011458</v>
      </c>
      <c r="EH97" s="230">
        <v>3278934</v>
      </c>
      <c r="EI97" s="229">
        <v>-0.3866</v>
      </c>
      <c r="EJ97" s="229">
        <v>0.32040000000000002</v>
      </c>
      <c r="EK97" s="228">
        <v>198.24</v>
      </c>
      <c r="EL97" s="228">
        <v>90.61</v>
      </c>
      <c r="EM97" s="228">
        <v>103.7</v>
      </c>
      <c r="EN97" s="228">
        <v>181.48</v>
      </c>
      <c r="EO97" s="228">
        <v>392.56</v>
      </c>
      <c r="EP97" s="231">
        <v>1572.14</v>
      </c>
      <c r="EQ97" s="231">
        <v>-1179.58</v>
      </c>
      <c r="ER97" s="229">
        <v>-0.75029999999999997</v>
      </c>
      <c r="ES97" s="228">
        <v>150.84</v>
      </c>
      <c r="ET97" s="228">
        <v>160.16999999999999</v>
      </c>
      <c r="EU97" s="231">
        <v>1013.63</v>
      </c>
      <c r="EV97" s="231">
        <v>144708707</v>
      </c>
      <c r="EW97" s="231">
        <v>1324.64</v>
      </c>
      <c r="EX97" s="231">
        <v>1213.45</v>
      </c>
      <c r="EY97" s="228">
        <v>111.19</v>
      </c>
      <c r="EZ97" s="229">
        <v>9.1600000000000001E-2</v>
      </c>
      <c r="FA97" s="229">
        <v>0.82509999999999994</v>
      </c>
      <c r="FB97" s="227" t="s">
        <v>555</v>
      </c>
      <c r="FC97">
        <f t="shared" si="1"/>
        <v>24</v>
      </c>
    </row>
    <row r="98" spans="1:159" ht="17.25" thickBot="1" x14ac:dyDescent="0.3">
      <c r="A98" s="226">
        <v>46050</v>
      </c>
      <c r="B98" s="227" t="s">
        <v>193</v>
      </c>
      <c r="C98" s="227" t="s">
        <v>241</v>
      </c>
      <c r="D98" s="228">
        <v>4875</v>
      </c>
      <c r="E98" s="228">
        <v>27</v>
      </c>
      <c r="F98" s="228">
        <v>163.75</v>
      </c>
      <c r="G98" s="228">
        <v>159.63</v>
      </c>
      <c r="H98" s="228">
        <v>4.12</v>
      </c>
      <c r="I98" s="229">
        <v>2.58E-2</v>
      </c>
      <c r="J98" s="228">
        <v>162.85</v>
      </c>
      <c r="K98" s="228">
        <v>158.9</v>
      </c>
      <c r="L98" s="228">
        <v>3.95</v>
      </c>
      <c r="M98" s="229">
        <v>2.4899999999999999E-2</v>
      </c>
      <c r="N98" s="228">
        <v>163.75</v>
      </c>
      <c r="O98" s="228">
        <v>158.88999999999999</v>
      </c>
      <c r="P98" s="228">
        <v>4.8600000000000003</v>
      </c>
      <c r="Q98" s="229">
        <v>3.0599999999999999E-2</v>
      </c>
      <c r="R98" s="228">
        <v>164.52</v>
      </c>
      <c r="S98" s="228">
        <v>159.63</v>
      </c>
      <c r="T98" s="228">
        <v>4.8899999999999997</v>
      </c>
      <c r="U98" s="229">
        <v>3.0599999999999999E-2</v>
      </c>
      <c r="V98" s="228">
        <v>165.51</v>
      </c>
      <c r="W98" s="228">
        <v>160.36000000000001</v>
      </c>
      <c r="X98" s="228">
        <v>5.15</v>
      </c>
      <c r="Y98" s="229">
        <v>3.2099999999999997E-2</v>
      </c>
      <c r="Z98" s="228">
        <v>0.9</v>
      </c>
      <c r="AA98" s="228">
        <v>0.73</v>
      </c>
      <c r="AB98" s="228">
        <v>0.17</v>
      </c>
      <c r="AC98" s="229">
        <v>5.4999999999999997E-3</v>
      </c>
      <c r="AD98" s="228">
        <v>0.9</v>
      </c>
      <c r="AE98" s="228">
        <v>-0.01</v>
      </c>
      <c r="AF98" s="228">
        <v>0.91</v>
      </c>
      <c r="AG98" s="229">
        <v>5.4999999999999997E-3</v>
      </c>
      <c r="AH98" s="228">
        <v>1.67</v>
      </c>
      <c r="AI98" s="228">
        <v>0.73</v>
      </c>
      <c r="AJ98" s="228">
        <v>0.94</v>
      </c>
      <c r="AK98" s="229">
        <v>1.03E-2</v>
      </c>
      <c r="AL98" s="228">
        <v>2.66</v>
      </c>
      <c r="AM98" s="228">
        <v>1.46</v>
      </c>
      <c r="AN98" s="228">
        <v>1.2</v>
      </c>
      <c r="AO98" s="229">
        <v>1.6299999999999999E-2</v>
      </c>
      <c r="AP98" s="228">
        <v>162.94999999999999</v>
      </c>
      <c r="AQ98" s="228">
        <v>163.79</v>
      </c>
      <c r="AR98" s="228">
        <v>0</v>
      </c>
      <c r="AS98" s="228">
        <v>322</v>
      </c>
      <c r="AT98" s="228">
        <v>792</v>
      </c>
      <c r="AU98" s="228">
        <v>-470</v>
      </c>
      <c r="AV98" s="229">
        <v>-0.59330000000000005</v>
      </c>
      <c r="AW98" s="228">
        <v>302</v>
      </c>
      <c r="AX98" s="228">
        <v>395</v>
      </c>
      <c r="AY98" s="228">
        <v>-93</v>
      </c>
      <c r="AZ98" s="229">
        <v>-0.23619999999999999</v>
      </c>
      <c r="BA98" s="228">
        <v>18</v>
      </c>
      <c r="BB98" s="228">
        <v>376</v>
      </c>
      <c r="BC98" s="228">
        <v>-357</v>
      </c>
      <c r="BD98" s="229">
        <v>-0.95109999999999995</v>
      </c>
      <c r="BE98" s="228">
        <v>2</v>
      </c>
      <c r="BF98" s="228">
        <v>21</v>
      </c>
      <c r="BG98" s="228">
        <v>-19</v>
      </c>
      <c r="BH98" s="229">
        <v>-0.92279999999999995</v>
      </c>
      <c r="BI98" s="230">
        <v>1057</v>
      </c>
      <c r="BJ98" s="228">
        <v>659</v>
      </c>
      <c r="BK98" s="228">
        <v>398</v>
      </c>
      <c r="BL98" s="229">
        <v>0.60460000000000003</v>
      </c>
      <c r="BM98" s="228">
        <v>394</v>
      </c>
      <c r="BN98" s="228">
        <v>337</v>
      </c>
      <c r="BO98" s="228">
        <v>57</v>
      </c>
      <c r="BP98" s="229">
        <v>0.1696</v>
      </c>
      <c r="BQ98" s="230">
        <v>1773</v>
      </c>
      <c r="BR98" s="230">
        <v>1788</v>
      </c>
      <c r="BS98" s="228">
        <v>-14</v>
      </c>
      <c r="BT98" s="229">
        <v>-8.0000000000000002E-3</v>
      </c>
      <c r="BU98" s="230">
        <v>17333876</v>
      </c>
      <c r="BV98" s="230">
        <v>11771481</v>
      </c>
      <c r="BW98" s="230">
        <v>5562395</v>
      </c>
      <c r="BX98" s="229">
        <v>0.47249999999999998</v>
      </c>
      <c r="BY98" s="230">
        <v>1422</v>
      </c>
      <c r="BZ98" s="230">
        <v>1389</v>
      </c>
      <c r="CA98" s="228">
        <v>32</v>
      </c>
      <c r="CB98" s="229">
        <v>2.3199999999999998E-2</v>
      </c>
      <c r="CC98" s="230">
        <v>1388</v>
      </c>
      <c r="CD98" s="228">
        <v>183</v>
      </c>
      <c r="CE98" s="230">
        <v>1206</v>
      </c>
      <c r="CF98" s="229">
        <v>6.5948000000000002</v>
      </c>
      <c r="CG98" s="228">
        <v>32</v>
      </c>
      <c r="CH98" s="230">
        <v>1358</v>
      </c>
      <c r="CI98" s="230">
        <v>-1326</v>
      </c>
      <c r="CJ98" s="229">
        <v>-0.97619999999999996</v>
      </c>
      <c r="CK98" s="228">
        <v>1</v>
      </c>
      <c r="CL98" s="228">
        <v>31</v>
      </c>
      <c r="CM98" s="228">
        <v>-30</v>
      </c>
      <c r="CN98" s="229">
        <v>-0.96930000000000005</v>
      </c>
      <c r="CO98" s="228">
        <v>402</v>
      </c>
      <c r="CP98" s="228">
        <v>286</v>
      </c>
      <c r="CQ98" s="228">
        <v>116</v>
      </c>
      <c r="CR98" s="229">
        <v>0.40570000000000001</v>
      </c>
      <c r="CS98" s="228">
        <v>332</v>
      </c>
      <c r="CT98" s="228">
        <v>282</v>
      </c>
      <c r="CU98" s="228">
        <v>50</v>
      </c>
      <c r="CV98" s="229">
        <v>0.17730000000000001</v>
      </c>
      <c r="CW98" s="230">
        <v>2156</v>
      </c>
      <c r="CX98" s="230">
        <v>1958</v>
      </c>
      <c r="CY98" s="228">
        <v>198</v>
      </c>
      <c r="CZ98" s="229">
        <v>0.1012</v>
      </c>
      <c r="DA98" s="228">
        <v>29.38</v>
      </c>
      <c r="DB98" s="228">
        <v>28.86</v>
      </c>
      <c r="DC98" s="228">
        <v>0.52</v>
      </c>
      <c r="DD98" s="228">
        <v>0.52</v>
      </c>
      <c r="DE98" s="228">
        <v>30.58</v>
      </c>
      <c r="DF98" s="228">
        <v>30.46</v>
      </c>
      <c r="DG98" s="228">
        <v>-1.2</v>
      </c>
      <c r="DH98" s="228">
        <v>0.12</v>
      </c>
      <c r="DI98" s="228">
        <v>28.94</v>
      </c>
      <c r="DJ98" s="228">
        <v>27.78</v>
      </c>
      <c r="DK98" s="228">
        <v>1.1599999999999999</v>
      </c>
      <c r="DL98" s="228">
        <v>1.1599999999999999</v>
      </c>
      <c r="DM98" s="228">
        <v>30.56</v>
      </c>
      <c r="DN98" s="228">
        <v>30.35</v>
      </c>
      <c r="DO98" s="228">
        <v>0.21</v>
      </c>
      <c r="DP98" s="228">
        <v>0.21</v>
      </c>
      <c r="DQ98" s="228">
        <v>0.83</v>
      </c>
      <c r="DR98" s="228">
        <v>0.99</v>
      </c>
      <c r="DS98" s="228">
        <v>-0.16</v>
      </c>
      <c r="DT98" s="229">
        <v>-0.16159999999999999</v>
      </c>
      <c r="DU98" s="228">
        <v>160</v>
      </c>
      <c r="DV98" s="228">
        <v>160</v>
      </c>
      <c r="DW98" s="228">
        <v>0.37</v>
      </c>
      <c r="DX98" s="228">
        <v>0.51</v>
      </c>
      <c r="DY98" s="228">
        <v>-0.14000000000000001</v>
      </c>
      <c r="DZ98" s="229">
        <v>-0.27450000000000002</v>
      </c>
      <c r="EA98" s="229">
        <v>2.3400000000000001E-2</v>
      </c>
      <c r="EB98" s="230">
        <v>84854250</v>
      </c>
      <c r="EC98" s="229">
        <v>4.7000000000000002E-3</v>
      </c>
      <c r="ED98" s="229">
        <v>2.3400000000000001E-2</v>
      </c>
      <c r="EE98" s="228">
        <v>0.84</v>
      </c>
      <c r="EF98" s="229">
        <v>5.1999999999999998E-3</v>
      </c>
      <c r="EG98" s="230">
        <v>8206459</v>
      </c>
      <c r="EH98" s="230">
        <v>6753164</v>
      </c>
      <c r="EI98" s="229">
        <v>0.2152</v>
      </c>
      <c r="EJ98" s="229">
        <v>0.47339999999999999</v>
      </c>
      <c r="EK98" s="231">
        <v>1105.1300000000001</v>
      </c>
      <c r="EL98" s="228">
        <v>382.13</v>
      </c>
      <c r="EM98" s="228">
        <v>320.57</v>
      </c>
      <c r="EN98" s="228">
        <v>117.89</v>
      </c>
      <c r="EO98" s="231">
        <v>1807.83</v>
      </c>
      <c r="EP98" s="231">
        <v>1750.82</v>
      </c>
      <c r="EQ98" s="228">
        <v>57.02</v>
      </c>
      <c r="ER98" s="229">
        <v>3.2599999999999997E-2</v>
      </c>
      <c r="ES98" s="228">
        <v>408.86</v>
      </c>
      <c r="ET98" s="228">
        <v>320.33</v>
      </c>
      <c r="EU98" s="231">
        <v>1421.82</v>
      </c>
      <c r="EV98" s="231">
        <v>684903861</v>
      </c>
      <c r="EW98" s="231">
        <v>2151.02</v>
      </c>
      <c r="EX98" s="231">
        <v>1913.98</v>
      </c>
      <c r="EY98" s="228">
        <v>237.04</v>
      </c>
      <c r="EZ98" s="229">
        <v>0.12379999999999999</v>
      </c>
      <c r="FA98" s="229">
        <v>0.19220000000000001</v>
      </c>
      <c r="FB98" s="227" t="s">
        <v>555</v>
      </c>
      <c r="FC98">
        <f t="shared" si="1"/>
        <v>34</v>
      </c>
    </row>
    <row r="99" spans="1:159" ht="17.25" thickBot="1" x14ac:dyDescent="0.3">
      <c r="A99" s="226">
        <v>46050</v>
      </c>
      <c r="B99" s="227" t="s">
        <v>215</v>
      </c>
      <c r="C99" s="227" t="s">
        <v>490</v>
      </c>
      <c r="D99" s="228">
        <v>875</v>
      </c>
      <c r="E99" s="228">
        <v>27</v>
      </c>
      <c r="F99" s="228">
        <v>623.35</v>
      </c>
      <c r="G99" s="228">
        <v>609.04999999999995</v>
      </c>
      <c r="H99" s="228">
        <v>14.3</v>
      </c>
      <c r="I99" s="229">
        <v>2.35E-2</v>
      </c>
      <c r="J99" s="228">
        <v>625.1</v>
      </c>
      <c r="K99" s="228">
        <v>607.5</v>
      </c>
      <c r="L99" s="228">
        <v>17.600000000000001</v>
      </c>
      <c r="M99" s="229">
        <v>2.9000000000000001E-2</v>
      </c>
      <c r="N99" s="228">
        <v>623.35</v>
      </c>
      <c r="O99" s="228">
        <v>607.15</v>
      </c>
      <c r="P99" s="228">
        <v>16.2</v>
      </c>
      <c r="Q99" s="229">
        <v>2.6700000000000002E-2</v>
      </c>
      <c r="R99" s="228">
        <v>0</v>
      </c>
      <c r="S99" s="228">
        <v>609.04999999999995</v>
      </c>
      <c r="T99" s="228">
        <v>0</v>
      </c>
      <c r="U99" s="229">
        <v>0</v>
      </c>
      <c r="V99" s="228">
        <v>0</v>
      </c>
      <c r="W99" s="228">
        <v>0</v>
      </c>
      <c r="X99" s="228">
        <v>0</v>
      </c>
      <c r="Y99" s="229">
        <v>0</v>
      </c>
      <c r="Z99" s="228">
        <v>-1.75</v>
      </c>
      <c r="AA99" s="228">
        <v>1.55</v>
      </c>
      <c r="AB99" s="228">
        <v>-3.3</v>
      </c>
      <c r="AC99" s="229">
        <v>-2.8E-3</v>
      </c>
      <c r="AD99" s="228">
        <v>-1.75</v>
      </c>
      <c r="AE99" s="228">
        <v>-0.35</v>
      </c>
      <c r="AF99" s="228">
        <v>-1.4</v>
      </c>
      <c r="AG99" s="229">
        <v>-2.8E-3</v>
      </c>
      <c r="AH99" s="228">
        <v>0</v>
      </c>
      <c r="AI99" s="228">
        <v>1.55</v>
      </c>
      <c r="AJ99" s="228">
        <v>0</v>
      </c>
      <c r="AK99" s="229">
        <v>0</v>
      </c>
      <c r="AL99" s="228">
        <v>0</v>
      </c>
      <c r="AM99" s="228">
        <v>0</v>
      </c>
      <c r="AN99" s="228">
        <v>0</v>
      </c>
      <c r="AO99" s="229">
        <v>0</v>
      </c>
      <c r="AP99" s="228">
        <v>616.83000000000004</v>
      </c>
      <c r="AQ99" s="228">
        <v>0</v>
      </c>
      <c r="AR99" s="228">
        <v>0</v>
      </c>
      <c r="AS99" s="228">
        <v>196</v>
      </c>
      <c r="AT99" s="230">
        <v>1100</v>
      </c>
      <c r="AU99" s="228">
        <v>-904</v>
      </c>
      <c r="AV99" s="229">
        <v>-0.82169999999999999</v>
      </c>
      <c r="AW99" s="228">
        <v>196</v>
      </c>
      <c r="AX99" s="228">
        <v>519</v>
      </c>
      <c r="AY99" s="228">
        <v>-323</v>
      </c>
      <c r="AZ99" s="229">
        <v>-0.62219999999999998</v>
      </c>
      <c r="BA99" s="228">
        <v>0</v>
      </c>
      <c r="BB99" s="228">
        <v>581</v>
      </c>
      <c r="BC99" s="228">
        <v>0</v>
      </c>
      <c r="BD99" s="229">
        <v>0</v>
      </c>
      <c r="BE99" s="228">
        <v>0</v>
      </c>
      <c r="BF99" s="228">
        <v>0</v>
      </c>
      <c r="BG99" s="228">
        <v>0</v>
      </c>
      <c r="BH99" s="229">
        <v>0</v>
      </c>
      <c r="BI99" s="228">
        <v>729</v>
      </c>
      <c r="BJ99" s="228">
        <v>680</v>
      </c>
      <c r="BK99" s="228">
        <v>50</v>
      </c>
      <c r="BL99" s="229">
        <v>7.3200000000000001E-2</v>
      </c>
      <c r="BM99" s="228">
        <v>226</v>
      </c>
      <c r="BN99" s="228">
        <v>410</v>
      </c>
      <c r="BO99" s="228">
        <v>-183</v>
      </c>
      <c r="BP99" s="229">
        <v>-0.44740000000000002</v>
      </c>
      <c r="BQ99" s="230">
        <v>1152</v>
      </c>
      <c r="BR99" s="230">
        <v>2189</v>
      </c>
      <c r="BS99" s="230">
        <v>-1037</v>
      </c>
      <c r="BT99" s="229">
        <v>-0.4738</v>
      </c>
      <c r="BU99" s="230">
        <v>1872715</v>
      </c>
      <c r="BV99" s="230">
        <v>2522514</v>
      </c>
      <c r="BW99" s="230">
        <v>-649799</v>
      </c>
      <c r="BX99" s="229">
        <v>-0.2576</v>
      </c>
      <c r="BY99" s="230">
        <v>1233</v>
      </c>
      <c r="BZ99" s="230">
        <v>1238</v>
      </c>
      <c r="CA99" s="228">
        <v>-5</v>
      </c>
      <c r="CB99" s="229">
        <v>-4.4000000000000003E-3</v>
      </c>
      <c r="CC99" s="230">
        <v>1233</v>
      </c>
      <c r="CD99" s="228">
        <v>159</v>
      </c>
      <c r="CE99" s="230">
        <v>1074</v>
      </c>
      <c r="CF99" s="229">
        <v>6.7500999999999998</v>
      </c>
      <c r="CG99" s="228">
        <v>0</v>
      </c>
      <c r="CH99" s="230">
        <v>1238</v>
      </c>
      <c r="CI99" s="230">
        <v>-1238</v>
      </c>
      <c r="CJ99" s="229">
        <v>-1</v>
      </c>
      <c r="CK99" s="228">
        <v>0</v>
      </c>
      <c r="CL99" s="228">
        <v>0</v>
      </c>
      <c r="CM99" s="228">
        <v>0</v>
      </c>
      <c r="CN99" s="229">
        <v>0</v>
      </c>
      <c r="CO99" s="228">
        <v>566</v>
      </c>
      <c r="CP99" s="228">
        <v>490</v>
      </c>
      <c r="CQ99" s="228">
        <v>76</v>
      </c>
      <c r="CR99" s="229">
        <v>0.15459999999999999</v>
      </c>
      <c r="CS99" s="228">
        <v>443</v>
      </c>
      <c r="CT99" s="228">
        <v>419</v>
      </c>
      <c r="CU99" s="228">
        <v>24</v>
      </c>
      <c r="CV99" s="229">
        <v>5.6599999999999998E-2</v>
      </c>
      <c r="CW99" s="230">
        <v>2242</v>
      </c>
      <c r="CX99" s="230">
        <v>2148</v>
      </c>
      <c r="CY99" s="228">
        <v>94</v>
      </c>
      <c r="CZ99" s="229">
        <v>4.3799999999999999E-2</v>
      </c>
      <c r="DA99" s="228">
        <v>33.82</v>
      </c>
      <c r="DB99" s="228">
        <v>33.92</v>
      </c>
      <c r="DC99" s="228">
        <v>-0.1</v>
      </c>
      <c r="DD99" s="228">
        <v>-0.1</v>
      </c>
      <c r="DE99" s="228">
        <v>29.74</v>
      </c>
      <c r="DF99" s="228">
        <v>29.65</v>
      </c>
      <c r="DG99" s="228">
        <v>4.08</v>
      </c>
      <c r="DH99" s="228">
        <v>0.09</v>
      </c>
      <c r="DI99" s="228">
        <v>33.71</v>
      </c>
      <c r="DJ99" s="228">
        <v>34.200000000000003</v>
      </c>
      <c r="DK99" s="228">
        <v>-0.49</v>
      </c>
      <c r="DL99" s="228">
        <v>-0.49</v>
      </c>
      <c r="DM99" s="228">
        <v>34.200000000000003</v>
      </c>
      <c r="DN99" s="228">
        <v>33.369999999999997</v>
      </c>
      <c r="DO99" s="228">
        <v>0.83</v>
      </c>
      <c r="DP99" s="228">
        <v>0.83</v>
      </c>
      <c r="DQ99" s="228">
        <v>0.78</v>
      </c>
      <c r="DR99" s="228">
        <v>0.85</v>
      </c>
      <c r="DS99" s="228">
        <v>-7.0000000000000007E-2</v>
      </c>
      <c r="DT99" s="229">
        <v>-8.2400000000000001E-2</v>
      </c>
      <c r="DU99" s="228">
        <v>700</v>
      </c>
      <c r="DV99" s="228">
        <v>600</v>
      </c>
      <c r="DW99" s="228">
        <v>0.31</v>
      </c>
      <c r="DX99" s="228">
        <v>0.6</v>
      </c>
      <c r="DY99" s="228">
        <v>-0.28999999999999998</v>
      </c>
      <c r="DZ99" s="229">
        <v>-0.48330000000000001</v>
      </c>
      <c r="EA99" s="229">
        <v>0</v>
      </c>
      <c r="EB99" s="230">
        <v>19867750</v>
      </c>
      <c r="EC99" s="229">
        <v>0</v>
      </c>
      <c r="ED99" s="229">
        <v>0</v>
      </c>
      <c r="EE99" s="228">
        <v>0</v>
      </c>
      <c r="EF99" s="229">
        <v>0</v>
      </c>
      <c r="EG99" s="230">
        <v>827088</v>
      </c>
      <c r="EH99" s="230">
        <v>1194625</v>
      </c>
      <c r="EI99" s="229">
        <v>-0.30769999999999997</v>
      </c>
      <c r="EJ99" s="229">
        <v>0.44169999999999998</v>
      </c>
      <c r="EK99" s="228">
        <v>770.17</v>
      </c>
      <c r="EL99" s="228">
        <v>223.14</v>
      </c>
      <c r="EM99" s="228">
        <v>193.98</v>
      </c>
      <c r="EN99" s="228">
        <v>237.95</v>
      </c>
      <c r="EO99" s="231">
        <v>1187.29</v>
      </c>
      <c r="EP99" s="231">
        <v>2211.63</v>
      </c>
      <c r="EQ99" s="231">
        <v>-1024.3399999999999</v>
      </c>
      <c r="ER99" s="229">
        <v>-0.4632</v>
      </c>
      <c r="ES99" s="228">
        <v>597.84</v>
      </c>
      <c r="ET99" s="228">
        <v>442.92</v>
      </c>
      <c r="EU99" s="231">
        <v>1233.06</v>
      </c>
      <c r="EV99" s="231">
        <v>32504261</v>
      </c>
      <c r="EW99" s="231">
        <v>2273.81</v>
      </c>
      <c r="EX99" s="231">
        <v>2144.7600000000002</v>
      </c>
      <c r="EY99" s="228">
        <v>129.05000000000001</v>
      </c>
      <c r="EZ99" s="229">
        <v>6.0199999999999997E-2</v>
      </c>
      <c r="FA99" s="229">
        <v>1.1063000000000001</v>
      </c>
      <c r="FB99" s="227" t="s">
        <v>556</v>
      </c>
      <c r="FC99">
        <f t="shared" si="1"/>
        <v>0</v>
      </c>
    </row>
    <row r="100" spans="1:159" ht="17.25" thickBot="1" x14ac:dyDescent="0.3">
      <c r="A100" s="226">
        <v>46050</v>
      </c>
      <c r="B100" s="227" t="s">
        <v>175</v>
      </c>
      <c r="C100" s="227" t="s">
        <v>664</v>
      </c>
      <c r="D100" s="228">
        <v>3450</v>
      </c>
      <c r="E100" s="228">
        <v>27</v>
      </c>
      <c r="F100" s="228">
        <v>131.54</v>
      </c>
      <c r="G100" s="228">
        <v>127.71</v>
      </c>
      <c r="H100" s="228">
        <v>3.83</v>
      </c>
      <c r="I100" s="229">
        <v>0.03</v>
      </c>
      <c r="J100" s="228">
        <v>133.87</v>
      </c>
      <c r="K100" s="228">
        <v>128.88</v>
      </c>
      <c r="L100" s="228">
        <v>4.99</v>
      </c>
      <c r="M100" s="229">
        <v>3.8699999999999998E-2</v>
      </c>
      <c r="N100" s="228">
        <v>131.54</v>
      </c>
      <c r="O100" s="228">
        <v>128.59</v>
      </c>
      <c r="P100" s="228">
        <v>2.95</v>
      </c>
      <c r="Q100" s="229">
        <v>2.29E-2</v>
      </c>
      <c r="R100" s="228">
        <v>129.6</v>
      </c>
      <c r="S100" s="228">
        <v>127.71</v>
      </c>
      <c r="T100" s="228">
        <v>1.89</v>
      </c>
      <c r="U100" s="229">
        <v>1.4800000000000001E-2</v>
      </c>
      <c r="V100" s="228">
        <v>128.75</v>
      </c>
      <c r="W100" s="228">
        <v>126</v>
      </c>
      <c r="X100" s="228">
        <v>2.75</v>
      </c>
      <c r="Y100" s="229">
        <v>2.18E-2</v>
      </c>
      <c r="Z100" s="228">
        <v>-2.33</v>
      </c>
      <c r="AA100" s="228">
        <v>-1.17</v>
      </c>
      <c r="AB100" s="228">
        <v>-1.1599999999999999</v>
      </c>
      <c r="AC100" s="229">
        <v>-1.7399999999999999E-2</v>
      </c>
      <c r="AD100" s="228">
        <v>-2.33</v>
      </c>
      <c r="AE100" s="228">
        <v>-0.28999999999999998</v>
      </c>
      <c r="AF100" s="228">
        <v>-2.04</v>
      </c>
      <c r="AG100" s="229">
        <v>-1.7399999999999999E-2</v>
      </c>
      <c r="AH100" s="228">
        <v>-4.2699999999999996</v>
      </c>
      <c r="AI100" s="228">
        <v>-1.17</v>
      </c>
      <c r="AJ100" s="228">
        <v>-3.1</v>
      </c>
      <c r="AK100" s="229">
        <v>-3.1899999999999998E-2</v>
      </c>
      <c r="AL100" s="228">
        <v>-5.12</v>
      </c>
      <c r="AM100" s="228">
        <v>-2.88</v>
      </c>
      <c r="AN100" s="228">
        <v>-2.2400000000000002</v>
      </c>
      <c r="AO100" s="229">
        <v>-3.8199999999999998E-2</v>
      </c>
      <c r="AP100" s="228">
        <v>128.97999999999999</v>
      </c>
      <c r="AQ100" s="228">
        <v>126.7</v>
      </c>
      <c r="AR100" s="228">
        <v>0</v>
      </c>
      <c r="AS100" s="228">
        <v>215</v>
      </c>
      <c r="AT100" s="228">
        <v>641</v>
      </c>
      <c r="AU100" s="228">
        <v>-426</v>
      </c>
      <c r="AV100" s="229">
        <v>-0.66459999999999997</v>
      </c>
      <c r="AW100" s="228">
        <v>173</v>
      </c>
      <c r="AX100" s="228">
        <v>291</v>
      </c>
      <c r="AY100" s="228">
        <v>-118</v>
      </c>
      <c r="AZ100" s="229">
        <v>-0.40649999999999997</v>
      </c>
      <c r="BA100" s="228">
        <v>31</v>
      </c>
      <c r="BB100" s="228">
        <v>325</v>
      </c>
      <c r="BC100" s="228">
        <v>-294</v>
      </c>
      <c r="BD100" s="229">
        <v>-0.90359999999999996</v>
      </c>
      <c r="BE100" s="228">
        <v>11</v>
      </c>
      <c r="BF100" s="228">
        <v>25</v>
      </c>
      <c r="BG100" s="228">
        <v>-14</v>
      </c>
      <c r="BH100" s="229">
        <v>-0.56059999999999999</v>
      </c>
      <c r="BI100" s="228">
        <v>476</v>
      </c>
      <c r="BJ100" s="228">
        <v>368</v>
      </c>
      <c r="BK100" s="228">
        <v>108</v>
      </c>
      <c r="BL100" s="229">
        <v>0.2949</v>
      </c>
      <c r="BM100" s="228">
        <v>153</v>
      </c>
      <c r="BN100" s="228">
        <v>200</v>
      </c>
      <c r="BO100" s="228">
        <v>-47</v>
      </c>
      <c r="BP100" s="229">
        <v>-0.2334</v>
      </c>
      <c r="BQ100" s="228">
        <v>844</v>
      </c>
      <c r="BR100" s="230">
        <v>1209</v>
      </c>
      <c r="BS100" s="228">
        <v>-365</v>
      </c>
      <c r="BT100" s="229">
        <v>-0.30149999999999999</v>
      </c>
      <c r="BU100" s="230">
        <v>11600348</v>
      </c>
      <c r="BV100" s="230">
        <v>11582621</v>
      </c>
      <c r="BW100" s="230">
        <v>17727</v>
      </c>
      <c r="BX100" s="229">
        <v>1.5E-3</v>
      </c>
      <c r="BY100" s="228">
        <v>807</v>
      </c>
      <c r="BZ100" s="228">
        <v>780</v>
      </c>
      <c r="CA100" s="228">
        <v>28</v>
      </c>
      <c r="CB100" s="229">
        <v>3.5299999999999998E-2</v>
      </c>
      <c r="CC100" s="228">
        <v>729</v>
      </c>
      <c r="CD100" s="228">
        <v>53</v>
      </c>
      <c r="CE100" s="228">
        <v>676</v>
      </c>
      <c r="CF100" s="229">
        <v>12.744</v>
      </c>
      <c r="CG100" s="228">
        <v>70</v>
      </c>
      <c r="CH100" s="228">
        <v>713</v>
      </c>
      <c r="CI100" s="228">
        <v>-643</v>
      </c>
      <c r="CJ100" s="229">
        <v>-0.90139999999999998</v>
      </c>
      <c r="CK100" s="228">
        <v>9</v>
      </c>
      <c r="CL100" s="228">
        <v>67</v>
      </c>
      <c r="CM100" s="228">
        <v>-58</v>
      </c>
      <c r="CN100" s="229">
        <v>-0.87190000000000001</v>
      </c>
      <c r="CO100" s="228">
        <v>283</v>
      </c>
      <c r="CP100" s="228">
        <v>227</v>
      </c>
      <c r="CQ100" s="228">
        <v>56</v>
      </c>
      <c r="CR100" s="229">
        <v>0.2475</v>
      </c>
      <c r="CS100" s="228">
        <v>213</v>
      </c>
      <c r="CT100" s="228">
        <v>175</v>
      </c>
      <c r="CU100" s="228">
        <v>37</v>
      </c>
      <c r="CV100" s="229">
        <v>0.21210000000000001</v>
      </c>
      <c r="CW100" s="230">
        <v>1303</v>
      </c>
      <c r="CX100" s="230">
        <v>1182</v>
      </c>
      <c r="CY100" s="228">
        <v>121</v>
      </c>
      <c r="CZ100" s="229">
        <v>0.1022</v>
      </c>
      <c r="DA100" s="228">
        <v>42.87</v>
      </c>
      <c r="DB100" s="228">
        <v>44.78</v>
      </c>
      <c r="DC100" s="228">
        <v>-1.91</v>
      </c>
      <c r="DD100" s="228">
        <v>-1.91</v>
      </c>
      <c r="DE100" s="228">
        <v>48.47</v>
      </c>
      <c r="DF100" s="228">
        <v>48.42</v>
      </c>
      <c r="DG100" s="228">
        <v>-5.6</v>
      </c>
      <c r="DH100" s="228">
        <v>0.05</v>
      </c>
      <c r="DI100" s="228">
        <v>42.37</v>
      </c>
      <c r="DJ100" s="228">
        <v>43.85</v>
      </c>
      <c r="DK100" s="228">
        <v>-1.48</v>
      </c>
      <c r="DL100" s="228">
        <v>-1.48</v>
      </c>
      <c r="DM100" s="228">
        <v>44.42</v>
      </c>
      <c r="DN100" s="228">
        <v>46.66</v>
      </c>
      <c r="DO100" s="228">
        <v>-2.2400000000000002</v>
      </c>
      <c r="DP100" s="228">
        <v>-2.2400000000000002</v>
      </c>
      <c r="DQ100" s="228">
        <v>0.75</v>
      </c>
      <c r="DR100" s="228">
        <v>0.77</v>
      </c>
      <c r="DS100" s="228">
        <v>-0.02</v>
      </c>
      <c r="DT100" s="229">
        <v>-2.5999999999999999E-2</v>
      </c>
      <c r="DU100" s="228">
        <v>140</v>
      </c>
      <c r="DV100" s="228">
        <v>130</v>
      </c>
      <c r="DW100" s="228">
        <v>0.32</v>
      </c>
      <c r="DX100" s="228">
        <v>0.54</v>
      </c>
      <c r="DY100" s="228">
        <v>-0.22</v>
      </c>
      <c r="DZ100" s="229">
        <v>-0.40739999999999998</v>
      </c>
      <c r="EA100" s="229">
        <v>9.7699999999999995E-2</v>
      </c>
      <c r="EB100" s="230">
        <v>59288250</v>
      </c>
      <c r="EC100" s="229">
        <v>-1.47E-2</v>
      </c>
      <c r="ED100" s="229">
        <v>9.7699999999999995E-2</v>
      </c>
      <c r="EE100" s="228">
        <v>-2.2799999999999998</v>
      </c>
      <c r="EF100" s="229">
        <v>-1.77E-2</v>
      </c>
      <c r="EG100" s="230">
        <v>4050271</v>
      </c>
      <c r="EH100" s="230">
        <v>4028866</v>
      </c>
      <c r="EI100" s="229">
        <v>5.3E-3</v>
      </c>
      <c r="EJ100" s="229">
        <v>0.34920000000000001</v>
      </c>
      <c r="EK100" s="228">
        <v>509.36</v>
      </c>
      <c r="EL100" s="228">
        <v>148.30000000000001</v>
      </c>
      <c r="EM100" s="228">
        <v>210.11</v>
      </c>
      <c r="EN100" s="228">
        <v>163.91</v>
      </c>
      <c r="EO100" s="228">
        <v>867.76</v>
      </c>
      <c r="EP100" s="231">
        <v>1209.3399999999999</v>
      </c>
      <c r="EQ100" s="228">
        <v>-341.57</v>
      </c>
      <c r="ER100" s="229">
        <v>-0.28239999999999998</v>
      </c>
      <c r="ES100" s="228">
        <v>303.08</v>
      </c>
      <c r="ET100" s="228">
        <v>211.93</v>
      </c>
      <c r="EU100" s="228">
        <v>806.16</v>
      </c>
      <c r="EV100" s="231">
        <v>119011160</v>
      </c>
      <c r="EW100" s="231">
        <v>1321.17</v>
      </c>
      <c r="EX100" s="231">
        <v>1177.1199999999999</v>
      </c>
      <c r="EY100" s="228">
        <v>144.05000000000001</v>
      </c>
      <c r="EZ100" s="229">
        <v>0.12239999999999999</v>
      </c>
      <c r="FA100" s="229">
        <v>0.83230000000000004</v>
      </c>
      <c r="FB100" s="227" t="s">
        <v>555</v>
      </c>
      <c r="FC100">
        <f t="shared" si="1"/>
        <v>78</v>
      </c>
    </row>
    <row r="101" spans="1:159" ht="17.25" thickBot="1" x14ac:dyDescent="0.3">
      <c r="A101" s="226">
        <v>46050</v>
      </c>
      <c r="B101" s="227" t="s">
        <v>215</v>
      </c>
      <c r="C101" s="227" t="s">
        <v>592</v>
      </c>
      <c r="D101" s="228">
        <v>4250</v>
      </c>
      <c r="E101" s="228">
        <v>27</v>
      </c>
      <c r="F101" s="228">
        <v>120.33</v>
      </c>
      <c r="G101" s="228">
        <v>115.18</v>
      </c>
      <c r="H101" s="228">
        <v>5.15</v>
      </c>
      <c r="I101" s="229">
        <v>4.4699999999999997E-2</v>
      </c>
      <c r="J101" s="228">
        <v>120.15</v>
      </c>
      <c r="K101" s="228">
        <v>114.61</v>
      </c>
      <c r="L101" s="228">
        <v>5.54</v>
      </c>
      <c r="M101" s="229">
        <v>4.8300000000000003E-2</v>
      </c>
      <c r="N101" s="228">
        <v>120.33</v>
      </c>
      <c r="O101" s="228">
        <v>114.53</v>
      </c>
      <c r="P101" s="228">
        <v>5.8</v>
      </c>
      <c r="Q101" s="229">
        <v>5.0599999999999999E-2</v>
      </c>
      <c r="R101" s="228">
        <v>120.25</v>
      </c>
      <c r="S101" s="228">
        <v>115.18</v>
      </c>
      <c r="T101" s="228">
        <v>5.07</v>
      </c>
      <c r="U101" s="229">
        <v>4.3999999999999997E-2</v>
      </c>
      <c r="V101" s="228">
        <v>120.18</v>
      </c>
      <c r="W101" s="228">
        <v>115.31</v>
      </c>
      <c r="X101" s="228">
        <v>4.87</v>
      </c>
      <c r="Y101" s="229">
        <v>4.2200000000000001E-2</v>
      </c>
      <c r="Z101" s="228">
        <v>0.18</v>
      </c>
      <c r="AA101" s="228">
        <v>0.56999999999999995</v>
      </c>
      <c r="AB101" s="228">
        <v>-0.39</v>
      </c>
      <c r="AC101" s="229">
        <v>1.5E-3</v>
      </c>
      <c r="AD101" s="228">
        <v>0.18</v>
      </c>
      <c r="AE101" s="228">
        <v>-0.08</v>
      </c>
      <c r="AF101" s="228">
        <v>0.26</v>
      </c>
      <c r="AG101" s="229">
        <v>1.5E-3</v>
      </c>
      <c r="AH101" s="228">
        <v>0.1</v>
      </c>
      <c r="AI101" s="228">
        <v>0.56999999999999995</v>
      </c>
      <c r="AJ101" s="228">
        <v>-0.47</v>
      </c>
      <c r="AK101" s="229">
        <v>8.0000000000000004E-4</v>
      </c>
      <c r="AL101" s="228">
        <v>0.03</v>
      </c>
      <c r="AM101" s="228">
        <v>0.7</v>
      </c>
      <c r="AN101" s="228">
        <v>-0.67</v>
      </c>
      <c r="AO101" s="229">
        <v>2.0000000000000001E-4</v>
      </c>
      <c r="AP101" s="228">
        <v>118.61</v>
      </c>
      <c r="AQ101" s="228">
        <v>118.39</v>
      </c>
      <c r="AR101" s="228">
        <v>0</v>
      </c>
      <c r="AS101" s="228">
        <v>342</v>
      </c>
      <c r="AT101" s="228">
        <v>729</v>
      </c>
      <c r="AU101" s="228">
        <v>-387</v>
      </c>
      <c r="AV101" s="229">
        <v>-0.53120000000000001</v>
      </c>
      <c r="AW101" s="228">
        <v>288</v>
      </c>
      <c r="AX101" s="228">
        <v>332</v>
      </c>
      <c r="AY101" s="228">
        <v>-44</v>
      </c>
      <c r="AZ101" s="229">
        <v>-0.1336</v>
      </c>
      <c r="BA101" s="228">
        <v>50</v>
      </c>
      <c r="BB101" s="228">
        <v>368</v>
      </c>
      <c r="BC101" s="228">
        <v>-319</v>
      </c>
      <c r="BD101" s="229">
        <v>-0.86519999999999997</v>
      </c>
      <c r="BE101" s="228">
        <v>4</v>
      </c>
      <c r="BF101" s="228">
        <v>28</v>
      </c>
      <c r="BG101" s="228">
        <v>-24</v>
      </c>
      <c r="BH101" s="229">
        <v>-0.84560000000000002</v>
      </c>
      <c r="BI101" s="230">
        <v>1207</v>
      </c>
      <c r="BJ101" s="228">
        <v>961</v>
      </c>
      <c r="BK101" s="228">
        <v>247</v>
      </c>
      <c r="BL101" s="229">
        <v>0.25679999999999997</v>
      </c>
      <c r="BM101" s="228">
        <v>282</v>
      </c>
      <c r="BN101" s="228">
        <v>409</v>
      </c>
      <c r="BO101" s="228">
        <v>-127</v>
      </c>
      <c r="BP101" s="229">
        <v>-0.30959999999999999</v>
      </c>
      <c r="BQ101" s="230">
        <v>1831</v>
      </c>
      <c r="BR101" s="230">
        <v>2099</v>
      </c>
      <c r="BS101" s="228">
        <v>-267</v>
      </c>
      <c r="BT101" s="229">
        <v>-0.1273</v>
      </c>
      <c r="BU101" s="230">
        <v>25621584</v>
      </c>
      <c r="BV101" s="230">
        <v>20217152</v>
      </c>
      <c r="BW101" s="230">
        <v>5404432</v>
      </c>
      <c r="BX101" s="229">
        <v>0.26729999999999998</v>
      </c>
      <c r="BY101" s="228">
        <v>737</v>
      </c>
      <c r="BZ101" s="228">
        <v>686</v>
      </c>
      <c r="CA101" s="228">
        <v>51</v>
      </c>
      <c r="CB101" s="229">
        <v>7.4499999999999997E-2</v>
      </c>
      <c r="CC101" s="228">
        <v>690</v>
      </c>
      <c r="CD101" s="228">
        <v>102</v>
      </c>
      <c r="CE101" s="228">
        <v>587</v>
      </c>
      <c r="CF101" s="229">
        <v>5.7328999999999999</v>
      </c>
      <c r="CG101" s="228">
        <v>45</v>
      </c>
      <c r="CH101" s="228">
        <v>646</v>
      </c>
      <c r="CI101" s="228">
        <v>-602</v>
      </c>
      <c r="CJ101" s="229">
        <v>-0.93100000000000005</v>
      </c>
      <c r="CK101" s="228">
        <v>3</v>
      </c>
      <c r="CL101" s="228">
        <v>40</v>
      </c>
      <c r="CM101" s="228">
        <v>-37</v>
      </c>
      <c r="CN101" s="229">
        <v>-0.91959999999999997</v>
      </c>
      <c r="CO101" s="228">
        <v>538</v>
      </c>
      <c r="CP101" s="228">
        <v>450</v>
      </c>
      <c r="CQ101" s="228">
        <v>88</v>
      </c>
      <c r="CR101" s="229">
        <v>0.19620000000000001</v>
      </c>
      <c r="CS101" s="228">
        <v>333</v>
      </c>
      <c r="CT101" s="228">
        <v>287</v>
      </c>
      <c r="CU101" s="228">
        <v>47</v>
      </c>
      <c r="CV101" s="229">
        <v>0.16239999999999999</v>
      </c>
      <c r="CW101" s="230">
        <v>1609</v>
      </c>
      <c r="CX101" s="230">
        <v>1423</v>
      </c>
      <c r="CY101" s="228">
        <v>186</v>
      </c>
      <c r="CZ101" s="229">
        <v>0.13070000000000001</v>
      </c>
      <c r="DA101" s="228">
        <v>43.69</v>
      </c>
      <c r="DB101" s="228">
        <v>44.36</v>
      </c>
      <c r="DC101" s="228">
        <v>-0.67</v>
      </c>
      <c r="DD101" s="228">
        <v>-0.67</v>
      </c>
      <c r="DE101" s="228">
        <v>45.42</v>
      </c>
      <c r="DF101" s="228">
        <v>45.15</v>
      </c>
      <c r="DG101" s="228">
        <v>-1.73</v>
      </c>
      <c r="DH101" s="228">
        <v>0.27</v>
      </c>
      <c r="DI101" s="228">
        <v>43.73</v>
      </c>
      <c r="DJ101" s="228">
        <v>44.89</v>
      </c>
      <c r="DK101" s="228">
        <v>-1.1599999999999999</v>
      </c>
      <c r="DL101" s="228">
        <v>-1.1599999999999999</v>
      </c>
      <c r="DM101" s="228">
        <v>43.51</v>
      </c>
      <c r="DN101" s="228">
        <v>42.98</v>
      </c>
      <c r="DO101" s="228">
        <v>0.53</v>
      </c>
      <c r="DP101" s="228">
        <v>0.53</v>
      </c>
      <c r="DQ101" s="228">
        <v>0.62</v>
      </c>
      <c r="DR101" s="228">
        <v>0.64</v>
      </c>
      <c r="DS101" s="228">
        <v>-0.02</v>
      </c>
      <c r="DT101" s="229">
        <v>-3.1300000000000001E-2</v>
      </c>
      <c r="DU101" s="228">
        <v>120</v>
      </c>
      <c r="DV101" s="228">
        <v>105</v>
      </c>
      <c r="DW101" s="228">
        <v>0.23</v>
      </c>
      <c r="DX101" s="228">
        <v>0.43</v>
      </c>
      <c r="DY101" s="228">
        <v>-0.2</v>
      </c>
      <c r="DZ101" s="229">
        <v>-0.46510000000000001</v>
      </c>
      <c r="EA101" s="229">
        <v>6.4799999999999996E-2</v>
      </c>
      <c r="EB101" s="230">
        <v>57039250</v>
      </c>
      <c r="EC101" s="229">
        <v>-6.9999999999999999E-4</v>
      </c>
      <c r="ED101" s="229">
        <v>6.4799999999999996E-2</v>
      </c>
      <c r="EE101" s="228">
        <v>-0.22</v>
      </c>
      <c r="EF101" s="229">
        <v>-1.9E-3</v>
      </c>
      <c r="EG101" s="230">
        <v>7307942</v>
      </c>
      <c r="EH101" s="230">
        <v>4883649</v>
      </c>
      <c r="EI101" s="229">
        <v>0.49640000000000001</v>
      </c>
      <c r="EJ101" s="229">
        <v>0.28520000000000001</v>
      </c>
      <c r="EK101" s="231">
        <v>1287.54</v>
      </c>
      <c r="EL101" s="228">
        <v>274.63</v>
      </c>
      <c r="EM101" s="228">
        <v>336.71</v>
      </c>
      <c r="EN101" s="228">
        <v>126.07</v>
      </c>
      <c r="EO101" s="231">
        <v>1898.88</v>
      </c>
      <c r="EP101" s="231">
        <v>2080.69</v>
      </c>
      <c r="EQ101" s="228">
        <v>-181.81</v>
      </c>
      <c r="ER101" s="229">
        <v>-8.7400000000000005E-2</v>
      </c>
      <c r="ES101" s="228">
        <v>570.88</v>
      </c>
      <c r="ET101" s="228">
        <v>315.76</v>
      </c>
      <c r="EU101" s="228">
        <v>737.46</v>
      </c>
      <c r="EV101" s="231">
        <v>200960551</v>
      </c>
      <c r="EW101" s="231">
        <v>1624.1</v>
      </c>
      <c r="EX101" s="231">
        <v>1403.59</v>
      </c>
      <c r="EY101" s="228">
        <v>220.51</v>
      </c>
      <c r="EZ101" s="229">
        <v>0.15709999999999999</v>
      </c>
      <c r="FA101" s="229">
        <v>0.66520000000000001</v>
      </c>
      <c r="FB101" s="227" t="s">
        <v>555</v>
      </c>
      <c r="FC101">
        <f t="shared" si="1"/>
        <v>47</v>
      </c>
    </row>
    <row r="102" spans="1:159" ht="17.25" thickBot="1" x14ac:dyDescent="0.3">
      <c r="A102" s="226">
        <v>46050</v>
      </c>
      <c r="B102" s="227" t="s">
        <v>168</v>
      </c>
      <c r="C102" s="227" t="s">
        <v>242</v>
      </c>
      <c r="D102" s="228">
        <v>1600</v>
      </c>
      <c r="E102" s="228">
        <v>27</v>
      </c>
      <c r="F102" s="228">
        <v>322.75</v>
      </c>
      <c r="G102" s="228">
        <v>320.45</v>
      </c>
      <c r="H102" s="228">
        <v>2.2999999999999998</v>
      </c>
      <c r="I102" s="229">
        <v>7.1999999999999998E-3</v>
      </c>
      <c r="J102" s="228">
        <v>321.14999999999998</v>
      </c>
      <c r="K102" s="228">
        <v>318.64999999999998</v>
      </c>
      <c r="L102" s="228">
        <v>2.5</v>
      </c>
      <c r="M102" s="229">
        <v>7.7999999999999996E-3</v>
      </c>
      <c r="N102" s="228">
        <v>322.75</v>
      </c>
      <c r="O102" s="228">
        <v>319.2</v>
      </c>
      <c r="P102" s="228">
        <v>3.55</v>
      </c>
      <c r="Q102" s="229">
        <v>1.11E-2</v>
      </c>
      <c r="R102" s="228">
        <v>324.89999999999998</v>
      </c>
      <c r="S102" s="228">
        <v>320.45</v>
      </c>
      <c r="T102" s="228">
        <v>4.45</v>
      </c>
      <c r="U102" s="229">
        <v>1.3899999999999999E-2</v>
      </c>
      <c r="V102" s="228">
        <v>326.7</v>
      </c>
      <c r="W102" s="228">
        <v>322.45</v>
      </c>
      <c r="X102" s="228">
        <v>4.25</v>
      </c>
      <c r="Y102" s="229">
        <v>1.32E-2</v>
      </c>
      <c r="Z102" s="228">
        <v>1.6</v>
      </c>
      <c r="AA102" s="228">
        <v>1.8</v>
      </c>
      <c r="AB102" s="228">
        <v>-0.2</v>
      </c>
      <c r="AC102" s="229">
        <v>5.0000000000000001E-3</v>
      </c>
      <c r="AD102" s="228">
        <v>1.6</v>
      </c>
      <c r="AE102" s="228">
        <v>0.55000000000000004</v>
      </c>
      <c r="AF102" s="228">
        <v>1.05</v>
      </c>
      <c r="AG102" s="229">
        <v>5.0000000000000001E-3</v>
      </c>
      <c r="AH102" s="228">
        <v>3.75</v>
      </c>
      <c r="AI102" s="228">
        <v>1.8</v>
      </c>
      <c r="AJ102" s="228">
        <v>1.95</v>
      </c>
      <c r="AK102" s="229">
        <v>1.17E-2</v>
      </c>
      <c r="AL102" s="228">
        <v>5.55</v>
      </c>
      <c r="AM102" s="228">
        <v>3.8</v>
      </c>
      <c r="AN102" s="228">
        <v>1.75</v>
      </c>
      <c r="AO102" s="229">
        <v>1.7299999999999999E-2</v>
      </c>
      <c r="AP102" s="228">
        <v>322.51</v>
      </c>
      <c r="AQ102" s="228">
        <v>324.66000000000003</v>
      </c>
      <c r="AR102" s="228">
        <v>0</v>
      </c>
      <c r="AS102" s="228">
        <v>688</v>
      </c>
      <c r="AT102" s="230">
        <v>6625</v>
      </c>
      <c r="AU102" s="230">
        <v>-5937</v>
      </c>
      <c r="AV102" s="229">
        <v>-0.8962</v>
      </c>
      <c r="AW102" s="228">
        <v>637</v>
      </c>
      <c r="AX102" s="230">
        <v>3344</v>
      </c>
      <c r="AY102" s="230">
        <v>-2706</v>
      </c>
      <c r="AZ102" s="229">
        <v>-0.80940000000000001</v>
      </c>
      <c r="BA102" s="228">
        <v>43</v>
      </c>
      <c r="BB102" s="230">
        <v>3144</v>
      </c>
      <c r="BC102" s="230">
        <v>-3100</v>
      </c>
      <c r="BD102" s="229">
        <v>-0.98619999999999997</v>
      </c>
      <c r="BE102" s="228">
        <v>7</v>
      </c>
      <c r="BF102" s="228">
        <v>138</v>
      </c>
      <c r="BG102" s="228">
        <v>-131</v>
      </c>
      <c r="BH102" s="229">
        <v>-0.94769999999999999</v>
      </c>
      <c r="BI102" s="230">
        <v>2783</v>
      </c>
      <c r="BJ102" s="230">
        <v>3768</v>
      </c>
      <c r="BK102" s="228">
        <v>-986</v>
      </c>
      <c r="BL102" s="229">
        <v>-0.2616</v>
      </c>
      <c r="BM102" s="230">
        <v>1424</v>
      </c>
      <c r="BN102" s="230">
        <v>3725</v>
      </c>
      <c r="BO102" s="230">
        <v>-2301</v>
      </c>
      <c r="BP102" s="229">
        <v>-0.61760000000000004</v>
      </c>
      <c r="BQ102" s="230">
        <v>4895</v>
      </c>
      <c r="BR102" s="230">
        <v>14119</v>
      </c>
      <c r="BS102" s="230">
        <v>-9224</v>
      </c>
      <c r="BT102" s="229">
        <v>-0.65329999999999999</v>
      </c>
      <c r="BU102" s="230">
        <v>29743603</v>
      </c>
      <c r="BV102" s="230">
        <v>49501718</v>
      </c>
      <c r="BW102" s="230">
        <v>-19758115</v>
      </c>
      <c r="BX102" s="229">
        <v>-0.39910000000000001</v>
      </c>
      <c r="BY102" s="230">
        <v>6152</v>
      </c>
      <c r="BZ102" s="230">
        <v>6101</v>
      </c>
      <c r="CA102" s="228">
        <v>51</v>
      </c>
      <c r="CB102" s="229">
        <v>8.3999999999999995E-3</v>
      </c>
      <c r="CC102" s="230">
        <v>5755</v>
      </c>
      <c r="CD102" s="230">
        <v>1728</v>
      </c>
      <c r="CE102" s="230">
        <v>4027</v>
      </c>
      <c r="CF102" s="229">
        <v>2.3306</v>
      </c>
      <c r="CG102" s="228">
        <v>392</v>
      </c>
      <c r="CH102" s="230">
        <v>5716</v>
      </c>
      <c r="CI102" s="230">
        <v>-5324</v>
      </c>
      <c r="CJ102" s="229">
        <v>-0.93140000000000001</v>
      </c>
      <c r="CK102" s="228">
        <v>5</v>
      </c>
      <c r="CL102" s="228">
        <v>384</v>
      </c>
      <c r="CM102" s="228">
        <v>-380</v>
      </c>
      <c r="CN102" s="229">
        <v>-0.98740000000000006</v>
      </c>
      <c r="CO102" s="230">
        <v>2698</v>
      </c>
      <c r="CP102" s="230">
        <v>2281</v>
      </c>
      <c r="CQ102" s="228">
        <v>418</v>
      </c>
      <c r="CR102" s="229">
        <v>0.18310000000000001</v>
      </c>
      <c r="CS102" s="230">
        <v>2035</v>
      </c>
      <c r="CT102" s="230">
        <v>1882</v>
      </c>
      <c r="CU102" s="228">
        <v>153</v>
      </c>
      <c r="CV102" s="229">
        <v>8.1199999999999994E-2</v>
      </c>
      <c r="CW102" s="230">
        <v>10885</v>
      </c>
      <c r="CX102" s="230">
        <v>10263</v>
      </c>
      <c r="CY102" s="228">
        <v>622</v>
      </c>
      <c r="CZ102" s="229">
        <v>6.0600000000000001E-2</v>
      </c>
      <c r="DA102" s="228">
        <v>28.09</v>
      </c>
      <c r="DB102" s="228">
        <v>28.08</v>
      </c>
      <c r="DC102" s="228">
        <v>0.01</v>
      </c>
      <c r="DD102" s="228">
        <v>0.01</v>
      </c>
      <c r="DE102" s="228">
        <v>23.15</v>
      </c>
      <c r="DF102" s="228">
        <v>23.19</v>
      </c>
      <c r="DG102" s="228">
        <v>4.9400000000000004</v>
      </c>
      <c r="DH102" s="228">
        <v>-0.04</v>
      </c>
      <c r="DI102" s="228">
        <v>27.45</v>
      </c>
      <c r="DJ102" s="228">
        <v>27.76</v>
      </c>
      <c r="DK102" s="228">
        <v>-0.31</v>
      </c>
      <c r="DL102" s="228">
        <v>-0.31</v>
      </c>
      <c r="DM102" s="228">
        <v>29.35</v>
      </c>
      <c r="DN102" s="228">
        <v>28.41</v>
      </c>
      <c r="DO102" s="228">
        <v>0.94</v>
      </c>
      <c r="DP102" s="228">
        <v>0.94</v>
      </c>
      <c r="DQ102" s="228">
        <v>0.75</v>
      </c>
      <c r="DR102" s="228">
        <v>0.83</v>
      </c>
      <c r="DS102" s="228">
        <v>-0.08</v>
      </c>
      <c r="DT102" s="229">
        <v>-9.64E-2</v>
      </c>
      <c r="DU102" s="228">
        <v>350</v>
      </c>
      <c r="DV102" s="228">
        <v>300</v>
      </c>
      <c r="DW102" s="228">
        <v>0.51</v>
      </c>
      <c r="DX102" s="228">
        <v>0.99</v>
      </c>
      <c r="DY102" s="228">
        <v>-0.48</v>
      </c>
      <c r="DZ102" s="229">
        <v>-0.48480000000000001</v>
      </c>
      <c r="EA102" s="229">
        <v>6.4600000000000005E-2</v>
      </c>
      <c r="EB102" s="230">
        <v>189019200</v>
      </c>
      <c r="EC102" s="229">
        <v>6.7000000000000002E-3</v>
      </c>
      <c r="ED102" s="229">
        <v>6.4600000000000005E-2</v>
      </c>
      <c r="EE102" s="228">
        <v>2.15</v>
      </c>
      <c r="EF102" s="229">
        <v>6.7000000000000002E-3</v>
      </c>
      <c r="EG102" s="230">
        <v>18873003</v>
      </c>
      <c r="EH102" s="230">
        <v>33650125</v>
      </c>
      <c r="EI102" s="229">
        <v>-0.43909999999999999</v>
      </c>
      <c r="EJ102" s="229">
        <v>0.63449999999999995</v>
      </c>
      <c r="EK102" s="231">
        <v>3022.95</v>
      </c>
      <c r="EL102" s="231">
        <v>1412.85</v>
      </c>
      <c r="EM102" s="228">
        <v>687.75</v>
      </c>
      <c r="EN102" s="228">
        <v>704.35</v>
      </c>
      <c r="EO102" s="231">
        <v>5123.54</v>
      </c>
      <c r="EP102" s="231">
        <v>14545.52</v>
      </c>
      <c r="EQ102" s="231">
        <v>-9421.98</v>
      </c>
      <c r="ER102" s="229">
        <v>-0.64780000000000004</v>
      </c>
      <c r="ES102" s="231">
        <v>2942.18</v>
      </c>
      <c r="ET102" s="231">
        <v>2076.5</v>
      </c>
      <c r="EU102" s="231">
        <v>6154.55</v>
      </c>
      <c r="EV102" s="231">
        <v>1252401670</v>
      </c>
      <c r="EW102" s="231">
        <v>11173.23</v>
      </c>
      <c r="EX102" s="231">
        <v>10492.51</v>
      </c>
      <c r="EY102" s="228">
        <v>680.72</v>
      </c>
      <c r="EZ102" s="229">
        <v>6.4899999999999999E-2</v>
      </c>
      <c r="FA102" s="229">
        <v>0.26929999999999998</v>
      </c>
      <c r="FB102" s="227" t="s">
        <v>555</v>
      </c>
      <c r="FC102">
        <f t="shared" si="1"/>
        <v>397</v>
      </c>
    </row>
    <row r="103" spans="1:159" ht="17.25" thickBot="1" x14ac:dyDescent="0.3">
      <c r="A103" s="226">
        <v>46050</v>
      </c>
      <c r="B103" s="227" t="s">
        <v>227</v>
      </c>
      <c r="C103" s="227" t="s">
        <v>243</v>
      </c>
      <c r="D103" s="228">
        <v>625</v>
      </c>
      <c r="E103" s="228">
        <v>27</v>
      </c>
      <c r="F103" s="231">
        <v>1123.9000000000001</v>
      </c>
      <c r="G103" s="231">
        <v>1088.5999999999999</v>
      </c>
      <c r="H103" s="228">
        <v>35.299999999999997</v>
      </c>
      <c r="I103" s="229">
        <v>3.2399999999999998E-2</v>
      </c>
      <c r="J103" s="231">
        <v>1119.4000000000001</v>
      </c>
      <c r="K103" s="231">
        <v>1080.7</v>
      </c>
      <c r="L103" s="228">
        <v>38.700000000000003</v>
      </c>
      <c r="M103" s="229">
        <v>3.5799999999999998E-2</v>
      </c>
      <c r="N103" s="231">
        <v>1123.9000000000001</v>
      </c>
      <c r="O103" s="231">
        <v>1081.0999999999999</v>
      </c>
      <c r="P103" s="228">
        <v>42.8</v>
      </c>
      <c r="Q103" s="229">
        <v>3.9600000000000003E-2</v>
      </c>
      <c r="R103" s="231">
        <v>1129.3</v>
      </c>
      <c r="S103" s="231">
        <v>1088.5999999999999</v>
      </c>
      <c r="T103" s="228">
        <v>40.700000000000003</v>
      </c>
      <c r="U103" s="229">
        <v>3.7400000000000003E-2</v>
      </c>
      <c r="V103" s="231">
        <v>1136.5999999999999</v>
      </c>
      <c r="W103" s="231">
        <v>1096.9000000000001</v>
      </c>
      <c r="X103" s="228">
        <v>39.700000000000003</v>
      </c>
      <c r="Y103" s="229">
        <v>3.6200000000000003E-2</v>
      </c>
      <c r="Z103" s="228">
        <v>4.5</v>
      </c>
      <c r="AA103" s="228">
        <v>7.9</v>
      </c>
      <c r="AB103" s="228">
        <v>-3.4</v>
      </c>
      <c r="AC103" s="229">
        <v>4.0000000000000001E-3</v>
      </c>
      <c r="AD103" s="228">
        <v>4.5</v>
      </c>
      <c r="AE103" s="228">
        <v>0.4</v>
      </c>
      <c r="AF103" s="228">
        <v>4.0999999999999996</v>
      </c>
      <c r="AG103" s="229">
        <v>4.0000000000000001E-3</v>
      </c>
      <c r="AH103" s="228">
        <v>9.9</v>
      </c>
      <c r="AI103" s="228">
        <v>7.9</v>
      </c>
      <c r="AJ103" s="228">
        <v>2</v>
      </c>
      <c r="AK103" s="229">
        <v>8.8000000000000005E-3</v>
      </c>
      <c r="AL103" s="228">
        <v>17.2</v>
      </c>
      <c r="AM103" s="228">
        <v>16.2</v>
      </c>
      <c r="AN103" s="228">
        <v>1</v>
      </c>
      <c r="AO103" s="229">
        <v>1.54E-2</v>
      </c>
      <c r="AP103" s="231">
        <v>1111.07</v>
      </c>
      <c r="AQ103" s="231">
        <v>1116.44</v>
      </c>
      <c r="AR103" s="228">
        <v>0</v>
      </c>
      <c r="AS103" s="228">
        <v>489</v>
      </c>
      <c r="AT103" s="228">
        <v>628</v>
      </c>
      <c r="AU103" s="228">
        <v>-139</v>
      </c>
      <c r="AV103" s="229">
        <v>-0.2215</v>
      </c>
      <c r="AW103" s="228">
        <v>472</v>
      </c>
      <c r="AX103" s="228">
        <v>265</v>
      </c>
      <c r="AY103" s="228">
        <v>207</v>
      </c>
      <c r="AZ103" s="229">
        <v>0.7792</v>
      </c>
      <c r="BA103" s="228">
        <v>16</v>
      </c>
      <c r="BB103" s="228">
        <v>359</v>
      </c>
      <c r="BC103" s="228">
        <v>-343</v>
      </c>
      <c r="BD103" s="229">
        <v>-0.95499999999999996</v>
      </c>
      <c r="BE103" s="228">
        <v>1</v>
      </c>
      <c r="BF103" s="228">
        <v>4</v>
      </c>
      <c r="BG103" s="228">
        <v>-3</v>
      </c>
      <c r="BH103" s="229">
        <v>-0.67800000000000005</v>
      </c>
      <c r="BI103" s="230">
        <v>1054</v>
      </c>
      <c r="BJ103" s="228">
        <v>632</v>
      </c>
      <c r="BK103" s="228">
        <v>423</v>
      </c>
      <c r="BL103" s="229">
        <v>0.66920000000000002</v>
      </c>
      <c r="BM103" s="228">
        <v>360</v>
      </c>
      <c r="BN103" s="228">
        <v>350</v>
      </c>
      <c r="BO103" s="228">
        <v>10</v>
      </c>
      <c r="BP103" s="229">
        <v>2.8500000000000001E-2</v>
      </c>
      <c r="BQ103" s="230">
        <v>1904</v>
      </c>
      <c r="BR103" s="230">
        <v>1610</v>
      </c>
      <c r="BS103" s="228">
        <v>294</v>
      </c>
      <c r="BT103" s="229">
        <v>0.18229999999999999</v>
      </c>
      <c r="BU103" s="230">
        <v>2875559</v>
      </c>
      <c r="BV103" s="230">
        <v>1968217</v>
      </c>
      <c r="BW103" s="230">
        <v>907342</v>
      </c>
      <c r="BX103" s="229">
        <v>0.46100000000000002</v>
      </c>
      <c r="BY103" s="230">
        <v>1160</v>
      </c>
      <c r="BZ103" s="230">
        <v>1156</v>
      </c>
      <c r="CA103" s="228">
        <v>4</v>
      </c>
      <c r="CB103" s="229">
        <v>3.3E-3</v>
      </c>
      <c r="CC103" s="230">
        <v>1146</v>
      </c>
      <c r="CD103" s="228">
        <v>47</v>
      </c>
      <c r="CE103" s="230">
        <v>1099</v>
      </c>
      <c r="CF103" s="229">
        <v>23.177800000000001</v>
      </c>
      <c r="CG103" s="228">
        <v>13</v>
      </c>
      <c r="CH103" s="230">
        <v>1148</v>
      </c>
      <c r="CI103" s="230">
        <v>-1135</v>
      </c>
      <c r="CJ103" s="229">
        <v>-0.98870000000000002</v>
      </c>
      <c r="CK103" s="228">
        <v>1</v>
      </c>
      <c r="CL103" s="228">
        <v>9</v>
      </c>
      <c r="CM103" s="228">
        <v>-8</v>
      </c>
      <c r="CN103" s="229">
        <v>-0.88519999999999999</v>
      </c>
      <c r="CO103" s="228">
        <v>289</v>
      </c>
      <c r="CP103" s="228">
        <v>228</v>
      </c>
      <c r="CQ103" s="228">
        <v>61</v>
      </c>
      <c r="CR103" s="229">
        <v>0.26879999999999998</v>
      </c>
      <c r="CS103" s="228">
        <v>234</v>
      </c>
      <c r="CT103" s="228">
        <v>161</v>
      </c>
      <c r="CU103" s="228">
        <v>72</v>
      </c>
      <c r="CV103" s="229">
        <v>0.44819999999999999</v>
      </c>
      <c r="CW103" s="230">
        <v>1683</v>
      </c>
      <c r="CX103" s="230">
        <v>1546</v>
      </c>
      <c r="CY103" s="228">
        <v>137</v>
      </c>
      <c r="CZ103" s="229">
        <v>8.8900000000000007E-2</v>
      </c>
      <c r="DA103" s="228">
        <v>36.159999999999997</v>
      </c>
      <c r="DB103" s="228">
        <v>37.020000000000003</v>
      </c>
      <c r="DC103" s="228">
        <v>-0.86</v>
      </c>
      <c r="DD103" s="228">
        <v>-0.86</v>
      </c>
      <c r="DE103" s="228">
        <v>34.93</v>
      </c>
      <c r="DF103" s="228">
        <v>34.700000000000003</v>
      </c>
      <c r="DG103" s="228">
        <v>1.23</v>
      </c>
      <c r="DH103" s="228">
        <v>0.23</v>
      </c>
      <c r="DI103" s="228">
        <v>36.03</v>
      </c>
      <c r="DJ103" s="228">
        <v>36.92</v>
      </c>
      <c r="DK103" s="228">
        <v>-0.89</v>
      </c>
      <c r="DL103" s="228">
        <v>-0.89</v>
      </c>
      <c r="DM103" s="228">
        <v>36.520000000000003</v>
      </c>
      <c r="DN103" s="228">
        <v>37.340000000000003</v>
      </c>
      <c r="DO103" s="228">
        <v>-0.82</v>
      </c>
      <c r="DP103" s="228">
        <v>-0.82</v>
      </c>
      <c r="DQ103" s="228">
        <v>0.81</v>
      </c>
      <c r="DR103" s="228">
        <v>0.71</v>
      </c>
      <c r="DS103" s="228">
        <v>0.1</v>
      </c>
      <c r="DT103" s="229">
        <v>0.14080000000000001</v>
      </c>
      <c r="DU103" s="231">
        <v>1120</v>
      </c>
      <c r="DV103" s="231">
        <v>1100</v>
      </c>
      <c r="DW103" s="228">
        <v>0.34</v>
      </c>
      <c r="DX103" s="228">
        <v>0.55000000000000004</v>
      </c>
      <c r="DY103" s="228">
        <v>-0.21</v>
      </c>
      <c r="DZ103" s="229">
        <v>-0.38179999999999997</v>
      </c>
      <c r="EA103" s="229">
        <v>1.2E-2</v>
      </c>
      <c r="EB103" s="230">
        <v>10290000</v>
      </c>
      <c r="EC103" s="229">
        <v>4.7999999999999996E-3</v>
      </c>
      <c r="ED103" s="229">
        <v>1.2E-2</v>
      </c>
      <c r="EE103" s="228">
        <v>5.37</v>
      </c>
      <c r="EF103" s="229">
        <v>4.7999999999999996E-3</v>
      </c>
      <c r="EG103" s="230">
        <v>1329576</v>
      </c>
      <c r="EH103" s="230">
        <v>991692</v>
      </c>
      <c r="EI103" s="229">
        <v>0.3407</v>
      </c>
      <c r="EJ103" s="229">
        <v>0.46239999999999998</v>
      </c>
      <c r="EK103" s="231">
        <v>1102.49</v>
      </c>
      <c r="EL103" s="228">
        <v>347.86</v>
      </c>
      <c r="EM103" s="228">
        <v>483.56</v>
      </c>
      <c r="EN103" s="228">
        <v>137.47</v>
      </c>
      <c r="EO103" s="231">
        <v>1933.9</v>
      </c>
      <c r="EP103" s="231">
        <v>1565.29</v>
      </c>
      <c r="EQ103" s="228">
        <v>368.61</v>
      </c>
      <c r="ER103" s="229">
        <v>0.23549999999999999</v>
      </c>
      <c r="ES103" s="228">
        <v>291.39999999999998</v>
      </c>
      <c r="ET103" s="228">
        <v>215.74</v>
      </c>
      <c r="EU103" s="231">
        <v>1160.3599999999999</v>
      </c>
      <c r="EV103" s="231">
        <v>48257090</v>
      </c>
      <c r="EW103" s="231">
        <v>1667.49</v>
      </c>
      <c r="EX103" s="231">
        <v>1495.5</v>
      </c>
      <c r="EY103" s="228">
        <v>171.99</v>
      </c>
      <c r="EZ103" s="229">
        <v>0.115</v>
      </c>
      <c r="FA103" s="229">
        <v>0.31030000000000002</v>
      </c>
      <c r="FB103" s="227" t="s">
        <v>555</v>
      </c>
      <c r="FC103">
        <f t="shared" si="1"/>
        <v>14</v>
      </c>
    </row>
    <row r="104" spans="1:159" ht="17.25" thickBot="1" x14ac:dyDescent="0.3">
      <c r="A104" s="226">
        <v>46050</v>
      </c>
      <c r="B104" s="227" t="s">
        <v>175</v>
      </c>
      <c r="C104" s="227" t="s">
        <v>570</v>
      </c>
      <c r="D104" s="228">
        <v>2350</v>
      </c>
      <c r="E104" s="228">
        <v>27</v>
      </c>
      <c r="F104" s="228">
        <v>256.95</v>
      </c>
      <c r="G104" s="228">
        <v>257.3</v>
      </c>
      <c r="H104" s="228">
        <v>-0.35</v>
      </c>
      <c r="I104" s="229">
        <v>-1.4E-3</v>
      </c>
      <c r="J104" s="228">
        <v>255.2</v>
      </c>
      <c r="K104" s="228">
        <v>256.05</v>
      </c>
      <c r="L104" s="228">
        <v>-0.85</v>
      </c>
      <c r="M104" s="229">
        <v>-3.3E-3</v>
      </c>
      <c r="N104" s="228">
        <v>256.95</v>
      </c>
      <c r="O104" s="228">
        <v>255.25</v>
      </c>
      <c r="P104" s="228">
        <v>1.7</v>
      </c>
      <c r="Q104" s="229">
        <v>6.7000000000000002E-3</v>
      </c>
      <c r="R104" s="228">
        <v>258.8</v>
      </c>
      <c r="S104" s="228">
        <v>257.3</v>
      </c>
      <c r="T104" s="228">
        <v>1.5</v>
      </c>
      <c r="U104" s="229">
        <v>5.7999999999999996E-3</v>
      </c>
      <c r="V104" s="228">
        <v>260.10000000000002</v>
      </c>
      <c r="W104" s="228">
        <v>259.3</v>
      </c>
      <c r="X104" s="228">
        <v>0.8</v>
      </c>
      <c r="Y104" s="229">
        <v>3.0999999999999999E-3</v>
      </c>
      <c r="Z104" s="228">
        <v>1.75</v>
      </c>
      <c r="AA104" s="228">
        <v>1.25</v>
      </c>
      <c r="AB104" s="228">
        <v>0.5</v>
      </c>
      <c r="AC104" s="229">
        <v>6.8999999999999999E-3</v>
      </c>
      <c r="AD104" s="228">
        <v>1.75</v>
      </c>
      <c r="AE104" s="228">
        <v>-0.8</v>
      </c>
      <c r="AF104" s="228">
        <v>2.5499999999999998</v>
      </c>
      <c r="AG104" s="229">
        <v>6.8999999999999999E-3</v>
      </c>
      <c r="AH104" s="228">
        <v>3.6</v>
      </c>
      <c r="AI104" s="228">
        <v>1.25</v>
      </c>
      <c r="AJ104" s="228">
        <v>2.35</v>
      </c>
      <c r="AK104" s="229">
        <v>1.41E-2</v>
      </c>
      <c r="AL104" s="228">
        <v>4.9000000000000004</v>
      </c>
      <c r="AM104" s="228">
        <v>3.25</v>
      </c>
      <c r="AN104" s="228">
        <v>1.65</v>
      </c>
      <c r="AO104" s="229">
        <v>1.9199999999999998E-2</v>
      </c>
      <c r="AP104" s="228">
        <v>256.8</v>
      </c>
      <c r="AQ104" s="228">
        <v>258.7</v>
      </c>
      <c r="AR104" s="228">
        <v>0</v>
      </c>
      <c r="AS104" s="228">
        <v>622</v>
      </c>
      <c r="AT104" s="230">
        <v>3133</v>
      </c>
      <c r="AU104" s="230">
        <v>-2512</v>
      </c>
      <c r="AV104" s="229">
        <v>-0.80149999999999999</v>
      </c>
      <c r="AW104" s="228">
        <v>566</v>
      </c>
      <c r="AX104" s="230">
        <v>1421</v>
      </c>
      <c r="AY104" s="228">
        <v>-856</v>
      </c>
      <c r="AZ104" s="229">
        <v>-0.60209999999999997</v>
      </c>
      <c r="BA104" s="228">
        <v>46</v>
      </c>
      <c r="BB104" s="230">
        <v>1624</v>
      </c>
      <c r="BC104" s="230">
        <v>-1578</v>
      </c>
      <c r="BD104" s="229">
        <v>-0.97160000000000002</v>
      </c>
      <c r="BE104" s="228">
        <v>10</v>
      </c>
      <c r="BF104" s="228">
        <v>88</v>
      </c>
      <c r="BG104" s="228">
        <v>-78</v>
      </c>
      <c r="BH104" s="229">
        <v>-0.88580000000000003</v>
      </c>
      <c r="BI104" s="230">
        <v>1844</v>
      </c>
      <c r="BJ104" s="230">
        <v>1773</v>
      </c>
      <c r="BK104" s="228">
        <v>71</v>
      </c>
      <c r="BL104" s="229">
        <v>3.9899999999999998E-2</v>
      </c>
      <c r="BM104" s="228">
        <v>657</v>
      </c>
      <c r="BN104" s="230">
        <v>1195</v>
      </c>
      <c r="BO104" s="228">
        <v>-538</v>
      </c>
      <c r="BP104" s="229">
        <v>-0.45019999999999999</v>
      </c>
      <c r="BQ104" s="230">
        <v>3122</v>
      </c>
      <c r="BR104" s="230">
        <v>6101</v>
      </c>
      <c r="BS104" s="230">
        <v>-2979</v>
      </c>
      <c r="BT104" s="229">
        <v>-0.48820000000000002</v>
      </c>
      <c r="BU104" s="230">
        <v>19888139</v>
      </c>
      <c r="BV104" s="230">
        <v>16346264</v>
      </c>
      <c r="BW104" s="230">
        <v>3541875</v>
      </c>
      <c r="BX104" s="229">
        <v>0.2167</v>
      </c>
      <c r="BY104" s="230">
        <v>4301</v>
      </c>
      <c r="BZ104" s="230">
        <v>4240</v>
      </c>
      <c r="CA104" s="228">
        <v>61</v>
      </c>
      <c r="CB104" s="229">
        <v>1.44E-2</v>
      </c>
      <c r="CC104" s="230">
        <v>4087</v>
      </c>
      <c r="CD104" s="228">
        <v>479</v>
      </c>
      <c r="CE104" s="230">
        <v>3609</v>
      </c>
      <c r="CF104" s="229">
        <v>7.5381999999999998</v>
      </c>
      <c r="CG104" s="228">
        <v>207</v>
      </c>
      <c r="CH104" s="230">
        <v>4048</v>
      </c>
      <c r="CI104" s="230">
        <v>-3842</v>
      </c>
      <c r="CJ104" s="229">
        <v>-0.94889999999999997</v>
      </c>
      <c r="CK104" s="228">
        <v>7</v>
      </c>
      <c r="CL104" s="228">
        <v>191</v>
      </c>
      <c r="CM104" s="228">
        <v>-185</v>
      </c>
      <c r="CN104" s="229">
        <v>-0.96589999999999998</v>
      </c>
      <c r="CO104" s="230">
        <v>1397</v>
      </c>
      <c r="CP104" s="230">
        <v>1086</v>
      </c>
      <c r="CQ104" s="228">
        <v>311</v>
      </c>
      <c r="CR104" s="229">
        <v>0.28649999999999998</v>
      </c>
      <c r="CS104" s="228">
        <v>999</v>
      </c>
      <c r="CT104" s="228">
        <v>912</v>
      </c>
      <c r="CU104" s="228">
        <v>87</v>
      </c>
      <c r="CV104" s="229">
        <v>9.5000000000000001E-2</v>
      </c>
      <c r="CW104" s="230">
        <v>6696</v>
      </c>
      <c r="CX104" s="230">
        <v>6238</v>
      </c>
      <c r="CY104" s="228">
        <v>459</v>
      </c>
      <c r="CZ104" s="229">
        <v>7.3499999999999996E-2</v>
      </c>
      <c r="DA104" s="228">
        <v>32.15</v>
      </c>
      <c r="DB104" s="228">
        <v>32.93</v>
      </c>
      <c r="DC104" s="228">
        <v>-0.78</v>
      </c>
      <c r="DD104" s="228">
        <v>-0.78</v>
      </c>
      <c r="DE104" s="228">
        <v>33.97</v>
      </c>
      <c r="DF104" s="228">
        <v>34.06</v>
      </c>
      <c r="DG104" s="228">
        <v>-1.82</v>
      </c>
      <c r="DH104" s="228">
        <v>-0.09</v>
      </c>
      <c r="DI104" s="228">
        <v>32.39</v>
      </c>
      <c r="DJ104" s="228">
        <v>32.5</v>
      </c>
      <c r="DK104" s="228">
        <v>-0.11</v>
      </c>
      <c r="DL104" s="228">
        <v>-0.11</v>
      </c>
      <c r="DM104" s="228">
        <v>31.5</v>
      </c>
      <c r="DN104" s="228">
        <v>33.65</v>
      </c>
      <c r="DO104" s="228">
        <v>-2.15</v>
      </c>
      <c r="DP104" s="228">
        <v>-2.15</v>
      </c>
      <c r="DQ104" s="228">
        <v>0.72</v>
      </c>
      <c r="DR104" s="228">
        <v>0.84</v>
      </c>
      <c r="DS104" s="228">
        <v>-0.12</v>
      </c>
      <c r="DT104" s="229">
        <v>-0.1429</v>
      </c>
      <c r="DU104" s="228">
        <v>300</v>
      </c>
      <c r="DV104" s="228">
        <v>250</v>
      </c>
      <c r="DW104" s="228">
        <v>0.36</v>
      </c>
      <c r="DX104" s="228">
        <v>0.67</v>
      </c>
      <c r="DY104" s="228">
        <v>-0.31</v>
      </c>
      <c r="DZ104" s="229">
        <v>-0.4627</v>
      </c>
      <c r="EA104" s="229">
        <v>4.9599999999999998E-2</v>
      </c>
      <c r="EB104" s="230">
        <v>165000550</v>
      </c>
      <c r="EC104" s="229">
        <v>7.1999999999999998E-3</v>
      </c>
      <c r="ED104" s="229">
        <v>4.9599999999999998E-2</v>
      </c>
      <c r="EE104" s="228">
        <v>1.9</v>
      </c>
      <c r="EF104" s="229">
        <v>7.4000000000000003E-3</v>
      </c>
      <c r="EG104" s="230">
        <v>11324218</v>
      </c>
      <c r="EH104" s="230">
        <v>6943482</v>
      </c>
      <c r="EI104" s="229">
        <v>0.63090000000000002</v>
      </c>
      <c r="EJ104" s="229">
        <v>0.56940000000000002</v>
      </c>
      <c r="EK104" s="231">
        <v>2021.96</v>
      </c>
      <c r="EL104" s="228">
        <v>662.71</v>
      </c>
      <c r="EM104" s="228">
        <v>621.99</v>
      </c>
      <c r="EN104" s="228">
        <v>392.94</v>
      </c>
      <c r="EO104" s="231">
        <v>3306.65</v>
      </c>
      <c r="EP104" s="231">
        <v>6302.25</v>
      </c>
      <c r="EQ104" s="231">
        <v>-2995.6</v>
      </c>
      <c r="ER104" s="229">
        <v>-0.4753</v>
      </c>
      <c r="ES104" s="231">
        <v>1553.16</v>
      </c>
      <c r="ET104" s="231">
        <v>1059.98</v>
      </c>
      <c r="EU104" s="231">
        <v>4302.3100000000004</v>
      </c>
      <c r="EV104" s="231">
        <v>355358091</v>
      </c>
      <c r="EW104" s="231">
        <v>6915.44</v>
      </c>
      <c r="EX104" s="231">
        <v>6433.32</v>
      </c>
      <c r="EY104" s="228">
        <v>482.12</v>
      </c>
      <c r="EZ104" s="229">
        <v>7.4899999999999994E-2</v>
      </c>
      <c r="FA104" s="229">
        <v>0.73340000000000005</v>
      </c>
      <c r="FB104" s="227" t="s">
        <v>567</v>
      </c>
      <c r="FC104">
        <f t="shared" si="1"/>
        <v>214</v>
      </c>
    </row>
    <row r="105" spans="1:159" ht="17.25" thickBot="1" x14ac:dyDescent="0.3">
      <c r="A105" s="226">
        <v>46050</v>
      </c>
      <c r="B105" s="227" t="s">
        <v>161</v>
      </c>
      <c r="C105" s="227" t="s">
        <v>580</v>
      </c>
      <c r="D105" s="228">
        <v>1000</v>
      </c>
      <c r="E105" s="228">
        <v>27</v>
      </c>
      <c r="F105" s="228">
        <v>449.35</v>
      </c>
      <c r="G105" s="228">
        <v>441.7</v>
      </c>
      <c r="H105" s="228">
        <v>7.65</v>
      </c>
      <c r="I105" s="229">
        <v>1.7299999999999999E-2</v>
      </c>
      <c r="J105" s="228">
        <v>446.25</v>
      </c>
      <c r="K105" s="228">
        <v>440.05</v>
      </c>
      <c r="L105" s="228">
        <v>6.2</v>
      </c>
      <c r="M105" s="229">
        <v>1.41E-2</v>
      </c>
      <c r="N105" s="228">
        <v>449.35</v>
      </c>
      <c r="O105" s="228">
        <v>439.9</v>
      </c>
      <c r="P105" s="228">
        <v>9.4499999999999993</v>
      </c>
      <c r="Q105" s="229">
        <v>2.1499999999999998E-2</v>
      </c>
      <c r="R105" s="228">
        <v>451.7</v>
      </c>
      <c r="S105" s="228">
        <v>441.7</v>
      </c>
      <c r="T105" s="228">
        <v>10</v>
      </c>
      <c r="U105" s="229">
        <v>2.2599999999999999E-2</v>
      </c>
      <c r="V105" s="228">
        <v>455</v>
      </c>
      <c r="W105" s="228">
        <v>444.5</v>
      </c>
      <c r="X105" s="228">
        <v>10.5</v>
      </c>
      <c r="Y105" s="229">
        <v>2.3599999999999999E-2</v>
      </c>
      <c r="Z105" s="228">
        <v>3.1</v>
      </c>
      <c r="AA105" s="228">
        <v>1.65</v>
      </c>
      <c r="AB105" s="228">
        <v>1.45</v>
      </c>
      <c r="AC105" s="229">
        <v>6.8999999999999999E-3</v>
      </c>
      <c r="AD105" s="228">
        <v>3.1</v>
      </c>
      <c r="AE105" s="228">
        <v>-0.15</v>
      </c>
      <c r="AF105" s="228">
        <v>3.25</v>
      </c>
      <c r="AG105" s="229">
        <v>6.8999999999999999E-3</v>
      </c>
      <c r="AH105" s="228">
        <v>5.45</v>
      </c>
      <c r="AI105" s="228">
        <v>1.65</v>
      </c>
      <c r="AJ105" s="228">
        <v>3.8</v>
      </c>
      <c r="AK105" s="229">
        <v>1.2200000000000001E-2</v>
      </c>
      <c r="AL105" s="228">
        <v>8.75</v>
      </c>
      <c r="AM105" s="228">
        <v>4.45</v>
      </c>
      <c r="AN105" s="228">
        <v>4.3</v>
      </c>
      <c r="AO105" s="229">
        <v>1.9599999999999999E-2</v>
      </c>
      <c r="AP105" s="228">
        <v>447.92</v>
      </c>
      <c r="AQ105" s="228">
        <v>449.31</v>
      </c>
      <c r="AR105" s="228">
        <v>0</v>
      </c>
      <c r="AS105" s="228">
        <v>269</v>
      </c>
      <c r="AT105" s="230">
        <v>1358</v>
      </c>
      <c r="AU105" s="230">
        <v>-1089</v>
      </c>
      <c r="AV105" s="229">
        <v>-0.80169999999999997</v>
      </c>
      <c r="AW105" s="228">
        <v>262</v>
      </c>
      <c r="AX105" s="228">
        <v>550</v>
      </c>
      <c r="AY105" s="228">
        <v>-289</v>
      </c>
      <c r="AZ105" s="229">
        <v>-0.52439999999999998</v>
      </c>
      <c r="BA105" s="228">
        <v>7</v>
      </c>
      <c r="BB105" s="228">
        <v>792</v>
      </c>
      <c r="BC105" s="228">
        <v>-784</v>
      </c>
      <c r="BD105" s="229">
        <v>-0.9909</v>
      </c>
      <c r="BE105" s="228">
        <v>0</v>
      </c>
      <c r="BF105" s="228">
        <v>16</v>
      </c>
      <c r="BG105" s="228">
        <v>-16</v>
      </c>
      <c r="BH105" s="229">
        <v>-0.98319999999999996</v>
      </c>
      <c r="BI105" s="228">
        <v>549</v>
      </c>
      <c r="BJ105" s="230">
        <v>1748</v>
      </c>
      <c r="BK105" s="230">
        <v>-1200</v>
      </c>
      <c r="BL105" s="229">
        <v>-0.68610000000000004</v>
      </c>
      <c r="BM105" s="228">
        <v>271</v>
      </c>
      <c r="BN105" s="230">
        <v>2036</v>
      </c>
      <c r="BO105" s="230">
        <v>-1765</v>
      </c>
      <c r="BP105" s="229">
        <v>-0.86670000000000003</v>
      </c>
      <c r="BQ105" s="230">
        <v>1089</v>
      </c>
      <c r="BR105" s="230">
        <v>5142</v>
      </c>
      <c r="BS105" s="230">
        <v>-4053</v>
      </c>
      <c r="BT105" s="229">
        <v>-0.78810000000000002</v>
      </c>
      <c r="BU105" s="230">
        <v>10225512</v>
      </c>
      <c r="BV105" s="230">
        <v>25172613</v>
      </c>
      <c r="BW105" s="230">
        <v>-14947101</v>
      </c>
      <c r="BX105" s="229">
        <v>-0.59379999999999999</v>
      </c>
      <c r="BY105" s="230">
        <v>1568</v>
      </c>
      <c r="BZ105" s="230">
        <v>1525</v>
      </c>
      <c r="CA105" s="228">
        <v>44</v>
      </c>
      <c r="CB105" s="229">
        <v>2.87E-2</v>
      </c>
      <c r="CC105" s="230">
        <v>1558</v>
      </c>
      <c r="CD105" s="228">
        <v>272</v>
      </c>
      <c r="CE105" s="230">
        <v>1286</v>
      </c>
      <c r="CF105" s="229">
        <v>4.7239000000000004</v>
      </c>
      <c r="CG105" s="228">
        <v>11</v>
      </c>
      <c r="CH105" s="230">
        <v>1514</v>
      </c>
      <c r="CI105" s="230">
        <v>-1504</v>
      </c>
      <c r="CJ105" s="229">
        <v>-0.99299999999999999</v>
      </c>
      <c r="CK105" s="228">
        <v>0</v>
      </c>
      <c r="CL105" s="228">
        <v>10</v>
      </c>
      <c r="CM105" s="228">
        <v>-10</v>
      </c>
      <c r="CN105" s="229">
        <v>-0.98240000000000005</v>
      </c>
      <c r="CO105" s="228">
        <v>291</v>
      </c>
      <c r="CP105" s="228">
        <v>282</v>
      </c>
      <c r="CQ105" s="228">
        <v>8</v>
      </c>
      <c r="CR105" s="229">
        <v>2.9899999999999999E-2</v>
      </c>
      <c r="CS105" s="228">
        <v>284</v>
      </c>
      <c r="CT105" s="228">
        <v>296</v>
      </c>
      <c r="CU105" s="228">
        <v>-12</v>
      </c>
      <c r="CV105" s="229">
        <v>-3.95E-2</v>
      </c>
      <c r="CW105" s="230">
        <v>2143</v>
      </c>
      <c r="CX105" s="230">
        <v>2103</v>
      </c>
      <c r="CY105" s="228">
        <v>41</v>
      </c>
      <c r="CZ105" s="229">
        <v>1.9300000000000001E-2</v>
      </c>
      <c r="DA105" s="228">
        <v>34.32</v>
      </c>
      <c r="DB105" s="228">
        <v>37.07</v>
      </c>
      <c r="DC105" s="228">
        <v>-2.75</v>
      </c>
      <c r="DD105" s="228">
        <v>-2.75</v>
      </c>
      <c r="DE105" s="228">
        <v>43.19</v>
      </c>
      <c r="DF105" s="228">
        <v>43.24</v>
      </c>
      <c r="DG105" s="228">
        <v>-8.8699999999999992</v>
      </c>
      <c r="DH105" s="228">
        <v>-0.05</v>
      </c>
      <c r="DI105" s="228">
        <v>33.82</v>
      </c>
      <c r="DJ105" s="228">
        <v>36.39</v>
      </c>
      <c r="DK105" s="228">
        <v>-2.57</v>
      </c>
      <c r="DL105" s="228">
        <v>-2.57</v>
      </c>
      <c r="DM105" s="228">
        <v>35.340000000000003</v>
      </c>
      <c r="DN105" s="228">
        <v>37.69</v>
      </c>
      <c r="DO105" s="228">
        <v>-2.35</v>
      </c>
      <c r="DP105" s="228">
        <v>-2.35</v>
      </c>
      <c r="DQ105" s="228">
        <v>0.98</v>
      </c>
      <c r="DR105" s="228">
        <v>1.05</v>
      </c>
      <c r="DS105" s="228">
        <v>-7.0000000000000007E-2</v>
      </c>
      <c r="DT105" s="229">
        <v>-6.6699999999999995E-2</v>
      </c>
      <c r="DU105" s="228">
        <v>500</v>
      </c>
      <c r="DV105" s="228">
        <v>530</v>
      </c>
      <c r="DW105" s="228">
        <v>0.49</v>
      </c>
      <c r="DX105" s="228">
        <v>1.1599999999999999</v>
      </c>
      <c r="DY105" s="228">
        <v>-0.67</v>
      </c>
      <c r="DZ105" s="229">
        <v>-0.5776</v>
      </c>
      <c r="EA105" s="229">
        <v>6.8999999999999999E-3</v>
      </c>
      <c r="EB105" s="230">
        <v>33931000</v>
      </c>
      <c r="EC105" s="229">
        <v>5.1999999999999998E-3</v>
      </c>
      <c r="ED105" s="229">
        <v>6.8999999999999999E-3</v>
      </c>
      <c r="EE105" s="228">
        <v>1.39</v>
      </c>
      <c r="EF105" s="229">
        <v>3.0999999999999999E-3</v>
      </c>
      <c r="EG105" s="230">
        <v>6407162</v>
      </c>
      <c r="EH105" s="230">
        <v>7817270</v>
      </c>
      <c r="EI105" s="229">
        <v>-0.1804</v>
      </c>
      <c r="EJ105" s="229">
        <v>0.62660000000000005</v>
      </c>
      <c r="EK105" s="228">
        <v>584.34</v>
      </c>
      <c r="EL105" s="228">
        <v>265.39999999999998</v>
      </c>
      <c r="EM105" s="228">
        <v>268.42</v>
      </c>
      <c r="EN105" s="228">
        <v>235.8</v>
      </c>
      <c r="EO105" s="231">
        <v>1118.1500000000001</v>
      </c>
      <c r="EP105" s="231">
        <v>5259.54</v>
      </c>
      <c r="EQ105" s="231">
        <v>-4141.3900000000003</v>
      </c>
      <c r="ER105" s="229">
        <v>-0.78739999999999999</v>
      </c>
      <c r="ES105" s="228">
        <v>312.04000000000002</v>
      </c>
      <c r="ET105" s="228">
        <v>295.67</v>
      </c>
      <c r="EU105" s="231">
        <v>1568.51</v>
      </c>
      <c r="EV105" s="231">
        <v>80385888</v>
      </c>
      <c r="EW105" s="231">
        <v>2176.2199999999998</v>
      </c>
      <c r="EX105" s="231">
        <v>2106.2199999999998</v>
      </c>
      <c r="EY105" s="228">
        <v>70</v>
      </c>
      <c r="EZ105" s="229">
        <v>3.32E-2</v>
      </c>
      <c r="FA105" s="229">
        <v>0.59340000000000004</v>
      </c>
      <c r="FB105" s="227" t="s">
        <v>555</v>
      </c>
      <c r="FC105">
        <f t="shared" si="1"/>
        <v>10</v>
      </c>
    </row>
    <row r="106" spans="1:159" ht="17.25" thickBot="1" x14ac:dyDescent="0.3">
      <c r="A106" s="226">
        <v>46050</v>
      </c>
      <c r="B106" s="227" t="s">
        <v>227</v>
      </c>
      <c r="C106" s="227" t="s">
        <v>244</v>
      </c>
      <c r="D106" s="228">
        <v>675</v>
      </c>
      <c r="E106" s="228">
        <v>27</v>
      </c>
      <c r="F106" s="231">
        <v>1223.5999999999999</v>
      </c>
      <c r="G106" s="231">
        <v>1231.4000000000001</v>
      </c>
      <c r="H106" s="228">
        <v>-7.8</v>
      </c>
      <c r="I106" s="229">
        <v>-6.3E-3</v>
      </c>
      <c r="J106" s="231">
        <v>1218.7</v>
      </c>
      <c r="K106" s="231">
        <v>1222</v>
      </c>
      <c r="L106" s="228">
        <v>-3.3</v>
      </c>
      <c r="M106" s="229">
        <v>-2.7000000000000001E-3</v>
      </c>
      <c r="N106" s="231">
        <v>1223.5999999999999</v>
      </c>
      <c r="O106" s="231">
        <v>1224.3</v>
      </c>
      <c r="P106" s="228">
        <v>-0.7</v>
      </c>
      <c r="Q106" s="229">
        <v>-5.9999999999999995E-4</v>
      </c>
      <c r="R106" s="231">
        <v>1231</v>
      </c>
      <c r="S106" s="231">
        <v>1231.4000000000001</v>
      </c>
      <c r="T106" s="228">
        <v>-0.4</v>
      </c>
      <c r="U106" s="229">
        <v>-2.9999999999999997E-4</v>
      </c>
      <c r="V106" s="231">
        <v>1236.5</v>
      </c>
      <c r="W106" s="231">
        <v>1238.0999999999999</v>
      </c>
      <c r="X106" s="228">
        <v>-1.6</v>
      </c>
      <c r="Y106" s="229">
        <v>-1.2999999999999999E-3</v>
      </c>
      <c r="Z106" s="228">
        <v>4.9000000000000004</v>
      </c>
      <c r="AA106" s="228">
        <v>9.4</v>
      </c>
      <c r="AB106" s="228">
        <v>-4.5</v>
      </c>
      <c r="AC106" s="229">
        <v>4.0000000000000001E-3</v>
      </c>
      <c r="AD106" s="228">
        <v>4.9000000000000004</v>
      </c>
      <c r="AE106" s="228">
        <v>2.2999999999999998</v>
      </c>
      <c r="AF106" s="228">
        <v>2.6</v>
      </c>
      <c r="AG106" s="229">
        <v>4.0000000000000001E-3</v>
      </c>
      <c r="AH106" s="228">
        <v>12.3</v>
      </c>
      <c r="AI106" s="228">
        <v>9.4</v>
      </c>
      <c r="AJ106" s="228">
        <v>2.9</v>
      </c>
      <c r="AK106" s="229">
        <v>1.01E-2</v>
      </c>
      <c r="AL106" s="228">
        <v>17.8</v>
      </c>
      <c r="AM106" s="228">
        <v>16.100000000000001</v>
      </c>
      <c r="AN106" s="228">
        <v>1.7</v>
      </c>
      <c r="AO106" s="229">
        <v>1.46E-2</v>
      </c>
      <c r="AP106" s="231">
        <v>1224.48</v>
      </c>
      <c r="AQ106" s="231">
        <v>1232.1600000000001</v>
      </c>
      <c r="AR106" s="228">
        <v>0</v>
      </c>
      <c r="AS106" s="228">
        <v>474</v>
      </c>
      <c r="AT106" s="230">
        <v>2635</v>
      </c>
      <c r="AU106" s="230">
        <v>-2162</v>
      </c>
      <c r="AV106" s="229">
        <v>-0.82030000000000003</v>
      </c>
      <c r="AW106" s="228">
        <v>449</v>
      </c>
      <c r="AX106" s="230">
        <v>1115</v>
      </c>
      <c r="AY106" s="228">
        <v>-666</v>
      </c>
      <c r="AZ106" s="229">
        <v>-0.59760000000000002</v>
      </c>
      <c r="BA106" s="228">
        <v>23</v>
      </c>
      <c r="BB106" s="230">
        <v>1498</v>
      </c>
      <c r="BC106" s="230">
        <v>-1475</v>
      </c>
      <c r="BD106" s="229">
        <v>-0.98440000000000005</v>
      </c>
      <c r="BE106" s="228">
        <v>2</v>
      </c>
      <c r="BF106" s="228">
        <v>22</v>
      </c>
      <c r="BG106" s="228">
        <v>-21</v>
      </c>
      <c r="BH106" s="229">
        <v>-0.92910000000000004</v>
      </c>
      <c r="BI106" s="230">
        <v>1335</v>
      </c>
      <c r="BJ106" s="230">
        <v>3350</v>
      </c>
      <c r="BK106" s="230">
        <v>-2015</v>
      </c>
      <c r="BL106" s="229">
        <v>-0.60150000000000003</v>
      </c>
      <c r="BM106" s="228">
        <v>516</v>
      </c>
      <c r="BN106" s="230">
        <v>1783</v>
      </c>
      <c r="BO106" s="230">
        <v>-1267</v>
      </c>
      <c r="BP106" s="229">
        <v>-0.71050000000000002</v>
      </c>
      <c r="BQ106" s="230">
        <v>2325</v>
      </c>
      <c r="BR106" s="230">
        <v>7768</v>
      </c>
      <c r="BS106" s="230">
        <v>-5443</v>
      </c>
      <c r="BT106" s="229">
        <v>-0.70069999999999999</v>
      </c>
      <c r="BU106" s="230">
        <v>2316095</v>
      </c>
      <c r="BV106" s="230">
        <v>3921751</v>
      </c>
      <c r="BW106" s="230">
        <v>-1605656</v>
      </c>
      <c r="BX106" s="229">
        <v>-0.40939999999999999</v>
      </c>
      <c r="BY106" s="230">
        <v>6180</v>
      </c>
      <c r="BZ106" s="230">
        <v>6212</v>
      </c>
      <c r="CA106" s="228">
        <v>-32</v>
      </c>
      <c r="CB106" s="229">
        <v>-5.1999999999999998E-3</v>
      </c>
      <c r="CC106" s="230">
        <v>6142</v>
      </c>
      <c r="CD106" s="228">
        <v>178</v>
      </c>
      <c r="CE106" s="230">
        <v>5964</v>
      </c>
      <c r="CF106" s="229">
        <v>33.443300000000001</v>
      </c>
      <c r="CG106" s="228">
        <v>37</v>
      </c>
      <c r="CH106" s="230">
        <v>6181</v>
      </c>
      <c r="CI106" s="230">
        <v>-6143</v>
      </c>
      <c r="CJ106" s="229">
        <v>-0.99399999999999999</v>
      </c>
      <c r="CK106" s="228">
        <v>1</v>
      </c>
      <c r="CL106" s="228">
        <v>31</v>
      </c>
      <c r="CM106" s="228">
        <v>-30</v>
      </c>
      <c r="CN106" s="229">
        <v>-0.97619999999999996</v>
      </c>
      <c r="CO106" s="228">
        <v>526</v>
      </c>
      <c r="CP106" s="228">
        <v>396</v>
      </c>
      <c r="CQ106" s="228">
        <v>131</v>
      </c>
      <c r="CR106" s="229">
        <v>0.33050000000000002</v>
      </c>
      <c r="CS106" s="228">
        <v>355</v>
      </c>
      <c r="CT106" s="228">
        <v>291</v>
      </c>
      <c r="CU106" s="228">
        <v>65</v>
      </c>
      <c r="CV106" s="229">
        <v>0.22270000000000001</v>
      </c>
      <c r="CW106" s="230">
        <v>7062</v>
      </c>
      <c r="CX106" s="230">
        <v>6898</v>
      </c>
      <c r="CY106" s="228">
        <v>163</v>
      </c>
      <c r="CZ106" s="229">
        <v>2.3699999999999999E-2</v>
      </c>
      <c r="DA106" s="228">
        <v>26.69</v>
      </c>
      <c r="DB106" s="228">
        <v>27.28</v>
      </c>
      <c r="DC106" s="228">
        <v>-0.59</v>
      </c>
      <c r="DD106" s="228">
        <v>-0.59</v>
      </c>
      <c r="DE106" s="228">
        <v>29.61</v>
      </c>
      <c r="DF106" s="228">
        <v>29.67</v>
      </c>
      <c r="DG106" s="228">
        <v>-2.92</v>
      </c>
      <c r="DH106" s="228">
        <v>-0.06</v>
      </c>
      <c r="DI106" s="228">
        <v>26.21</v>
      </c>
      <c r="DJ106" s="228">
        <v>26.21</v>
      </c>
      <c r="DK106" s="228">
        <v>0</v>
      </c>
      <c r="DL106" s="228">
        <v>0</v>
      </c>
      <c r="DM106" s="228">
        <v>27.95</v>
      </c>
      <c r="DN106" s="228">
        <v>29.53</v>
      </c>
      <c r="DO106" s="228">
        <v>-1.58</v>
      </c>
      <c r="DP106" s="228">
        <v>-1.58</v>
      </c>
      <c r="DQ106" s="228">
        <v>0.68</v>
      </c>
      <c r="DR106" s="228">
        <v>0.73</v>
      </c>
      <c r="DS106" s="228">
        <v>-0.05</v>
      </c>
      <c r="DT106" s="229">
        <v>-6.8500000000000005E-2</v>
      </c>
      <c r="DU106" s="231">
        <v>1300</v>
      </c>
      <c r="DV106" s="231">
        <v>1140</v>
      </c>
      <c r="DW106" s="228">
        <v>0.39</v>
      </c>
      <c r="DX106" s="228">
        <v>0.53</v>
      </c>
      <c r="DY106" s="228">
        <v>-0.14000000000000001</v>
      </c>
      <c r="DZ106" s="229">
        <v>-0.26419999999999999</v>
      </c>
      <c r="EA106" s="229">
        <v>6.1000000000000004E-3</v>
      </c>
      <c r="EB106" s="230">
        <v>50766750</v>
      </c>
      <c r="EC106" s="229">
        <v>6.0000000000000001E-3</v>
      </c>
      <c r="ED106" s="229">
        <v>6.1000000000000004E-3</v>
      </c>
      <c r="EE106" s="228">
        <v>7.68</v>
      </c>
      <c r="EF106" s="229">
        <v>6.3E-3</v>
      </c>
      <c r="EG106" s="230">
        <v>1046441</v>
      </c>
      <c r="EH106" s="230">
        <v>1247372</v>
      </c>
      <c r="EI106" s="229">
        <v>-0.16109999999999999</v>
      </c>
      <c r="EJ106" s="229">
        <v>0.45179999999999998</v>
      </c>
      <c r="EK106" s="231">
        <v>1404.42</v>
      </c>
      <c r="EL106" s="228">
        <v>504.45</v>
      </c>
      <c r="EM106" s="228">
        <v>474.09</v>
      </c>
      <c r="EN106" s="228">
        <v>399.72</v>
      </c>
      <c r="EO106" s="231">
        <v>2382.9699999999998</v>
      </c>
      <c r="EP106" s="231">
        <v>7722.6</v>
      </c>
      <c r="EQ106" s="231">
        <v>-5339.63</v>
      </c>
      <c r="ER106" s="229">
        <v>-0.69140000000000001</v>
      </c>
      <c r="ES106" s="228">
        <v>543.26</v>
      </c>
      <c r="ET106" s="228">
        <v>336.29</v>
      </c>
      <c r="EU106" s="231">
        <v>6180.01</v>
      </c>
      <c r="EV106" s="231">
        <v>133434355</v>
      </c>
      <c r="EW106" s="231">
        <v>7059.55</v>
      </c>
      <c r="EX106" s="231">
        <v>6928.55</v>
      </c>
      <c r="EY106" s="228">
        <v>131</v>
      </c>
      <c r="EZ106" s="229">
        <v>1.89E-2</v>
      </c>
      <c r="FA106" s="229">
        <v>0.4325</v>
      </c>
      <c r="FB106" s="227" t="s">
        <v>568</v>
      </c>
      <c r="FC106">
        <f t="shared" si="1"/>
        <v>38</v>
      </c>
    </row>
    <row r="107" spans="1:159" ht="17.25" thickBot="1" x14ac:dyDescent="0.3">
      <c r="A107" s="226">
        <v>46050</v>
      </c>
      <c r="B107" s="227" t="s">
        <v>168</v>
      </c>
      <c r="C107" s="227" t="s">
        <v>245</v>
      </c>
      <c r="D107" s="228">
        <v>1250</v>
      </c>
      <c r="E107" s="228">
        <v>27</v>
      </c>
      <c r="F107" s="228">
        <v>494.15</v>
      </c>
      <c r="G107" s="228">
        <v>491.3</v>
      </c>
      <c r="H107" s="228">
        <v>2.85</v>
      </c>
      <c r="I107" s="229">
        <v>5.7999999999999996E-3</v>
      </c>
      <c r="J107" s="228">
        <v>493.65</v>
      </c>
      <c r="K107" s="228">
        <v>488.3</v>
      </c>
      <c r="L107" s="228">
        <v>5.35</v>
      </c>
      <c r="M107" s="229">
        <v>1.0999999999999999E-2</v>
      </c>
      <c r="N107" s="228">
        <v>494.15</v>
      </c>
      <c r="O107" s="228">
        <v>487.65</v>
      </c>
      <c r="P107" s="228">
        <v>6.5</v>
      </c>
      <c r="Q107" s="229">
        <v>1.3299999999999999E-2</v>
      </c>
      <c r="R107" s="228">
        <v>491.55</v>
      </c>
      <c r="S107" s="228">
        <v>491.3</v>
      </c>
      <c r="T107" s="228">
        <v>0.25</v>
      </c>
      <c r="U107" s="229">
        <v>5.0000000000000001E-4</v>
      </c>
      <c r="V107" s="228">
        <v>0</v>
      </c>
      <c r="W107" s="228">
        <v>490.8</v>
      </c>
      <c r="X107" s="228">
        <v>0</v>
      </c>
      <c r="Y107" s="229">
        <v>0</v>
      </c>
      <c r="Z107" s="228">
        <v>0.5</v>
      </c>
      <c r="AA107" s="228">
        <v>3</v>
      </c>
      <c r="AB107" s="228">
        <v>-2.5</v>
      </c>
      <c r="AC107" s="229">
        <v>1E-3</v>
      </c>
      <c r="AD107" s="228">
        <v>0.5</v>
      </c>
      <c r="AE107" s="228">
        <v>-0.65</v>
      </c>
      <c r="AF107" s="228">
        <v>1.1499999999999999</v>
      </c>
      <c r="AG107" s="229">
        <v>1E-3</v>
      </c>
      <c r="AH107" s="228">
        <v>-2.1</v>
      </c>
      <c r="AI107" s="228">
        <v>3</v>
      </c>
      <c r="AJ107" s="228">
        <v>-5.0999999999999996</v>
      </c>
      <c r="AK107" s="229">
        <v>-4.3E-3</v>
      </c>
      <c r="AL107" s="228">
        <v>0</v>
      </c>
      <c r="AM107" s="228">
        <v>2.5</v>
      </c>
      <c r="AN107" s="228">
        <v>0</v>
      </c>
      <c r="AO107" s="229">
        <v>0</v>
      </c>
      <c r="AP107" s="228">
        <v>491.65</v>
      </c>
      <c r="AQ107" s="228">
        <v>489.23</v>
      </c>
      <c r="AR107" s="228">
        <v>0</v>
      </c>
      <c r="AS107" s="228">
        <v>164</v>
      </c>
      <c r="AT107" s="230">
        <v>1011</v>
      </c>
      <c r="AU107" s="228">
        <v>-848</v>
      </c>
      <c r="AV107" s="229">
        <v>-0.83830000000000005</v>
      </c>
      <c r="AW107" s="228">
        <v>144</v>
      </c>
      <c r="AX107" s="228">
        <v>480</v>
      </c>
      <c r="AY107" s="228">
        <v>-336</v>
      </c>
      <c r="AZ107" s="229">
        <v>-0.69969999999999999</v>
      </c>
      <c r="BA107" s="228">
        <v>19</v>
      </c>
      <c r="BB107" s="228">
        <v>510</v>
      </c>
      <c r="BC107" s="228">
        <v>-491</v>
      </c>
      <c r="BD107" s="229">
        <v>-0.96209999999999996</v>
      </c>
      <c r="BE107" s="228">
        <v>0</v>
      </c>
      <c r="BF107" s="228">
        <v>21</v>
      </c>
      <c r="BG107" s="228">
        <v>0</v>
      </c>
      <c r="BH107" s="229">
        <v>0</v>
      </c>
      <c r="BI107" s="228">
        <v>177</v>
      </c>
      <c r="BJ107" s="228">
        <v>276</v>
      </c>
      <c r="BK107" s="228">
        <v>-99</v>
      </c>
      <c r="BL107" s="229">
        <v>-0.3589</v>
      </c>
      <c r="BM107" s="228">
        <v>91</v>
      </c>
      <c r="BN107" s="228">
        <v>368</v>
      </c>
      <c r="BO107" s="228">
        <v>-277</v>
      </c>
      <c r="BP107" s="229">
        <v>-0.75360000000000005</v>
      </c>
      <c r="BQ107" s="228">
        <v>431</v>
      </c>
      <c r="BR107" s="230">
        <v>1655</v>
      </c>
      <c r="BS107" s="230">
        <v>-1224</v>
      </c>
      <c r="BT107" s="229">
        <v>-0.73950000000000005</v>
      </c>
      <c r="BU107" s="230">
        <v>1071963</v>
      </c>
      <c r="BV107" s="230">
        <v>3277653</v>
      </c>
      <c r="BW107" s="230">
        <v>-2205690</v>
      </c>
      <c r="BX107" s="229">
        <v>-0.67290000000000005</v>
      </c>
      <c r="BY107" s="230">
        <v>1171</v>
      </c>
      <c r="BZ107" s="230">
        <v>1161</v>
      </c>
      <c r="CA107" s="228">
        <v>10</v>
      </c>
      <c r="CB107" s="229">
        <v>8.6999999999999994E-3</v>
      </c>
      <c r="CC107" s="230">
        <v>1122</v>
      </c>
      <c r="CD107" s="228">
        <v>71</v>
      </c>
      <c r="CE107" s="230">
        <v>1051</v>
      </c>
      <c r="CF107" s="229">
        <v>14.8309</v>
      </c>
      <c r="CG107" s="228">
        <v>49</v>
      </c>
      <c r="CH107" s="230">
        <v>1114</v>
      </c>
      <c r="CI107" s="230">
        <v>-1065</v>
      </c>
      <c r="CJ107" s="229">
        <v>-0.95599999999999996</v>
      </c>
      <c r="CK107" s="228">
        <v>0</v>
      </c>
      <c r="CL107" s="228">
        <v>47</v>
      </c>
      <c r="CM107" s="228">
        <v>-47</v>
      </c>
      <c r="CN107" s="229">
        <v>-1</v>
      </c>
      <c r="CO107" s="228">
        <v>219</v>
      </c>
      <c r="CP107" s="228">
        <v>175</v>
      </c>
      <c r="CQ107" s="228">
        <v>44</v>
      </c>
      <c r="CR107" s="229">
        <v>0.2525</v>
      </c>
      <c r="CS107" s="228">
        <v>150</v>
      </c>
      <c r="CT107" s="228">
        <v>133</v>
      </c>
      <c r="CU107" s="228">
        <v>17</v>
      </c>
      <c r="CV107" s="229">
        <v>0.1283</v>
      </c>
      <c r="CW107" s="230">
        <v>1540</v>
      </c>
      <c r="CX107" s="230">
        <v>1469</v>
      </c>
      <c r="CY107" s="228">
        <v>71</v>
      </c>
      <c r="CZ107" s="229">
        <v>4.8500000000000001E-2</v>
      </c>
      <c r="DA107" s="228">
        <v>36.28</v>
      </c>
      <c r="DB107" s="228">
        <v>36.65</v>
      </c>
      <c r="DC107" s="228">
        <v>-0.37</v>
      </c>
      <c r="DD107" s="228">
        <v>-0.37</v>
      </c>
      <c r="DE107" s="228">
        <v>32.619999999999997</v>
      </c>
      <c r="DF107" s="228">
        <v>32.67</v>
      </c>
      <c r="DG107" s="228">
        <v>3.66</v>
      </c>
      <c r="DH107" s="228">
        <v>-0.05</v>
      </c>
      <c r="DI107" s="228">
        <v>36.25</v>
      </c>
      <c r="DJ107" s="228">
        <v>36.97</v>
      </c>
      <c r="DK107" s="228">
        <v>-0.72</v>
      </c>
      <c r="DL107" s="228">
        <v>-0.72</v>
      </c>
      <c r="DM107" s="228">
        <v>36.33</v>
      </c>
      <c r="DN107" s="228">
        <v>36.229999999999997</v>
      </c>
      <c r="DO107" s="228">
        <v>0.1</v>
      </c>
      <c r="DP107" s="228">
        <v>0.1</v>
      </c>
      <c r="DQ107" s="228">
        <v>0.69</v>
      </c>
      <c r="DR107" s="228">
        <v>0.76</v>
      </c>
      <c r="DS107" s="228">
        <v>-7.0000000000000007E-2</v>
      </c>
      <c r="DT107" s="229">
        <v>-9.2100000000000001E-2</v>
      </c>
      <c r="DU107" s="228">
        <v>600</v>
      </c>
      <c r="DV107" s="228">
        <v>500</v>
      </c>
      <c r="DW107" s="228">
        <v>0.51</v>
      </c>
      <c r="DX107" s="228">
        <v>1.33</v>
      </c>
      <c r="DY107" s="228">
        <v>-0.82</v>
      </c>
      <c r="DZ107" s="229">
        <v>-0.61650000000000005</v>
      </c>
      <c r="EA107" s="229">
        <v>4.1799999999999997E-2</v>
      </c>
      <c r="EB107" s="230">
        <v>23485000</v>
      </c>
      <c r="EC107" s="229">
        <v>-5.3E-3</v>
      </c>
      <c r="ED107" s="229">
        <v>4.1799999999999997E-2</v>
      </c>
      <c r="EE107" s="228">
        <v>-2.42</v>
      </c>
      <c r="EF107" s="229">
        <v>-4.8999999999999998E-3</v>
      </c>
      <c r="EG107" s="230">
        <v>575643</v>
      </c>
      <c r="EH107" s="230">
        <v>1798119</v>
      </c>
      <c r="EI107" s="229">
        <v>-0.67989999999999995</v>
      </c>
      <c r="EJ107" s="229">
        <v>0.53700000000000003</v>
      </c>
      <c r="EK107" s="228">
        <v>195.51</v>
      </c>
      <c r="EL107" s="228">
        <v>88.74</v>
      </c>
      <c r="EM107" s="228">
        <v>162.58000000000001</v>
      </c>
      <c r="EN107" s="228">
        <v>160.58000000000001</v>
      </c>
      <c r="EO107" s="228">
        <v>446.84</v>
      </c>
      <c r="EP107" s="231">
        <v>1675.1</v>
      </c>
      <c r="EQ107" s="231">
        <v>-1228.27</v>
      </c>
      <c r="ER107" s="229">
        <v>-0.73319999999999996</v>
      </c>
      <c r="ES107" s="228">
        <v>245.2</v>
      </c>
      <c r="ET107" s="228">
        <v>153.38999999999999</v>
      </c>
      <c r="EU107" s="231">
        <v>1170.32</v>
      </c>
      <c r="EV107" s="231">
        <v>58761693</v>
      </c>
      <c r="EW107" s="231">
        <v>1568.92</v>
      </c>
      <c r="EX107" s="231">
        <v>1486.25</v>
      </c>
      <c r="EY107" s="228">
        <v>82.67</v>
      </c>
      <c r="EZ107" s="229">
        <v>5.5599999999999997E-2</v>
      </c>
      <c r="FA107" s="229">
        <v>0.53029999999999999</v>
      </c>
      <c r="FB107" s="227" t="s">
        <v>555</v>
      </c>
      <c r="FC107">
        <f t="shared" si="1"/>
        <v>49</v>
      </c>
    </row>
    <row r="108" spans="1:159" ht="17.25" thickBot="1" x14ac:dyDescent="0.3">
      <c r="A108" s="226">
        <v>46050</v>
      </c>
      <c r="B108" s="227" t="s">
        <v>168</v>
      </c>
      <c r="C108" s="227" t="s">
        <v>582</v>
      </c>
      <c r="D108" s="228">
        <v>1175</v>
      </c>
      <c r="E108" s="228">
        <v>27</v>
      </c>
      <c r="F108" s="228">
        <v>370.35</v>
      </c>
      <c r="G108" s="228">
        <v>371.4</v>
      </c>
      <c r="H108" s="228">
        <v>-1.05</v>
      </c>
      <c r="I108" s="229">
        <v>-2.8E-3</v>
      </c>
      <c r="J108" s="228">
        <v>367.95</v>
      </c>
      <c r="K108" s="228">
        <v>368.9</v>
      </c>
      <c r="L108" s="228">
        <v>-0.95</v>
      </c>
      <c r="M108" s="229">
        <v>-2.5999999999999999E-3</v>
      </c>
      <c r="N108" s="228">
        <v>370.35</v>
      </c>
      <c r="O108" s="228">
        <v>369.15</v>
      </c>
      <c r="P108" s="228">
        <v>1.2</v>
      </c>
      <c r="Q108" s="229">
        <v>3.3E-3</v>
      </c>
      <c r="R108" s="228">
        <v>372.05</v>
      </c>
      <c r="S108" s="228">
        <v>371.4</v>
      </c>
      <c r="T108" s="228">
        <v>0.65</v>
      </c>
      <c r="U108" s="229">
        <v>1.8E-3</v>
      </c>
      <c r="V108" s="228">
        <v>372.85</v>
      </c>
      <c r="W108" s="228">
        <v>373.1</v>
      </c>
      <c r="X108" s="228">
        <v>-0.25</v>
      </c>
      <c r="Y108" s="229">
        <v>-6.9999999999999999E-4</v>
      </c>
      <c r="Z108" s="228">
        <v>2.4</v>
      </c>
      <c r="AA108" s="228">
        <v>2.5</v>
      </c>
      <c r="AB108" s="228">
        <v>-0.1</v>
      </c>
      <c r="AC108" s="229">
        <v>6.4999999999999997E-3</v>
      </c>
      <c r="AD108" s="228">
        <v>2.4</v>
      </c>
      <c r="AE108" s="228">
        <v>0.25</v>
      </c>
      <c r="AF108" s="228">
        <v>2.15</v>
      </c>
      <c r="AG108" s="229">
        <v>6.4999999999999997E-3</v>
      </c>
      <c r="AH108" s="228">
        <v>4.0999999999999996</v>
      </c>
      <c r="AI108" s="228">
        <v>2.5</v>
      </c>
      <c r="AJ108" s="228">
        <v>1.6</v>
      </c>
      <c r="AK108" s="229">
        <v>1.11E-2</v>
      </c>
      <c r="AL108" s="228">
        <v>4.9000000000000004</v>
      </c>
      <c r="AM108" s="228">
        <v>4.2</v>
      </c>
      <c r="AN108" s="228">
        <v>0.7</v>
      </c>
      <c r="AO108" s="229">
        <v>1.3299999999999999E-2</v>
      </c>
      <c r="AP108" s="228">
        <v>372.42</v>
      </c>
      <c r="AQ108" s="228">
        <v>373.68</v>
      </c>
      <c r="AR108" s="228">
        <v>0</v>
      </c>
      <c r="AS108" s="228">
        <v>185</v>
      </c>
      <c r="AT108" s="230">
        <v>1073</v>
      </c>
      <c r="AU108" s="228">
        <v>-888</v>
      </c>
      <c r="AV108" s="229">
        <v>-0.82769999999999999</v>
      </c>
      <c r="AW108" s="228">
        <v>168</v>
      </c>
      <c r="AX108" s="228">
        <v>448</v>
      </c>
      <c r="AY108" s="228">
        <v>-280</v>
      </c>
      <c r="AZ108" s="229">
        <v>-0.62480000000000002</v>
      </c>
      <c r="BA108" s="228">
        <v>16</v>
      </c>
      <c r="BB108" s="228">
        <v>614</v>
      </c>
      <c r="BC108" s="228">
        <v>-598</v>
      </c>
      <c r="BD108" s="229">
        <v>-0.97360000000000002</v>
      </c>
      <c r="BE108" s="228">
        <v>1</v>
      </c>
      <c r="BF108" s="228">
        <v>11</v>
      </c>
      <c r="BG108" s="228">
        <v>-10</v>
      </c>
      <c r="BH108" s="229">
        <v>-0.94310000000000005</v>
      </c>
      <c r="BI108" s="228">
        <v>484</v>
      </c>
      <c r="BJ108" s="230">
        <v>1368</v>
      </c>
      <c r="BK108" s="228">
        <v>-885</v>
      </c>
      <c r="BL108" s="229">
        <v>-0.64639999999999997</v>
      </c>
      <c r="BM108" s="228">
        <v>283</v>
      </c>
      <c r="BN108" s="230">
        <v>1147</v>
      </c>
      <c r="BO108" s="228">
        <v>-863</v>
      </c>
      <c r="BP108" s="229">
        <v>-0.753</v>
      </c>
      <c r="BQ108" s="228">
        <v>952</v>
      </c>
      <c r="BR108" s="230">
        <v>3588</v>
      </c>
      <c r="BS108" s="230">
        <v>-2636</v>
      </c>
      <c r="BT108" s="229">
        <v>-0.73470000000000002</v>
      </c>
      <c r="BU108" s="230">
        <v>5721429</v>
      </c>
      <c r="BV108" s="230">
        <v>13021944</v>
      </c>
      <c r="BW108" s="230">
        <v>-7300515</v>
      </c>
      <c r="BX108" s="229">
        <v>-0.56059999999999999</v>
      </c>
      <c r="BY108" s="230">
        <v>1125</v>
      </c>
      <c r="BZ108" s="230">
        <v>1106</v>
      </c>
      <c r="CA108" s="228">
        <v>19</v>
      </c>
      <c r="CB108" s="229">
        <v>1.7399999999999999E-2</v>
      </c>
      <c r="CC108" s="230">
        <v>1090</v>
      </c>
      <c r="CD108" s="228">
        <v>60</v>
      </c>
      <c r="CE108" s="230">
        <v>1030</v>
      </c>
      <c r="CF108" s="229">
        <v>17.2196</v>
      </c>
      <c r="CG108" s="228">
        <v>34</v>
      </c>
      <c r="CH108" s="230">
        <v>1077</v>
      </c>
      <c r="CI108" s="230">
        <v>-1042</v>
      </c>
      <c r="CJ108" s="229">
        <v>-0.96809999999999996</v>
      </c>
      <c r="CK108" s="228">
        <v>1</v>
      </c>
      <c r="CL108" s="228">
        <v>29</v>
      </c>
      <c r="CM108" s="228">
        <v>-29</v>
      </c>
      <c r="CN108" s="229">
        <v>-0.98070000000000002</v>
      </c>
      <c r="CO108" s="228">
        <v>535</v>
      </c>
      <c r="CP108" s="228">
        <v>479</v>
      </c>
      <c r="CQ108" s="228">
        <v>57</v>
      </c>
      <c r="CR108" s="229">
        <v>0.11840000000000001</v>
      </c>
      <c r="CS108" s="228">
        <v>394</v>
      </c>
      <c r="CT108" s="228">
        <v>388</v>
      </c>
      <c r="CU108" s="228">
        <v>5</v>
      </c>
      <c r="CV108" s="229">
        <v>1.2999999999999999E-2</v>
      </c>
      <c r="CW108" s="230">
        <v>2054</v>
      </c>
      <c r="CX108" s="230">
        <v>1973</v>
      </c>
      <c r="CY108" s="228">
        <v>81</v>
      </c>
      <c r="CZ108" s="229">
        <v>4.1000000000000002E-2</v>
      </c>
      <c r="DA108" s="228">
        <v>56</v>
      </c>
      <c r="DB108" s="228">
        <v>59.07</v>
      </c>
      <c r="DC108" s="228">
        <v>-3.07</v>
      </c>
      <c r="DD108" s="228">
        <v>-3.07</v>
      </c>
      <c r="DE108" s="228">
        <v>50.1</v>
      </c>
      <c r="DF108" s="228">
        <v>50.22</v>
      </c>
      <c r="DG108" s="228">
        <v>5.9</v>
      </c>
      <c r="DH108" s="228">
        <v>-0.12</v>
      </c>
      <c r="DI108" s="228">
        <v>55.14</v>
      </c>
      <c r="DJ108" s="228">
        <v>58.68</v>
      </c>
      <c r="DK108" s="228">
        <v>-3.54</v>
      </c>
      <c r="DL108" s="228">
        <v>-3.54</v>
      </c>
      <c r="DM108" s="228">
        <v>57.47</v>
      </c>
      <c r="DN108" s="228">
        <v>59.57</v>
      </c>
      <c r="DO108" s="228">
        <v>-2.1</v>
      </c>
      <c r="DP108" s="228">
        <v>-2.1</v>
      </c>
      <c r="DQ108" s="228">
        <v>0.74</v>
      </c>
      <c r="DR108" s="228">
        <v>0.81</v>
      </c>
      <c r="DS108" s="228">
        <v>-7.0000000000000007E-2</v>
      </c>
      <c r="DT108" s="229">
        <v>-8.6400000000000005E-2</v>
      </c>
      <c r="DU108" s="228">
        <v>380</v>
      </c>
      <c r="DV108" s="228">
        <v>370</v>
      </c>
      <c r="DW108" s="228">
        <v>0.59</v>
      </c>
      <c r="DX108" s="228">
        <v>0.84</v>
      </c>
      <c r="DY108" s="228">
        <v>-0.25</v>
      </c>
      <c r="DZ108" s="229">
        <v>-0.29759999999999998</v>
      </c>
      <c r="EA108" s="229">
        <v>3.1E-2</v>
      </c>
      <c r="EB108" s="230">
        <v>29859100</v>
      </c>
      <c r="EC108" s="229">
        <v>4.5999999999999999E-3</v>
      </c>
      <c r="ED108" s="229">
        <v>3.1E-2</v>
      </c>
      <c r="EE108" s="228">
        <v>1.26</v>
      </c>
      <c r="EF108" s="229">
        <v>3.3999999999999998E-3</v>
      </c>
      <c r="EG108" s="230">
        <v>1676549</v>
      </c>
      <c r="EH108" s="230">
        <v>3137147</v>
      </c>
      <c r="EI108" s="229">
        <v>-0.46560000000000001</v>
      </c>
      <c r="EJ108" s="229">
        <v>0.29299999999999998</v>
      </c>
      <c r="EK108" s="228">
        <v>545.32000000000005</v>
      </c>
      <c r="EL108" s="228">
        <v>279.64</v>
      </c>
      <c r="EM108" s="228">
        <v>185.91</v>
      </c>
      <c r="EN108" s="228">
        <v>319.55</v>
      </c>
      <c r="EO108" s="231">
        <v>1010.86</v>
      </c>
      <c r="EP108" s="231">
        <v>3678.81</v>
      </c>
      <c r="EQ108" s="231">
        <v>-2667.95</v>
      </c>
      <c r="ER108" s="229">
        <v>-0.72519999999999996</v>
      </c>
      <c r="ES108" s="228">
        <v>600.32000000000005</v>
      </c>
      <c r="ET108" s="228">
        <v>390.2</v>
      </c>
      <c r="EU108" s="231">
        <v>1125.23</v>
      </c>
      <c r="EV108" s="231">
        <v>57654984</v>
      </c>
      <c r="EW108" s="231">
        <v>2115.75</v>
      </c>
      <c r="EX108" s="231">
        <v>2029.38</v>
      </c>
      <c r="EY108" s="228">
        <v>86.37</v>
      </c>
      <c r="EZ108" s="229">
        <v>4.2599999999999999E-2</v>
      </c>
      <c r="FA108" s="229">
        <v>0.96189999999999998</v>
      </c>
      <c r="FB108" s="227" t="s">
        <v>567</v>
      </c>
      <c r="FC108">
        <f t="shared" si="1"/>
        <v>35</v>
      </c>
    </row>
    <row r="109" spans="1:159" ht="17.25" thickBot="1" x14ac:dyDescent="0.3">
      <c r="A109" s="226">
        <v>46050</v>
      </c>
      <c r="B109" s="227" t="s">
        <v>184</v>
      </c>
      <c r="C109" s="227" t="s">
        <v>675</v>
      </c>
      <c r="D109" s="228">
        <v>100</v>
      </c>
      <c r="E109" s="228">
        <v>27</v>
      </c>
      <c r="F109" s="231">
        <v>3503.6</v>
      </c>
      <c r="G109" s="231">
        <v>3350.8</v>
      </c>
      <c r="H109" s="228">
        <v>152.80000000000001</v>
      </c>
      <c r="I109" s="229">
        <v>4.5600000000000002E-2</v>
      </c>
      <c r="J109" s="231">
        <v>3490.6</v>
      </c>
      <c r="K109" s="231">
        <v>3333</v>
      </c>
      <c r="L109" s="228">
        <v>157.6</v>
      </c>
      <c r="M109" s="229">
        <v>4.7300000000000002E-2</v>
      </c>
      <c r="N109" s="231">
        <v>3503.6</v>
      </c>
      <c r="O109" s="231">
        <v>3330.4</v>
      </c>
      <c r="P109" s="228">
        <v>173.2</v>
      </c>
      <c r="Q109" s="229">
        <v>5.1999999999999998E-2</v>
      </c>
      <c r="R109" s="231">
        <v>3501.9</v>
      </c>
      <c r="S109" s="231">
        <v>3350.8</v>
      </c>
      <c r="T109" s="228">
        <v>151.1</v>
      </c>
      <c r="U109" s="229">
        <v>4.5100000000000001E-2</v>
      </c>
      <c r="V109" s="231">
        <v>3516.8</v>
      </c>
      <c r="W109" s="231">
        <v>3356.3</v>
      </c>
      <c r="X109" s="228">
        <v>160.5</v>
      </c>
      <c r="Y109" s="229">
        <v>4.7800000000000002E-2</v>
      </c>
      <c r="Z109" s="228">
        <v>13</v>
      </c>
      <c r="AA109" s="228">
        <v>17.8</v>
      </c>
      <c r="AB109" s="228">
        <v>-4.8</v>
      </c>
      <c r="AC109" s="229">
        <v>3.7000000000000002E-3</v>
      </c>
      <c r="AD109" s="228">
        <v>13</v>
      </c>
      <c r="AE109" s="228">
        <v>-2.6</v>
      </c>
      <c r="AF109" s="228">
        <v>15.6</v>
      </c>
      <c r="AG109" s="229">
        <v>3.7000000000000002E-3</v>
      </c>
      <c r="AH109" s="228">
        <v>11.3</v>
      </c>
      <c r="AI109" s="228">
        <v>17.8</v>
      </c>
      <c r="AJ109" s="228">
        <v>-6.5</v>
      </c>
      <c r="AK109" s="229">
        <v>3.2000000000000002E-3</v>
      </c>
      <c r="AL109" s="228">
        <v>26.2</v>
      </c>
      <c r="AM109" s="228">
        <v>23.3</v>
      </c>
      <c r="AN109" s="228">
        <v>2.9</v>
      </c>
      <c r="AO109" s="229">
        <v>7.4999999999999997E-3</v>
      </c>
      <c r="AP109" s="231">
        <v>3445.56</v>
      </c>
      <c r="AQ109" s="231">
        <v>3444.9</v>
      </c>
      <c r="AR109" s="228">
        <v>0</v>
      </c>
      <c r="AS109" s="228">
        <v>277</v>
      </c>
      <c r="AT109" s="230">
        <v>1313</v>
      </c>
      <c r="AU109" s="230">
        <v>-1036</v>
      </c>
      <c r="AV109" s="229">
        <v>-0.78890000000000005</v>
      </c>
      <c r="AW109" s="228">
        <v>249</v>
      </c>
      <c r="AX109" s="228">
        <v>588</v>
      </c>
      <c r="AY109" s="228">
        <v>-340</v>
      </c>
      <c r="AZ109" s="229">
        <v>-0.57740000000000002</v>
      </c>
      <c r="BA109" s="228">
        <v>27</v>
      </c>
      <c r="BB109" s="228">
        <v>695</v>
      </c>
      <c r="BC109" s="228">
        <v>-668</v>
      </c>
      <c r="BD109" s="229">
        <v>-0.96150000000000002</v>
      </c>
      <c r="BE109" s="228">
        <v>2</v>
      </c>
      <c r="BF109" s="228">
        <v>30</v>
      </c>
      <c r="BG109" s="228">
        <v>-28</v>
      </c>
      <c r="BH109" s="229">
        <v>-0.93840000000000001</v>
      </c>
      <c r="BI109" s="228">
        <v>588</v>
      </c>
      <c r="BJ109" s="230">
        <v>1032</v>
      </c>
      <c r="BK109" s="228">
        <v>-444</v>
      </c>
      <c r="BL109" s="229">
        <v>-0.43009999999999998</v>
      </c>
      <c r="BM109" s="228">
        <v>253</v>
      </c>
      <c r="BN109" s="228">
        <v>664</v>
      </c>
      <c r="BO109" s="228">
        <v>-411</v>
      </c>
      <c r="BP109" s="229">
        <v>-0.61890000000000001</v>
      </c>
      <c r="BQ109" s="230">
        <v>1119</v>
      </c>
      <c r="BR109" s="230">
        <v>3010</v>
      </c>
      <c r="BS109" s="230">
        <v>-1891</v>
      </c>
      <c r="BT109" s="229">
        <v>-0.62829999999999997</v>
      </c>
      <c r="BU109" s="230">
        <v>1406480</v>
      </c>
      <c r="BV109" s="230">
        <v>1399957</v>
      </c>
      <c r="BW109" s="230">
        <v>6523</v>
      </c>
      <c r="BX109" s="229">
        <v>4.7000000000000002E-3</v>
      </c>
      <c r="BY109" s="230">
        <v>1200</v>
      </c>
      <c r="BZ109" s="230">
        <v>1184</v>
      </c>
      <c r="CA109" s="228">
        <v>16</v>
      </c>
      <c r="CB109" s="229">
        <v>1.3299999999999999E-2</v>
      </c>
      <c r="CC109" s="230">
        <v>1136</v>
      </c>
      <c r="CD109" s="228">
        <v>131</v>
      </c>
      <c r="CE109" s="230">
        <v>1005</v>
      </c>
      <c r="CF109" s="229">
        <v>7.6835000000000004</v>
      </c>
      <c r="CG109" s="228">
        <v>62</v>
      </c>
      <c r="CH109" s="230">
        <v>1131</v>
      </c>
      <c r="CI109" s="230">
        <v>-1069</v>
      </c>
      <c r="CJ109" s="229">
        <v>-0.94520000000000004</v>
      </c>
      <c r="CK109" s="228">
        <v>2</v>
      </c>
      <c r="CL109" s="228">
        <v>54</v>
      </c>
      <c r="CM109" s="228">
        <v>-52</v>
      </c>
      <c r="CN109" s="229">
        <v>-0.96860000000000002</v>
      </c>
      <c r="CO109" s="228">
        <v>283</v>
      </c>
      <c r="CP109" s="228">
        <v>245</v>
      </c>
      <c r="CQ109" s="228">
        <v>38</v>
      </c>
      <c r="CR109" s="229">
        <v>0.1565</v>
      </c>
      <c r="CS109" s="228">
        <v>252</v>
      </c>
      <c r="CT109" s="228">
        <v>218</v>
      </c>
      <c r="CU109" s="228">
        <v>34</v>
      </c>
      <c r="CV109" s="229">
        <v>0.15659999999999999</v>
      </c>
      <c r="CW109" s="230">
        <v>1736</v>
      </c>
      <c r="CX109" s="230">
        <v>1647</v>
      </c>
      <c r="CY109" s="228">
        <v>88</v>
      </c>
      <c r="CZ109" s="229">
        <v>5.3600000000000002E-2</v>
      </c>
      <c r="DA109" s="228">
        <v>52.09</v>
      </c>
      <c r="DB109" s="228">
        <v>53.34</v>
      </c>
      <c r="DC109" s="228">
        <v>-1.25</v>
      </c>
      <c r="DD109" s="228">
        <v>-1.25</v>
      </c>
      <c r="DE109" s="228">
        <v>60.92</v>
      </c>
      <c r="DF109" s="228">
        <v>60.75</v>
      </c>
      <c r="DG109" s="228">
        <v>-8.83</v>
      </c>
      <c r="DH109" s="228">
        <v>0.17</v>
      </c>
      <c r="DI109" s="228">
        <v>51.77</v>
      </c>
      <c r="DJ109" s="228">
        <v>53.49</v>
      </c>
      <c r="DK109" s="228">
        <v>-1.72</v>
      </c>
      <c r="DL109" s="228">
        <v>-1.72</v>
      </c>
      <c r="DM109" s="228">
        <v>52.84</v>
      </c>
      <c r="DN109" s="228">
        <v>53.13</v>
      </c>
      <c r="DO109" s="228">
        <v>-0.28999999999999998</v>
      </c>
      <c r="DP109" s="228">
        <v>-0.28999999999999998</v>
      </c>
      <c r="DQ109" s="228">
        <v>0.89</v>
      </c>
      <c r="DR109" s="228">
        <v>0.89</v>
      </c>
      <c r="DS109" s="228">
        <v>0</v>
      </c>
      <c r="DT109" s="229">
        <v>0</v>
      </c>
      <c r="DU109" s="231">
        <v>4000</v>
      </c>
      <c r="DV109" s="231">
        <v>3000</v>
      </c>
      <c r="DW109" s="228">
        <v>0.43</v>
      </c>
      <c r="DX109" s="228">
        <v>0.64</v>
      </c>
      <c r="DY109" s="228">
        <v>-0.21</v>
      </c>
      <c r="DZ109" s="229">
        <v>-0.3281</v>
      </c>
      <c r="EA109" s="229">
        <v>5.3100000000000001E-2</v>
      </c>
      <c r="EB109" s="230">
        <v>3380100</v>
      </c>
      <c r="EC109" s="229">
        <v>-5.0000000000000001E-4</v>
      </c>
      <c r="ED109" s="229">
        <v>5.3100000000000001E-2</v>
      </c>
      <c r="EE109" s="228">
        <v>-0.66</v>
      </c>
      <c r="EF109" s="229">
        <v>-2.0000000000000001E-4</v>
      </c>
      <c r="EG109" s="230">
        <v>325680</v>
      </c>
      <c r="EH109" s="230">
        <v>247676</v>
      </c>
      <c r="EI109" s="229">
        <v>0.31490000000000001</v>
      </c>
      <c r="EJ109" s="229">
        <v>0.2316</v>
      </c>
      <c r="EK109" s="228">
        <v>638.16999999999996</v>
      </c>
      <c r="EL109" s="228">
        <v>243.6</v>
      </c>
      <c r="EM109" s="228">
        <v>272.64999999999998</v>
      </c>
      <c r="EN109" s="228">
        <v>313.66000000000003</v>
      </c>
      <c r="EO109" s="231">
        <v>1154.42</v>
      </c>
      <c r="EP109" s="231">
        <v>3050.56</v>
      </c>
      <c r="EQ109" s="231">
        <v>-1896.14</v>
      </c>
      <c r="ER109" s="229">
        <v>-0.62160000000000004</v>
      </c>
      <c r="ES109" s="228">
        <v>306.8</v>
      </c>
      <c r="ET109" s="228">
        <v>250.25</v>
      </c>
      <c r="EU109" s="231">
        <v>1199.99</v>
      </c>
      <c r="EV109" s="231">
        <v>4679418</v>
      </c>
      <c r="EW109" s="231">
        <v>1757.04</v>
      </c>
      <c r="EX109" s="231">
        <v>1615.55</v>
      </c>
      <c r="EY109" s="228">
        <v>141.49</v>
      </c>
      <c r="EZ109" s="229">
        <v>8.7599999999999997E-2</v>
      </c>
      <c r="FA109" s="229">
        <v>1.0586</v>
      </c>
      <c r="FB109" s="227" t="s">
        <v>555</v>
      </c>
      <c r="FC109">
        <f t="shared" si="1"/>
        <v>64</v>
      </c>
    </row>
    <row r="110" spans="1:159" ht="17.25" thickBot="1" x14ac:dyDescent="0.3">
      <c r="A110" s="226">
        <v>46050</v>
      </c>
      <c r="B110" s="227" t="s">
        <v>161</v>
      </c>
      <c r="C110" s="227" t="s">
        <v>610</v>
      </c>
      <c r="D110" s="228">
        <v>175</v>
      </c>
      <c r="E110" s="228">
        <v>27</v>
      </c>
      <c r="F110" s="231">
        <v>3871.2</v>
      </c>
      <c r="G110" s="231">
        <v>3761.7</v>
      </c>
      <c r="H110" s="228">
        <v>109.5</v>
      </c>
      <c r="I110" s="229">
        <v>2.9100000000000001E-2</v>
      </c>
      <c r="J110" s="231">
        <v>3879.1</v>
      </c>
      <c r="K110" s="231">
        <v>3805.2</v>
      </c>
      <c r="L110" s="228">
        <v>73.900000000000006</v>
      </c>
      <c r="M110" s="229">
        <v>1.9400000000000001E-2</v>
      </c>
      <c r="N110" s="231">
        <v>3871.2</v>
      </c>
      <c r="O110" s="231">
        <v>3812.6</v>
      </c>
      <c r="P110" s="228">
        <v>58.6</v>
      </c>
      <c r="Q110" s="229">
        <v>1.54E-2</v>
      </c>
      <c r="R110" s="231">
        <v>3854.3</v>
      </c>
      <c r="S110" s="231">
        <v>3761.7</v>
      </c>
      <c r="T110" s="228">
        <v>92.6</v>
      </c>
      <c r="U110" s="229">
        <v>2.46E-2</v>
      </c>
      <c r="V110" s="231">
        <v>3862</v>
      </c>
      <c r="W110" s="231">
        <v>3710.6</v>
      </c>
      <c r="X110" s="228">
        <v>151.4</v>
      </c>
      <c r="Y110" s="229">
        <v>4.0800000000000003E-2</v>
      </c>
      <c r="Z110" s="228">
        <v>-7.9</v>
      </c>
      <c r="AA110" s="228">
        <v>-43.5</v>
      </c>
      <c r="AB110" s="228">
        <v>35.6</v>
      </c>
      <c r="AC110" s="229">
        <v>-2E-3</v>
      </c>
      <c r="AD110" s="228">
        <v>-7.9</v>
      </c>
      <c r="AE110" s="228">
        <v>7.4</v>
      </c>
      <c r="AF110" s="228">
        <v>-15.3</v>
      </c>
      <c r="AG110" s="229">
        <v>-2E-3</v>
      </c>
      <c r="AH110" s="228">
        <v>-24.8</v>
      </c>
      <c r="AI110" s="228">
        <v>-43.5</v>
      </c>
      <c r="AJ110" s="228">
        <v>18.7</v>
      </c>
      <c r="AK110" s="229">
        <v>-6.4000000000000003E-3</v>
      </c>
      <c r="AL110" s="228">
        <v>-17.100000000000001</v>
      </c>
      <c r="AM110" s="228">
        <v>-94.6</v>
      </c>
      <c r="AN110" s="228">
        <v>77.5</v>
      </c>
      <c r="AO110" s="229">
        <v>-4.4000000000000003E-3</v>
      </c>
      <c r="AP110" s="231">
        <v>3843.62</v>
      </c>
      <c r="AQ110" s="231">
        <v>3831.58</v>
      </c>
      <c r="AR110" s="228">
        <v>0</v>
      </c>
      <c r="AS110" s="228">
        <v>97</v>
      </c>
      <c r="AT110" s="228">
        <v>396</v>
      </c>
      <c r="AU110" s="228">
        <v>-299</v>
      </c>
      <c r="AV110" s="229">
        <v>-0.75560000000000005</v>
      </c>
      <c r="AW110" s="228">
        <v>93</v>
      </c>
      <c r="AX110" s="228">
        <v>155</v>
      </c>
      <c r="AY110" s="228">
        <v>-62</v>
      </c>
      <c r="AZ110" s="229">
        <v>-0.39989999999999998</v>
      </c>
      <c r="BA110" s="228">
        <v>4</v>
      </c>
      <c r="BB110" s="228">
        <v>239</v>
      </c>
      <c r="BC110" s="228">
        <v>-235</v>
      </c>
      <c r="BD110" s="229">
        <v>-0.98440000000000005</v>
      </c>
      <c r="BE110" s="228">
        <v>0</v>
      </c>
      <c r="BF110" s="228">
        <v>2</v>
      </c>
      <c r="BG110" s="228">
        <v>-2</v>
      </c>
      <c r="BH110" s="229">
        <v>-0.9355</v>
      </c>
      <c r="BI110" s="228">
        <v>176</v>
      </c>
      <c r="BJ110" s="228">
        <v>485</v>
      </c>
      <c r="BK110" s="228">
        <v>-309</v>
      </c>
      <c r="BL110" s="229">
        <v>-0.63719999999999999</v>
      </c>
      <c r="BM110" s="228">
        <v>63</v>
      </c>
      <c r="BN110" s="228">
        <v>223</v>
      </c>
      <c r="BO110" s="228">
        <v>-160</v>
      </c>
      <c r="BP110" s="229">
        <v>-0.71640000000000004</v>
      </c>
      <c r="BQ110" s="228">
        <v>336</v>
      </c>
      <c r="BR110" s="230">
        <v>1104</v>
      </c>
      <c r="BS110" s="228">
        <v>-768</v>
      </c>
      <c r="BT110" s="229">
        <v>-0.6956</v>
      </c>
      <c r="BU110" s="230">
        <v>123829</v>
      </c>
      <c r="BV110" s="230">
        <v>415044</v>
      </c>
      <c r="BW110" s="230">
        <v>-291215</v>
      </c>
      <c r="BX110" s="229">
        <v>-0.7016</v>
      </c>
      <c r="BY110" s="228">
        <v>437</v>
      </c>
      <c r="BZ110" s="228">
        <v>428</v>
      </c>
      <c r="CA110" s="228">
        <v>9</v>
      </c>
      <c r="CB110" s="229">
        <v>2.12E-2</v>
      </c>
      <c r="CC110" s="228">
        <v>431</v>
      </c>
      <c r="CD110" s="228">
        <v>68</v>
      </c>
      <c r="CE110" s="228">
        <v>363</v>
      </c>
      <c r="CF110" s="229">
        <v>5.3220999999999998</v>
      </c>
      <c r="CG110" s="228">
        <v>6</v>
      </c>
      <c r="CH110" s="228">
        <v>423</v>
      </c>
      <c r="CI110" s="228">
        <v>-417</v>
      </c>
      <c r="CJ110" s="229">
        <v>-0.98650000000000004</v>
      </c>
      <c r="CK110" s="228">
        <v>0</v>
      </c>
      <c r="CL110" s="228">
        <v>5</v>
      </c>
      <c r="CM110" s="228">
        <v>-4</v>
      </c>
      <c r="CN110" s="229">
        <v>-0.97060000000000002</v>
      </c>
      <c r="CO110" s="228">
        <v>87</v>
      </c>
      <c r="CP110" s="228">
        <v>85</v>
      </c>
      <c r="CQ110" s="228">
        <v>2</v>
      </c>
      <c r="CR110" s="229">
        <v>2.1600000000000001E-2</v>
      </c>
      <c r="CS110" s="228">
        <v>77</v>
      </c>
      <c r="CT110" s="228">
        <v>65</v>
      </c>
      <c r="CU110" s="228">
        <v>12</v>
      </c>
      <c r="CV110" s="229">
        <v>0.18290000000000001</v>
      </c>
      <c r="CW110" s="228">
        <v>600</v>
      </c>
      <c r="CX110" s="228">
        <v>577</v>
      </c>
      <c r="CY110" s="228">
        <v>23</v>
      </c>
      <c r="CZ110" s="229">
        <v>3.9399999999999998E-2</v>
      </c>
      <c r="DA110" s="228">
        <v>33.130000000000003</v>
      </c>
      <c r="DB110" s="228">
        <v>36.28</v>
      </c>
      <c r="DC110" s="228">
        <v>-3.15</v>
      </c>
      <c r="DD110" s="228">
        <v>-3.15</v>
      </c>
      <c r="DE110" s="228">
        <v>45.13</v>
      </c>
      <c r="DF110" s="228">
        <v>45.08</v>
      </c>
      <c r="DG110" s="228">
        <v>-12</v>
      </c>
      <c r="DH110" s="228">
        <v>0.05</v>
      </c>
      <c r="DI110" s="228">
        <v>32.5</v>
      </c>
      <c r="DJ110" s="228">
        <v>36.479999999999997</v>
      </c>
      <c r="DK110" s="228">
        <v>-3.98</v>
      </c>
      <c r="DL110" s="228">
        <v>-3.98</v>
      </c>
      <c r="DM110" s="228">
        <v>34.880000000000003</v>
      </c>
      <c r="DN110" s="228">
        <v>35.78</v>
      </c>
      <c r="DO110" s="228">
        <v>-0.9</v>
      </c>
      <c r="DP110" s="228">
        <v>-0.9</v>
      </c>
      <c r="DQ110" s="228">
        <v>0.89</v>
      </c>
      <c r="DR110" s="228">
        <v>0.76</v>
      </c>
      <c r="DS110" s="228">
        <v>0.13</v>
      </c>
      <c r="DT110" s="229">
        <v>0.1711</v>
      </c>
      <c r="DU110" s="231">
        <v>4000</v>
      </c>
      <c r="DV110" s="231">
        <v>3800</v>
      </c>
      <c r="DW110" s="228">
        <v>0.36</v>
      </c>
      <c r="DX110" s="228">
        <v>0.46</v>
      </c>
      <c r="DY110" s="228">
        <v>-0.1</v>
      </c>
      <c r="DZ110" s="229">
        <v>-0.21740000000000001</v>
      </c>
      <c r="EA110" s="229">
        <v>1.3299999999999999E-2</v>
      </c>
      <c r="EB110" s="230">
        <v>1104600</v>
      </c>
      <c r="EC110" s="229">
        <v>-4.4000000000000003E-3</v>
      </c>
      <c r="ED110" s="229">
        <v>1.3299999999999999E-2</v>
      </c>
      <c r="EE110" s="228">
        <v>-12.04</v>
      </c>
      <c r="EF110" s="229">
        <v>-3.0999999999999999E-3</v>
      </c>
      <c r="EG110" s="230">
        <v>51310</v>
      </c>
      <c r="EH110" s="230">
        <v>172700</v>
      </c>
      <c r="EI110" s="229">
        <v>-0.70289999999999997</v>
      </c>
      <c r="EJ110" s="229">
        <v>0.41439999999999999</v>
      </c>
      <c r="EK110" s="228">
        <v>185.19</v>
      </c>
      <c r="EL110" s="228">
        <v>61.78</v>
      </c>
      <c r="EM110" s="228">
        <v>95.97</v>
      </c>
      <c r="EN110" s="228">
        <v>109.78</v>
      </c>
      <c r="EO110" s="228">
        <v>342.95</v>
      </c>
      <c r="EP110" s="231">
        <v>1120.1099999999999</v>
      </c>
      <c r="EQ110" s="228">
        <v>-777.16</v>
      </c>
      <c r="ER110" s="229">
        <v>-0.69379999999999997</v>
      </c>
      <c r="ES110" s="228">
        <v>89.81</v>
      </c>
      <c r="ET110" s="228">
        <v>75.44</v>
      </c>
      <c r="EU110" s="228">
        <v>436.67</v>
      </c>
      <c r="EV110" s="231">
        <v>8553821</v>
      </c>
      <c r="EW110" s="228">
        <v>601.91</v>
      </c>
      <c r="EX110" s="228">
        <v>567.9</v>
      </c>
      <c r="EY110" s="228">
        <v>34.01</v>
      </c>
      <c r="EZ110" s="229">
        <v>5.9900000000000002E-2</v>
      </c>
      <c r="FA110" s="229">
        <v>0.1812</v>
      </c>
      <c r="FB110" s="227" t="s">
        <v>555</v>
      </c>
      <c r="FC110">
        <f t="shared" si="1"/>
        <v>6</v>
      </c>
    </row>
    <row r="111" spans="1:159" ht="17.25" thickBot="1" x14ac:dyDescent="0.3">
      <c r="A111" s="226">
        <v>46050</v>
      </c>
      <c r="B111" s="227" t="s">
        <v>175</v>
      </c>
      <c r="C111" s="227" t="s">
        <v>682</v>
      </c>
      <c r="D111" s="228">
        <v>500</v>
      </c>
      <c r="E111" s="228">
        <v>27</v>
      </c>
      <c r="F111" s="231">
        <v>1000.9</v>
      </c>
      <c r="G111" s="228">
        <v>986.3</v>
      </c>
      <c r="H111" s="228">
        <v>14.6</v>
      </c>
      <c r="I111" s="229">
        <v>1.4800000000000001E-2</v>
      </c>
      <c r="J111" s="231">
        <v>1022.1</v>
      </c>
      <c r="K111" s="231">
        <v>1016</v>
      </c>
      <c r="L111" s="228">
        <v>6.1</v>
      </c>
      <c r="M111" s="229">
        <v>6.0000000000000001E-3</v>
      </c>
      <c r="N111" s="231">
        <v>1000.9</v>
      </c>
      <c r="O111" s="231">
        <v>1016.3</v>
      </c>
      <c r="P111" s="228">
        <v>-15.4</v>
      </c>
      <c r="Q111" s="229">
        <v>-1.52E-2</v>
      </c>
      <c r="R111" s="228">
        <v>977.1</v>
      </c>
      <c r="S111" s="228">
        <v>986.3</v>
      </c>
      <c r="T111" s="228">
        <v>-9.1999999999999993</v>
      </c>
      <c r="U111" s="229">
        <v>-9.2999999999999992E-3</v>
      </c>
      <c r="V111" s="228">
        <v>966.2</v>
      </c>
      <c r="W111" s="228">
        <v>963.9</v>
      </c>
      <c r="X111" s="228">
        <v>2.2999999999999998</v>
      </c>
      <c r="Y111" s="229">
        <v>2.3999999999999998E-3</v>
      </c>
      <c r="Z111" s="228">
        <v>-21.2</v>
      </c>
      <c r="AA111" s="228">
        <v>-29.7</v>
      </c>
      <c r="AB111" s="228">
        <v>8.5</v>
      </c>
      <c r="AC111" s="229">
        <v>-2.07E-2</v>
      </c>
      <c r="AD111" s="228">
        <v>-21.2</v>
      </c>
      <c r="AE111" s="228">
        <v>0.3</v>
      </c>
      <c r="AF111" s="228">
        <v>-21.5</v>
      </c>
      <c r="AG111" s="229">
        <v>-2.07E-2</v>
      </c>
      <c r="AH111" s="228">
        <v>-45</v>
      </c>
      <c r="AI111" s="228">
        <v>-29.7</v>
      </c>
      <c r="AJ111" s="228">
        <v>-15.3</v>
      </c>
      <c r="AK111" s="229">
        <v>-4.3999999999999997E-2</v>
      </c>
      <c r="AL111" s="228">
        <v>-55.9</v>
      </c>
      <c r="AM111" s="228">
        <v>-52.1</v>
      </c>
      <c r="AN111" s="228">
        <v>-3.8</v>
      </c>
      <c r="AO111" s="229">
        <v>-5.4699999999999999E-2</v>
      </c>
      <c r="AP111" s="228">
        <v>995.52</v>
      </c>
      <c r="AQ111" s="228">
        <v>972.15</v>
      </c>
      <c r="AR111" s="228">
        <v>0</v>
      </c>
      <c r="AS111" s="228">
        <v>105</v>
      </c>
      <c r="AT111" s="228">
        <v>586</v>
      </c>
      <c r="AU111" s="228">
        <v>-481</v>
      </c>
      <c r="AV111" s="229">
        <v>-0.82140000000000002</v>
      </c>
      <c r="AW111" s="228">
        <v>94</v>
      </c>
      <c r="AX111" s="228">
        <v>263</v>
      </c>
      <c r="AY111" s="228">
        <v>-169</v>
      </c>
      <c r="AZ111" s="229">
        <v>-0.64419999999999999</v>
      </c>
      <c r="BA111" s="228">
        <v>11</v>
      </c>
      <c r="BB111" s="228">
        <v>315</v>
      </c>
      <c r="BC111" s="228">
        <v>-304</v>
      </c>
      <c r="BD111" s="229">
        <v>-0.9657</v>
      </c>
      <c r="BE111" s="228">
        <v>0</v>
      </c>
      <c r="BF111" s="228">
        <v>8</v>
      </c>
      <c r="BG111" s="228">
        <v>-7</v>
      </c>
      <c r="BH111" s="229">
        <v>-0.96050000000000002</v>
      </c>
      <c r="BI111" s="228">
        <v>68</v>
      </c>
      <c r="BJ111" s="228">
        <v>109</v>
      </c>
      <c r="BK111" s="228">
        <v>-41</v>
      </c>
      <c r="BL111" s="229">
        <v>-0.37819999999999998</v>
      </c>
      <c r="BM111" s="228">
        <v>33</v>
      </c>
      <c r="BN111" s="228">
        <v>112</v>
      </c>
      <c r="BO111" s="228">
        <v>-79</v>
      </c>
      <c r="BP111" s="229">
        <v>-0.70789999999999997</v>
      </c>
      <c r="BQ111" s="228">
        <v>205</v>
      </c>
      <c r="BR111" s="228">
        <v>806</v>
      </c>
      <c r="BS111" s="228">
        <v>-602</v>
      </c>
      <c r="BT111" s="229">
        <v>-0.74590000000000001</v>
      </c>
      <c r="BU111" s="230">
        <v>685147</v>
      </c>
      <c r="BV111" s="230">
        <v>822124</v>
      </c>
      <c r="BW111" s="230">
        <v>-136977</v>
      </c>
      <c r="BX111" s="229">
        <v>-0.1666</v>
      </c>
      <c r="BY111" s="228">
        <v>555</v>
      </c>
      <c r="BZ111" s="228">
        <v>558</v>
      </c>
      <c r="CA111" s="228">
        <v>-3</v>
      </c>
      <c r="CB111" s="229">
        <v>-5.3E-3</v>
      </c>
      <c r="CC111" s="228">
        <v>528</v>
      </c>
      <c r="CD111" s="228">
        <v>18</v>
      </c>
      <c r="CE111" s="228">
        <v>510</v>
      </c>
      <c r="CF111" s="229">
        <v>27.994499999999999</v>
      </c>
      <c r="CG111" s="228">
        <v>27</v>
      </c>
      <c r="CH111" s="228">
        <v>535</v>
      </c>
      <c r="CI111" s="228">
        <v>-509</v>
      </c>
      <c r="CJ111" s="229">
        <v>-0.95040000000000002</v>
      </c>
      <c r="CK111" s="228">
        <v>0</v>
      </c>
      <c r="CL111" s="228">
        <v>23</v>
      </c>
      <c r="CM111" s="228">
        <v>-22</v>
      </c>
      <c r="CN111" s="229">
        <v>-0.99119999999999997</v>
      </c>
      <c r="CO111" s="228">
        <v>57</v>
      </c>
      <c r="CP111" s="228">
        <v>48</v>
      </c>
      <c r="CQ111" s="228">
        <v>9</v>
      </c>
      <c r="CR111" s="229">
        <v>0.19500000000000001</v>
      </c>
      <c r="CS111" s="228">
        <v>57</v>
      </c>
      <c r="CT111" s="228">
        <v>53</v>
      </c>
      <c r="CU111" s="228">
        <v>5</v>
      </c>
      <c r="CV111" s="229">
        <v>8.6599999999999996E-2</v>
      </c>
      <c r="CW111" s="228">
        <v>669</v>
      </c>
      <c r="CX111" s="228">
        <v>658</v>
      </c>
      <c r="CY111" s="228">
        <v>11</v>
      </c>
      <c r="CZ111" s="229">
        <v>1.66E-2</v>
      </c>
      <c r="DA111" s="228">
        <v>39.380000000000003</v>
      </c>
      <c r="DB111" s="228">
        <v>40.200000000000003</v>
      </c>
      <c r="DC111" s="228">
        <v>-0.82</v>
      </c>
      <c r="DD111" s="228">
        <v>-0.82</v>
      </c>
      <c r="DE111" s="228">
        <v>50.5</v>
      </c>
      <c r="DF111" s="228">
        <v>50.58</v>
      </c>
      <c r="DG111" s="228">
        <v>-11.12</v>
      </c>
      <c r="DH111" s="228">
        <v>-0.08</v>
      </c>
      <c r="DI111" s="228">
        <v>38.1</v>
      </c>
      <c r="DJ111" s="228">
        <v>39.700000000000003</v>
      </c>
      <c r="DK111" s="228">
        <v>-1.6</v>
      </c>
      <c r="DL111" s="228">
        <v>-1.6</v>
      </c>
      <c r="DM111" s="228">
        <v>42.02</v>
      </c>
      <c r="DN111" s="228">
        <v>40.729999999999997</v>
      </c>
      <c r="DO111" s="228">
        <v>1.29</v>
      </c>
      <c r="DP111" s="228">
        <v>1.29</v>
      </c>
      <c r="DQ111" s="228">
        <v>1</v>
      </c>
      <c r="DR111" s="228">
        <v>1.1000000000000001</v>
      </c>
      <c r="DS111" s="228">
        <v>-0.1</v>
      </c>
      <c r="DT111" s="229">
        <v>-9.0899999999999995E-2</v>
      </c>
      <c r="DU111" s="231">
        <v>1000</v>
      </c>
      <c r="DV111" s="231">
        <v>1000</v>
      </c>
      <c r="DW111" s="228">
        <v>0.48</v>
      </c>
      <c r="DX111" s="228">
        <v>1.03</v>
      </c>
      <c r="DY111" s="228">
        <v>-0.55000000000000004</v>
      </c>
      <c r="DZ111" s="229">
        <v>-0.53400000000000003</v>
      </c>
      <c r="EA111" s="229">
        <v>4.82E-2</v>
      </c>
      <c r="EB111" s="230">
        <v>5573500</v>
      </c>
      <c r="EC111" s="229">
        <v>-2.3800000000000002E-2</v>
      </c>
      <c r="ED111" s="229">
        <v>4.82E-2</v>
      </c>
      <c r="EE111" s="228">
        <v>-23.37</v>
      </c>
      <c r="EF111" s="229">
        <v>-2.35E-2</v>
      </c>
      <c r="EG111" s="230">
        <v>253652</v>
      </c>
      <c r="EH111" s="230">
        <v>187325</v>
      </c>
      <c r="EI111" s="229">
        <v>0.35410000000000003</v>
      </c>
      <c r="EJ111" s="229">
        <v>0.37019999999999997</v>
      </c>
      <c r="EK111" s="228">
        <v>72.459999999999994</v>
      </c>
      <c r="EL111" s="228">
        <v>33.46</v>
      </c>
      <c r="EM111" s="228">
        <v>103.82</v>
      </c>
      <c r="EN111" s="228">
        <v>131</v>
      </c>
      <c r="EO111" s="228">
        <v>209.73</v>
      </c>
      <c r="EP111" s="228">
        <v>815.58</v>
      </c>
      <c r="EQ111" s="228">
        <v>-605.85</v>
      </c>
      <c r="ER111" s="229">
        <v>-0.74280000000000002</v>
      </c>
      <c r="ES111" s="228">
        <v>58.97</v>
      </c>
      <c r="ET111" s="228">
        <v>56.91</v>
      </c>
      <c r="EU111" s="228">
        <v>554.26</v>
      </c>
      <c r="EV111" s="231">
        <v>19924232</v>
      </c>
      <c r="EW111" s="228">
        <v>670.14</v>
      </c>
      <c r="EX111" s="228">
        <v>650.76</v>
      </c>
      <c r="EY111" s="228">
        <v>19.38</v>
      </c>
      <c r="EZ111" s="229">
        <v>2.98E-2</v>
      </c>
      <c r="FA111" s="229">
        <v>0.33550000000000002</v>
      </c>
      <c r="FB111" s="227" t="s">
        <v>556</v>
      </c>
      <c r="FC111">
        <f t="shared" si="1"/>
        <v>27</v>
      </c>
    </row>
    <row r="112" spans="1:159" ht="17.25" thickBot="1" x14ac:dyDescent="0.3">
      <c r="A112" s="226">
        <v>46050</v>
      </c>
      <c r="B112" s="227" t="s">
        <v>172</v>
      </c>
      <c r="C112" s="227" t="s">
        <v>246</v>
      </c>
      <c r="D112" s="228">
        <v>2000</v>
      </c>
      <c r="E112" s="228">
        <v>27</v>
      </c>
      <c r="F112" s="228">
        <v>413.8</v>
      </c>
      <c r="G112" s="228">
        <v>411.4</v>
      </c>
      <c r="H112" s="228">
        <v>2.4</v>
      </c>
      <c r="I112" s="229">
        <v>5.7999999999999996E-3</v>
      </c>
      <c r="J112" s="228">
        <v>412.4</v>
      </c>
      <c r="K112" s="228">
        <v>408.7</v>
      </c>
      <c r="L112" s="228">
        <v>3.7</v>
      </c>
      <c r="M112" s="229">
        <v>9.1000000000000004E-3</v>
      </c>
      <c r="N112" s="228">
        <v>413.8</v>
      </c>
      <c r="O112" s="228">
        <v>408.2</v>
      </c>
      <c r="P112" s="228">
        <v>5.6</v>
      </c>
      <c r="Q112" s="229">
        <v>1.37E-2</v>
      </c>
      <c r="R112" s="228">
        <v>416.2</v>
      </c>
      <c r="S112" s="228">
        <v>411.4</v>
      </c>
      <c r="T112" s="228">
        <v>4.8</v>
      </c>
      <c r="U112" s="229">
        <v>1.17E-2</v>
      </c>
      <c r="V112" s="228">
        <v>418.3</v>
      </c>
      <c r="W112" s="228">
        <v>414.5</v>
      </c>
      <c r="X112" s="228">
        <v>3.8</v>
      </c>
      <c r="Y112" s="229">
        <v>9.1999999999999998E-3</v>
      </c>
      <c r="Z112" s="228">
        <v>1.4</v>
      </c>
      <c r="AA112" s="228">
        <v>2.7</v>
      </c>
      <c r="AB112" s="228">
        <v>-1.3</v>
      </c>
      <c r="AC112" s="229">
        <v>3.3999999999999998E-3</v>
      </c>
      <c r="AD112" s="228">
        <v>1.4</v>
      </c>
      <c r="AE112" s="228">
        <v>-0.5</v>
      </c>
      <c r="AF112" s="228">
        <v>1.9</v>
      </c>
      <c r="AG112" s="229">
        <v>3.3999999999999998E-3</v>
      </c>
      <c r="AH112" s="228">
        <v>3.8</v>
      </c>
      <c r="AI112" s="228">
        <v>2.7</v>
      </c>
      <c r="AJ112" s="228">
        <v>1.1000000000000001</v>
      </c>
      <c r="AK112" s="229">
        <v>9.1999999999999998E-3</v>
      </c>
      <c r="AL112" s="228">
        <v>5.9</v>
      </c>
      <c r="AM112" s="228">
        <v>5.8</v>
      </c>
      <c r="AN112" s="228">
        <v>0.1</v>
      </c>
      <c r="AO112" s="229">
        <v>1.43E-2</v>
      </c>
      <c r="AP112" s="228">
        <v>412.01</v>
      </c>
      <c r="AQ112" s="228">
        <v>414.91</v>
      </c>
      <c r="AR112" s="228">
        <v>0</v>
      </c>
      <c r="AS112" s="228">
        <v>609</v>
      </c>
      <c r="AT112" s="230">
        <v>4268</v>
      </c>
      <c r="AU112" s="230">
        <v>-3659</v>
      </c>
      <c r="AV112" s="229">
        <v>-0.85729999999999995</v>
      </c>
      <c r="AW112" s="228">
        <v>586</v>
      </c>
      <c r="AX112" s="230">
        <v>1429</v>
      </c>
      <c r="AY112" s="228">
        <v>-843</v>
      </c>
      <c r="AZ112" s="229">
        <v>-0.58989999999999998</v>
      </c>
      <c r="BA112" s="228">
        <v>20</v>
      </c>
      <c r="BB112" s="230">
        <v>2795</v>
      </c>
      <c r="BC112" s="230">
        <v>-2775</v>
      </c>
      <c r="BD112" s="229">
        <v>-0.9929</v>
      </c>
      <c r="BE112" s="228">
        <v>3</v>
      </c>
      <c r="BF112" s="228">
        <v>44</v>
      </c>
      <c r="BG112" s="228">
        <v>-41</v>
      </c>
      <c r="BH112" s="229">
        <v>-0.93069999999999997</v>
      </c>
      <c r="BI112" s="230">
        <v>1406</v>
      </c>
      <c r="BJ112" s="230">
        <v>3015</v>
      </c>
      <c r="BK112" s="230">
        <v>-1608</v>
      </c>
      <c r="BL112" s="229">
        <v>-0.53349999999999997</v>
      </c>
      <c r="BM112" s="228">
        <v>694</v>
      </c>
      <c r="BN112" s="230">
        <v>2552</v>
      </c>
      <c r="BO112" s="230">
        <v>-1858</v>
      </c>
      <c r="BP112" s="229">
        <v>-0.72799999999999998</v>
      </c>
      <c r="BQ112" s="230">
        <v>2710</v>
      </c>
      <c r="BR112" s="230">
        <v>9835</v>
      </c>
      <c r="BS112" s="230">
        <v>-7126</v>
      </c>
      <c r="BT112" s="229">
        <v>-0.72450000000000003</v>
      </c>
      <c r="BU112" s="230">
        <v>19279261</v>
      </c>
      <c r="BV112" s="230">
        <v>48984397</v>
      </c>
      <c r="BW112" s="230">
        <v>-29705136</v>
      </c>
      <c r="BX112" s="229">
        <v>-0.60640000000000005</v>
      </c>
      <c r="BY112" s="230">
        <v>8167</v>
      </c>
      <c r="BZ112" s="230">
        <v>8222</v>
      </c>
      <c r="CA112" s="228">
        <v>-56</v>
      </c>
      <c r="CB112" s="229">
        <v>-6.7999999999999996E-3</v>
      </c>
      <c r="CC112" s="230">
        <v>7685</v>
      </c>
      <c r="CD112" s="228">
        <v>421</v>
      </c>
      <c r="CE112" s="230">
        <v>7264</v>
      </c>
      <c r="CF112" s="229">
        <v>17.233699999999999</v>
      </c>
      <c r="CG112" s="228">
        <v>479</v>
      </c>
      <c r="CH112" s="230">
        <v>7752</v>
      </c>
      <c r="CI112" s="230">
        <v>-7273</v>
      </c>
      <c r="CJ112" s="229">
        <v>-0.93820000000000003</v>
      </c>
      <c r="CK112" s="228">
        <v>2</v>
      </c>
      <c r="CL112" s="228">
        <v>470</v>
      </c>
      <c r="CM112" s="228">
        <v>-468</v>
      </c>
      <c r="CN112" s="229">
        <v>-0.99519999999999997</v>
      </c>
      <c r="CO112" s="228">
        <v>827</v>
      </c>
      <c r="CP112" s="228">
        <v>612</v>
      </c>
      <c r="CQ112" s="228">
        <v>215</v>
      </c>
      <c r="CR112" s="229">
        <v>0.35210000000000002</v>
      </c>
      <c r="CS112" s="228">
        <v>773</v>
      </c>
      <c r="CT112" s="228">
        <v>672</v>
      </c>
      <c r="CU112" s="228">
        <v>101</v>
      </c>
      <c r="CV112" s="229">
        <v>0.15029999999999999</v>
      </c>
      <c r="CW112" s="230">
        <v>9766</v>
      </c>
      <c r="CX112" s="230">
        <v>9506</v>
      </c>
      <c r="CY112" s="228">
        <v>261</v>
      </c>
      <c r="CZ112" s="229">
        <v>2.7400000000000001E-2</v>
      </c>
      <c r="DA112" s="228">
        <v>22.72</v>
      </c>
      <c r="DB112" s="228">
        <v>22.95</v>
      </c>
      <c r="DC112" s="228">
        <v>-0.23</v>
      </c>
      <c r="DD112" s="228">
        <v>-0.23</v>
      </c>
      <c r="DE112" s="228">
        <v>25.31</v>
      </c>
      <c r="DF112" s="228">
        <v>25.34</v>
      </c>
      <c r="DG112" s="228">
        <v>-2.59</v>
      </c>
      <c r="DH112" s="228">
        <v>-0.03</v>
      </c>
      <c r="DI112" s="228">
        <v>22.38</v>
      </c>
      <c r="DJ112" s="228">
        <v>22.39</v>
      </c>
      <c r="DK112" s="228">
        <v>-0.01</v>
      </c>
      <c r="DL112" s="228">
        <v>-0.01</v>
      </c>
      <c r="DM112" s="228">
        <v>23.42</v>
      </c>
      <c r="DN112" s="228">
        <v>23.72</v>
      </c>
      <c r="DO112" s="228">
        <v>-0.3</v>
      </c>
      <c r="DP112" s="228">
        <v>-0.3</v>
      </c>
      <c r="DQ112" s="228">
        <v>0.93</v>
      </c>
      <c r="DR112" s="228">
        <v>1.1000000000000001</v>
      </c>
      <c r="DS112" s="228">
        <v>-0.17</v>
      </c>
      <c r="DT112" s="229">
        <v>-0.1545</v>
      </c>
      <c r="DU112" s="228">
        <v>450</v>
      </c>
      <c r="DV112" s="228">
        <v>400</v>
      </c>
      <c r="DW112" s="228">
        <v>0.49</v>
      </c>
      <c r="DX112" s="228">
        <v>0.85</v>
      </c>
      <c r="DY112" s="228">
        <v>-0.36</v>
      </c>
      <c r="DZ112" s="229">
        <v>-0.42349999999999999</v>
      </c>
      <c r="EA112" s="229">
        <v>5.8900000000000001E-2</v>
      </c>
      <c r="EB112" s="230">
        <v>198706000</v>
      </c>
      <c r="EC112" s="229">
        <v>5.7999999999999996E-3</v>
      </c>
      <c r="ED112" s="229">
        <v>5.8900000000000001E-2</v>
      </c>
      <c r="EE112" s="228">
        <v>2.9</v>
      </c>
      <c r="EF112" s="229">
        <v>7.0000000000000001E-3</v>
      </c>
      <c r="EG112" s="230">
        <v>14707036</v>
      </c>
      <c r="EH112" s="230">
        <v>32877321</v>
      </c>
      <c r="EI112" s="229">
        <v>-0.55269999999999997</v>
      </c>
      <c r="EJ112" s="229">
        <v>0.76280000000000003</v>
      </c>
      <c r="EK112" s="231">
        <v>1475.68</v>
      </c>
      <c r="EL112" s="228">
        <v>680.97</v>
      </c>
      <c r="EM112" s="228">
        <v>606.58000000000004</v>
      </c>
      <c r="EN112" s="228">
        <v>535.86</v>
      </c>
      <c r="EO112" s="231">
        <v>2763.22</v>
      </c>
      <c r="EP112" s="231">
        <v>9891.09</v>
      </c>
      <c r="EQ112" s="231">
        <v>-7127.87</v>
      </c>
      <c r="ER112" s="229">
        <v>-0.72060000000000002</v>
      </c>
      <c r="ES112" s="228">
        <v>871.63</v>
      </c>
      <c r="ET112" s="228">
        <v>752.64</v>
      </c>
      <c r="EU112" s="231">
        <v>8169.48</v>
      </c>
      <c r="EV112" s="231">
        <v>781025350</v>
      </c>
      <c r="EW112" s="231">
        <v>9793.75</v>
      </c>
      <c r="EX112" s="231">
        <v>9476.9</v>
      </c>
      <c r="EY112" s="228">
        <v>316.85000000000002</v>
      </c>
      <c r="EZ112" s="229">
        <v>3.3399999999999999E-2</v>
      </c>
      <c r="FA112" s="229">
        <v>0.30220000000000002</v>
      </c>
      <c r="FB112" s="227" t="s">
        <v>556</v>
      </c>
      <c r="FC112">
        <f t="shared" si="1"/>
        <v>482</v>
      </c>
    </row>
    <row r="113" spans="1:159" ht="17.25" thickBot="1" x14ac:dyDescent="0.3">
      <c r="A113" s="226">
        <v>46050</v>
      </c>
      <c r="B113" s="227" t="s">
        <v>221</v>
      </c>
      <c r="C113" s="227" t="s">
        <v>577</v>
      </c>
      <c r="D113" s="228">
        <v>425</v>
      </c>
      <c r="E113" s="228">
        <v>27</v>
      </c>
      <c r="F113" s="231">
        <v>1104.8</v>
      </c>
      <c r="G113" s="231">
        <v>1110</v>
      </c>
      <c r="H113" s="228">
        <v>-5.2</v>
      </c>
      <c r="I113" s="229">
        <v>-4.7000000000000002E-3</v>
      </c>
      <c r="J113" s="231">
        <v>1105.8</v>
      </c>
      <c r="K113" s="231">
        <v>1104.4000000000001</v>
      </c>
      <c r="L113" s="228">
        <v>1.4</v>
      </c>
      <c r="M113" s="229">
        <v>1.2999999999999999E-3</v>
      </c>
      <c r="N113" s="231">
        <v>1104.8</v>
      </c>
      <c r="O113" s="231">
        <v>1103.9000000000001</v>
      </c>
      <c r="P113" s="228">
        <v>0.9</v>
      </c>
      <c r="Q113" s="229">
        <v>8.0000000000000004E-4</v>
      </c>
      <c r="R113" s="231">
        <v>1104.9000000000001</v>
      </c>
      <c r="S113" s="231">
        <v>1110</v>
      </c>
      <c r="T113" s="228">
        <v>-5.0999999999999996</v>
      </c>
      <c r="U113" s="229">
        <v>-4.5999999999999999E-3</v>
      </c>
      <c r="V113" s="231">
        <v>1095</v>
      </c>
      <c r="W113" s="231">
        <v>1114.5</v>
      </c>
      <c r="X113" s="228">
        <v>-19.5</v>
      </c>
      <c r="Y113" s="229">
        <v>-1.7500000000000002E-2</v>
      </c>
      <c r="Z113" s="228">
        <v>-1</v>
      </c>
      <c r="AA113" s="228">
        <v>5.6</v>
      </c>
      <c r="AB113" s="228">
        <v>-6.6</v>
      </c>
      <c r="AC113" s="229">
        <v>-8.9999999999999998E-4</v>
      </c>
      <c r="AD113" s="228">
        <v>-1</v>
      </c>
      <c r="AE113" s="228">
        <v>-0.5</v>
      </c>
      <c r="AF113" s="228">
        <v>-0.5</v>
      </c>
      <c r="AG113" s="229">
        <v>-8.9999999999999998E-4</v>
      </c>
      <c r="AH113" s="228">
        <v>-0.9</v>
      </c>
      <c r="AI113" s="228">
        <v>5.6</v>
      </c>
      <c r="AJ113" s="228">
        <v>-6.5</v>
      </c>
      <c r="AK113" s="229">
        <v>-8.0000000000000004E-4</v>
      </c>
      <c r="AL113" s="228">
        <v>-10.8</v>
      </c>
      <c r="AM113" s="228">
        <v>10.1</v>
      </c>
      <c r="AN113" s="228">
        <v>-20.9</v>
      </c>
      <c r="AO113" s="229">
        <v>-9.7999999999999997E-3</v>
      </c>
      <c r="AP113" s="231">
        <v>1102.8800000000001</v>
      </c>
      <c r="AQ113" s="231">
        <v>1103.8800000000001</v>
      </c>
      <c r="AR113" s="228">
        <v>0</v>
      </c>
      <c r="AS113" s="228">
        <v>91</v>
      </c>
      <c r="AT113" s="228">
        <v>338</v>
      </c>
      <c r="AU113" s="228">
        <v>-247</v>
      </c>
      <c r="AV113" s="229">
        <v>-0.73180000000000001</v>
      </c>
      <c r="AW113" s="228">
        <v>84</v>
      </c>
      <c r="AX113" s="228">
        <v>153</v>
      </c>
      <c r="AY113" s="228">
        <v>-69</v>
      </c>
      <c r="AZ113" s="229">
        <v>-0.44900000000000001</v>
      </c>
      <c r="BA113" s="228">
        <v>6</v>
      </c>
      <c r="BB113" s="228">
        <v>180</v>
      </c>
      <c r="BC113" s="228">
        <v>-174</v>
      </c>
      <c r="BD113" s="229">
        <v>-0.9667</v>
      </c>
      <c r="BE113" s="228">
        <v>0</v>
      </c>
      <c r="BF113" s="228">
        <v>4</v>
      </c>
      <c r="BG113" s="228">
        <v>-4</v>
      </c>
      <c r="BH113" s="229">
        <v>-0.94679999999999997</v>
      </c>
      <c r="BI113" s="228">
        <v>100</v>
      </c>
      <c r="BJ113" s="228">
        <v>160</v>
      </c>
      <c r="BK113" s="228">
        <v>-59</v>
      </c>
      <c r="BL113" s="229">
        <v>-0.37219999999999998</v>
      </c>
      <c r="BM113" s="228">
        <v>75</v>
      </c>
      <c r="BN113" s="228">
        <v>220</v>
      </c>
      <c r="BO113" s="228">
        <v>-145</v>
      </c>
      <c r="BP113" s="229">
        <v>-0.6573</v>
      </c>
      <c r="BQ113" s="228">
        <v>266</v>
      </c>
      <c r="BR113" s="228">
        <v>718</v>
      </c>
      <c r="BS113" s="228">
        <v>-451</v>
      </c>
      <c r="BT113" s="229">
        <v>-0.62890000000000001</v>
      </c>
      <c r="BU113" s="230">
        <v>782440</v>
      </c>
      <c r="BV113" s="230">
        <v>983106</v>
      </c>
      <c r="BW113" s="230">
        <v>-200666</v>
      </c>
      <c r="BX113" s="229">
        <v>-0.2041</v>
      </c>
      <c r="BY113" s="228">
        <v>428</v>
      </c>
      <c r="BZ113" s="228">
        <v>421</v>
      </c>
      <c r="CA113" s="228">
        <v>7</v>
      </c>
      <c r="CB113" s="229">
        <v>1.6299999999999999E-2</v>
      </c>
      <c r="CC113" s="228">
        <v>413</v>
      </c>
      <c r="CD113" s="228">
        <v>36</v>
      </c>
      <c r="CE113" s="228">
        <v>377</v>
      </c>
      <c r="CF113" s="229">
        <v>10.323</v>
      </c>
      <c r="CG113" s="228">
        <v>14</v>
      </c>
      <c r="CH113" s="228">
        <v>408</v>
      </c>
      <c r="CI113" s="228">
        <v>-394</v>
      </c>
      <c r="CJ113" s="229">
        <v>-0.96509999999999996</v>
      </c>
      <c r="CK113" s="228">
        <v>0</v>
      </c>
      <c r="CL113" s="228">
        <v>13</v>
      </c>
      <c r="CM113" s="228">
        <v>-13</v>
      </c>
      <c r="CN113" s="229">
        <v>-0.9819</v>
      </c>
      <c r="CO113" s="228">
        <v>94</v>
      </c>
      <c r="CP113" s="228">
        <v>61</v>
      </c>
      <c r="CQ113" s="228">
        <v>33</v>
      </c>
      <c r="CR113" s="229">
        <v>0.53659999999999997</v>
      </c>
      <c r="CS113" s="228">
        <v>85</v>
      </c>
      <c r="CT113" s="228">
        <v>69</v>
      </c>
      <c r="CU113" s="228">
        <v>16</v>
      </c>
      <c r="CV113" s="229">
        <v>0.23910000000000001</v>
      </c>
      <c r="CW113" s="228">
        <v>607</v>
      </c>
      <c r="CX113" s="228">
        <v>551</v>
      </c>
      <c r="CY113" s="228">
        <v>56</v>
      </c>
      <c r="CZ113" s="229">
        <v>0.1017</v>
      </c>
      <c r="DA113" s="228">
        <v>40.79</v>
      </c>
      <c r="DB113" s="228">
        <v>41.25</v>
      </c>
      <c r="DC113" s="228">
        <v>-0.46</v>
      </c>
      <c r="DD113" s="228">
        <v>-0.46</v>
      </c>
      <c r="DE113" s="228">
        <v>42.06</v>
      </c>
      <c r="DF113" s="228">
        <v>42.16</v>
      </c>
      <c r="DG113" s="228">
        <v>-1.27</v>
      </c>
      <c r="DH113" s="228">
        <v>-0.1</v>
      </c>
      <c r="DI113" s="228">
        <v>40.17</v>
      </c>
      <c r="DJ113" s="228">
        <v>39.85</v>
      </c>
      <c r="DK113" s="228">
        <v>0.32</v>
      </c>
      <c r="DL113" s="228">
        <v>0.32</v>
      </c>
      <c r="DM113" s="228">
        <v>41.61</v>
      </c>
      <c r="DN113" s="228">
        <v>42.29</v>
      </c>
      <c r="DO113" s="228">
        <v>-0.68</v>
      </c>
      <c r="DP113" s="228">
        <v>-0.68</v>
      </c>
      <c r="DQ113" s="228">
        <v>0.91</v>
      </c>
      <c r="DR113" s="228">
        <v>1.1299999999999999</v>
      </c>
      <c r="DS113" s="228">
        <v>-0.22</v>
      </c>
      <c r="DT113" s="229">
        <v>-0.19470000000000001</v>
      </c>
      <c r="DU113" s="231">
        <v>1200</v>
      </c>
      <c r="DV113" s="231">
        <v>1100</v>
      </c>
      <c r="DW113" s="228">
        <v>0.75</v>
      </c>
      <c r="DX113" s="228">
        <v>1.38</v>
      </c>
      <c r="DY113" s="228">
        <v>-0.63</v>
      </c>
      <c r="DZ113" s="229">
        <v>-0.45650000000000002</v>
      </c>
      <c r="EA113" s="229">
        <v>3.3799999999999997E-2</v>
      </c>
      <c r="EB113" s="230">
        <v>3808000</v>
      </c>
      <c r="EC113" s="229">
        <v>1E-4</v>
      </c>
      <c r="ED113" s="229">
        <v>3.3799999999999997E-2</v>
      </c>
      <c r="EE113" s="228">
        <v>1</v>
      </c>
      <c r="EF113" s="229">
        <v>8.9999999999999998E-4</v>
      </c>
      <c r="EG113" s="230">
        <v>384656</v>
      </c>
      <c r="EH113" s="230">
        <v>430227</v>
      </c>
      <c r="EI113" s="229">
        <v>-0.10589999999999999</v>
      </c>
      <c r="EJ113" s="229">
        <v>0.49159999999999998</v>
      </c>
      <c r="EK113" s="228">
        <v>108.46</v>
      </c>
      <c r="EL113" s="228">
        <v>73.02</v>
      </c>
      <c r="EM113" s="228">
        <v>90.52</v>
      </c>
      <c r="EN113" s="228">
        <v>84.4</v>
      </c>
      <c r="EO113" s="228">
        <v>271.99</v>
      </c>
      <c r="EP113" s="228">
        <v>728.91</v>
      </c>
      <c r="EQ113" s="228">
        <v>-456.92</v>
      </c>
      <c r="ER113" s="229">
        <v>-0.62690000000000001</v>
      </c>
      <c r="ES113" s="228">
        <v>101.45</v>
      </c>
      <c r="ET113" s="228">
        <v>83.58</v>
      </c>
      <c r="EU113" s="228">
        <v>427.56</v>
      </c>
      <c r="EV113" s="231">
        <v>24589408</v>
      </c>
      <c r="EW113" s="228">
        <v>612.59</v>
      </c>
      <c r="EX113" s="228">
        <v>556.91999999999996</v>
      </c>
      <c r="EY113" s="228">
        <v>55.67</v>
      </c>
      <c r="EZ113" s="229">
        <v>0.1</v>
      </c>
      <c r="FA113" s="229">
        <v>0.2233</v>
      </c>
      <c r="FB113" s="227" t="s">
        <v>567</v>
      </c>
      <c r="FC113">
        <f t="shared" si="1"/>
        <v>15</v>
      </c>
    </row>
    <row r="114" spans="1:159" ht="17.25" thickBot="1" x14ac:dyDescent="0.3">
      <c r="A114" s="226">
        <v>46050</v>
      </c>
      <c r="B114" s="227" t="s">
        <v>170</v>
      </c>
      <c r="C114" s="227" t="s">
        <v>535</v>
      </c>
      <c r="D114" s="228">
        <v>850</v>
      </c>
      <c r="E114" s="228">
        <v>27</v>
      </c>
      <c r="F114" s="231">
        <v>1005.7</v>
      </c>
      <c r="G114" s="231">
        <v>1007.4</v>
      </c>
      <c r="H114" s="228">
        <v>-1.7</v>
      </c>
      <c r="I114" s="229">
        <v>-1.6999999999999999E-3</v>
      </c>
      <c r="J114" s="228">
        <v>999</v>
      </c>
      <c r="K114" s="231">
        <v>1000.2</v>
      </c>
      <c r="L114" s="228">
        <v>-1.2</v>
      </c>
      <c r="M114" s="229">
        <v>-1.1999999999999999E-3</v>
      </c>
      <c r="N114" s="231">
        <v>1005.7</v>
      </c>
      <c r="O114" s="228">
        <v>999.8</v>
      </c>
      <c r="P114" s="228">
        <v>5.9</v>
      </c>
      <c r="Q114" s="229">
        <v>5.8999999999999999E-3</v>
      </c>
      <c r="R114" s="231">
        <v>1012.9</v>
      </c>
      <c r="S114" s="231">
        <v>1007.4</v>
      </c>
      <c r="T114" s="228">
        <v>5.5</v>
      </c>
      <c r="U114" s="229">
        <v>5.4999999999999997E-3</v>
      </c>
      <c r="V114" s="231">
        <v>1018.4</v>
      </c>
      <c r="W114" s="231">
        <v>1014</v>
      </c>
      <c r="X114" s="228">
        <v>4.4000000000000004</v>
      </c>
      <c r="Y114" s="229">
        <v>4.3E-3</v>
      </c>
      <c r="Z114" s="228">
        <v>6.7</v>
      </c>
      <c r="AA114" s="228">
        <v>7.2</v>
      </c>
      <c r="AB114" s="228">
        <v>-0.5</v>
      </c>
      <c r="AC114" s="229">
        <v>6.7000000000000002E-3</v>
      </c>
      <c r="AD114" s="228">
        <v>6.7</v>
      </c>
      <c r="AE114" s="228">
        <v>-0.4</v>
      </c>
      <c r="AF114" s="228">
        <v>7.1</v>
      </c>
      <c r="AG114" s="229">
        <v>6.7000000000000002E-3</v>
      </c>
      <c r="AH114" s="228">
        <v>13.9</v>
      </c>
      <c r="AI114" s="228">
        <v>7.2</v>
      </c>
      <c r="AJ114" s="228">
        <v>6.7</v>
      </c>
      <c r="AK114" s="229">
        <v>1.3899999999999999E-2</v>
      </c>
      <c r="AL114" s="228">
        <v>19.399999999999999</v>
      </c>
      <c r="AM114" s="228">
        <v>13.8</v>
      </c>
      <c r="AN114" s="228">
        <v>5.6</v>
      </c>
      <c r="AO114" s="229">
        <v>1.9400000000000001E-2</v>
      </c>
      <c r="AP114" s="231">
        <v>1002.84</v>
      </c>
      <c r="AQ114" s="231">
        <v>1010.22</v>
      </c>
      <c r="AR114" s="228">
        <v>0</v>
      </c>
      <c r="AS114" s="228">
        <v>315</v>
      </c>
      <c r="AT114" s="230">
        <v>2148</v>
      </c>
      <c r="AU114" s="230">
        <v>-1833</v>
      </c>
      <c r="AV114" s="229">
        <v>-0.85329999999999995</v>
      </c>
      <c r="AW114" s="228">
        <v>304</v>
      </c>
      <c r="AX114" s="228">
        <v>868</v>
      </c>
      <c r="AY114" s="228">
        <v>-564</v>
      </c>
      <c r="AZ114" s="229">
        <v>-0.64990000000000003</v>
      </c>
      <c r="BA114" s="228">
        <v>11</v>
      </c>
      <c r="BB114" s="230">
        <v>1260</v>
      </c>
      <c r="BC114" s="230">
        <v>-1249</v>
      </c>
      <c r="BD114" s="229">
        <v>-0.99139999999999995</v>
      </c>
      <c r="BE114" s="228">
        <v>0</v>
      </c>
      <c r="BF114" s="228">
        <v>20</v>
      </c>
      <c r="BG114" s="228">
        <v>-20</v>
      </c>
      <c r="BH114" s="229">
        <v>-0.98729999999999996</v>
      </c>
      <c r="BI114" s="228">
        <v>805</v>
      </c>
      <c r="BJ114" s="230">
        <v>2483</v>
      </c>
      <c r="BK114" s="230">
        <v>-1678</v>
      </c>
      <c r="BL114" s="229">
        <v>-0.67589999999999995</v>
      </c>
      <c r="BM114" s="228">
        <v>362</v>
      </c>
      <c r="BN114" s="230">
        <v>1641</v>
      </c>
      <c r="BO114" s="230">
        <v>-1278</v>
      </c>
      <c r="BP114" s="229">
        <v>-0.7792</v>
      </c>
      <c r="BQ114" s="230">
        <v>1482</v>
      </c>
      <c r="BR114" s="230">
        <v>6271</v>
      </c>
      <c r="BS114" s="230">
        <v>-4789</v>
      </c>
      <c r="BT114" s="229">
        <v>-0.76370000000000005</v>
      </c>
      <c r="BU114" s="230">
        <v>2014079</v>
      </c>
      <c r="BV114" s="230">
        <v>6838815</v>
      </c>
      <c r="BW114" s="230">
        <v>-4824736</v>
      </c>
      <c r="BX114" s="229">
        <v>-0.70550000000000002</v>
      </c>
      <c r="BY114" s="230">
        <v>1958</v>
      </c>
      <c r="BZ114" s="230">
        <v>1904</v>
      </c>
      <c r="CA114" s="228">
        <v>54</v>
      </c>
      <c r="CB114" s="229">
        <v>2.8400000000000002E-2</v>
      </c>
      <c r="CC114" s="230">
        <v>1928</v>
      </c>
      <c r="CD114" s="228">
        <v>146</v>
      </c>
      <c r="CE114" s="230">
        <v>1782</v>
      </c>
      <c r="CF114" s="229">
        <v>12.167</v>
      </c>
      <c r="CG114" s="228">
        <v>29</v>
      </c>
      <c r="CH114" s="230">
        <v>1875</v>
      </c>
      <c r="CI114" s="230">
        <v>-1845</v>
      </c>
      <c r="CJ114" s="229">
        <v>-0.98429999999999995</v>
      </c>
      <c r="CK114" s="228">
        <v>0</v>
      </c>
      <c r="CL114" s="228">
        <v>29</v>
      </c>
      <c r="CM114" s="228">
        <v>-29</v>
      </c>
      <c r="CN114" s="229">
        <v>-0.99409999999999998</v>
      </c>
      <c r="CO114" s="228">
        <v>702</v>
      </c>
      <c r="CP114" s="228">
        <v>590</v>
      </c>
      <c r="CQ114" s="228">
        <v>112</v>
      </c>
      <c r="CR114" s="229">
        <v>0.1895</v>
      </c>
      <c r="CS114" s="228">
        <v>429</v>
      </c>
      <c r="CT114" s="228">
        <v>362</v>
      </c>
      <c r="CU114" s="228">
        <v>67</v>
      </c>
      <c r="CV114" s="229">
        <v>0.185</v>
      </c>
      <c r="CW114" s="230">
        <v>3089</v>
      </c>
      <c r="CX114" s="230">
        <v>2856</v>
      </c>
      <c r="CY114" s="228">
        <v>233</v>
      </c>
      <c r="CZ114" s="229">
        <v>8.1600000000000006E-2</v>
      </c>
      <c r="DA114" s="228">
        <v>32.07</v>
      </c>
      <c r="DB114" s="228">
        <v>35.42</v>
      </c>
      <c r="DC114" s="228">
        <v>-3.35</v>
      </c>
      <c r="DD114" s="228">
        <v>-3.35</v>
      </c>
      <c r="DE114" s="228">
        <v>38.020000000000003</v>
      </c>
      <c r="DF114" s="228">
        <v>38.119999999999997</v>
      </c>
      <c r="DG114" s="228">
        <v>-5.95</v>
      </c>
      <c r="DH114" s="228">
        <v>-0.1</v>
      </c>
      <c r="DI114" s="228">
        <v>31.98</v>
      </c>
      <c r="DJ114" s="228">
        <v>35.21</v>
      </c>
      <c r="DK114" s="228">
        <v>-3.23</v>
      </c>
      <c r="DL114" s="228">
        <v>-3.23</v>
      </c>
      <c r="DM114" s="228">
        <v>32.26</v>
      </c>
      <c r="DN114" s="228">
        <v>35.729999999999997</v>
      </c>
      <c r="DO114" s="228">
        <v>-3.47</v>
      </c>
      <c r="DP114" s="228">
        <v>-3.47</v>
      </c>
      <c r="DQ114" s="228">
        <v>0.61</v>
      </c>
      <c r="DR114" s="228">
        <v>0.61</v>
      </c>
      <c r="DS114" s="228">
        <v>0</v>
      </c>
      <c r="DT114" s="229">
        <v>0</v>
      </c>
      <c r="DU114" s="231">
        <v>1100</v>
      </c>
      <c r="DV114" s="231">
        <v>1000</v>
      </c>
      <c r="DW114" s="228">
        <v>0.45</v>
      </c>
      <c r="DX114" s="228">
        <v>0.66</v>
      </c>
      <c r="DY114" s="228">
        <v>-0.21</v>
      </c>
      <c r="DZ114" s="229">
        <v>-0.31819999999999998</v>
      </c>
      <c r="EA114" s="229">
        <v>1.5100000000000001E-2</v>
      </c>
      <c r="EB114" s="230">
        <v>18927800</v>
      </c>
      <c r="EC114" s="229">
        <v>7.1999999999999998E-3</v>
      </c>
      <c r="ED114" s="229">
        <v>1.5100000000000001E-2</v>
      </c>
      <c r="EE114" s="228">
        <v>7.38</v>
      </c>
      <c r="EF114" s="229">
        <v>7.4000000000000003E-3</v>
      </c>
      <c r="EG114" s="230">
        <v>1085730</v>
      </c>
      <c r="EH114" s="230">
        <v>3852553</v>
      </c>
      <c r="EI114" s="229">
        <v>-0.71819999999999995</v>
      </c>
      <c r="EJ114" s="229">
        <v>0.53910000000000002</v>
      </c>
      <c r="EK114" s="228">
        <v>866.71</v>
      </c>
      <c r="EL114" s="228">
        <v>354.2</v>
      </c>
      <c r="EM114" s="228">
        <v>314.27999999999997</v>
      </c>
      <c r="EN114" s="228">
        <v>209.47</v>
      </c>
      <c r="EO114" s="231">
        <v>1535.2</v>
      </c>
      <c r="EP114" s="231">
        <v>6465.68</v>
      </c>
      <c r="EQ114" s="231">
        <v>-4930.4799999999996</v>
      </c>
      <c r="ER114" s="229">
        <v>-0.76259999999999994</v>
      </c>
      <c r="ES114" s="228">
        <v>749.18</v>
      </c>
      <c r="ET114" s="228">
        <v>420.6</v>
      </c>
      <c r="EU114" s="231">
        <v>1957.89</v>
      </c>
      <c r="EV114" s="231">
        <v>58629477</v>
      </c>
      <c r="EW114" s="231">
        <v>3127.67</v>
      </c>
      <c r="EX114" s="231">
        <v>2896.26</v>
      </c>
      <c r="EY114" s="228">
        <v>231.41</v>
      </c>
      <c r="EZ114" s="229">
        <v>7.9899999999999999E-2</v>
      </c>
      <c r="FA114" s="229">
        <v>0.52380000000000004</v>
      </c>
      <c r="FB114" s="227" t="s">
        <v>567</v>
      </c>
      <c r="FC114">
        <f t="shared" si="1"/>
        <v>30</v>
      </c>
    </row>
    <row r="115" spans="1:159" ht="17.25" thickBot="1" x14ac:dyDescent="0.3">
      <c r="A115" s="226">
        <v>46050</v>
      </c>
      <c r="B115" s="227" t="s">
        <v>175</v>
      </c>
      <c r="C115" s="227" t="s">
        <v>248</v>
      </c>
      <c r="D115" s="228">
        <v>1000</v>
      </c>
      <c r="E115" s="228">
        <v>27</v>
      </c>
      <c r="F115" s="228">
        <v>521.20000000000005</v>
      </c>
      <c r="G115" s="228">
        <v>512.79999999999995</v>
      </c>
      <c r="H115" s="228">
        <v>8.4</v>
      </c>
      <c r="I115" s="229">
        <v>1.6400000000000001E-2</v>
      </c>
      <c r="J115" s="228">
        <v>519</v>
      </c>
      <c r="K115" s="228">
        <v>510.05</v>
      </c>
      <c r="L115" s="228">
        <v>8.9499999999999993</v>
      </c>
      <c r="M115" s="229">
        <v>1.7500000000000002E-2</v>
      </c>
      <c r="N115" s="228">
        <v>521.20000000000005</v>
      </c>
      <c r="O115" s="228">
        <v>508.45</v>
      </c>
      <c r="P115" s="228">
        <v>12.75</v>
      </c>
      <c r="Q115" s="229">
        <v>2.5100000000000001E-2</v>
      </c>
      <c r="R115" s="228">
        <v>524.54999999999995</v>
      </c>
      <c r="S115" s="228">
        <v>512.79999999999995</v>
      </c>
      <c r="T115" s="228">
        <v>11.75</v>
      </c>
      <c r="U115" s="229">
        <v>2.29E-2</v>
      </c>
      <c r="V115" s="228">
        <v>527.75</v>
      </c>
      <c r="W115" s="228">
        <v>517.70000000000005</v>
      </c>
      <c r="X115" s="228">
        <v>10.050000000000001</v>
      </c>
      <c r="Y115" s="229">
        <v>1.9400000000000001E-2</v>
      </c>
      <c r="Z115" s="228">
        <v>2.2000000000000002</v>
      </c>
      <c r="AA115" s="228">
        <v>2.75</v>
      </c>
      <c r="AB115" s="228">
        <v>-0.55000000000000004</v>
      </c>
      <c r="AC115" s="229">
        <v>4.1999999999999997E-3</v>
      </c>
      <c r="AD115" s="228">
        <v>2.2000000000000002</v>
      </c>
      <c r="AE115" s="228">
        <v>-1.6</v>
      </c>
      <c r="AF115" s="228">
        <v>3.8</v>
      </c>
      <c r="AG115" s="229">
        <v>4.1999999999999997E-3</v>
      </c>
      <c r="AH115" s="228">
        <v>5.55</v>
      </c>
      <c r="AI115" s="228">
        <v>2.75</v>
      </c>
      <c r="AJ115" s="228">
        <v>2.8</v>
      </c>
      <c r="AK115" s="229">
        <v>1.0699999999999999E-2</v>
      </c>
      <c r="AL115" s="228">
        <v>8.75</v>
      </c>
      <c r="AM115" s="228">
        <v>7.65</v>
      </c>
      <c r="AN115" s="228">
        <v>1.1000000000000001</v>
      </c>
      <c r="AO115" s="229">
        <v>1.6899999999999998E-2</v>
      </c>
      <c r="AP115" s="228">
        <v>518.45000000000005</v>
      </c>
      <c r="AQ115" s="228">
        <v>521.96</v>
      </c>
      <c r="AR115" s="228">
        <v>0</v>
      </c>
      <c r="AS115" s="228">
        <v>123</v>
      </c>
      <c r="AT115" s="230">
        <v>1477</v>
      </c>
      <c r="AU115" s="230">
        <v>-1354</v>
      </c>
      <c r="AV115" s="229">
        <v>-0.91649999999999998</v>
      </c>
      <c r="AW115" s="228">
        <v>117</v>
      </c>
      <c r="AX115" s="228">
        <v>712</v>
      </c>
      <c r="AY115" s="228">
        <v>-595</v>
      </c>
      <c r="AZ115" s="229">
        <v>-0.83509999999999995</v>
      </c>
      <c r="BA115" s="228">
        <v>5</v>
      </c>
      <c r="BB115" s="228">
        <v>748</v>
      </c>
      <c r="BC115" s="228">
        <v>-743</v>
      </c>
      <c r="BD115" s="229">
        <v>-0.99280000000000002</v>
      </c>
      <c r="BE115" s="228">
        <v>0</v>
      </c>
      <c r="BF115" s="228">
        <v>16</v>
      </c>
      <c r="BG115" s="228">
        <v>-16</v>
      </c>
      <c r="BH115" s="229">
        <v>-0.97119999999999995</v>
      </c>
      <c r="BI115" s="228">
        <v>226</v>
      </c>
      <c r="BJ115" s="228">
        <v>566</v>
      </c>
      <c r="BK115" s="228">
        <v>-341</v>
      </c>
      <c r="BL115" s="229">
        <v>-0.60129999999999995</v>
      </c>
      <c r="BM115" s="228">
        <v>100</v>
      </c>
      <c r="BN115" s="228">
        <v>416</v>
      </c>
      <c r="BO115" s="228">
        <v>-316</v>
      </c>
      <c r="BP115" s="229">
        <v>-0.75960000000000005</v>
      </c>
      <c r="BQ115" s="228">
        <v>449</v>
      </c>
      <c r="BR115" s="230">
        <v>2459</v>
      </c>
      <c r="BS115" s="230">
        <v>-2010</v>
      </c>
      <c r="BT115" s="229">
        <v>-0.81740000000000002</v>
      </c>
      <c r="BU115" s="230">
        <v>855264</v>
      </c>
      <c r="BV115" s="230">
        <v>1954483</v>
      </c>
      <c r="BW115" s="230">
        <v>-1099219</v>
      </c>
      <c r="BX115" s="229">
        <v>-0.56240000000000001</v>
      </c>
      <c r="BY115" s="230">
        <v>1582</v>
      </c>
      <c r="BZ115" s="230">
        <v>1574</v>
      </c>
      <c r="CA115" s="228">
        <v>8</v>
      </c>
      <c r="CB115" s="229">
        <v>5.1999999999999998E-3</v>
      </c>
      <c r="CC115" s="230">
        <v>1556</v>
      </c>
      <c r="CD115" s="228">
        <v>144</v>
      </c>
      <c r="CE115" s="230">
        <v>1412</v>
      </c>
      <c r="CF115" s="229">
        <v>9.7794000000000008</v>
      </c>
      <c r="CG115" s="228">
        <v>25</v>
      </c>
      <c r="CH115" s="230">
        <v>1549</v>
      </c>
      <c r="CI115" s="230">
        <v>-1524</v>
      </c>
      <c r="CJ115" s="229">
        <v>-0.98380000000000001</v>
      </c>
      <c r="CK115" s="228">
        <v>0</v>
      </c>
      <c r="CL115" s="228">
        <v>25</v>
      </c>
      <c r="CM115" s="228">
        <v>-24</v>
      </c>
      <c r="CN115" s="229">
        <v>-0.98729999999999996</v>
      </c>
      <c r="CO115" s="228">
        <v>306</v>
      </c>
      <c r="CP115" s="228">
        <v>269</v>
      </c>
      <c r="CQ115" s="228">
        <v>37</v>
      </c>
      <c r="CR115" s="229">
        <v>0.13730000000000001</v>
      </c>
      <c r="CS115" s="228">
        <v>324</v>
      </c>
      <c r="CT115" s="228">
        <v>300</v>
      </c>
      <c r="CU115" s="228">
        <v>24</v>
      </c>
      <c r="CV115" s="229">
        <v>8.0100000000000005E-2</v>
      </c>
      <c r="CW115" s="230">
        <v>2211</v>
      </c>
      <c r="CX115" s="230">
        <v>2142</v>
      </c>
      <c r="CY115" s="228">
        <v>69</v>
      </c>
      <c r="CZ115" s="229">
        <v>3.2199999999999999E-2</v>
      </c>
      <c r="DA115" s="228">
        <v>30.18</v>
      </c>
      <c r="DB115" s="228">
        <v>31.48</v>
      </c>
      <c r="DC115" s="228">
        <v>-1.3</v>
      </c>
      <c r="DD115" s="228">
        <v>-1.3</v>
      </c>
      <c r="DE115" s="228">
        <v>31.96</v>
      </c>
      <c r="DF115" s="228">
        <v>31.97</v>
      </c>
      <c r="DG115" s="228">
        <v>-1.78</v>
      </c>
      <c r="DH115" s="228">
        <v>-0.01</v>
      </c>
      <c r="DI115" s="228">
        <v>29.76</v>
      </c>
      <c r="DJ115" s="228">
        <v>32.33</v>
      </c>
      <c r="DK115" s="228">
        <v>-2.57</v>
      </c>
      <c r="DL115" s="228">
        <v>-2.57</v>
      </c>
      <c r="DM115" s="228">
        <v>31.14</v>
      </c>
      <c r="DN115" s="228">
        <v>30.13</v>
      </c>
      <c r="DO115" s="228">
        <v>1.01</v>
      </c>
      <c r="DP115" s="228">
        <v>1.01</v>
      </c>
      <c r="DQ115" s="228">
        <v>1.06</v>
      </c>
      <c r="DR115" s="228">
        <v>1.1200000000000001</v>
      </c>
      <c r="DS115" s="228">
        <v>-0.06</v>
      </c>
      <c r="DT115" s="229">
        <v>-5.3600000000000002E-2</v>
      </c>
      <c r="DU115" s="228">
        <v>550</v>
      </c>
      <c r="DV115" s="228">
        <v>500</v>
      </c>
      <c r="DW115" s="228">
        <v>0.44</v>
      </c>
      <c r="DX115" s="228">
        <v>0.73</v>
      </c>
      <c r="DY115" s="228">
        <v>-0.28999999999999998</v>
      </c>
      <c r="DZ115" s="229">
        <v>-0.39729999999999999</v>
      </c>
      <c r="EA115" s="229">
        <v>1.6E-2</v>
      </c>
      <c r="EB115" s="230">
        <v>30190000</v>
      </c>
      <c r="EC115" s="229">
        <v>6.4000000000000003E-3</v>
      </c>
      <c r="ED115" s="229">
        <v>1.6E-2</v>
      </c>
      <c r="EE115" s="228">
        <v>3.51</v>
      </c>
      <c r="EF115" s="229">
        <v>6.7999999999999996E-3</v>
      </c>
      <c r="EG115" s="230">
        <v>420955</v>
      </c>
      <c r="EH115" s="230">
        <v>982658</v>
      </c>
      <c r="EI115" s="229">
        <v>-0.5716</v>
      </c>
      <c r="EJ115" s="229">
        <v>0.49220000000000003</v>
      </c>
      <c r="EK115" s="228">
        <v>236.21</v>
      </c>
      <c r="EL115" s="228">
        <v>98.37</v>
      </c>
      <c r="EM115" s="228">
        <v>122.71</v>
      </c>
      <c r="EN115" s="228">
        <v>201.85</v>
      </c>
      <c r="EO115" s="228">
        <v>457.28</v>
      </c>
      <c r="EP115" s="231">
        <v>2455.48</v>
      </c>
      <c r="EQ115" s="231">
        <v>-1998.2</v>
      </c>
      <c r="ER115" s="229">
        <v>-0.81379999999999997</v>
      </c>
      <c r="ES115" s="228">
        <v>318.61</v>
      </c>
      <c r="ET115" s="228">
        <v>324.86</v>
      </c>
      <c r="EU115" s="231">
        <v>1581.8</v>
      </c>
      <c r="EV115" s="231">
        <v>45183075</v>
      </c>
      <c r="EW115" s="231">
        <v>2225.27</v>
      </c>
      <c r="EX115" s="231">
        <v>2130.21</v>
      </c>
      <c r="EY115" s="228">
        <v>95.06</v>
      </c>
      <c r="EZ115" s="229">
        <v>4.4600000000000001E-2</v>
      </c>
      <c r="FA115" s="229">
        <v>0.93889999999999996</v>
      </c>
      <c r="FB115" s="227" t="s">
        <v>555</v>
      </c>
      <c r="FC115">
        <f t="shared" si="1"/>
        <v>26</v>
      </c>
    </row>
    <row r="116" spans="1:159" ht="17.25" thickBot="1" x14ac:dyDescent="0.3">
      <c r="A116" s="226">
        <v>46050</v>
      </c>
      <c r="B116" s="227" t="s">
        <v>175</v>
      </c>
      <c r="C116" s="227" t="s">
        <v>607</v>
      </c>
      <c r="D116" s="228">
        <v>700</v>
      </c>
      <c r="E116" s="228">
        <v>27</v>
      </c>
      <c r="F116" s="228">
        <v>827</v>
      </c>
      <c r="G116" s="228">
        <v>811.9</v>
      </c>
      <c r="H116" s="228">
        <v>15.1</v>
      </c>
      <c r="I116" s="229">
        <v>1.8599999999999998E-2</v>
      </c>
      <c r="J116" s="228">
        <v>822.15</v>
      </c>
      <c r="K116" s="228">
        <v>807.8</v>
      </c>
      <c r="L116" s="228">
        <v>14.35</v>
      </c>
      <c r="M116" s="229">
        <v>1.78E-2</v>
      </c>
      <c r="N116" s="228">
        <v>827</v>
      </c>
      <c r="O116" s="228">
        <v>806.2</v>
      </c>
      <c r="P116" s="228">
        <v>20.8</v>
      </c>
      <c r="Q116" s="229">
        <v>2.58E-2</v>
      </c>
      <c r="R116" s="228">
        <v>831.9</v>
      </c>
      <c r="S116" s="228">
        <v>811.9</v>
      </c>
      <c r="T116" s="228">
        <v>20</v>
      </c>
      <c r="U116" s="229">
        <v>2.46E-2</v>
      </c>
      <c r="V116" s="228">
        <v>835.9</v>
      </c>
      <c r="W116" s="228">
        <v>818.05</v>
      </c>
      <c r="X116" s="228">
        <v>17.850000000000001</v>
      </c>
      <c r="Y116" s="229">
        <v>2.18E-2</v>
      </c>
      <c r="Z116" s="228">
        <v>4.8499999999999996</v>
      </c>
      <c r="AA116" s="228">
        <v>4.0999999999999996</v>
      </c>
      <c r="AB116" s="228">
        <v>0.75</v>
      </c>
      <c r="AC116" s="229">
        <v>5.8999999999999999E-3</v>
      </c>
      <c r="AD116" s="228">
        <v>4.8499999999999996</v>
      </c>
      <c r="AE116" s="228">
        <v>-1.6</v>
      </c>
      <c r="AF116" s="228">
        <v>6.45</v>
      </c>
      <c r="AG116" s="229">
        <v>5.8999999999999999E-3</v>
      </c>
      <c r="AH116" s="228">
        <v>9.75</v>
      </c>
      <c r="AI116" s="228">
        <v>4.0999999999999996</v>
      </c>
      <c r="AJ116" s="228">
        <v>5.65</v>
      </c>
      <c r="AK116" s="229">
        <v>1.1900000000000001E-2</v>
      </c>
      <c r="AL116" s="228">
        <v>13.75</v>
      </c>
      <c r="AM116" s="228">
        <v>10.25</v>
      </c>
      <c r="AN116" s="228">
        <v>3.5</v>
      </c>
      <c r="AO116" s="229">
        <v>1.67E-2</v>
      </c>
      <c r="AP116" s="228">
        <v>820.51</v>
      </c>
      <c r="AQ116" s="228">
        <v>826.2</v>
      </c>
      <c r="AR116" s="228">
        <v>0</v>
      </c>
      <c r="AS116" s="228">
        <v>91</v>
      </c>
      <c r="AT116" s="228">
        <v>869</v>
      </c>
      <c r="AU116" s="228">
        <v>-778</v>
      </c>
      <c r="AV116" s="229">
        <v>-0.89490000000000003</v>
      </c>
      <c r="AW116" s="228">
        <v>86</v>
      </c>
      <c r="AX116" s="228">
        <v>426</v>
      </c>
      <c r="AY116" s="228">
        <v>-340</v>
      </c>
      <c r="AZ116" s="229">
        <v>-0.79859999999999998</v>
      </c>
      <c r="BA116" s="228">
        <v>5</v>
      </c>
      <c r="BB116" s="228">
        <v>428</v>
      </c>
      <c r="BC116" s="228">
        <v>-423</v>
      </c>
      <c r="BD116" s="229">
        <v>-0.98850000000000005</v>
      </c>
      <c r="BE116" s="228">
        <v>1</v>
      </c>
      <c r="BF116" s="228">
        <v>15</v>
      </c>
      <c r="BG116" s="228">
        <v>-15</v>
      </c>
      <c r="BH116" s="229">
        <v>-0.95860000000000001</v>
      </c>
      <c r="BI116" s="228">
        <v>204</v>
      </c>
      <c r="BJ116" s="228">
        <v>367</v>
      </c>
      <c r="BK116" s="228">
        <v>-163</v>
      </c>
      <c r="BL116" s="229">
        <v>-0.44369999999999998</v>
      </c>
      <c r="BM116" s="228">
        <v>106</v>
      </c>
      <c r="BN116" s="228">
        <v>246</v>
      </c>
      <c r="BO116" s="228">
        <v>-140</v>
      </c>
      <c r="BP116" s="229">
        <v>-0.57010000000000005</v>
      </c>
      <c r="BQ116" s="228">
        <v>401</v>
      </c>
      <c r="BR116" s="230">
        <v>1482</v>
      </c>
      <c r="BS116" s="230">
        <v>-1081</v>
      </c>
      <c r="BT116" s="229">
        <v>-0.72940000000000005</v>
      </c>
      <c r="BU116" s="230">
        <v>696298</v>
      </c>
      <c r="BV116" s="230">
        <v>1039957</v>
      </c>
      <c r="BW116" s="230">
        <v>-343659</v>
      </c>
      <c r="BX116" s="229">
        <v>-0.33050000000000002</v>
      </c>
      <c r="BY116" s="228">
        <v>847</v>
      </c>
      <c r="BZ116" s="228">
        <v>842</v>
      </c>
      <c r="CA116" s="228">
        <v>5</v>
      </c>
      <c r="CB116" s="229">
        <v>5.7000000000000002E-3</v>
      </c>
      <c r="CC116" s="228">
        <v>817</v>
      </c>
      <c r="CD116" s="228">
        <v>97</v>
      </c>
      <c r="CE116" s="228">
        <v>721</v>
      </c>
      <c r="CF116" s="229">
        <v>7.4596</v>
      </c>
      <c r="CG116" s="228">
        <v>29</v>
      </c>
      <c r="CH116" s="228">
        <v>813</v>
      </c>
      <c r="CI116" s="228">
        <v>-784</v>
      </c>
      <c r="CJ116" s="229">
        <v>-0.96440000000000003</v>
      </c>
      <c r="CK116" s="228">
        <v>0</v>
      </c>
      <c r="CL116" s="228">
        <v>29</v>
      </c>
      <c r="CM116" s="228">
        <v>-28</v>
      </c>
      <c r="CN116" s="229">
        <v>-0.9839</v>
      </c>
      <c r="CO116" s="228">
        <v>219</v>
      </c>
      <c r="CP116" s="228">
        <v>180</v>
      </c>
      <c r="CQ116" s="228">
        <v>40</v>
      </c>
      <c r="CR116" s="229">
        <v>0.2208</v>
      </c>
      <c r="CS116" s="228">
        <v>194</v>
      </c>
      <c r="CT116" s="228">
        <v>166</v>
      </c>
      <c r="CU116" s="228">
        <v>27</v>
      </c>
      <c r="CV116" s="229">
        <v>0.16470000000000001</v>
      </c>
      <c r="CW116" s="230">
        <v>1260</v>
      </c>
      <c r="CX116" s="230">
        <v>1188</v>
      </c>
      <c r="CY116" s="228">
        <v>72</v>
      </c>
      <c r="CZ116" s="229">
        <v>6.0499999999999998E-2</v>
      </c>
      <c r="DA116" s="228">
        <v>27.29</v>
      </c>
      <c r="DB116" s="228">
        <v>28.79</v>
      </c>
      <c r="DC116" s="228">
        <v>-1.5</v>
      </c>
      <c r="DD116" s="228">
        <v>-1.5</v>
      </c>
      <c r="DE116" s="228">
        <v>29.32</v>
      </c>
      <c r="DF116" s="228">
        <v>29.29</v>
      </c>
      <c r="DG116" s="228">
        <v>-2.0299999999999998</v>
      </c>
      <c r="DH116" s="228">
        <v>0.03</v>
      </c>
      <c r="DI116" s="228">
        <v>26.88</v>
      </c>
      <c r="DJ116" s="228">
        <v>28.79</v>
      </c>
      <c r="DK116" s="228">
        <v>-1.91</v>
      </c>
      <c r="DL116" s="228">
        <v>-1.91</v>
      </c>
      <c r="DM116" s="228">
        <v>28.08</v>
      </c>
      <c r="DN116" s="228">
        <v>28.79</v>
      </c>
      <c r="DO116" s="228">
        <v>-0.71</v>
      </c>
      <c r="DP116" s="228">
        <v>-0.71</v>
      </c>
      <c r="DQ116" s="228">
        <v>0.88</v>
      </c>
      <c r="DR116" s="228">
        <v>0.93</v>
      </c>
      <c r="DS116" s="228">
        <v>-0.05</v>
      </c>
      <c r="DT116" s="229">
        <v>-5.3800000000000001E-2</v>
      </c>
      <c r="DU116" s="228">
        <v>900</v>
      </c>
      <c r="DV116" s="228">
        <v>820</v>
      </c>
      <c r="DW116" s="228">
        <v>0.52</v>
      </c>
      <c r="DX116" s="228">
        <v>0.67</v>
      </c>
      <c r="DY116" s="228">
        <v>-0.15</v>
      </c>
      <c r="DZ116" s="229">
        <v>-0.22389999999999999</v>
      </c>
      <c r="EA116" s="229">
        <v>3.4700000000000002E-2</v>
      </c>
      <c r="EB116" s="230">
        <v>10180800</v>
      </c>
      <c r="EC116" s="229">
        <v>5.8999999999999999E-3</v>
      </c>
      <c r="ED116" s="229">
        <v>3.4700000000000002E-2</v>
      </c>
      <c r="EE116" s="228">
        <v>5.69</v>
      </c>
      <c r="EF116" s="229">
        <v>6.8999999999999999E-3</v>
      </c>
      <c r="EG116" s="230">
        <v>308025</v>
      </c>
      <c r="EH116" s="230">
        <v>457913</v>
      </c>
      <c r="EI116" s="229">
        <v>-0.32729999999999998</v>
      </c>
      <c r="EJ116" s="229">
        <v>0.44240000000000002</v>
      </c>
      <c r="EK116" s="228">
        <v>214.19</v>
      </c>
      <c r="EL116" s="228">
        <v>103.74</v>
      </c>
      <c r="EM116" s="228">
        <v>90.68</v>
      </c>
      <c r="EN116" s="228">
        <v>146.97</v>
      </c>
      <c r="EO116" s="228">
        <v>408.6</v>
      </c>
      <c r="EP116" s="231">
        <v>1475.08</v>
      </c>
      <c r="EQ116" s="231">
        <v>-1066.48</v>
      </c>
      <c r="ER116" s="229">
        <v>-0.72299999999999998</v>
      </c>
      <c r="ES116" s="228">
        <v>229.28</v>
      </c>
      <c r="ET116" s="228">
        <v>189.18</v>
      </c>
      <c r="EU116" s="228">
        <v>846.93</v>
      </c>
      <c r="EV116" s="231">
        <v>33206238</v>
      </c>
      <c r="EW116" s="231">
        <v>1265.4000000000001</v>
      </c>
      <c r="EX116" s="231">
        <v>1177.5999999999999</v>
      </c>
      <c r="EY116" s="228">
        <v>87.8</v>
      </c>
      <c r="EZ116" s="229">
        <v>7.46E-2</v>
      </c>
      <c r="FA116" s="229">
        <v>0.4587</v>
      </c>
      <c r="FB116" s="227" t="s">
        <v>555</v>
      </c>
      <c r="FC116">
        <f t="shared" si="1"/>
        <v>30</v>
      </c>
    </row>
    <row r="117" spans="1:159" ht="17.25" thickBot="1" x14ac:dyDescent="0.3">
      <c r="A117" s="226">
        <v>46050</v>
      </c>
      <c r="B117" s="227" t="s">
        <v>206</v>
      </c>
      <c r="C117" s="227" t="s">
        <v>588</v>
      </c>
      <c r="D117" s="228">
        <v>450</v>
      </c>
      <c r="E117" s="228">
        <v>27</v>
      </c>
      <c r="F117" s="228">
        <v>931.9</v>
      </c>
      <c r="G117" s="228">
        <v>912</v>
      </c>
      <c r="H117" s="228">
        <v>19.899999999999999</v>
      </c>
      <c r="I117" s="229">
        <v>2.18E-2</v>
      </c>
      <c r="J117" s="228">
        <v>929.1</v>
      </c>
      <c r="K117" s="228">
        <v>907.2</v>
      </c>
      <c r="L117" s="228">
        <v>21.9</v>
      </c>
      <c r="M117" s="229">
        <v>2.41E-2</v>
      </c>
      <c r="N117" s="228">
        <v>931.9</v>
      </c>
      <c r="O117" s="228">
        <v>905.8</v>
      </c>
      <c r="P117" s="228">
        <v>26.1</v>
      </c>
      <c r="Q117" s="229">
        <v>2.8799999999999999E-2</v>
      </c>
      <c r="R117" s="228">
        <v>936</v>
      </c>
      <c r="S117" s="228">
        <v>912</v>
      </c>
      <c r="T117" s="228">
        <v>24</v>
      </c>
      <c r="U117" s="229">
        <v>2.63E-2</v>
      </c>
      <c r="V117" s="228">
        <v>944.5</v>
      </c>
      <c r="W117" s="228">
        <v>918.8</v>
      </c>
      <c r="X117" s="228">
        <v>25.7</v>
      </c>
      <c r="Y117" s="229">
        <v>2.8000000000000001E-2</v>
      </c>
      <c r="Z117" s="228">
        <v>2.8</v>
      </c>
      <c r="AA117" s="228">
        <v>4.8</v>
      </c>
      <c r="AB117" s="228">
        <v>-2</v>
      </c>
      <c r="AC117" s="229">
        <v>3.0000000000000001E-3</v>
      </c>
      <c r="AD117" s="228">
        <v>2.8</v>
      </c>
      <c r="AE117" s="228">
        <v>-1.4</v>
      </c>
      <c r="AF117" s="228">
        <v>4.2</v>
      </c>
      <c r="AG117" s="229">
        <v>3.0000000000000001E-3</v>
      </c>
      <c r="AH117" s="228">
        <v>6.9</v>
      </c>
      <c r="AI117" s="228">
        <v>4.8</v>
      </c>
      <c r="AJ117" s="228">
        <v>2.1</v>
      </c>
      <c r="AK117" s="229">
        <v>7.4000000000000003E-3</v>
      </c>
      <c r="AL117" s="228">
        <v>15.4</v>
      </c>
      <c r="AM117" s="228">
        <v>11.6</v>
      </c>
      <c r="AN117" s="228">
        <v>3.8</v>
      </c>
      <c r="AO117" s="229">
        <v>1.66E-2</v>
      </c>
      <c r="AP117" s="228">
        <v>926.27</v>
      </c>
      <c r="AQ117" s="228">
        <v>932.03</v>
      </c>
      <c r="AR117" s="228">
        <v>0</v>
      </c>
      <c r="AS117" s="228">
        <v>228</v>
      </c>
      <c r="AT117" s="228">
        <v>971</v>
      </c>
      <c r="AU117" s="228">
        <v>-742</v>
      </c>
      <c r="AV117" s="229">
        <v>-0.76470000000000005</v>
      </c>
      <c r="AW117" s="228">
        <v>215</v>
      </c>
      <c r="AX117" s="228">
        <v>322</v>
      </c>
      <c r="AY117" s="228">
        <v>-107</v>
      </c>
      <c r="AZ117" s="229">
        <v>-0.33189999999999997</v>
      </c>
      <c r="BA117" s="228">
        <v>13</v>
      </c>
      <c r="BB117" s="228">
        <v>617</v>
      </c>
      <c r="BC117" s="228">
        <v>-604</v>
      </c>
      <c r="BD117" s="229">
        <v>-0.97889999999999999</v>
      </c>
      <c r="BE117" s="228">
        <v>0</v>
      </c>
      <c r="BF117" s="228">
        <v>32</v>
      </c>
      <c r="BG117" s="228">
        <v>-32</v>
      </c>
      <c r="BH117" s="229">
        <v>-0.9869</v>
      </c>
      <c r="BI117" s="228">
        <v>390</v>
      </c>
      <c r="BJ117" s="228">
        <v>512</v>
      </c>
      <c r="BK117" s="228">
        <v>-122</v>
      </c>
      <c r="BL117" s="229">
        <v>-0.23880000000000001</v>
      </c>
      <c r="BM117" s="228">
        <v>236</v>
      </c>
      <c r="BN117" s="228">
        <v>717</v>
      </c>
      <c r="BO117" s="228">
        <v>-481</v>
      </c>
      <c r="BP117" s="229">
        <v>-0.67130000000000001</v>
      </c>
      <c r="BQ117" s="228">
        <v>854</v>
      </c>
      <c r="BR117" s="230">
        <v>2200</v>
      </c>
      <c r="BS117" s="230">
        <v>-1346</v>
      </c>
      <c r="BT117" s="229">
        <v>-0.61180000000000001</v>
      </c>
      <c r="BU117" s="230">
        <v>1954625</v>
      </c>
      <c r="BV117" s="230">
        <v>6748803</v>
      </c>
      <c r="BW117" s="230">
        <v>-4794178</v>
      </c>
      <c r="BX117" s="229">
        <v>-0.71040000000000003</v>
      </c>
      <c r="BY117" s="230">
        <v>1145</v>
      </c>
      <c r="BZ117" s="230">
        <v>1147</v>
      </c>
      <c r="CA117" s="228">
        <v>-2</v>
      </c>
      <c r="CB117" s="229">
        <v>-1.8E-3</v>
      </c>
      <c r="CC117" s="230">
        <v>1122</v>
      </c>
      <c r="CD117" s="228">
        <v>37</v>
      </c>
      <c r="CE117" s="230">
        <v>1085</v>
      </c>
      <c r="CF117" s="229">
        <v>29.390899999999998</v>
      </c>
      <c r="CG117" s="228">
        <v>23</v>
      </c>
      <c r="CH117" s="230">
        <v>1127</v>
      </c>
      <c r="CI117" s="230">
        <v>-1105</v>
      </c>
      <c r="CJ117" s="229">
        <v>-0.97989999999999999</v>
      </c>
      <c r="CK117" s="228">
        <v>0</v>
      </c>
      <c r="CL117" s="228">
        <v>19</v>
      </c>
      <c r="CM117" s="228">
        <v>-19</v>
      </c>
      <c r="CN117" s="229">
        <v>-0.98050000000000004</v>
      </c>
      <c r="CO117" s="228">
        <v>192</v>
      </c>
      <c r="CP117" s="228">
        <v>114</v>
      </c>
      <c r="CQ117" s="228">
        <v>78</v>
      </c>
      <c r="CR117" s="229">
        <v>0.68030000000000002</v>
      </c>
      <c r="CS117" s="228">
        <v>189</v>
      </c>
      <c r="CT117" s="228">
        <v>121</v>
      </c>
      <c r="CU117" s="228">
        <v>68</v>
      </c>
      <c r="CV117" s="229">
        <v>0.56479999999999997</v>
      </c>
      <c r="CW117" s="230">
        <v>1525</v>
      </c>
      <c r="CX117" s="230">
        <v>1382</v>
      </c>
      <c r="CY117" s="228">
        <v>144</v>
      </c>
      <c r="CZ117" s="229">
        <v>0.1041</v>
      </c>
      <c r="DA117" s="228">
        <v>41.76</v>
      </c>
      <c r="DB117" s="228">
        <v>45.68</v>
      </c>
      <c r="DC117" s="228">
        <v>-3.92</v>
      </c>
      <c r="DD117" s="228">
        <v>-3.92</v>
      </c>
      <c r="DE117" s="228">
        <v>43.78</v>
      </c>
      <c r="DF117" s="228">
        <v>43.77</v>
      </c>
      <c r="DG117" s="228">
        <v>-2.02</v>
      </c>
      <c r="DH117" s="228">
        <v>0.01</v>
      </c>
      <c r="DI117" s="228">
        <v>40.93</v>
      </c>
      <c r="DJ117" s="228">
        <v>45.8</v>
      </c>
      <c r="DK117" s="228">
        <v>-4.87</v>
      </c>
      <c r="DL117" s="228">
        <v>-4.87</v>
      </c>
      <c r="DM117" s="228">
        <v>43.13</v>
      </c>
      <c r="DN117" s="228">
        <v>45.59</v>
      </c>
      <c r="DO117" s="228">
        <v>-2.46</v>
      </c>
      <c r="DP117" s="228">
        <v>-2.46</v>
      </c>
      <c r="DQ117" s="228">
        <v>0.99</v>
      </c>
      <c r="DR117" s="228">
        <v>1.06</v>
      </c>
      <c r="DS117" s="228">
        <v>-7.0000000000000007E-2</v>
      </c>
      <c r="DT117" s="229">
        <v>-6.6000000000000003E-2</v>
      </c>
      <c r="DU117" s="231">
        <v>1000</v>
      </c>
      <c r="DV117" s="228">
        <v>900</v>
      </c>
      <c r="DW117" s="228">
        <v>0.6</v>
      </c>
      <c r="DX117" s="228">
        <v>1.4</v>
      </c>
      <c r="DY117" s="228">
        <v>-0.8</v>
      </c>
      <c r="DZ117" s="229">
        <v>-0.57140000000000002</v>
      </c>
      <c r="EA117" s="229">
        <v>2.01E-2</v>
      </c>
      <c r="EB117" s="230">
        <v>12303900</v>
      </c>
      <c r="EC117" s="229">
        <v>4.4000000000000003E-3</v>
      </c>
      <c r="ED117" s="229">
        <v>2.01E-2</v>
      </c>
      <c r="EE117" s="228">
        <v>5.76</v>
      </c>
      <c r="EF117" s="229">
        <v>6.1999999999999998E-3</v>
      </c>
      <c r="EG117" s="230">
        <v>1031668</v>
      </c>
      <c r="EH117" s="230">
        <v>3290499</v>
      </c>
      <c r="EI117" s="229">
        <v>-0.6865</v>
      </c>
      <c r="EJ117" s="229">
        <v>0.52780000000000005</v>
      </c>
      <c r="EK117" s="228">
        <v>415.65</v>
      </c>
      <c r="EL117" s="228">
        <v>233.46</v>
      </c>
      <c r="EM117" s="228">
        <v>227.13</v>
      </c>
      <c r="EN117" s="228">
        <v>205.42</v>
      </c>
      <c r="EO117" s="228">
        <v>876.24</v>
      </c>
      <c r="EP117" s="231">
        <v>2155.77</v>
      </c>
      <c r="EQ117" s="231">
        <v>-1279.53</v>
      </c>
      <c r="ER117" s="229">
        <v>-0.59350000000000003</v>
      </c>
      <c r="ES117" s="228">
        <v>202.82</v>
      </c>
      <c r="ET117" s="228">
        <v>186.57</v>
      </c>
      <c r="EU117" s="231">
        <v>1144.6099999999999</v>
      </c>
      <c r="EV117" s="231">
        <v>42126960</v>
      </c>
      <c r="EW117" s="231">
        <v>1534</v>
      </c>
      <c r="EX117" s="231">
        <v>1365.1</v>
      </c>
      <c r="EY117" s="228">
        <v>168.9</v>
      </c>
      <c r="EZ117" s="229">
        <v>0.1237</v>
      </c>
      <c r="FA117" s="229">
        <v>0.3886</v>
      </c>
      <c r="FB117" s="227" t="s">
        <v>556</v>
      </c>
      <c r="FC117">
        <f t="shared" si="1"/>
        <v>23</v>
      </c>
    </row>
    <row r="118" spans="1:159" ht="17.25" thickBot="1" x14ac:dyDescent="0.3">
      <c r="A118" s="226">
        <v>46050</v>
      </c>
      <c r="B118" s="227" t="s">
        <v>184</v>
      </c>
      <c r="C118" s="227" t="s">
        <v>249</v>
      </c>
      <c r="D118" s="228">
        <v>175</v>
      </c>
      <c r="E118" s="228">
        <v>27</v>
      </c>
      <c r="F118" s="231">
        <v>3815.8</v>
      </c>
      <c r="G118" s="231">
        <v>3808.7</v>
      </c>
      <c r="H118" s="228">
        <v>7.1</v>
      </c>
      <c r="I118" s="229">
        <v>1.9E-3</v>
      </c>
      <c r="J118" s="231">
        <v>3794</v>
      </c>
      <c r="K118" s="231">
        <v>3787.8</v>
      </c>
      <c r="L118" s="228">
        <v>6.2</v>
      </c>
      <c r="M118" s="229">
        <v>1.6000000000000001E-3</v>
      </c>
      <c r="N118" s="231">
        <v>3815.8</v>
      </c>
      <c r="O118" s="231">
        <v>3786.2</v>
      </c>
      <c r="P118" s="228">
        <v>29.6</v>
      </c>
      <c r="Q118" s="229">
        <v>7.7999999999999996E-3</v>
      </c>
      <c r="R118" s="231">
        <v>3841</v>
      </c>
      <c r="S118" s="231">
        <v>3808.7</v>
      </c>
      <c r="T118" s="228">
        <v>32.299999999999997</v>
      </c>
      <c r="U118" s="229">
        <v>8.5000000000000006E-3</v>
      </c>
      <c r="V118" s="231">
        <v>3865.8</v>
      </c>
      <c r="W118" s="231">
        <v>3836</v>
      </c>
      <c r="X118" s="228">
        <v>29.8</v>
      </c>
      <c r="Y118" s="229">
        <v>7.7999999999999996E-3</v>
      </c>
      <c r="Z118" s="228">
        <v>21.8</v>
      </c>
      <c r="AA118" s="228">
        <v>20.9</v>
      </c>
      <c r="AB118" s="228">
        <v>0.9</v>
      </c>
      <c r="AC118" s="229">
        <v>5.7000000000000002E-3</v>
      </c>
      <c r="AD118" s="228">
        <v>21.8</v>
      </c>
      <c r="AE118" s="228">
        <v>-1.6</v>
      </c>
      <c r="AF118" s="228">
        <v>23.4</v>
      </c>
      <c r="AG118" s="229">
        <v>5.7000000000000002E-3</v>
      </c>
      <c r="AH118" s="228">
        <v>47</v>
      </c>
      <c r="AI118" s="228">
        <v>20.9</v>
      </c>
      <c r="AJ118" s="228">
        <v>26.1</v>
      </c>
      <c r="AK118" s="229">
        <v>1.24E-2</v>
      </c>
      <c r="AL118" s="228">
        <v>71.8</v>
      </c>
      <c r="AM118" s="228">
        <v>48.2</v>
      </c>
      <c r="AN118" s="228">
        <v>23.6</v>
      </c>
      <c r="AO118" s="229">
        <v>1.89E-2</v>
      </c>
      <c r="AP118" s="231">
        <v>3816.87</v>
      </c>
      <c r="AQ118" s="231">
        <v>3843.36</v>
      </c>
      <c r="AR118" s="228">
        <v>0</v>
      </c>
      <c r="AS118" s="230">
        <v>1159</v>
      </c>
      <c r="AT118" s="230">
        <v>3530</v>
      </c>
      <c r="AU118" s="230">
        <v>-2372</v>
      </c>
      <c r="AV118" s="229">
        <v>-0.67179999999999995</v>
      </c>
      <c r="AW118" s="230">
        <v>1118</v>
      </c>
      <c r="AX118" s="230">
        <v>1514</v>
      </c>
      <c r="AY118" s="228">
        <v>-396</v>
      </c>
      <c r="AZ118" s="229">
        <v>-0.26169999999999999</v>
      </c>
      <c r="BA118" s="228">
        <v>35</v>
      </c>
      <c r="BB118" s="230">
        <v>1971</v>
      </c>
      <c r="BC118" s="230">
        <v>-1936</v>
      </c>
      <c r="BD118" s="229">
        <v>-0.98229999999999995</v>
      </c>
      <c r="BE118" s="228">
        <v>6</v>
      </c>
      <c r="BF118" s="228">
        <v>46</v>
      </c>
      <c r="BG118" s="228">
        <v>-40</v>
      </c>
      <c r="BH118" s="229">
        <v>-0.8679</v>
      </c>
      <c r="BI118" s="230">
        <v>3608</v>
      </c>
      <c r="BJ118" s="230">
        <v>2597</v>
      </c>
      <c r="BK118" s="230">
        <v>1011</v>
      </c>
      <c r="BL118" s="229">
        <v>0.38940000000000002</v>
      </c>
      <c r="BM118" s="230">
        <v>1493</v>
      </c>
      <c r="BN118" s="230">
        <v>1376</v>
      </c>
      <c r="BO118" s="228">
        <v>117</v>
      </c>
      <c r="BP118" s="229">
        <v>8.5000000000000006E-2</v>
      </c>
      <c r="BQ118" s="230">
        <v>6260</v>
      </c>
      <c r="BR118" s="230">
        <v>7504</v>
      </c>
      <c r="BS118" s="230">
        <v>-1244</v>
      </c>
      <c r="BT118" s="229">
        <v>-0.1658</v>
      </c>
      <c r="BU118" s="230">
        <v>2332848</v>
      </c>
      <c r="BV118" s="230">
        <v>2862041</v>
      </c>
      <c r="BW118" s="230">
        <v>-529193</v>
      </c>
      <c r="BX118" s="229">
        <v>-0.18490000000000001</v>
      </c>
      <c r="BY118" s="230">
        <v>6097</v>
      </c>
      <c r="BZ118" s="230">
        <v>5853</v>
      </c>
      <c r="CA118" s="228">
        <v>244</v>
      </c>
      <c r="CB118" s="229">
        <v>4.1700000000000001E-2</v>
      </c>
      <c r="CC118" s="230">
        <v>5659</v>
      </c>
      <c r="CD118" s="228">
        <v>407</v>
      </c>
      <c r="CE118" s="230">
        <v>5252</v>
      </c>
      <c r="CF118" s="229">
        <v>12.891500000000001</v>
      </c>
      <c r="CG118" s="228">
        <v>434</v>
      </c>
      <c r="CH118" s="230">
        <v>5430</v>
      </c>
      <c r="CI118" s="230">
        <v>-4996</v>
      </c>
      <c r="CJ118" s="229">
        <v>-0.92010000000000003</v>
      </c>
      <c r="CK118" s="228">
        <v>4</v>
      </c>
      <c r="CL118" s="228">
        <v>422</v>
      </c>
      <c r="CM118" s="228">
        <v>-419</v>
      </c>
      <c r="CN118" s="229">
        <v>-0.99109999999999998</v>
      </c>
      <c r="CO118" s="230">
        <v>1516</v>
      </c>
      <c r="CP118" s="228">
        <v>782</v>
      </c>
      <c r="CQ118" s="228">
        <v>734</v>
      </c>
      <c r="CR118" s="229">
        <v>0.93930000000000002</v>
      </c>
      <c r="CS118" s="230">
        <v>1120</v>
      </c>
      <c r="CT118" s="228">
        <v>727</v>
      </c>
      <c r="CU118" s="228">
        <v>392</v>
      </c>
      <c r="CV118" s="229">
        <v>0.53969999999999996</v>
      </c>
      <c r="CW118" s="230">
        <v>8733</v>
      </c>
      <c r="CX118" s="230">
        <v>7362</v>
      </c>
      <c r="CY118" s="230">
        <v>1371</v>
      </c>
      <c r="CZ118" s="229">
        <v>0.18629999999999999</v>
      </c>
      <c r="DA118" s="228">
        <v>28.78</v>
      </c>
      <c r="DB118" s="228">
        <v>26.41</v>
      </c>
      <c r="DC118" s="228">
        <v>2.37</v>
      </c>
      <c r="DD118" s="228">
        <v>2.37</v>
      </c>
      <c r="DE118" s="228">
        <v>25.56</v>
      </c>
      <c r="DF118" s="228">
        <v>25.62</v>
      </c>
      <c r="DG118" s="228">
        <v>3.22</v>
      </c>
      <c r="DH118" s="228">
        <v>-0.06</v>
      </c>
      <c r="DI118" s="228">
        <v>28.56</v>
      </c>
      <c r="DJ118" s="228">
        <v>26.39</v>
      </c>
      <c r="DK118" s="228">
        <v>2.17</v>
      </c>
      <c r="DL118" s="228">
        <v>2.17</v>
      </c>
      <c r="DM118" s="228">
        <v>29.32</v>
      </c>
      <c r="DN118" s="228">
        <v>26.45</v>
      </c>
      <c r="DO118" s="228">
        <v>2.87</v>
      </c>
      <c r="DP118" s="228">
        <v>2.87</v>
      </c>
      <c r="DQ118" s="228">
        <v>0.74</v>
      </c>
      <c r="DR118" s="228">
        <v>0.93</v>
      </c>
      <c r="DS118" s="228">
        <v>-0.19</v>
      </c>
      <c r="DT118" s="229">
        <v>-0.20430000000000001</v>
      </c>
      <c r="DU118" s="231">
        <v>4000</v>
      </c>
      <c r="DV118" s="231">
        <v>3800</v>
      </c>
      <c r="DW118" s="228">
        <v>0.41</v>
      </c>
      <c r="DX118" s="228">
        <v>0.53</v>
      </c>
      <c r="DY118" s="228">
        <v>-0.12</v>
      </c>
      <c r="DZ118" s="229">
        <v>-0.22639999999999999</v>
      </c>
      <c r="EA118" s="229">
        <v>7.17E-2</v>
      </c>
      <c r="EB118" s="230">
        <v>15337700</v>
      </c>
      <c r="EC118" s="229">
        <v>6.6E-3</v>
      </c>
      <c r="ED118" s="229">
        <v>7.17E-2</v>
      </c>
      <c r="EE118" s="228">
        <v>26.49</v>
      </c>
      <c r="EF118" s="229">
        <v>6.8999999999999999E-3</v>
      </c>
      <c r="EG118" s="230">
        <v>1394099</v>
      </c>
      <c r="EH118" s="230">
        <v>1779944</v>
      </c>
      <c r="EI118" s="229">
        <v>-0.21679999999999999</v>
      </c>
      <c r="EJ118" s="229">
        <v>0.59760000000000002</v>
      </c>
      <c r="EK118" s="231">
        <v>3807.85</v>
      </c>
      <c r="EL118" s="231">
        <v>1481.17</v>
      </c>
      <c r="EM118" s="231">
        <v>1159.28</v>
      </c>
      <c r="EN118" s="228">
        <v>504.5</v>
      </c>
      <c r="EO118" s="231">
        <v>6448.29</v>
      </c>
      <c r="EP118" s="231">
        <v>7580.07</v>
      </c>
      <c r="EQ118" s="231">
        <v>-1131.77</v>
      </c>
      <c r="ER118" s="229">
        <v>-0.14929999999999999</v>
      </c>
      <c r="ES118" s="231">
        <v>1582.13</v>
      </c>
      <c r="ET118" s="231">
        <v>1105.45</v>
      </c>
      <c r="EU118" s="231">
        <v>6099.74</v>
      </c>
      <c r="EV118" s="231">
        <v>136109374</v>
      </c>
      <c r="EW118" s="231">
        <v>8787.31</v>
      </c>
      <c r="EX118" s="231">
        <v>7384.04</v>
      </c>
      <c r="EY118" s="231">
        <v>1403.27</v>
      </c>
      <c r="EZ118" s="229">
        <v>0.19</v>
      </c>
      <c r="FA118" s="229">
        <v>0.1681</v>
      </c>
      <c r="FB118" s="227" t="s">
        <v>555</v>
      </c>
      <c r="FC118">
        <f t="shared" si="1"/>
        <v>438</v>
      </c>
    </row>
    <row r="119" spans="1:159" ht="17.25" thickBot="1" x14ac:dyDescent="0.3">
      <c r="A119" s="226">
        <v>46050</v>
      </c>
      <c r="B119" s="227" t="s">
        <v>175</v>
      </c>
      <c r="C119" s="227" t="s">
        <v>565</v>
      </c>
      <c r="D119" s="228">
        <v>2250</v>
      </c>
      <c r="E119" s="228">
        <v>27</v>
      </c>
      <c r="F119" s="228">
        <v>290.85000000000002</v>
      </c>
      <c r="G119" s="228">
        <v>287.25</v>
      </c>
      <c r="H119" s="228">
        <v>3.6</v>
      </c>
      <c r="I119" s="229">
        <v>1.2500000000000001E-2</v>
      </c>
      <c r="J119" s="228">
        <v>289.39999999999998</v>
      </c>
      <c r="K119" s="228">
        <v>285.25</v>
      </c>
      <c r="L119" s="228">
        <v>4.1500000000000004</v>
      </c>
      <c r="M119" s="229">
        <v>1.4500000000000001E-2</v>
      </c>
      <c r="N119" s="228">
        <v>290.85000000000002</v>
      </c>
      <c r="O119" s="228">
        <v>285.45</v>
      </c>
      <c r="P119" s="228">
        <v>5.4</v>
      </c>
      <c r="Q119" s="229">
        <v>1.89E-2</v>
      </c>
      <c r="R119" s="228">
        <v>290.25</v>
      </c>
      <c r="S119" s="228">
        <v>287.25</v>
      </c>
      <c r="T119" s="228">
        <v>3</v>
      </c>
      <c r="U119" s="229">
        <v>1.04E-2</v>
      </c>
      <c r="V119" s="228">
        <v>290.5</v>
      </c>
      <c r="W119" s="228">
        <v>287.45</v>
      </c>
      <c r="X119" s="228">
        <v>3.05</v>
      </c>
      <c r="Y119" s="229">
        <v>1.06E-2</v>
      </c>
      <c r="Z119" s="228">
        <v>1.45</v>
      </c>
      <c r="AA119" s="228">
        <v>2</v>
      </c>
      <c r="AB119" s="228">
        <v>-0.55000000000000004</v>
      </c>
      <c r="AC119" s="229">
        <v>5.0000000000000001E-3</v>
      </c>
      <c r="AD119" s="228">
        <v>1.45</v>
      </c>
      <c r="AE119" s="228">
        <v>0.2</v>
      </c>
      <c r="AF119" s="228">
        <v>1.25</v>
      </c>
      <c r="AG119" s="229">
        <v>5.0000000000000001E-3</v>
      </c>
      <c r="AH119" s="228">
        <v>0.85</v>
      </c>
      <c r="AI119" s="228">
        <v>2</v>
      </c>
      <c r="AJ119" s="228">
        <v>-1.1499999999999999</v>
      </c>
      <c r="AK119" s="229">
        <v>2.8999999999999998E-3</v>
      </c>
      <c r="AL119" s="228">
        <v>1.1000000000000001</v>
      </c>
      <c r="AM119" s="228">
        <v>2.2000000000000002</v>
      </c>
      <c r="AN119" s="228">
        <v>-1.1000000000000001</v>
      </c>
      <c r="AO119" s="229">
        <v>3.8E-3</v>
      </c>
      <c r="AP119" s="228">
        <v>289.39</v>
      </c>
      <c r="AQ119" s="228">
        <v>288.64999999999998</v>
      </c>
      <c r="AR119" s="228">
        <v>0</v>
      </c>
      <c r="AS119" s="228">
        <v>198</v>
      </c>
      <c r="AT119" s="230">
        <v>1328</v>
      </c>
      <c r="AU119" s="230">
        <v>-1130</v>
      </c>
      <c r="AV119" s="229">
        <v>-0.85129999999999995</v>
      </c>
      <c r="AW119" s="228">
        <v>188</v>
      </c>
      <c r="AX119" s="228">
        <v>549</v>
      </c>
      <c r="AY119" s="228">
        <v>-360</v>
      </c>
      <c r="AZ119" s="229">
        <v>-0.65700000000000003</v>
      </c>
      <c r="BA119" s="228">
        <v>8</v>
      </c>
      <c r="BB119" s="228">
        <v>758</v>
      </c>
      <c r="BC119" s="228">
        <v>-750</v>
      </c>
      <c r="BD119" s="229">
        <v>-0.98939999999999995</v>
      </c>
      <c r="BE119" s="228">
        <v>1</v>
      </c>
      <c r="BF119" s="228">
        <v>21</v>
      </c>
      <c r="BG119" s="228">
        <v>-20</v>
      </c>
      <c r="BH119" s="229">
        <v>-0.93830000000000002</v>
      </c>
      <c r="BI119" s="228">
        <v>356</v>
      </c>
      <c r="BJ119" s="230">
        <v>1667</v>
      </c>
      <c r="BK119" s="230">
        <v>-1310</v>
      </c>
      <c r="BL119" s="229">
        <v>-0.78610000000000002</v>
      </c>
      <c r="BM119" s="228">
        <v>216</v>
      </c>
      <c r="BN119" s="228">
        <v>733</v>
      </c>
      <c r="BO119" s="228">
        <v>-517</v>
      </c>
      <c r="BP119" s="229">
        <v>-0.70569999999999999</v>
      </c>
      <c r="BQ119" s="228">
        <v>770</v>
      </c>
      <c r="BR119" s="230">
        <v>3728</v>
      </c>
      <c r="BS119" s="230">
        <v>-2958</v>
      </c>
      <c r="BT119" s="229">
        <v>-0.79349999999999998</v>
      </c>
      <c r="BU119" s="230">
        <v>2515966</v>
      </c>
      <c r="BV119" s="230">
        <v>6225368</v>
      </c>
      <c r="BW119" s="230">
        <v>-3709402</v>
      </c>
      <c r="BX119" s="229">
        <v>-0.59589999999999999</v>
      </c>
      <c r="BY119" s="230">
        <v>1318</v>
      </c>
      <c r="BZ119" s="230">
        <v>1314</v>
      </c>
      <c r="CA119" s="228">
        <v>4</v>
      </c>
      <c r="CB119" s="229">
        <v>3.0999999999999999E-3</v>
      </c>
      <c r="CC119" s="230">
        <v>1279</v>
      </c>
      <c r="CD119" s="228">
        <v>152</v>
      </c>
      <c r="CE119" s="230">
        <v>1127</v>
      </c>
      <c r="CF119" s="229">
        <v>7.4305000000000003</v>
      </c>
      <c r="CG119" s="228">
        <v>38</v>
      </c>
      <c r="CH119" s="230">
        <v>1278</v>
      </c>
      <c r="CI119" s="230">
        <v>-1240</v>
      </c>
      <c r="CJ119" s="229">
        <v>-0.97019999999999995</v>
      </c>
      <c r="CK119" s="228">
        <v>1</v>
      </c>
      <c r="CL119" s="228">
        <v>36</v>
      </c>
      <c r="CM119" s="228">
        <v>-35</v>
      </c>
      <c r="CN119" s="229">
        <v>-0.97629999999999995</v>
      </c>
      <c r="CO119" s="228">
        <v>516</v>
      </c>
      <c r="CP119" s="228">
        <v>463</v>
      </c>
      <c r="CQ119" s="228">
        <v>54</v>
      </c>
      <c r="CR119" s="229">
        <v>0.11609999999999999</v>
      </c>
      <c r="CS119" s="228">
        <v>377</v>
      </c>
      <c r="CT119" s="228">
        <v>347</v>
      </c>
      <c r="CU119" s="228">
        <v>30</v>
      </c>
      <c r="CV119" s="229">
        <v>8.77E-2</v>
      </c>
      <c r="CW119" s="230">
        <v>2212</v>
      </c>
      <c r="CX119" s="230">
        <v>2123</v>
      </c>
      <c r="CY119" s="228">
        <v>88</v>
      </c>
      <c r="CZ119" s="229">
        <v>4.1500000000000002E-2</v>
      </c>
      <c r="DA119" s="228">
        <v>32.85</v>
      </c>
      <c r="DB119" s="228">
        <v>35.01</v>
      </c>
      <c r="DC119" s="228">
        <v>-2.16</v>
      </c>
      <c r="DD119" s="228">
        <v>-2.16</v>
      </c>
      <c r="DE119" s="228">
        <v>38.22</v>
      </c>
      <c r="DF119" s="228">
        <v>38.28</v>
      </c>
      <c r="DG119" s="228">
        <v>-5.37</v>
      </c>
      <c r="DH119" s="228">
        <v>-0.06</v>
      </c>
      <c r="DI119" s="228">
        <v>32.47</v>
      </c>
      <c r="DJ119" s="228">
        <v>35.43</v>
      </c>
      <c r="DK119" s="228">
        <v>-2.96</v>
      </c>
      <c r="DL119" s="228">
        <v>-2.96</v>
      </c>
      <c r="DM119" s="228">
        <v>33.47</v>
      </c>
      <c r="DN119" s="228">
        <v>34.4</v>
      </c>
      <c r="DO119" s="228">
        <v>-0.93</v>
      </c>
      <c r="DP119" s="228">
        <v>-0.93</v>
      </c>
      <c r="DQ119" s="228">
        <v>0.73</v>
      </c>
      <c r="DR119" s="228">
        <v>0.75</v>
      </c>
      <c r="DS119" s="228">
        <v>-0.02</v>
      </c>
      <c r="DT119" s="229">
        <v>-2.6700000000000002E-2</v>
      </c>
      <c r="DU119" s="228">
        <v>300</v>
      </c>
      <c r="DV119" s="228">
        <v>300</v>
      </c>
      <c r="DW119" s="228">
        <v>0.61</v>
      </c>
      <c r="DX119" s="228">
        <v>0.44</v>
      </c>
      <c r="DY119" s="228">
        <v>0.17</v>
      </c>
      <c r="DZ119" s="229">
        <v>0.38640000000000002</v>
      </c>
      <c r="EA119" s="229">
        <v>2.9499999999999998E-2</v>
      </c>
      <c r="EB119" s="230">
        <v>45166500</v>
      </c>
      <c r="EC119" s="229">
        <v>-2.0999999999999999E-3</v>
      </c>
      <c r="ED119" s="229">
        <v>2.9499999999999998E-2</v>
      </c>
      <c r="EE119" s="228">
        <v>-0.74</v>
      </c>
      <c r="EF119" s="229">
        <v>-2.5999999999999999E-3</v>
      </c>
      <c r="EG119" s="230">
        <v>1062908</v>
      </c>
      <c r="EH119" s="230">
        <v>1935431</v>
      </c>
      <c r="EI119" s="229">
        <v>-0.45079999999999998</v>
      </c>
      <c r="EJ119" s="229">
        <v>0.42249999999999999</v>
      </c>
      <c r="EK119" s="228">
        <v>379.73</v>
      </c>
      <c r="EL119" s="228">
        <v>208.99</v>
      </c>
      <c r="EM119" s="228">
        <v>196.49</v>
      </c>
      <c r="EN119" s="228">
        <v>234.05</v>
      </c>
      <c r="EO119" s="228">
        <v>785.21</v>
      </c>
      <c r="EP119" s="231">
        <v>3786.87</v>
      </c>
      <c r="EQ119" s="231">
        <v>-3001.65</v>
      </c>
      <c r="ER119" s="229">
        <v>-0.79259999999999997</v>
      </c>
      <c r="ES119" s="228">
        <v>540.07000000000005</v>
      </c>
      <c r="ET119" s="228">
        <v>369.18</v>
      </c>
      <c r="EU119" s="231">
        <v>1317.65</v>
      </c>
      <c r="EV119" s="231">
        <v>127100972</v>
      </c>
      <c r="EW119" s="231">
        <v>2226.9</v>
      </c>
      <c r="EX119" s="231">
        <v>2121.87</v>
      </c>
      <c r="EY119" s="228">
        <v>105.03</v>
      </c>
      <c r="EZ119" s="229">
        <v>4.9500000000000002E-2</v>
      </c>
      <c r="FA119" s="229">
        <v>0.59830000000000005</v>
      </c>
      <c r="FB119" s="227" t="s">
        <v>555</v>
      </c>
      <c r="FC119">
        <f t="shared" si="1"/>
        <v>39</v>
      </c>
    </row>
    <row r="120" spans="1:159" ht="17.25" thickBot="1" x14ac:dyDescent="0.3">
      <c r="A120" s="226">
        <v>46050</v>
      </c>
      <c r="B120" s="227" t="s">
        <v>221</v>
      </c>
      <c r="C120" s="227" t="s">
        <v>561</v>
      </c>
      <c r="D120" s="228">
        <v>150</v>
      </c>
      <c r="E120" s="228">
        <v>27</v>
      </c>
      <c r="F120" s="231">
        <v>6047</v>
      </c>
      <c r="G120" s="231">
        <v>5982.5</v>
      </c>
      <c r="H120" s="228">
        <v>64.5</v>
      </c>
      <c r="I120" s="229">
        <v>1.0800000000000001E-2</v>
      </c>
      <c r="J120" s="231">
        <v>6015.5</v>
      </c>
      <c r="K120" s="231">
        <v>5940.5</v>
      </c>
      <c r="L120" s="228">
        <v>75</v>
      </c>
      <c r="M120" s="229">
        <v>1.26E-2</v>
      </c>
      <c r="N120" s="231">
        <v>6047</v>
      </c>
      <c r="O120" s="231">
        <v>5952.5</v>
      </c>
      <c r="P120" s="228">
        <v>94.5</v>
      </c>
      <c r="Q120" s="229">
        <v>1.5900000000000001E-2</v>
      </c>
      <c r="R120" s="231">
        <v>6075</v>
      </c>
      <c r="S120" s="231">
        <v>5982.5</v>
      </c>
      <c r="T120" s="228">
        <v>92.5</v>
      </c>
      <c r="U120" s="229">
        <v>1.55E-2</v>
      </c>
      <c r="V120" s="231">
        <v>6041.5</v>
      </c>
      <c r="W120" s="231">
        <v>6012.5</v>
      </c>
      <c r="X120" s="228">
        <v>29</v>
      </c>
      <c r="Y120" s="229">
        <v>4.7999999999999996E-3</v>
      </c>
      <c r="Z120" s="228">
        <v>31.5</v>
      </c>
      <c r="AA120" s="228">
        <v>42</v>
      </c>
      <c r="AB120" s="228">
        <v>-10.5</v>
      </c>
      <c r="AC120" s="229">
        <v>5.1999999999999998E-3</v>
      </c>
      <c r="AD120" s="228">
        <v>31.5</v>
      </c>
      <c r="AE120" s="228">
        <v>12</v>
      </c>
      <c r="AF120" s="228">
        <v>19.5</v>
      </c>
      <c r="AG120" s="229">
        <v>5.1999999999999998E-3</v>
      </c>
      <c r="AH120" s="228">
        <v>59.5</v>
      </c>
      <c r="AI120" s="228">
        <v>42</v>
      </c>
      <c r="AJ120" s="228">
        <v>17.5</v>
      </c>
      <c r="AK120" s="229">
        <v>9.9000000000000008E-3</v>
      </c>
      <c r="AL120" s="228">
        <v>26</v>
      </c>
      <c r="AM120" s="228">
        <v>72</v>
      </c>
      <c r="AN120" s="228">
        <v>-46</v>
      </c>
      <c r="AO120" s="229">
        <v>4.3E-3</v>
      </c>
      <c r="AP120" s="231">
        <v>6010.51</v>
      </c>
      <c r="AQ120" s="231">
        <v>6047.58</v>
      </c>
      <c r="AR120" s="228">
        <v>0</v>
      </c>
      <c r="AS120" s="228">
        <v>153</v>
      </c>
      <c r="AT120" s="228">
        <v>939</v>
      </c>
      <c r="AU120" s="228">
        <v>-787</v>
      </c>
      <c r="AV120" s="229">
        <v>-0.83740000000000003</v>
      </c>
      <c r="AW120" s="228">
        <v>148</v>
      </c>
      <c r="AX120" s="228">
        <v>411</v>
      </c>
      <c r="AY120" s="228">
        <v>-263</v>
      </c>
      <c r="AZ120" s="229">
        <v>-0.63990000000000002</v>
      </c>
      <c r="BA120" s="228">
        <v>5</v>
      </c>
      <c r="BB120" s="228">
        <v>526</v>
      </c>
      <c r="BC120" s="228">
        <v>-521</v>
      </c>
      <c r="BD120" s="229">
        <v>-0.99119999999999997</v>
      </c>
      <c r="BE120" s="228">
        <v>0</v>
      </c>
      <c r="BF120" s="228">
        <v>3</v>
      </c>
      <c r="BG120" s="228">
        <v>-3</v>
      </c>
      <c r="BH120" s="229">
        <v>-0.96550000000000002</v>
      </c>
      <c r="BI120" s="228">
        <v>565</v>
      </c>
      <c r="BJ120" s="230">
        <v>1123</v>
      </c>
      <c r="BK120" s="228">
        <v>-558</v>
      </c>
      <c r="BL120" s="229">
        <v>-0.497</v>
      </c>
      <c r="BM120" s="228">
        <v>177</v>
      </c>
      <c r="BN120" s="228">
        <v>713</v>
      </c>
      <c r="BO120" s="228">
        <v>-536</v>
      </c>
      <c r="BP120" s="229">
        <v>-0.75190000000000001</v>
      </c>
      <c r="BQ120" s="228">
        <v>895</v>
      </c>
      <c r="BR120" s="230">
        <v>2776</v>
      </c>
      <c r="BS120" s="230">
        <v>-1881</v>
      </c>
      <c r="BT120" s="229">
        <v>-0.67769999999999997</v>
      </c>
      <c r="BU120" s="230">
        <v>155288</v>
      </c>
      <c r="BV120" s="230">
        <v>255856</v>
      </c>
      <c r="BW120" s="230">
        <v>-100568</v>
      </c>
      <c r="BX120" s="229">
        <v>-0.3931</v>
      </c>
      <c r="BY120" s="230">
        <v>1475</v>
      </c>
      <c r="BZ120" s="230">
        <v>1470</v>
      </c>
      <c r="CA120" s="228">
        <v>5</v>
      </c>
      <c r="CB120" s="229">
        <v>3.3E-3</v>
      </c>
      <c r="CC120" s="230">
        <v>1466</v>
      </c>
      <c r="CD120" s="228">
        <v>109</v>
      </c>
      <c r="CE120" s="230">
        <v>1357</v>
      </c>
      <c r="CF120" s="229">
        <v>12.394399999999999</v>
      </c>
      <c r="CG120" s="228">
        <v>8</v>
      </c>
      <c r="CH120" s="230">
        <v>1462</v>
      </c>
      <c r="CI120" s="230">
        <v>-1454</v>
      </c>
      <c r="CJ120" s="229">
        <v>-0.99439999999999995</v>
      </c>
      <c r="CK120" s="228">
        <v>0</v>
      </c>
      <c r="CL120" s="228">
        <v>8</v>
      </c>
      <c r="CM120" s="228">
        <v>-7</v>
      </c>
      <c r="CN120" s="229">
        <v>-0.98799999999999999</v>
      </c>
      <c r="CO120" s="228">
        <v>242</v>
      </c>
      <c r="CP120" s="228">
        <v>215</v>
      </c>
      <c r="CQ120" s="228">
        <v>27</v>
      </c>
      <c r="CR120" s="229">
        <v>0.12509999999999999</v>
      </c>
      <c r="CS120" s="228">
        <v>179</v>
      </c>
      <c r="CT120" s="228">
        <v>149</v>
      </c>
      <c r="CU120" s="228">
        <v>30</v>
      </c>
      <c r="CV120" s="229">
        <v>0.19869999999999999</v>
      </c>
      <c r="CW120" s="230">
        <v>1896</v>
      </c>
      <c r="CX120" s="230">
        <v>1834</v>
      </c>
      <c r="CY120" s="228">
        <v>61</v>
      </c>
      <c r="CZ120" s="229">
        <v>3.3500000000000002E-2</v>
      </c>
      <c r="DA120" s="228">
        <v>26.36</v>
      </c>
      <c r="DB120" s="228">
        <v>27.17</v>
      </c>
      <c r="DC120" s="228">
        <v>-0.81</v>
      </c>
      <c r="DD120" s="228">
        <v>-0.81</v>
      </c>
      <c r="DE120" s="228">
        <v>32.99</v>
      </c>
      <c r="DF120" s="228">
        <v>33.04</v>
      </c>
      <c r="DG120" s="228">
        <v>-6.63</v>
      </c>
      <c r="DH120" s="228">
        <v>-0.05</v>
      </c>
      <c r="DI120" s="228">
        <v>25.96</v>
      </c>
      <c r="DJ120" s="228">
        <v>26.35</v>
      </c>
      <c r="DK120" s="228">
        <v>-0.39</v>
      </c>
      <c r="DL120" s="228">
        <v>-0.39</v>
      </c>
      <c r="DM120" s="228">
        <v>27.65</v>
      </c>
      <c r="DN120" s="228">
        <v>28.19</v>
      </c>
      <c r="DO120" s="228">
        <v>-0.54</v>
      </c>
      <c r="DP120" s="228">
        <v>-0.54</v>
      </c>
      <c r="DQ120" s="228">
        <v>0.74</v>
      </c>
      <c r="DR120" s="228">
        <v>0.69</v>
      </c>
      <c r="DS120" s="228">
        <v>0.05</v>
      </c>
      <c r="DT120" s="229">
        <v>7.2499999999999995E-2</v>
      </c>
      <c r="DU120" s="231">
        <v>6000</v>
      </c>
      <c r="DV120" s="231">
        <v>6000</v>
      </c>
      <c r="DW120" s="228">
        <v>0.31</v>
      </c>
      <c r="DX120" s="228">
        <v>0.63</v>
      </c>
      <c r="DY120" s="228">
        <v>-0.32</v>
      </c>
      <c r="DZ120" s="229">
        <v>-0.50790000000000002</v>
      </c>
      <c r="EA120" s="229">
        <v>5.5999999999999999E-3</v>
      </c>
      <c r="EB120" s="230">
        <v>2430600</v>
      </c>
      <c r="EC120" s="229">
        <v>4.5999999999999999E-3</v>
      </c>
      <c r="ED120" s="229">
        <v>5.5999999999999999E-3</v>
      </c>
      <c r="EE120" s="228">
        <v>37.07</v>
      </c>
      <c r="EF120" s="229">
        <v>6.1999999999999998E-3</v>
      </c>
      <c r="EG120" s="230">
        <v>78680</v>
      </c>
      <c r="EH120" s="230">
        <v>117987</v>
      </c>
      <c r="EI120" s="229">
        <v>-0.33310000000000001</v>
      </c>
      <c r="EJ120" s="229">
        <v>0.50670000000000004</v>
      </c>
      <c r="EK120" s="228">
        <v>584.4</v>
      </c>
      <c r="EL120" s="228">
        <v>171.67</v>
      </c>
      <c r="EM120" s="228">
        <v>151.85</v>
      </c>
      <c r="EN120" s="228">
        <v>153.88999999999999</v>
      </c>
      <c r="EO120" s="228">
        <v>907.92</v>
      </c>
      <c r="EP120" s="231">
        <v>2753.05</v>
      </c>
      <c r="EQ120" s="231">
        <v>-1845.12</v>
      </c>
      <c r="ER120" s="229">
        <v>-0.67020000000000002</v>
      </c>
      <c r="ES120" s="228">
        <v>252.16</v>
      </c>
      <c r="ET120" s="228">
        <v>168.95</v>
      </c>
      <c r="EU120" s="231">
        <v>1474.72</v>
      </c>
      <c r="EV120" s="231">
        <v>9672091</v>
      </c>
      <c r="EW120" s="231">
        <v>1895.84</v>
      </c>
      <c r="EX120" s="231">
        <v>1819.32</v>
      </c>
      <c r="EY120" s="228">
        <v>76.52</v>
      </c>
      <c r="EZ120" s="229">
        <v>4.2099999999999999E-2</v>
      </c>
      <c r="FA120" s="229">
        <v>0.32419999999999999</v>
      </c>
      <c r="FB120" s="227" t="s">
        <v>555</v>
      </c>
      <c r="FC120">
        <f t="shared" si="1"/>
        <v>9</v>
      </c>
    </row>
    <row r="121" spans="1:159" ht="17.25" thickBot="1" x14ac:dyDescent="0.3">
      <c r="A121" s="226">
        <v>46050</v>
      </c>
      <c r="B121" s="227" t="s">
        <v>170</v>
      </c>
      <c r="C121" s="227" t="s">
        <v>250</v>
      </c>
      <c r="D121" s="228">
        <v>425</v>
      </c>
      <c r="E121" s="228">
        <v>27</v>
      </c>
      <c r="F121" s="231">
        <v>2135.5</v>
      </c>
      <c r="G121" s="231">
        <v>2158.1</v>
      </c>
      <c r="H121" s="228">
        <v>-22.6</v>
      </c>
      <c r="I121" s="229">
        <v>-1.0500000000000001E-2</v>
      </c>
      <c r="J121" s="231">
        <v>2129.5</v>
      </c>
      <c r="K121" s="231">
        <v>2150.5</v>
      </c>
      <c r="L121" s="228">
        <v>-21</v>
      </c>
      <c r="M121" s="229">
        <v>-9.7999999999999997E-3</v>
      </c>
      <c r="N121" s="231">
        <v>2135.5</v>
      </c>
      <c r="O121" s="231">
        <v>2144.6999999999998</v>
      </c>
      <c r="P121" s="228">
        <v>-9.1999999999999993</v>
      </c>
      <c r="Q121" s="229">
        <v>-4.3E-3</v>
      </c>
      <c r="R121" s="231">
        <v>2149.8000000000002</v>
      </c>
      <c r="S121" s="231">
        <v>2158.1</v>
      </c>
      <c r="T121" s="228">
        <v>-8.3000000000000007</v>
      </c>
      <c r="U121" s="229">
        <v>-3.8E-3</v>
      </c>
      <c r="V121" s="231">
        <v>2163.8000000000002</v>
      </c>
      <c r="W121" s="231">
        <v>2171.8000000000002</v>
      </c>
      <c r="X121" s="228">
        <v>-8</v>
      </c>
      <c r="Y121" s="229">
        <v>-3.7000000000000002E-3</v>
      </c>
      <c r="Z121" s="228">
        <v>6</v>
      </c>
      <c r="AA121" s="228">
        <v>7.6</v>
      </c>
      <c r="AB121" s="228">
        <v>-1.6</v>
      </c>
      <c r="AC121" s="229">
        <v>2.8E-3</v>
      </c>
      <c r="AD121" s="228">
        <v>6</v>
      </c>
      <c r="AE121" s="228">
        <v>-5.8</v>
      </c>
      <c r="AF121" s="228">
        <v>11.8</v>
      </c>
      <c r="AG121" s="229">
        <v>2.8E-3</v>
      </c>
      <c r="AH121" s="228">
        <v>20.3</v>
      </c>
      <c r="AI121" s="228">
        <v>7.6</v>
      </c>
      <c r="AJ121" s="228">
        <v>12.7</v>
      </c>
      <c r="AK121" s="229">
        <v>9.4999999999999998E-3</v>
      </c>
      <c r="AL121" s="228">
        <v>34.299999999999997</v>
      </c>
      <c r="AM121" s="228">
        <v>21.3</v>
      </c>
      <c r="AN121" s="228">
        <v>13</v>
      </c>
      <c r="AO121" s="229">
        <v>1.61E-2</v>
      </c>
      <c r="AP121" s="231">
        <v>2134.27</v>
      </c>
      <c r="AQ121" s="231">
        <v>2149.2399999999998</v>
      </c>
      <c r="AR121" s="228">
        <v>0</v>
      </c>
      <c r="AS121" s="228">
        <v>232</v>
      </c>
      <c r="AT121" s="228">
        <v>904</v>
      </c>
      <c r="AU121" s="228">
        <v>-672</v>
      </c>
      <c r="AV121" s="229">
        <v>-0.74360000000000004</v>
      </c>
      <c r="AW121" s="228">
        <v>226</v>
      </c>
      <c r="AX121" s="228">
        <v>398</v>
      </c>
      <c r="AY121" s="228">
        <v>-172</v>
      </c>
      <c r="AZ121" s="229">
        <v>-0.43280000000000002</v>
      </c>
      <c r="BA121" s="228">
        <v>6</v>
      </c>
      <c r="BB121" s="228">
        <v>500</v>
      </c>
      <c r="BC121" s="228">
        <v>-494</v>
      </c>
      <c r="BD121" s="229">
        <v>-0.9889</v>
      </c>
      <c r="BE121" s="228">
        <v>1</v>
      </c>
      <c r="BF121" s="228">
        <v>7</v>
      </c>
      <c r="BG121" s="228">
        <v>-6</v>
      </c>
      <c r="BH121" s="229">
        <v>-0.90410000000000001</v>
      </c>
      <c r="BI121" s="228">
        <v>302</v>
      </c>
      <c r="BJ121" s="228">
        <v>633</v>
      </c>
      <c r="BK121" s="228">
        <v>-331</v>
      </c>
      <c r="BL121" s="229">
        <v>-0.52370000000000005</v>
      </c>
      <c r="BM121" s="228">
        <v>128</v>
      </c>
      <c r="BN121" s="228">
        <v>164</v>
      </c>
      <c r="BO121" s="228">
        <v>-36</v>
      </c>
      <c r="BP121" s="229">
        <v>-0.22090000000000001</v>
      </c>
      <c r="BQ121" s="228">
        <v>661</v>
      </c>
      <c r="BR121" s="230">
        <v>1701</v>
      </c>
      <c r="BS121" s="230">
        <v>-1040</v>
      </c>
      <c r="BT121" s="229">
        <v>-0.61140000000000005</v>
      </c>
      <c r="BU121" s="230">
        <v>1112824</v>
      </c>
      <c r="BV121" s="230">
        <v>850832</v>
      </c>
      <c r="BW121" s="230">
        <v>261992</v>
      </c>
      <c r="BX121" s="229">
        <v>0.30790000000000001</v>
      </c>
      <c r="BY121" s="230">
        <v>1365</v>
      </c>
      <c r="BZ121" s="230">
        <v>1385</v>
      </c>
      <c r="CA121" s="228">
        <v>-19</v>
      </c>
      <c r="CB121" s="229">
        <v>-1.4E-2</v>
      </c>
      <c r="CC121" s="230">
        <v>1353</v>
      </c>
      <c r="CD121" s="228">
        <v>62</v>
      </c>
      <c r="CE121" s="230">
        <v>1291</v>
      </c>
      <c r="CF121" s="229">
        <v>20.792400000000001</v>
      </c>
      <c r="CG121" s="228">
        <v>12</v>
      </c>
      <c r="CH121" s="230">
        <v>1374</v>
      </c>
      <c r="CI121" s="230">
        <v>-1362</v>
      </c>
      <c r="CJ121" s="229">
        <v>-0.99119999999999997</v>
      </c>
      <c r="CK121" s="228">
        <v>0</v>
      </c>
      <c r="CL121" s="228">
        <v>11</v>
      </c>
      <c r="CM121" s="228">
        <v>-10</v>
      </c>
      <c r="CN121" s="229">
        <v>-0.95799999999999996</v>
      </c>
      <c r="CO121" s="228">
        <v>237</v>
      </c>
      <c r="CP121" s="228">
        <v>148</v>
      </c>
      <c r="CQ121" s="228">
        <v>89</v>
      </c>
      <c r="CR121" s="229">
        <v>0.60360000000000003</v>
      </c>
      <c r="CS121" s="228">
        <v>149</v>
      </c>
      <c r="CT121" s="228">
        <v>99</v>
      </c>
      <c r="CU121" s="228">
        <v>50</v>
      </c>
      <c r="CV121" s="229">
        <v>0.50739999999999996</v>
      </c>
      <c r="CW121" s="230">
        <v>1751</v>
      </c>
      <c r="CX121" s="230">
        <v>1631</v>
      </c>
      <c r="CY121" s="228">
        <v>120</v>
      </c>
      <c r="CZ121" s="229">
        <v>7.3499999999999996E-2</v>
      </c>
      <c r="DA121" s="228">
        <v>29.58</v>
      </c>
      <c r="DB121" s="228">
        <v>30.1</v>
      </c>
      <c r="DC121" s="228">
        <v>-0.52</v>
      </c>
      <c r="DD121" s="228">
        <v>-0.52</v>
      </c>
      <c r="DE121" s="228">
        <v>29.35</v>
      </c>
      <c r="DF121" s="228">
        <v>29.39</v>
      </c>
      <c r="DG121" s="228">
        <v>0.23</v>
      </c>
      <c r="DH121" s="228">
        <v>-0.04</v>
      </c>
      <c r="DI121" s="228">
        <v>29.11</v>
      </c>
      <c r="DJ121" s="228">
        <v>29.81</v>
      </c>
      <c r="DK121" s="228">
        <v>-0.7</v>
      </c>
      <c r="DL121" s="228">
        <v>-0.7</v>
      </c>
      <c r="DM121" s="228">
        <v>30.69</v>
      </c>
      <c r="DN121" s="228">
        <v>30.73</v>
      </c>
      <c r="DO121" s="228">
        <v>-0.04</v>
      </c>
      <c r="DP121" s="228">
        <v>-0.04</v>
      </c>
      <c r="DQ121" s="228">
        <v>0.63</v>
      </c>
      <c r="DR121" s="228">
        <v>0.67</v>
      </c>
      <c r="DS121" s="228">
        <v>-0.04</v>
      </c>
      <c r="DT121" s="229">
        <v>-5.9700000000000003E-2</v>
      </c>
      <c r="DU121" s="231">
        <v>2200</v>
      </c>
      <c r="DV121" s="231">
        <v>2100</v>
      </c>
      <c r="DW121" s="228">
        <v>0.42</v>
      </c>
      <c r="DX121" s="228">
        <v>0.26</v>
      </c>
      <c r="DY121" s="228">
        <v>0.16</v>
      </c>
      <c r="DZ121" s="229">
        <v>0.61539999999999995</v>
      </c>
      <c r="EA121" s="229">
        <v>9.1999999999999998E-3</v>
      </c>
      <c r="EB121" s="230">
        <v>6484225</v>
      </c>
      <c r="EC121" s="229">
        <v>6.7000000000000002E-3</v>
      </c>
      <c r="ED121" s="229">
        <v>9.1999999999999998E-3</v>
      </c>
      <c r="EE121" s="228">
        <v>14.97</v>
      </c>
      <c r="EF121" s="229">
        <v>7.0000000000000001E-3</v>
      </c>
      <c r="EG121" s="230">
        <v>765944</v>
      </c>
      <c r="EH121" s="230">
        <v>448639</v>
      </c>
      <c r="EI121" s="229">
        <v>0.70730000000000004</v>
      </c>
      <c r="EJ121" s="229">
        <v>0.68830000000000002</v>
      </c>
      <c r="EK121" s="228">
        <v>322.01</v>
      </c>
      <c r="EL121" s="228">
        <v>124.01</v>
      </c>
      <c r="EM121" s="228">
        <v>231.71</v>
      </c>
      <c r="EN121" s="228">
        <v>114.64</v>
      </c>
      <c r="EO121" s="228">
        <v>677.73</v>
      </c>
      <c r="EP121" s="231">
        <v>1725.85</v>
      </c>
      <c r="EQ121" s="231">
        <v>-1048.1199999999999</v>
      </c>
      <c r="ER121" s="229">
        <v>-0.60729999999999995</v>
      </c>
      <c r="ES121" s="228">
        <v>250.49</v>
      </c>
      <c r="ET121" s="228">
        <v>144.44999999999999</v>
      </c>
      <c r="EU121" s="231">
        <v>1365.46</v>
      </c>
      <c r="EV121" s="231">
        <v>36381777</v>
      </c>
      <c r="EW121" s="231">
        <v>1760.4</v>
      </c>
      <c r="EX121" s="231">
        <v>1652.93</v>
      </c>
      <c r="EY121" s="228">
        <v>107.47</v>
      </c>
      <c r="EZ121" s="229">
        <v>6.5000000000000002E-2</v>
      </c>
      <c r="FA121" s="229">
        <v>0.22539999999999999</v>
      </c>
      <c r="FB121" s="227" t="s">
        <v>568</v>
      </c>
      <c r="FC121">
        <f t="shared" si="1"/>
        <v>12</v>
      </c>
    </row>
    <row r="122" spans="1:159" ht="17.25" thickBot="1" x14ac:dyDescent="0.3">
      <c r="A122" s="226">
        <v>46050</v>
      </c>
      <c r="B122" s="227" t="s">
        <v>162</v>
      </c>
      <c r="C122" s="227" t="s">
        <v>251</v>
      </c>
      <c r="D122" s="228">
        <v>200</v>
      </c>
      <c r="E122" s="228">
        <v>27</v>
      </c>
      <c r="F122" s="231">
        <v>3470.4</v>
      </c>
      <c r="G122" s="231">
        <v>3417.3</v>
      </c>
      <c r="H122" s="228">
        <v>53.1</v>
      </c>
      <c r="I122" s="229">
        <v>1.55E-2</v>
      </c>
      <c r="J122" s="231">
        <v>3449.2</v>
      </c>
      <c r="K122" s="231">
        <v>3393.5</v>
      </c>
      <c r="L122" s="228">
        <v>55.7</v>
      </c>
      <c r="M122" s="229">
        <v>1.6400000000000001E-2</v>
      </c>
      <c r="N122" s="231">
        <v>3470.4</v>
      </c>
      <c r="O122" s="231">
        <v>3396.3</v>
      </c>
      <c r="P122" s="228">
        <v>74.099999999999994</v>
      </c>
      <c r="Q122" s="229">
        <v>2.18E-2</v>
      </c>
      <c r="R122" s="231">
        <v>3493.4</v>
      </c>
      <c r="S122" s="231">
        <v>3417.3</v>
      </c>
      <c r="T122" s="228">
        <v>76.099999999999994</v>
      </c>
      <c r="U122" s="229">
        <v>2.23E-2</v>
      </c>
      <c r="V122" s="231">
        <v>3520</v>
      </c>
      <c r="W122" s="231">
        <v>3439.8</v>
      </c>
      <c r="X122" s="228">
        <v>80.2</v>
      </c>
      <c r="Y122" s="229">
        <v>2.3300000000000001E-2</v>
      </c>
      <c r="Z122" s="228">
        <v>21.2</v>
      </c>
      <c r="AA122" s="228">
        <v>23.8</v>
      </c>
      <c r="AB122" s="228">
        <v>-2.6</v>
      </c>
      <c r="AC122" s="229">
        <v>6.1000000000000004E-3</v>
      </c>
      <c r="AD122" s="228">
        <v>21.2</v>
      </c>
      <c r="AE122" s="228">
        <v>2.8</v>
      </c>
      <c r="AF122" s="228">
        <v>18.399999999999999</v>
      </c>
      <c r="AG122" s="229">
        <v>6.1000000000000004E-3</v>
      </c>
      <c r="AH122" s="228">
        <v>44.2</v>
      </c>
      <c r="AI122" s="228">
        <v>23.8</v>
      </c>
      <c r="AJ122" s="228">
        <v>20.399999999999999</v>
      </c>
      <c r="AK122" s="229">
        <v>1.2800000000000001E-2</v>
      </c>
      <c r="AL122" s="228">
        <v>70.8</v>
      </c>
      <c r="AM122" s="228">
        <v>46.3</v>
      </c>
      <c r="AN122" s="228">
        <v>24.5</v>
      </c>
      <c r="AO122" s="229">
        <v>2.0500000000000001E-2</v>
      </c>
      <c r="AP122" s="231">
        <v>3443.73</v>
      </c>
      <c r="AQ122" s="231">
        <v>3467.14</v>
      </c>
      <c r="AR122" s="228">
        <v>0</v>
      </c>
      <c r="AS122" s="230">
        <v>1196</v>
      </c>
      <c r="AT122" s="230">
        <v>3739</v>
      </c>
      <c r="AU122" s="230">
        <v>-2542</v>
      </c>
      <c r="AV122" s="229">
        <v>-0.68</v>
      </c>
      <c r="AW122" s="230">
        <v>1162</v>
      </c>
      <c r="AX122" s="230">
        <v>1026</v>
      </c>
      <c r="AY122" s="228">
        <v>136</v>
      </c>
      <c r="AZ122" s="229">
        <v>0.13250000000000001</v>
      </c>
      <c r="BA122" s="228">
        <v>29</v>
      </c>
      <c r="BB122" s="230">
        <v>2657</v>
      </c>
      <c r="BC122" s="230">
        <v>-2628</v>
      </c>
      <c r="BD122" s="229">
        <v>-0.98919999999999997</v>
      </c>
      <c r="BE122" s="228">
        <v>5</v>
      </c>
      <c r="BF122" s="228">
        <v>56</v>
      </c>
      <c r="BG122" s="228">
        <v>-50</v>
      </c>
      <c r="BH122" s="229">
        <v>-0.90190000000000003</v>
      </c>
      <c r="BI122" s="230">
        <v>1913</v>
      </c>
      <c r="BJ122" s="230">
        <v>3878</v>
      </c>
      <c r="BK122" s="230">
        <v>-1965</v>
      </c>
      <c r="BL122" s="229">
        <v>-0.50670000000000004</v>
      </c>
      <c r="BM122" s="230">
        <v>1607</v>
      </c>
      <c r="BN122" s="230">
        <v>4349</v>
      </c>
      <c r="BO122" s="230">
        <v>-2743</v>
      </c>
      <c r="BP122" s="229">
        <v>-0.63060000000000005</v>
      </c>
      <c r="BQ122" s="230">
        <v>4716</v>
      </c>
      <c r="BR122" s="230">
        <v>11966</v>
      </c>
      <c r="BS122" s="230">
        <v>-7250</v>
      </c>
      <c r="BT122" s="229">
        <v>-0.60589999999999999</v>
      </c>
      <c r="BU122" s="230">
        <v>4059436</v>
      </c>
      <c r="BV122" s="230">
        <v>8261826</v>
      </c>
      <c r="BW122" s="230">
        <v>-4202390</v>
      </c>
      <c r="BX122" s="229">
        <v>-0.50870000000000004</v>
      </c>
      <c r="BY122" s="230">
        <v>6451</v>
      </c>
      <c r="BZ122" s="230">
        <v>6306</v>
      </c>
      <c r="CA122" s="228">
        <v>145</v>
      </c>
      <c r="CB122" s="229">
        <v>2.3E-2</v>
      </c>
      <c r="CC122" s="230">
        <v>5884</v>
      </c>
      <c r="CD122" s="228">
        <v>203</v>
      </c>
      <c r="CE122" s="230">
        <v>5680</v>
      </c>
      <c r="CF122" s="229">
        <v>27.9222</v>
      </c>
      <c r="CG122" s="228">
        <v>564</v>
      </c>
      <c r="CH122" s="230">
        <v>5749</v>
      </c>
      <c r="CI122" s="230">
        <v>-5185</v>
      </c>
      <c r="CJ122" s="229">
        <v>-0.90190000000000003</v>
      </c>
      <c r="CK122" s="228">
        <v>4</v>
      </c>
      <c r="CL122" s="228">
        <v>558</v>
      </c>
      <c r="CM122" s="228">
        <v>-554</v>
      </c>
      <c r="CN122" s="229">
        <v>-0.99350000000000005</v>
      </c>
      <c r="CO122" s="228">
        <v>713</v>
      </c>
      <c r="CP122" s="228">
        <v>593</v>
      </c>
      <c r="CQ122" s="228">
        <v>120</v>
      </c>
      <c r="CR122" s="229">
        <v>0.2031</v>
      </c>
      <c r="CS122" s="228">
        <v>813</v>
      </c>
      <c r="CT122" s="228">
        <v>666</v>
      </c>
      <c r="CU122" s="228">
        <v>146</v>
      </c>
      <c r="CV122" s="229">
        <v>0.21970000000000001</v>
      </c>
      <c r="CW122" s="230">
        <v>7977</v>
      </c>
      <c r="CX122" s="230">
        <v>7565</v>
      </c>
      <c r="CY122" s="228">
        <v>412</v>
      </c>
      <c r="CZ122" s="229">
        <v>5.45E-2</v>
      </c>
      <c r="DA122" s="228">
        <v>31.28</v>
      </c>
      <c r="DB122" s="228">
        <v>32.96</v>
      </c>
      <c r="DC122" s="228">
        <v>-1.68</v>
      </c>
      <c r="DD122" s="228">
        <v>-1.68</v>
      </c>
      <c r="DE122" s="228">
        <v>31.34</v>
      </c>
      <c r="DF122" s="228">
        <v>31.34</v>
      </c>
      <c r="DG122" s="228">
        <v>-0.06</v>
      </c>
      <c r="DH122" s="228">
        <v>0</v>
      </c>
      <c r="DI122" s="228">
        <v>30.03</v>
      </c>
      <c r="DJ122" s="228">
        <v>31.66</v>
      </c>
      <c r="DK122" s="228">
        <v>-1.63</v>
      </c>
      <c r="DL122" s="228">
        <v>-1.63</v>
      </c>
      <c r="DM122" s="228">
        <v>32.78</v>
      </c>
      <c r="DN122" s="228">
        <v>34.18</v>
      </c>
      <c r="DO122" s="228">
        <v>-1.4</v>
      </c>
      <c r="DP122" s="228">
        <v>-1.4</v>
      </c>
      <c r="DQ122" s="228">
        <v>1.1399999999999999</v>
      </c>
      <c r="DR122" s="228">
        <v>1.1200000000000001</v>
      </c>
      <c r="DS122" s="228">
        <v>0.02</v>
      </c>
      <c r="DT122" s="229">
        <v>1.7899999999999999E-2</v>
      </c>
      <c r="DU122" s="231">
        <v>3600</v>
      </c>
      <c r="DV122" s="231">
        <v>3400</v>
      </c>
      <c r="DW122" s="228">
        <v>0.84</v>
      </c>
      <c r="DX122" s="228">
        <v>1.1200000000000001</v>
      </c>
      <c r="DY122" s="228">
        <v>-0.28000000000000003</v>
      </c>
      <c r="DZ122" s="229">
        <v>-0.25</v>
      </c>
      <c r="EA122" s="229">
        <v>8.7999999999999995E-2</v>
      </c>
      <c r="EB122" s="230">
        <v>18171200</v>
      </c>
      <c r="EC122" s="229">
        <v>6.6E-3</v>
      </c>
      <c r="ED122" s="229">
        <v>8.7999999999999995E-2</v>
      </c>
      <c r="EE122" s="228">
        <v>23.41</v>
      </c>
      <c r="EF122" s="229">
        <v>6.7999999999999996E-3</v>
      </c>
      <c r="EG122" s="230">
        <v>2629462</v>
      </c>
      <c r="EH122" s="230">
        <v>5230550</v>
      </c>
      <c r="EI122" s="229">
        <v>-0.49730000000000002</v>
      </c>
      <c r="EJ122" s="229">
        <v>0.64770000000000005</v>
      </c>
      <c r="EK122" s="231">
        <v>2022.26</v>
      </c>
      <c r="EL122" s="231">
        <v>1559.52</v>
      </c>
      <c r="EM122" s="231">
        <v>1187.52</v>
      </c>
      <c r="EN122" s="228">
        <v>572.6</v>
      </c>
      <c r="EO122" s="231">
        <v>4769.3</v>
      </c>
      <c r="EP122" s="231">
        <v>12015.77</v>
      </c>
      <c r="EQ122" s="231">
        <v>-7246.47</v>
      </c>
      <c r="ER122" s="229">
        <v>-0.60309999999999997</v>
      </c>
      <c r="ES122" s="228">
        <v>752.35</v>
      </c>
      <c r="ET122" s="228">
        <v>791.69</v>
      </c>
      <c r="EU122" s="231">
        <v>6455.12</v>
      </c>
      <c r="EV122" s="231">
        <v>95452027</v>
      </c>
      <c r="EW122" s="231">
        <v>7999.16</v>
      </c>
      <c r="EX122" s="231">
        <v>7490.79</v>
      </c>
      <c r="EY122" s="228">
        <v>508.37</v>
      </c>
      <c r="EZ122" s="229">
        <v>6.7900000000000002E-2</v>
      </c>
      <c r="FA122" s="229">
        <v>0.24079999999999999</v>
      </c>
      <c r="FB122" s="227" t="s">
        <v>555</v>
      </c>
      <c r="FC122">
        <f t="shared" si="1"/>
        <v>567</v>
      </c>
    </row>
    <row r="123" spans="1:159" ht="17.25" thickBot="1" x14ac:dyDescent="0.3">
      <c r="A123" s="226">
        <v>46050</v>
      </c>
      <c r="B123" s="227" t="s">
        <v>175</v>
      </c>
      <c r="C123" s="227" t="s">
        <v>253</v>
      </c>
      <c r="D123" s="228">
        <v>3000</v>
      </c>
      <c r="E123" s="228">
        <v>27</v>
      </c>
      <c r="F123" s="228">
        <v>292.45</v>
      </c>
      <c r="G123" s="228">
        <v>296.95</v>
      </c>
      <c r="H123" s="228">
        <v>-4.5</v>
      </c>
      <c r="I123" s="229">
        <v>-1.52E-2</v>
      </c>
      <c r="J123" s="228">
        <v>291.7</v>
      </c>
      <c r="K123" s="228">
        <v>295.10000000000002</v>
      </c>
      <c r="L123" s="228">
        <v>-3.4</v>
      </c>
      <c r="M123" s="229">
        <v>-1.15E-2</v>
      </c>
      <c r="N123" s="228">
        <v>292.45</v>
      </c>
      <c r="O123" s="228">
        <v>295.2</v>
      </c>
      <c r="P123" s="228">
        <v>-2.75</v>
      </c>
      <c r="Q123" s="229">
        <v>-9.2999999999999992E-3</v>
      </c>
      <c r="R123" s="228">
        <v>294.39999999999998</v>
      </c>
      <c r="S123" s="228">
        <v>296.95</v>
      </c>
      <c r="T123" s="228">
        <v>-2.5499999999999998</v>
      </c>
      <c r="U123" s="229">
        <v>-8.6E-3</v>
      </c>
      <c r="V123" s="228">
        <v>0</v>
      </c>
      <c r="W123" s="228">
        <v>298.85000000000002</v>
      </c>
      <c r="X123" s="228">
        <v>0</v>
      </c>
      <c r="Y123" s="229">
        <v>0</v>
      </c>
      <c r="Z123" s="228">
        <v>0.75</v>
      </c>
      <c r="AA123" s="228">
        <v>1.85</v>
      </c>
      <c r="AB123" s="228">
        <v>-1.1000000000000001</v>
      </c>
      <c r="AC123" s="229">
        <v>2.5999999999999999E-3</v>
      </c>
      <c r="AD123" s="228">
        <v>0.75</v>
      </c>
      <c r="AE123" s="228">
        <v>0.1</v>
      </c>
      <c r="AF123" s="228">
        <v>0.65</v>
      </c>
      <c r="AG123" s="229">
        <v>2.5999999999999999E-3</v>
      </c>
      <c r="AH123" s="228">
        <v>2.7</v>
      </c>
      <c r="AI123" s="228">
        <v>1.85</v>
      </c>
      <c r="AJ123" s="228">
        <v>0.85</v>
      </c>
      <c r="AK123" s="229">
        <v>9.2999999999999992E-3</v>
      </c>
      <c r="AL123" s="228">
        <v>0</v>
      </c>
      <c r="AM123" s="228">
        <v>3.75</v>
      </c>
      <c r="AN123" s="228">
        <v>0</v>
      </c>
      <c r="AO123" s="229">
        <v>0</v>
      </c>
      <c r="AP123" s="228">
        <v>292.98</v>
      </c>
      <c r="AQ123" s="228">
        <v>295.22000000000003</v>
      </c>
      <c r="AR123" s="228">
        <v>0</v>
      </c>
      <c r="AS123" s="228">
        <v>391</v>
      </c>
      <c r="AT123" s="230">
        <v>1001</v>
      </c>
      <c r="AU123" s="228">
        <v>-609</v>
      </c>
      <c r="AV123" s="229">
        <v>-0.6089</v>
      </c>
      <c r="AW123" s="228">
        <v>382</v>
      </c>
      <c r="AX123" s="228">
        <v>421</v>
      </c>
      <c r="AY123" s="228">
        <v>-39</v>
      </c>
      <c r="AZ123" s="229">
        <v>-9.35E-2</v>
      </c>
      <c r="BA123" s="228">
        <v>9</v>
      </c>
      <c r="BB123" s="228">
        <v>572</v>
      </c>
      <c r="BC123" s="228">
        <v>-562</v>
      </c>
      <c r="BD123" s="229">
        <v>-0.98340000000000005</v>
      </c>
      <c r="BE123" s="228">
        <v>0</v>
      </c>
      <c r="BF123" s="228">
        <v>7</v>
      </c>
      <c r="BG123" s="228">
        <v>0</v>
      </c>
      <c r="BH123" s="229">
        <v>0</v>
      </c>
      <c r="BI123" s="228">
        <v>564</v>
      </c>
      <c r="BJ123" s="228">
        <v>592</v>
      </c>
      <c r="BK123" s="228">
        <v>-28</v>
      </c>
      <c r="BL123" s="229">
        <v>-4.6600000000000003E-2</v>
      </c>
      <c r="BM123" s="228">
        <v>375</v>
      </c>
      <c r="BN123" s="228">
        <v>530</v>
      </c>
      <c r="BO123" s="228">
        <v>-155</v>
      </c>
      <c r="BP123" s="229">
        <v>-0.29289999999999999</v>
      </c>
      <c r="BQ123" s="230">
        <v>1330</v>
      </c>
      <c r="BR123" s="230">
        <v>2122</v>
      </c>
      <c r="BS123" s="228">
        <v>-792</v>
      </c>
      <c r="BT123" s="229">
        <v>-0.37319999999999998</v>
      </c>
      <c r="BU123" s="230">
        <v>6274309</v>
      </c>
      <c r="BV123" s="230">
        <v>3111793</v>
      </c>
      <c r="BW123" s="230">
        <v>3162516</v>
      </c>
      <c r="BX123" s="229">
        <v>1.0163</v>
      </c>
      <c r="BY123" s="230">
        <v>1220</v>
      </c>
      <c r="BZ123" s="230">
        <v>1231</v>
      </c>
      <c r="CA123" s="228">
        <v>-11</v>
      </c>
      <c r="CB123" s="229">
        <v>-8.6E-3</v>
      </c>
      <c r="CC123" s="230">
        <v>1211</v>
      </c>
      <c r="CD123" s="228">
        <v>77</v>
      </c>
      <c r="CE123" s="230">
        <v>1134</v>
      </c>
      <c r="CF123" s="229">
        <v>14.7332</v>
      </c>
      <c r="CG123" s="228">
        <v>10</v>
      </c>
      <c r="CH123" s="230">
        <v>1222</v>
      </c>
      <c r="CI123" s="230">
        <v>-1213</v>
      </c>
      <c r="CJ123" s="229">
        <v>-0.99199999999999999</v>
      </c>
      <c r="CK123" s="228">
        <v>0</v>
      </c>
      <c r="CL123" s="228">
        <v>8</v>
      </c>
      <c r="CM123" s="228">
        <v>-8</v>
      </c>
      <c r="CN123" s="229">
        <v>-1</v>
      </c>
      <c r="CO123" s="228">
        <v>336</v>
      </c>
      <c r="CP123" s="228">
        <v>243</v>
      </c>
      <c r="CQ123" s="228">
        <v>93</v>
      </c>
      <c r="CR123" s="229">
        <v>0.38379999999999997</v>
      </c>
      <c r="CS123" s="228">
        <v>285</v>
      </c>
      <c r="CT123" s="228">
        <v>202</v>
      </c>
      <c r="CU123" s="228">
        <v>83</v>
      </c>
      <c r="CV123" s="229">
        <v>0.41170000000000001</v>
      </c>
      <c r="CW123" s="230">
        <v>1841</v>
      </c>
      <c r="CX123" s="230">
        <v>1675</v>
      </c>
      <c r="CY123" s="228">
        <v>166</v>
      </c>
      <c r="CZ123" s="229">
        <v>9.8900000000000002E-2</v>
      </c>
      <c r="DA123" s="228">
        <v>44.03</v>
      </c>
      <c r="DB123" s="228">
        <v>42.64</v>
      </c>
      <c r="DC123" s="228">
        <v>1.39</v>
      </c>
      <c r="DD123" s="228">
        <v>1.39</v>
      </c>
      <c r="DE123" s="228">
        <v>42.17</v>
      </c>
      <c r="DF123" s="228">
        <v>42.24</v>
      </c>
      <c r="DG123" s="228">
        <v>1.86</v>
      </c>
      <c r="DH123" s="228">
        <v>-7.0000000000000007E-2</v>
      </c>
      <c r="DI123" s="228">
        <v>42.66</v>
      </c>
      <c r="DJ123" s="228">
        <v>41.87</v>
      </c>
      <c r="DK123" s="228">
        <v>0.79</v>
      </c>
      <c r="DL123" s="228">
        <v>0.79</v>
      </c>
      <c r="DM123" s="228">
        <v>46.1</v>
      </c>
      <c r="DN123" s="228">
        <v>43.6</v>
      </c>
      <c r="DO123" s="228">
        <v>2.5</v>
      </c>
      <c r="DP123" s="228">
        <v>2.5</v>
      </c>
      <c r="DQ123" s="228">
        <v>0.85</v>
      </c>
      <c r="DR123" s="228">
        <v>0.83</v>
      </c>
      <c r="DS123" s="228">
        <v>0.02</v>
      </c>
      <c r="DT123" s="229">
        <v>2.41E-2</v>
      </c>
      <c r="DU123" s="228">
        <v>300</v>
      </c>
      <c r="DV123" s="228">
        <v>260</v>
      </c>
      <c r="DW123" s="228">
        <v>0.66</v>
      </c>
      <c r="DX123" s="228">
        <v>0.9</v>
      </c>
      <c r="DY123" s="228">
        <v>-0.24</v>
      </c>
      <c r="DZ123" s="229">
        <v>-0.26669999999999999</v>
      </c>
      <c r="EA123" s="229">
        <v>8.0000000000000002E-3</v>
      </c>
      <c r="EB123" s="230">
        <v>42087000</v>
      </c>
      <c r="EC123" s="229">
        <v>6.7000000000000002E-3</v>
      </c>
      <c r="ED123" s="229">
        <v>8.0000000000000002E-3</v>
      </c>
      <c r="EE123" s="228">
        <v>2.2400000000000002</v>
      </c>
      <c r="EF123" s="229">
        <v>7.6E-3</v>
      </c>
      <c r="EG123" s="230">
        <v>2971987</v>
      </c>
      <c r="EH123" s="230">
        <v>1121744</v>
      </c>
      <c r="EI123" s="229">
        <v>1.6494</v>
      </c>
      <c r="EJ123" s="229">
        <v>0.47370000000000001</v>
      </c>
      <c r="EK123" s="228">
        <v>619.94000000000005</v>
      </c>
      <c r="EL123" s="228">
        <v>368.28</v>
      </c>
      <c r="EM123" s="228">
        <v>392.08</v>
      </c>
      <c r="EN123" s="228">
        <v>126.08</v>
      </c>
      <c r="EO123" s="231">
        <v>1380.3</v>
      </c>
      <c r="EP123" s="231">
        <v>2171.84</v>
      </c>
      <c r="EQ123" s="228">
        <v>-791.54</v>
      </c>
      <c r="ER123" s="229">
        <v>-0.36449999999999999</v>
      </c>
      <c r="ES123" s="228">
        <v>365.52</v>
      </c>
      <c r="ET123" s="228">
        <v>271.94</v>
      </c>
      <c r="EU123" s="231">
        <v>1220.3699999999999</v>
      </c>
      <c r="EV123" s="231">
        <v>82205057</v>
      </c>
      <c r="EW123" s="231">
        <v>1857.83</v>
      </c>
      <c r="EX123" s="231">
        <v>1709.39</v>
      </c>
      <c r="EY123" s="228">
        <v>148.44</v>
      </c>
      <c r="EZ123" s="229">
        <v>8.6800000000000002E-2</v>
      </c>
      <c r="FA123" s="229">
        <v>0.76580000000000004</v>
      </c>
      <c r="FB123" s="227" t="s">
        <v>568</v>
      </c>
      <c r="FC123">
        <f t="shared" si="1"/>
        <v>9</v>
      </c>
    </row>
    <row r="124" spans="1:159" ht="17.25" thickBot="1" x14ac:dyDescent="0.3">
      <c r="A124" s="226">
        <v>46050</v>
      </c>
      <c r="B124" s="227" t="s">
        <v>170</v>
      </c>
      <c r="C124" s="227" t="s">
        <v>671</v>
      </c>
      <c r="D124" s="228">
        <v>225</v>
      </c>
      <c r="E124" s="228">
        <v>27</v>
      </c>
      <c r="F124" s="231">
        <v>2122.5</v>
      </c>
      <c r="G124" s="231">
        <v>2106.6999999999998</v>
      </c>
      <c r="H124" s="228">
        <v>15.8</v>
      </c>
      <c r="I124" s="229">
        <v>7.4999999999999997E-3</v>
      </c>
      <c r="J124" s="231">
        <v>2116.9</v>
      </c>
      <c r="K124" s="231">
        <v>2094.1999999999998</v>
      </c>
      <c r="L124" s="228">
        <v>22.7</v>
      </c>
      <c r="M124" s="229">
        <v>1.0800000000000001E-2</v>
      </c>
      <c r="N124" s="231">
        <v>2122.5</v>
      </c>
      <c r="O124" s="231">
        <v>2092.9</v>
      </c>
      <c r="P124" s="228">
        <v>29.6</v>
      </c>
      <c r="Q124" s="229">
        <v>1.41E-2</v>
      </c>
      <c r="R124" s="231">
        <v>2132.6</v>
      </c>
      <c r="S124" s="231">
        <v>2106.6999999999998</v>
      </c>
      <c r="T124" s="228">
        <v>25.9</v>
      </c>
      <c r="U124" s="229">
        <v>1.23E-2</v>
      </c>
      <c r="V124" s="231">
        <v>2110</v>
      </c>
      <c r="W124" s="231">
        <v>2124.3000000000002</v>
      </c>
      <c r="X124" s="228">
        <v>-14.3</v>
      </c>
      <c r="Y124" s="229">
        <v>-6.7000000000000002E-3</v>
      </c>
      <c r="Z124" s="228">
        <v>5.6</v>
      </c>
      <c r="AA124" s="228">
        <v>12.5</v>
      </c>
      <c r="AB124" s="228">
        <v>-6.9</v>
      </c>
      <c r="AC124" s="229">
        <v>2.5999999999999999E-3</v>
      </c>
      <c r="AD124" s="228">
        <v>5.6</v>
      </c>
      <c r="AE124" s="228">
        <v>-1.3</v>
      </c>
      <c r="AF124" s="228">
        <v>6.9</v>
      </c>
      <c r="AG124" s="229">
        <v>2.5999999999999999E-3</v>
      </c>
      <c r="AH124" s="228">
        <v>15.7</v>
      </c>
      <c r="AI124" s="228">
        <v>12.5</v>
      </c>
      <c r="AJ124" s="228">
        <v>3.2</v>
      </c>
      <c r="AK124" s="229">
        <v>7.4000000000000003E-3</v>
      </c>
      <c r="AL124" s="228">
        <v>-6.9</v>
      </c>
      <c r="AM124" s="228">
        <v>30.1</v>
      </c>
      <c r="AN124" s="228">
        <v>-37</v>
      </c>
      <c r="AO124" s="229">
        <v>-3.3E-3</v>
      </c>
      <c r="AP124" s="231">
        <v>2105.96</v>
      </c>
      <c r="AQ124" s="231">
        <v>2117.4</v>
      </c>
      <c r="AR124" s="228">
        <v>0</v>
      </c>
      <c r="AS124" s="228">
        <v>119</v>
      </c>
      <c r="AT124" s="228">
        <v>262</v>
      </c>
      <c r="AU124" s="228">
        <v>-143</v>
      </c>
      <c r="AV124" s="229">
        <v>-0.54520000000000002</v>
      </c>
      <c r="AW124" s="228">
        <v>115</v>
      </c>
      <c r="AX124" s="228">
        <v>127</v>
      </c>
      <c r="AY124" s="228">
        <v>-12</v>
      </c>
      <c r="AZ124" s="229">
        <v>-9.1200000000000003E-2</v>
      </c>
      <c r="BA124" s="228">
        <v>4</v>
      </c>
      <c r="BB124" s="228">
        <v>134</v>
      </c>
      <c r="BC124" s="228">
        <v>-130</v>
      </c>
      <c r="BD124" s="229">
        <v>-0.97070000000000001</v>
      </c>
      <c r="BE124" s="228">
        <v>0</v>
      </c>
      <c r="BF124" s="228">
        <v>1</v>
      </c>
      <c r="BG124" s="228">
        <v>-1</v>
      </c>
      <c r="BH124" s="229">
        <v>-0.9355</v>
      </c>
      <c r="BI124" s="228">
        <v>95</v>
      </c>
      <c r="BJ124" s="228">
        <v>181</v>
      </c>
      <c r="BK124" s="228">
        <v>-86</v>
      </c>
      <c r="BL124" s="229">
        <v>-0.47560000000000002</v>
      </c>
      <c r="BM124" s="228">
        <v>60</v>
      </c>
      <c r="BN124" s="228">
        <v>93</v>
      </c>
      <c r="BO124" s="228">
        <v>-33</v>
      </c>
      <c r="BP124" s="229">
        <v>-0.35639999999999999</v>
      </c>
      <c r="BQ124" s="228">
        <v>274</v>
      </c>
      <c r="BR124" s="228">
        <v>536</v>
      </c>
      <c r="BS124" s="228">
        <v>-262</v>
      </c>
      <c r="BT124" s="229">
        <v>-0.4889</v>
      </c>
      <c r="BU124" s="230">
        <v>335177</v>
      </c>
      <c r="BV124" s="230">
        <v>456131</v>
      </c>
      <c r="BW124" s="230">
        <v>-120954</v>
      </c>
      <c r="BX124" s="229">
        <v>-0.26519999999999999</v>
      </c>
      <c r="BY124" s="228">
        <v>435</v>
      </c>
      <c r="BZ124" s="228">
        <v>423</v>
      </c>
      <c r="CA124" s="228">
        <v>12</v>
      </c>
      <c r="CB124" s="229">
        <v>2.8000000000000001E-2</v>
      </c>
      <c r="CC124" s="228">
        <v>429</v>
      </c>
      <c r="CD124" s="228">
        <v>21</v>
      </c>
      <c r="CE124" s="228">
        <v>408</v>
      </c>
      <c r="CF124" s="229">
        <v>19.786999999999999</v>
      </c>
      <c r="CG124" s="228">
        <v>6</v>
      </c>
      <c r="CH124" s="228">
        <v>417</v>
      </c>
      <c r="CI124" s="228">
        <v>-411</v>
      </c>
      <c r="CJ124" s="229">
        <v>-0.98550000000000004</v>
      </c>
      <c r="CK124" s="228">
        <v>0</v>
      </c>
      <c r="CL124" s="228">
        <v>6</v>
      </c>
      <c r="CM124" s="228">
        <v>-6</v>
      </c>
      <c r="CN124" s="229">
        <v>-0.99199999999999999</v>
      </c>
      <c r="CO124" s="228">
        <v>48</v>
      </c>
      <c r="CP124" s="228">
        <v>22</v>
      </c>
      <c r="CQ124" s="228">
        <v>26</v>
      </c>
      <c r="CR124" s="229">
        <v>1.2239</v>
      </c>
      <c r="CS124" s="228">
        <v>54</v>
      </c>
      <c r="CT124" s="228">
        <v>35</v>
      </c>
      <c r="CU124" s="228">
        <v>19</v>
      </c>
      <c r="CV124" s="229">
        <v>0.54890000000000005</v>
      </c>
      <c r="CW124" s="228">
        <v>537</v>
      </c>
      <c r="CX124" s="228">
        <v>480</v>
      </c>
      <c r="CY124" s="228">
        <v>57</v>
      </c>
      <c r="CZ124" s="229">
        <v>0.1198</v>
      </c>
      <c r="DA124" s="228">
        <v>32.78</v>
      </c>
      <c r="DB124" s="228">
        <v>33.520000000000003</v>
      </c>
      <c r="DC124" s="228">
        <v>-0.74</v>
      </c>
      <c r="DD124" s="228">
        <v>-0.74</v>
      </c>
      <c r="DE124" s="228">
        <v>32.36</v>
      </c>
      <c r="DF124" s="228">
        <v>32.43</v>
      </c>
      <c r="DG124" s="228">
        <v>0.42</v>
      </c>
      <c r="DH124" s="228">
        <v>-7.0000000000000007E-2</v>
      </c>
      <c r="DI124" s="228">
        <v>32.44</v>
      </c>
      <c r="DJ124" s="228">
        <v>33.64</v>
      </c>
      <c r="DK124" s="228">
        <v>-1.2</v>
      </c>
      <c r="DL124" s="228">
        <v>-1.2</v>
      </c>
      <c r="DM124" s="228">
        <v>33.31</v>
      </c>
      <c r="DN124" s="228">
        <v>33.43</v>
      </c>
      <c r="DO124" s="228">
        <v>-0.12</v>
      </c>
      <c r="DP124" s="228">
        <v>-0.12</v>
      </c>
      <c r="DQ124" s="228">
        <v>1.1399999999999999</v>
      </c>
      <c r="DR124" s="228">
        <v>1.63</v>
      </c>
      <c r="DS124" s="228">
        <v>-0.49</v>
      </c>
      <c r="DT124" s="229">
        <v>-0.30059999999999998</v>
      </c>
      <c r="DU124" s="231">
        <v>2200</v>
      </c>
      <c r="DV124" s="231">
        <v>2100</v>
      </c>
      <c r="DW124" s="228">
        <v>0.63</v>
      </c>
      <c r="DX124" s="228">
        <v>0.51</v>
      </c>
      <c r="DY124" s="228">
        <v>0.12</v>
      </c>
      <c r="DZ124" s="229">
        <v>0.23530000000000001</v>
      </c>
      <c r="EA124" s="229">
        <v>1.41E-2</v>
      </c>
      <c r="EB124" s="230">
        <v>1993500</v>
      </c>
      <c r="EC124" s="229">
        <v>4.7999999999999996E-3</v>
      </c>
      <c r="ED124" s="229">
        <v>1.41E-2</v>
      </c>
      <c r="EE124" s="228">
        <v>11.44</v>
      </c>
      <c r="EF124" s="229">
        <v>5.4000000000000003E-3</v>
      </c>
      <c r="EG124" s="230">
        <v>162309</v>
      </c>
      <c r="EH124" s="230">
        <v>255317</v>
      </c>
      <c r="EI124" s="229">
        <v>-0.36430000000000001</v>
      </c>
      <c r="EJ124" s="229">
        <v>0.48420000000000002</v>
      </c>
      <c r="EK124" s="228">
        <v>99.52</v>
      </c>
      <c r="EL124" s="228">
        <v>60.26</v>
      </c>
      <c r="EM124" s="228">
        <v>118.24</v>
      </c>
      <c r="EN124" s="228">
        <v>76.98</v>
      </c>
      <c r="EO124" s="228">
        <v>278.02999999999997</v>
      </c>
      <c r="EP124" s="228">
        <v>543.55999999999995</v>
      </c>
      <c r="EQ124" s="228">
        <v>-265.52999999999997</v>
      </c>
      <c r="ER124" s="229">
        <v>-0.48849999999999999</v>
      </c>
      <c r="ES124" s="228">
        <v>49.94</v>
      </c>
      <c r="ET124" s="228">
        <v>53.98</v>
      </c>
      <c r="EU124" s="228">
        <v>434.99</v>
      </c>
      <c r="EV124" s="231">
        <v>16919681</v>
      </c>
      <c r="EW124" s="228">
        <v>538.91</v>
      </c>
      <c r="EX124" s="228">
        <v>477.58</v>
      </c>
      <c r="EY124" s="228">
        <v>61.33</v>
      </c>
      <c r="EZ124" s="229">
        <v>0.12839999999999999</v>
      </c>
      <c r="FA124" s="229">
        <v>0.14960000000000001</v>
      </c>
      <c r="FB124" s="227" t="s">
        <v>555</v>
      </c>
      <c r="FC124">
        <f t="shared" si="1"/>
        <v>6</v>
      </c>
    </row>
    <row r="125" spans="1:159" ht="17.25" thickBot="1" x14ac:dyDescent="0.3">
      <c r="A125" s="226">
        <v>46050</v>
      </c>
      <c r="B125" s="227" t="s">
        <v>168</v>
      </c>
      <c r="C125" s="227" t="s">
        <v>254</v>
      </c>
      <c r="D125" s="228">
        <v>1200</v>
      </c>
      <c r="E125" s="228">
        <v>27</v>
      </c>
      <c r="F125" s="228">
        <v>741.65</v>
      </c>
      <c r="G125" s="228">
        <v>750.85</v>
      </c>
      <c r="H125" s="228">
        <v>-9.1999999999999993</v>
      </c>
      <c r="I125" s="229">
        <v>-1.23E-2</v>
      </c>
      <c r="J125" s="228">
        <v>736.65</v>
      </c>
      <c r="K125" s="228">
        <v>745.8</v>
      </c>
      <c r="L125" s="228">
        <v>-9.15</v>
      </c>
      <c r="M125" s="229">
        <v>-1.23E-2</v>
      </c>
      <c r="N125" s="228">
        <v>741.65</v>
      </c>
      <c r="O125" s="228">
        <v>746.75</v>
      </c>
      <c r="P125" s="228">
        <v>-5.0999999999999996</v>
      </c>
      <c r="Q125" s="229">
        <v>-6.7999999999999996E-3</v>
      </c>
      <c r="R125" s="228">
        <v>743.3</v>
      </c>
      <c r="S125" s="228">
        <v>750.85</v>
      </c>
      <c r="T125" s="228">
        <v>-7.55</v>
      </c>
      <c r="U125" s="229">
        <v>-1.01E-2</v>
      </c>
      <c r="V125" s="228">
        <v>738</v>
      </c>
      <c r="W125" s="228">
        <v>753.05</v>
      </c>
      <c r="X125" s="228">
        <v>-15.05</v>
      </c>
      <c r="Y125" s="229">
        <v>-0.02</v>
      </c>
      <c r="Z125" s="228">
        <v>5</v>
      </c>
      <c r="AA125" s="228">
        <v>5.05</v>
      </c>
      <c r="AB125" s="228">
        <v>-0.05</v>
      </c>
      <c r="AC125" s="229">
        <v>6.7999999999999996E-3</v>
      </c>
      <c r="AD125" s="228">
        <v>5</v>
      </c>
      <c r="AE125" s="228">
        <v>0.95</v>
      </c>
      <c r="AF125" s="228">
        <v>4.05</v>
      </c>
      <c r="AG125" s="229">
        <v>6.7999999999999996E-3</v>
      </c>
      <c r="AH125" s="228">
        <v>6.65</v>
      </c>
      <c r="AI125" s="228">
        <v>5.05</v>
      </c>
      <c r="AJ125" s="228">
        <v>1.6</v>
      </c>
      <c r="AK125" s="229">
        <v>8.9999999999999993E-3</v>
      </c>
      <c r="AL125" s="228">
        <v>1.35</v>
      </c>
      <c r="AM125" s="228">
        <v>7.25</v>
      </c>
      <c r="AN125" s="228">
        <v>-5.9</v>
      </c>
      <c r="AO125" s="229">
        <v>1.8E-3</v>
      </c>
      <c r="AP125" s="228">
        <v>739.4</v>
      </c>
      <c r="AQ125" s="228">
        <v>739</v>
      </c>
      <c r="AR125" s="228">
        <v>0</v>
      </c>
      <c r="AS125" s="228">
        <v>481</v>
      </c>
      <c r="AT125" s="228">
        <v>994</v>
      </c>
      <c r="AU125" s="228">
        <v>-513</v>
      </c>
      <c r="AV125" s="229">
        <v>-0.51580000000000004</v>
      </c>
      <c r="AW125" s="228">
        <v>469</v>
      </c>
      <c r="AX125" s="228">
        <v>446</v>
      </c>
      <c r="AY125" s="228">
        <v>23</v>
      </c>
      <c r="AZ125" s="229">
        <v>5.0799999999999998E-2</v>
      </c>
      <c r="BA125" s="228">
        <v>12</v>
      </c>
      <c r="BB125" s="228">
        <v>547</v>
      </c>
      <c r="BC125" s="228">
        <v>-535</v>
      </c>
      <c r="BD125" s="229">
        <v>-0.97789999999999999</v>
      </c>
      <c r="BE125" s="228">
        <v>0</v>
      </c>
      <c r="BF125" s="228">
        <v>1</v>
      </c>
      <c r="BG125" s="228">
        <v>-1</v>
      </c>
      <c r="BH125" s="229">
        <v>-0.875</v>
      </c>
      <c r="BI125" s="230">
        <v>1289</v>
      </c>
      <c r="BJ125" s="228">
        <v>742</v>
      </c>
      <c r="BK125" s="228">
        <v>547</v>
      </c>
      <c r="BL125" s="229">
        <v>0.73640000000000005</v>
      </c>
      <c r="BM125" s="228">
        <v>994</v>
      </c>
      <c r="BN125" s="228">
        <v>451</v>
      </c>
      <c r="BO125" s="228">
        <v>543</v>
      </c>
      <c r="BP125" s="229">
        <v>1.2023999999999999</v>
      </c>
      <c r="BQ125" s="230">
        <v>2764</v>
      </c>
      <c r="BR125" s="230">
        <v>2187</v>
      </c>
      <c r="BS125" s="228">
        <v>576</v>
      </c>
      <c r="BT125" s="229">
        <v>0.26350000000000001</v>
      </c>
      <c r="BU125" s="230">
        <v>5660017</v>
      </c>
      <c r="BV125" s="230">
        <v>2718349</v>
      </c>
      <c r="BW125" s="230">
        <v>2941668</v>
      </c>
      <c r="BX125" s="229">
        <v>1.0822000000000001</v>
      </c>
      <c r="BY125" s="230">
        <v>2210</v>
      </c>
      <c r="BZ125" s="230">
        <v>2166</v>
      </c>
      <c r="CA125" s="228">
        <v>44</v>
      </c>
      <c r="CB125" s="229">
        <v>2.0299999999999999E-2</v>
      </c>
      <c r="CC125" s="230">
        <v>2203</v>
      </c>
      <c r="CD125" s="228">
        <v>44</v>
      </c>
      <c r="CE125" s="230">
        <v>2159</v>
      </c>
      <c r="CF125" s="229">
        <v>49.204900000000002</v>
      </c>
      <c r="CG125" s="228">
        <v>7</v>
      </c>
      <c r="CH125" s="230">
        <v>2163</v>
      </c>
      <c r="CI125" s="230">
        <v>-2156</v>
      </c>
      <c r="CJ125" s="229">
        <v>-0.99650000000000005</v>
      </c>
      <c r="CK125" s="228">
        <v>0</v>
      </c>
      <c r="CL125" s="228">
        <v>3</v>
      </c>
      <c r="CM125" s="228">
        <v>-3</v>
      </c>
      <c r="CN125" s="229">
        <v>-0.97299999999999998</v>
      </c>
      <c r="CO125" s="228">
        <v>236</v>
      </c>
      <c r="CP125" s="228">
        <v>155</v>
      </c>
      <c r="CQ125" s="228">
        <v>81</v>
      </c>
      <c r="CR125" s="229">
        <v>0.52070000000000005</v>
      </c>
      <c r="CS125" s="228">
        <v>181</v>
      </c>
      <c r="CT125" s="228">
        <v>140</v>
      </c>
      <c r="CU125" s="228">
        <v>41</v>
      </c>
      <c r="CV125" s="229">
        <v>0.28960000000000002</v>
      </c>
      <c r="CW125" s="230">
        <v>2627</v>
      </c>
      <c r="CX125" s="230">
        <v>2462</v>
      </c>
      <c r="CY125" s="228">
        <v>165</v>
      </c>
      <c r="CZ125" s="229">
        <v>6.7100000000000007E-2</v>
      </c>
      <c r="DA125" s="228">
        <v>24.29</v>
      </c>
      <c r="DB125" s="228">
        <v>28.31</v>
      </c>
      <c r="DC125" s="228">
        <v>-4.0199999999999996</v>
      </c>
      <c r="DD125" s="228">
        <v>-4.0199999999999996</v>
      </c>
      <c r="DE125" s="228">
        <v>24.25</v>
      </c>
      <c r="DF125" s="228">
        <v>24.26</v>
      </c>
      <c r="DG125" s="228">
        <v>0.04</v>
      </c>
      <c r="DH125" s="228">
        <v>-0.01</v>
      </c>
      <c r="DI125" s="228">
        <v>23.98</v>
      </c>
      <c r="DJ125" s="228">
        <v>27.81</v>
      </c>
      <c r="DK125" s="228">
        <v>-3.83</v>
      </c>
      <c r="DL125" s="228">
        <v>-3.83</v>
      </c>
      <c r="DM125" s="228">
        <v>24.68</v>
      </c>
      <c r="DN125" s="228">
        <v>28.93</v>
      </c>
      <c r="DO125" s="228">
        <v>-4.25</v>
      </c>
      <c r="DP125" s="228">
        <v>-4.25</v>
      </c>
      <c r="DQ125" s="228">
        <v>0.77</v>
      </c>
      <c r="DR125" s="228">
        <v>0.91</v>
      </c>
      <c r="DS125" s="228">
        <v>-0.14000000000000001</v>
      </c>
      <c r="DT125" s="229">
        <v>-0.15379999999999999</v>
      </c>
      <c r="DU125" s="228">
        <v>800</v>
      </c>
      <c r="DV125" s="228">
        <v>700</v>
      </c>
      <c r="DW125" s="228">
        <v>0.77</v>
      </c>
      <c r="DX125" s="228">
        <v>0.61</v>
      </c>
      <c r="DY125" s="228">
        <v>0.16</v>
      </c>
      <c r="DZ125" s="229">
        <v>0.26229999999999998</v>
      </c>
      <c r="EA125" s="229">
        <v>3.3999999999999998E-3</v>
      </c>
      <c r="EB125" s="230">
        <v>29211600</v>
      </c>
      <c r="EC125" s="229">
        <v>2.2000000000000001E-3</v>
      </c>
      <c r="ED125" s="229">
        <v>3.3999999999999998E-3</v>
      </c>
      <c r="EE125" s="228">
        <v>-0.4</v>
      </c>
      <c r="EF125" s="229">
        <v>-5.0000000000000001E-4</v>
      </c>
      <c r="EG125" s="230">
        <v>2953657</v>
      </c>
      <c r="EH125" s="230">
        <v>1613028</v>
      </c>
      <c r="EI125" s="229">
        <v>0.83109999999999995</v>
      </c>
      <c r="EJ125" s="229">
        <v>0.52180000000000004</v>
      </c>
      <c r="EK125" s="231">
        <v>1350.71</v>
      </c>
      <c r="EL125" s="228">
        <v>982.43</v>
      </c>
      <c r="EM125" s="228">
        <v>479.75</v>
      </c>
      <c r="EN125" s="228">
        <v>160.61000000000001</v>
      </c>
      <c r="EO125" s="231">
        <v>2812.89</v>
      </c>
      <c r="EP125" s="231">
        <v>2228.81</v>
      </c>
      <c r="EQ125" s="228">
        <v>584.08000000000004</v>
      </c>
      <c r="ER125" s="229">
        <v>0.2621</v>
      </c>
      <c r="ES125" s="228">
        <v>248.66</v>
      </c>
      <c r="ET125" s="228">
        <v>175.08</v>
      </c>
      <c r="EU125" s="231">
        <v>2210.37</v>
      </c>
      <c r="EV125" s="231">
        <v>79442217</v>
      </c>
      <c r="EW125" s="231">
        <v>2634.11</v>
      </c>
      <c r="EX125" s="231">
        <v>2494.81</v>
      </c>
      <c r="EY125" s="228">
        <v>139.30000000000001</v>
      </c>
      <c r="EZ125" s="229">
        <v>5.5800000000000002E-2</v>
      </c>
      <c r="FA125" s="229">
        <v>0.44590000000000002</v>
      </c>
      <c r="FB125" s="227" t="s">
        <v>567</v>
      </c>
      <c r="FC125">
        <f t="shared" si="1"/>
        <v>7</v>
      </c>
    </row>
    <row r="126" spans="1:159" ht="17.25" thickBot="1" x14ac:dyDescent="0.3">
      <c r="A126" s="226">
        <v>46050</v>
      </c>
      <c r="B126" s="227" t="s">
        <v>162</v>
      </c>
      <c r="C126" s="227" t="s">
        <v>255</v>
      </c>
      <c r="D126" s="228">
        <v>50</v>
      </c>
      <c r="E126" s="228">
        <v>27</v>
      </c>
      <c r="F126" s="231">
        <v>14950</v>
      </c>
      <c r="G126" s="231">
        <v>15341</v>
      </c>
      <c r="H126" s="228">
        <v>-391</v>
      </c>
      <c r="I126" s="229">
        <v>-2.5499999999999998E-2</v>
      </c>
      <c r="J126" s="231">
        <v>14877</v>
      </c>
      <c r="K126" s="231">
        <v>15245</v>
      </c>
      <c r="L126" s="228">
        <v>-368</v>
      </c>
      <c r="M126" s="229">
        <v>-2.41E-2</v>
      </c>
      <c r="N126" s="231">
        <v>14950</v>
      </c>
      <c r="O126" s="231">
        <v>15230</v>
      </c>
      <c r="P126" s="228">
        <v>-280</v>
      </c>
      <c r="Q126" s="229">
        <v>-1.84E-2</v>
      </c>
      <c r="R126" s="231">
        <v>15029</v>
      </c>
      <c r="S126" s="231">
        <v>15341</v>
      </c>
      <c r="T126" s="228">
        <v>-312</v>
      </c>
      <c r="U126" s="229">
        <v>-2.0299999999999999E-2</v>
      </c>
      <c r="V126" s="231">
        <v>15112</v>
      </c>
      <c r="W126" s="231">
        <v>15429</v>
      </c>
      <c r="X126" s="228">
        <v>-317</v>
      </c>
      <c r="Y126" s="229">
        <v>-2.0500000000000001E-2</v>
      </c>
      <c r="Z126" s="228">
        <v>73</v>
      </c>
      <c r="AA126" s="228">
        <v>96</v>
      </c>
      <c r="AB126" s="228">
        <v>-23</v>
      </c>
      <c r="AC126" s="229">
        <v>4.8999999999999998E-3</v>
      </c>
      <c r="AD126" s="228">
        <v>73</v>
      </c>
      <c r="AE126" s="228">
        <v>-15</v>
      </c>
      <c r="AF126" s="228">
        <v>88</v>
      </c>
      <c r="AG126" s="229">
        <v>4.8999999999999998E-3</v>
      </c>
      <c r="AH126" s="228">
        <v>152</v>
      </c>
      <c r="AI126" s="228">
        <v>96</v>
      </c>
      <c r="AJ126" s="228">
        <v>56</v>
      </c>
      <c r="AK126" s="229">
        <v>1.0200000000000001E-2</v>
      </c>
      <c r="AL126" s="228">
        <v>235</v>
      </c>
      <c r="AM126" s="228">
        <v>184</v>
      </c>
      <c r="AN126" s="228">
        <v>51</v>
      </c>
      <c r="AO126" s="229">
        <v>1.5800000000000002E-2</v>
      </c>
      <c r="AP126" s="231">
        <v>14993</v>
      </c>
      <c r="AQ126" s="231">
        <v>15093.95</v>
      </c>
      <c r="AR126" s="228">
        <v>0</v>
      </c>
      <c r="AS126" s="230">
        <v>3817</v>
      </c>
      <c r="AT126" s="230">
        <v>2249</v>
      </c>
      <c r="AU126" s="230">
        <v>1567</v>
      </c>
      <c r="AV126" s="229">
        <v>0.69679999999999997</v>
      </c>
      <c r="AW126" s="230">
        <v>3728</v>
      </c>
      <c r="AX126" s="228">
        <v>798</v>
      </c>
      <c r="AY126" s="230">
        <v>2930</v>
      </c>
      <c r="AZ126" s="229">
        <v>3.6705000000000001</v>
      </c>
      <c r="BA126" s="228">
        <v>79</v>
      </c>
      <c r="BB126" s="230">
        <v>1420</v>
      </c>
      <c r="BC126" s="230">
        <v>-1341</v>
      </c>
      <c r="BD126" s="229">
        <v>-0.94469999999999998</v>
      </c>
      <c r="BE126" s="228">
        <v>10</v>
      </c>
      <c r="BF126" s="228">
        <v>32</v>
      </c>
      <c r="BG126" s="228">
        <v>-22</v>
      </c>
      <c r="BH126" s="229">
        <v>-0.6825</v>
      </c>
      <c r="BI126" s="230">
        <v>19701</v>
      </c>
      <c r="BJ126" s="230">
        <v>9485</v>
      </c>
      <c r="BK126" s="230">
        <v>10216</v>
      </c>
      <c r="BL126" s="229">
        <v>1.0770999999999999</v>
      </c>
      <c r="BM126" s="230">
        <v>12169</v>
      </c>
      <c r="BN126" s="230">
        <v>8433</v>
      </c>
      <c r="BO126" s="230">
        <v>3736</v>
      </c>
      <c r="BP126" s="229">
        <v>0.443</v>
      </c>
      <c r="BQ126" s="230">
        <v>35686</v>
      </c>
      <c r="BR126" s="230">
        <v>20167</v>
      </c>
      <c r="BS126" s="230">
        <v>15519</v>
      </c>
      <c r="BT126" s="229">
        <v>0.76949999999999996</v>
      </c>
      <c r="BU126" s="230">
        <v>1661857</v>
      </c>
      <c r="BV126" s="230">
        <v>601001</v>
      </c>
      <c r="BW126" s="230">
        <v>1060856</v>
      </c>
      <c r="BX126" s="229">
        <v>1.7650999999999999</v>
      </c>
      <c r="BY126" s="230">
        <v>4887</v>
      </c>
      <c r="BZ126" s="230">
        <v>4609</v>
      </c>
      <c r="CA126" s="228">
        <v>279</v>
      </c>
      <c r="CB126" s="229">
        <v>6.0400000000000002E-2</v>
      </c>
      <c r="CC126" s="230">
        <v>4636</v>
      </c>
      <c r="CD126" s="228">
        <v>236</v>
      </c>
      <c r="CE126" s="230">
        <v>4400</v>
      </c>
      <c r="CF126" s="229">
        <v>18.647099999999998</v>
      </c>
      <c r="CG126" s="228">
        <v>246</v>
      </c>
      <c r="CH126" s="230">
        <v>4372</v>
      </c>
      <c r="CI126" s="230">
        <v>-4126</v>
      </c>
      <c r="CJ126" s="229">
        <v>-0.94369999999999998</v>
      </c>
      <c r="CK126" s="228">
        <v>5</v>
      </c>
      <c r="CL126" s="228">
        <v>237</v>
      </c>
      <c r="CM126" s="228">
        <v>-232</v>
      </c>
      <c r="CN126" s="229">
        <v>-0.9798</v>
      </c>
      <c r="CO126" s="230">
        <v>2711</v>
      </c>
      <c r="CP126" s="228">
        <v>850</v>
      </c>
      <c r="CQ126" s="230">
        <v>1861</v>
      </c>
      <c r="CR126" s="229">
        <v>2.1878000000000002</v>
      </c>
      <c r="CS126" s="230">
        <v>1588</v>
      </c>
      <c r="CT126" s="228">
        <v>646</v>
      </c>
      <c r="CU126" s="228">
        <v>942</v>
      </c>
      <c r="CV126" s="229">
        <v>1.4572000000000001</v>
      </c>
      <c r="CW126" s="230">
        <v>9187</v>
      </c>
      <c r="CX126" s="230">
        <v>6106</v>
      </c>
      <c r="CY126" s="230">
        <v>3081</v>
      </c>
      <c r="CZ126" s="229">
        <v>0.50460000000000005</v>
      </c>
      <c r="DA126" s="228">
        <v>26.98</v>
      </c>
      <c r="DB126" s="228">
        <v>29.32</v>
      </c>
      <c r="DC126" s="228">
        <v>-2.34</v>
      </c>
      <c r="DD126" s="228">
        <v>-2.34</v>
      </c>
      <c r="DE126" s="228">
        <v>24.64</v>
      </c>
      <c r="DF126" s="228">
        <v>24.48</v>
      </c>
      <c r="DG126" s="228">
        <v>2.34</v>
      </c>
      <c r="DH126" s="228">
        <v>0.16</v>
      </c>
      <c r="DI126" s="228">
        <v>26.4</v>
      </c>
      <c r="DJ126" s="228">
        <v>29.02</v>
      </c>
      <c r="DK126" s="228">
        <v>-2.62</v>
      </c>
      <c r="DL126" s="228">
        <v>-2.62</v>
      </c>
      <c r="DM126" s="228">
        <v>27.92</v>
      </c>
      <c r="DN126" s="228">
        <v>29.64</v>
      </c>
      <c r="DO126" s="228">
        <v>-1.72</v>
      </c>
      <c r="DP126" s="228">
        <v>-1.72</v>
      </c>
      <c r="DQ126" s="228">
        <v>0.59</v>
      </c>
      <c r="DR126" s="228">
        <v>0.76</v>
      </c>
      <c r="DS126" s="228">
        <v>-0.17</v>
      </c>
      <c r="DT126" s="229">
        <v>-0.22370000000000001</v>
      </c>
      <c r="DU126" s="231">
        <v>16000</v>
      </c>
      <c r="DV126" s="231">
        <v>15000</v>
      </c>
      <c r="DW126" s="228">
        <v>0.62</v>
      </c>
      <c r="DX126" s="228">
        <v>0.89</v>
      </c>
      <c r="DY126" s="228">
        <v>-0.27</v>
      </c>
      <c r="DZ126" s="229">
        <v>-0.3034</v>
      </c>
      <c r="EA126" s="229">
        <v>5.1299999999999998E-2</v>
      </c>
      <c r="EB126" s="230">
        <v>3082700</v>
      </c>
      <c r="EC126" s="229">
        <v>5.3E-3</v>
      </c>
      <c r="ED126" s="229">
        <v>5.1299999999999998E-2</v>
      </c>
      <c r="EE126" s="228">
        <v>100.95</v>
      </c>
      <c r="EF126" s="229">
        <v>6.7000000000000002E-3</v>
      </c>
      <c r="EG126" s="230">
        <v>674335</v>
      </c>
      <c r="EH126" s="230">
        <v>317109</v>
      </c>
      <c r="EI126" s="229">
        <v>1.1265000000000001</v>
      </c>
      <c r="EJ126" s="229">
        <v>0.40579999999999999</v>
      </c>
      <c r="EK126" s="231">
        <v>21049.01</v>
      </c>
      <c r="EL126" s="231">
        <v>11961.19</v>
      </c>
      <c r="EM126" s="231">
        <v>3828.16</v>
      </c>
      <c r="EN126" s="228">
        <v>388.2</v>
      </c>
      <c r="EO126" s="231">
        <v>36838.35</v>
      </c>
      <c r="EP126" s="231">
        <v>20886.32</v>
      </c>
      <c r="EQ126" s="231">
        <v>15952.03</v>
      </c>
      <c r="ER126" s="229">
        <v>0.76380000000000003</v>
      </c>
      <c r="ES126" s="231">
        <v>2899.94</v>
      </c>
      <c r="ET126" s="231">
        <v>1546.97</v>
      </c>
      <c r="EU126" s="231">
        <v>4888.51</v>
      </c>
      <c r="EV126" s="231">
        <v>17687048</v>
      </c>
      <c r="EW126" s="231">
        <v>9335.42</v>
      </c>
      <c r="EX126" s="231">
        <v>6317.8</v>
      </c>
      <c r="EY126" s="231">
        <v>3017.62</v>
      </c>
      <c r="EZ126" s="229">
        <v>0.47760000000000002</v>
      </c>
      <c r="FA126" s="229">
        <v>0.34739999999999999</v>
      </c>
      <c r="FB126" s="227" t="s">
        <v>567</v>
      </c>
      <c r="FC126">
        <f t="shared" si="1"/>
        <v>251</v>
      </c>
    </row>
    <row r="127" spans="1:159" ht="17.25" thickBot="1" x14ac:dyDescent="0.3">
      <c r="A127" s="226">
        <v>46050</v>
      </c>
      <c r="B127" s="227" t="s">
        <v>170</v>
      </c>
      <c r="C127" s="227" t="s">
        <v>603</v>
      </c>
      <c r="D127" s="228">
        <v>525</v>
      </c>
      <c r="E127" s="228">
        <v>27</v>
      </c>
      <c r="F127" s="228">
        <v>964</v>
      </c>
      <c r="G127" s="228">
        <v>982.6</v>
      </c>
      <c r="H127" s="228">
        <v>-18.600000000000001</v>
      </c>
      <c r="I127" s="229">
        <v>-1.89E-2</v>
      </c>
      <c r="J127" s="228">
        <v>958.6</v>
      </c>
      <c r="K127" s="228">
        <v>975.5</v>
      </c>
      <c r="L127" s="228">
        <v>-16.899999999999999</v>
      </c>
      <c r="M127" s="229">
        <v>-1.7299999999999999E-2</v>
      </c>
      <c r="N127" s="228">
        <v>964</v>
      </c>
      <c r="O127" s="228">
        <v>977.6</v>
      </c>
      <c r="P127" s="228">
        <v>-13.6</v>
      </c>
      <c r="Q127" s="229">
        <v>-1.3899999999999999E-2</v>
      </c>
      <c r="R127" s="228">
        <v>970.3</v>
      </c>
      <c r="S127" s="228">
        <v>982.6</v>
      </c>
      <c r="T127" s="228">
        <v>-12.3</v>
      </c>
      <c r="U127" s="229">
        <v>-1.2500000000000001E-2</v>
      </c>
      <c r="V127" s="228">
        <v>979</v>
      </c>
      <c r="W127" s="228">
        <v>987.8</v>
      </c>
      <c r="X127" s="228">
        <v>-8.8000000000000007</v>
      </c>
      <c r="Y127" s="229">
        <v>-8.8999999999999999E-3</v>
      </c>
      <c r="Z127" s="228">
        <v>5.4</v>
      </c>
      <c r="AA127" s="228">
        <v>7.1</v>
      </c>
      <c r="AB127" s="228">
        <v>-1.7</v>
      </c>
      <c r="AC127" s="229">
        <v>5.5999999999999999E-3</v>
      </c>
      <c r="AD127" s="228">
        <v>5.4</v>
      </c>
      <c r="AE127" s="228">
        <v>2.1</v>
      </c>
      <c r="AF127" s="228">
        <v>3.3</v>
      </c>
      <c r="AG127" s="229">
        <v>5.5999999999999999E-3</v>
      </c>
      <c r="AH127" s="228">
        <v>11.7</v>
      </c>
      <c r="AI127" s="228">
        <v>7.1</v>
      </c>
      <c r="AJ127" s="228">
        <v>4.5999999999999996</v>
      </c>
      <c r="AK127" s="229">
        <v>1.2200000000000001E-2</v>
      </c>
      <c r="AL127" s="228">
        <v>20.399999999999999</v>
      </c>
      <c r="AM127" s="228">
        <v>12.3</v>
      </c>
      <c r="AN127" s="228">
        <v>8.1</v>
      </c>
      <c r="AO127" s="229">
        <v>2.1299999999999999E-2</v>
      </c>
      <c r="AP127" s="228">
        <v>967.33</v>
      </c>
      <c r="AQ127" s="228">
        <v>975.33</v>
      </c>
      <c r="AR127" s="228">
        <v>0</v>
      </c>
      <c r="AS127" s="228">
        <v>255</v>
      </c>
      <c r="AT127" s="228">
        <v>782</v>
      </c>
      <c r="AU127" s="228">
        <v>-527</v>
      </c>
      <c r="AV127" s="229">
        <v>-0.67420000000000002</v>
      </c>
      <c r="AW127" s="228">
        <v>246</v>
      </c>
      <c r="AX127" s="228">
        <v>305</v>
      </c>
      <c r="AY127" s="228">
        <v>-59</v>
      </c>
      <c r="AZ127" s="229">
        <v>-0.19309999999999999</v>
      </c>
      <c r="BA127" s="228">
        <v>8</v>
      </c>
      <c r="BB127" s="228">
        <v>468</v>
      </c>
      <c r="BC127" s="228">
        <v>-460</v>
      </c>
      <c r="BD127" s="229">
        <v>-0.98209999999999997</v>
      </c>
      <c r="BE127" s="228">
        <v>0</v>
      </c>
      <c r="BF127" s="228">
        <v>9</v>
      </c>
      <c r="BG127" s="228">
        <v>-9</v>
      </c>
      <c r="BH127" s="229">
        <v>-0.9556</v>
      </c>
      <c r="BI127" s="228">
        <v>210</v>
      </c>
      <c r="BJ127" s="228">
        <v>210</v>
      </c>
      <c r="BK127" s="228">
        <v>0</v>
      </c>
      <c r="BL127" s="229">
        <v>0</v>
      </c>
      <c r="BM127" s="228">
        <v>149</v>
      </c>
      <c r="BN127" s="228">
        <v>249</v>
      </c>
      <c r="BO127" s="228">
        <v>-99</v>
      </c>
      <c r="BP127" s="229">
        <v>-0.39960000000000001</v>
      </c>
      <c r="BQ127" s="228">
        <v>614</v>
      </c>
      <c r="BR127" s="230">
        <v>1241</v>
      </c>
      <c r="BS127" s="228">
        <v>-627</v>
      </c>
      <c r="BT127" s="229">
        <v>-0.50509999999999999</v>
      </c>
      <c r="BU127" s="230">
        <v>4301537</v>
      </c>
      <c r="BV127" s="230">
        <v>5265709</v>
      </c>
      <c r="BW127" s="230">
        <v>-964172</v>
      </c>
      <c r="BX127" s="229">
        <v>-0.18310000000000001</v>
      </c>
      <c r="BY127" s="230">
        <v>1764</v>
      </c>
      <c r="BZ127" s="230">
        <v>1728</v>
      </c>
      <c r="CA127" s="228">
        <v>36</v>
      </c>
      <c r="CB127" s="229">
        <v>2.07E-2</v>
      </c>
      <c r="CC127" s="230">
        <v>1702</v>
      </c>
      <c r="CD127" s="228">
        <v>162</v>
      </c>
      <c r="CE127" s="230">
        <v>1540</v>
      </c>
      <c r="CF127" s="229">
        <v>9.4785000000000004</v>
      </c>
      <c r="CG127" s="228">
        <v>61</v>
      </c>
      <c r="CH127" s="230">
        <v>1671</v>
      </c>
      <c r="CI127" s="230">
        <v>-1610</v>
      </c>
      <c r="CJ127" s="229">
        <v>-0.96340000000000003</v>
      </c>
      <c r="CK127" s="228">
        <v>0</v>
      </c>
      <c r="CL127" s="228">
        <v>57</v>
      </c>
      <c r="CM127" s="228">
        <v>-56</v>
      </c>
      <c r="CN127" s="229">
        <v>-0.9929</v>
      </c>
      <c r="CO127" s="228">
        <v>133</v>
      </c>
      <c r="CP127" s="228">
        <v>95</v>
      </c>
      <c r="CQ127" s="228">
        <v>38</v>
      </c>
      <c r="CR127" s="229">
        <v>0.40239999999999998</v>
      </c>
      <c r="CS127" s="228">
        <v>130</v>
      </c>
      <c r="CT127" s="228">
        <v>103</v>
      </c>
      <c r="CU127" s="228">
        <v>27</v>
      </c>
      <c r="CV127" s="229">
        <v>0.25969999999999999</v>
      </c>
      <c r="CW127" s="230">
        <v>2027</v>
      </c>
      <c r="CX127" s="230">
        <v>1926</v>
      </c>
      <c r="CY127" s="228">
        <v>101</v>
      </c>
      <c r="CZ127" s="229">
        <v>5.2299999999999999E-2</v>
      </c>
      <c r="DA127" s="228">
        <v>32.44</v>
      </c>
      <c r="DB127" s="228">
        <v>32.520000000000003</v>
      </c>
      <c r="DC127" s="228">
        <v>-0.08</v>
      </c>
      <c r="DD127" s="228">
        <v>-0.08</v>
      </c>
      <c r="DE127" s="228">
        <v>37.74</v>
      </c>
      <c r="DF127" s="228">
        <v>37.770000000000003</v>
      </c>
      <c r="DG127" s="228">
        <v>-5.3</v>
      </c>
      <c r="DH127" s="228">
        <v>-0.03</v>
      </c>
      <c r="DI127" s="228">
        <v>32.28</v>
      </c>
      <c r="DJ127" s="228">
        <v>32.43</v>
      </c>
      <c r="DK127" s="228">
        <v>-0.15</v>
      </c>
      <c r="DL127" s="228">
        <v>-0.15</v>
      </c>
      <c r="DM127" s="228">
        <v>32.659999999999997</v>
      </c>
      <c r="DN127" s="228">
        <v>32.619999999999997</v>
      </c>
      <c r="DO127" s="228">
        <v>0.04</v>
      </c>
      <c r="DP127" s="228">
        <v>0.04</v>
      </c>
      <c r="DQ127" s="228">
        <v>0.98</v>
      </c>
      <c r="DR127" s="228">
        <v>1.0900000000000001</v>
      </c>
      <c r="DS127" s="228">
        <v>-0.11</v>
      </c>
      <c r="DT127" s="229">
        <v>-0.1009</v>
      </c>
      <c r="DU127" s="231">
        <v>1000</v>
      </c>
      <c r="DV127" s="231">
        <v>1000</v>
      </c>
      <c r="DW127" s="228">
        <v>0.71</v>
      </c>
      <c r="DX127" s="228">
        <v>1.18</v>
      </c>
      <c r="DY127" s="228">
        <v>-0.47</v>
      </c>
      <c r="DZ127" s="229">
        <v>-0.39829999999999999</v>
      </c>
      <c r="EA127" s="229">
        <v>3.49E-2</v>
      </c>
      <c r="EB127" s="230">
        <v>17925600</v>
      </c>
      <c r="EC127" s="229">
        <v>6.4999999999999997E-3</v>
      </c>
      <c r="ED127" s="229">
        <v>3.49E-2</v>
      </c>
      <c r="EE127" s="228">
        <v>8</v>
      </c>
      <c r="EF127" s="229">
        <v>8.3000000000000001E-3</v>
      </c>
      <c r="EG127" s="230">
        <v>2877935</v>
      </c>
      <c r="EH127" s="230">
        <v>3473439</v>
      </c>
      <c r="EI127" s="229">
        <v>-0.1714</v>
      </c>
      <c r="EJ127" s="229">
        <v>0.66900000000000004</v>
      </c>
      <c r="EK127" s="228">
        <v>223.2</v>
      </c>
      <c r="EL127" s="228">
        <v>151.76</v>
      </c>
      <c r="EM127" s="228">
        <v>255.78</v>
      </c>
      <c r="EN127" s="228">
        <v>229.03</v>
      </c>
      <c r="EO127" s="228">
        <v>630.74</v>
      </c>
      <c r="EP127" s="231">
        <v>1281.72</v>
      </c>
      <c r="EQ127" s="228">
        <v>-650.98</v>
      </c>
      <c r="ER127" s="229">
        <v>-0.50790000000000002</v>
      </c>
      <c r="ES127" s="228">
        <v>141.66</v>
      </c>
      <c r="ET127" s="228">
        <v>137.6</v>
      </c>
      <c r="EU127" s="231">
        <v>1764.21</v>
      </c>
      <c r="EV127" s="231">
        <v>111218809</v>
      </c>
      <c r="EW127" s="231">
        <v>2043.48</v>
      </c>
      <c r="EX127" s="231">
        <v>1975.4</v>
      </c>
      <c r="EY127" s="228">
        <v>68.08</v>
      </c>
      <c r="EZ127" s="229">
        <v>3.4500000000000003E-2</v>
      </c>
      <c r="FA127" s="229">
        <v>0.189</v>
      </c>
      <c r="FB127" s="227" t="s">
        <v>567</v>
      </c>
      <c r="FC127">
        <f t="shared" si="1"/>
        <v>62</v>
      </c>
    </row>
    <row r="128" spans="1:159" ht="17.25" thickBot="1" x14ac:dyDescent="0.3">
      <c r="A128" s="226">
        <v>46050</v>
      </c>
      <c r="B128" s="227" t="s">
        <v>215</v>
      </c>
      <c r="C128" s="227" t="s">
        <v>672</v>
      </c>
      <c r="D128" s="228">
        <v>200</v>
      </c>
      <c r="E128" s="228">
        <v>27</v>
      </c>
      <c r="F128" s="231">
        <v>2518.1999999999998</v>
      </c>
      <c r="G128" s="231">
        <v>2342.5</v>
      </c>
      <c r="H128" s="228">
        <v>175.7</v>
      </c>
      <c r="I128" s="229">
        <v>7.4999999999999997E-2</v>
      </c>
      <c r="J128" s="231">
        <v>2505.6</v>
      </c>
      <c r="K128" s="231">
        <v>2335.1</v>
      </c>
      <c r="L128" s="228">
        <v>170.5</v>
      </c>
      <c r="M128" s="229">
        <v>7.2999999999999995E-2</v>
      </c>
      <c r="N128" s="231">
        <v>2518.1999999999998</v>
      </c>
      <c r="O128" s="231">
        <v>2327.8000000000002</v>
      </c>
      <c r="P128" s="228">
        <v>190.4</v>
      </c>
      <c r="Q128" s="229">
        <v>8.1799999999999998E-2</v>
      </c>
      <c r="R128" s="231">
        <v>2534.1999999999998</v>
      </c>
      <c r="S128" s="231">
        <v>2342.5</v>
      </c>
      <c r="T128" s="228">
        <v>191.7</v>
      </c>
      <c r="U128" s="229">
        <v>8.1799999999999998E-2</v>
      </c>
      <c r="V128" s="231">
        <v>2545.5</v>
      </c>
      <c r="W128" s="231">
        <v>2370.6</v>
      </c>
      <c r="X128" s="228">
        <v>174.9</v>
      </c>
      <c r="Y128" s="229">
        <v>7.3800000000000004E-2</v>
      </c>
      <c r="Z128" s="228">
        <v>12.6</v>
      </c>
      <c r="AA128" s="228">
        <v>7.4</v>
      </c>
      <c r="AB128" s="228">
        <v>5.2</v>
      </c>
      <c r="AC128" s="229">
        <v>5.0000000000000001E-3</v>
      </c>
      <c r="AD128" s="228">
        <v>12.6</v>
      </c>
      <c r="AE128" s="228">
        <v>-7.3</v>
      </c>
      <c r="AF128" s="228">
        <v>19.899999999999999</v>
      </c>
      <c r="AG128" s="229">
        <v>5.0000000000000001E-3</v>
      </c>
      <c r="AH128" s="228">
        <v>28.6</v>
      </c>
      <c r="AI128" s="228">
        <v>7.4</v>
      </c>
      <c r="AJ128" s="228">
        <v>21.2</v>
      </c>
      <c r="AK128" s="229">
        <v>1.14E-2</v>
      </c>
      <c r="AL128" s="228">
        <v>39.9</v>
      </c>
      <c r="AM128" s="228">
        <v>35.5</v>
      </c>
      <c r="AN128" s="228">
        <v>4.4000000000000004</v>
      </c>
      <c r="AO128" s="229">
        <v>1.5900000000000001E-2</v>
      </c>
      <c r="AP128" s="231">
        <v>2467.86</v>
      </c>
      <c r="AQ128" s="231">
        <v>2476.62</v>
      </c>
      <c r="AR128" s="228">
        <v>0</v>
      </c>
      <c r="AS128" s="228">
        <v>438</v>
      </c>
      <c r="AT128" s="230">
        <v>1334</v>
      </c>
      <c r="AU128" s="228">
        <v>-896</v>
      </c>
      <c r="AV128" s="229">
        <v>-0.67149999999999999</v>
      </c>
      <c r="AW128" s="228">
        <v>413</v>
      </c>
      <c r="AX128" s="228">
        <v>631</v>
      </c>
      <c r="AY128" s="228">
        <v>-218</v>
      </c>
      <c r="AZ128" s="229">
        <v>-0.34610000000000002</v>
      </c>
      <c r="BA128" s="228">
        <v>23</v>
      </c>
      <c r="BB128" s="228">
        <v>686</v>
      </c>
      <c r="BC128" s="228">
        <v>-662</v>
      </c>
      <c r="BD128" s="229">
        <v>-0.96599999999999997</v>
      </c>
      <c r="BE128" s="228">
        <v>2</v>
      </c>
      <c r="BF128" s="228">
        <v>18</v>
      </c>
      <c r="BG128" s="228">
        <v>-15</v>
      </c>
      <c r="BH128" s="229">
        <v>-0.86</v>
      </c>
      <c r="BI128" s="230">
        <v>1952</v>
      </c>
      <c r="BJ128" s="228">
        <v>940</v>
      </c>
      <c r="BK128" s="230">
        <v>1013</v>
      </c>
      <c r="BL128" s="229">
        <v>1.0778000000000001</v>
      </c>
      <c r="BM128" s="228">
        <v>380</v>
      </c>
      <c r="BN128" s="228">
        <v>507</v>
      </c>
      <c r="BO128" s="228">
        <v>-127</v>
      </c>
      <c r="BP128" s="229">
        <v>-0.25069999999999998</v>
      </c>
      <c r="BQ128" s="230">
        <v>2770</v>
      </c>
      <c r="BR128" s="230">
        <v>2781</v>
      </c>
      <c r="BS128" s="228">
        <v>-10</v>
      </c>
      <c r="BT128" s="229">
        <v>-3.7000000000000002E-3</v>
      </c>
      <c r="BU128" s="230">
        <v>2445916</v>
      </c>
      <c r="BV128" s="230">
        <v>1036855</v>
      </c>
      <c r="BW128" s="230">
        <v>1409061</v>
      </c>
      <c r="BX128" s="229">
        <v>1.359</v>
      </c>
      <c r="BY128" s="230">
        <v>1138</v>
      </c>
      <c r="BZ128" s="230">
        <v>1103</v>
      </c>
      <c r="CA128" s="228">
        <v>35</v>
      </c>
      <c r="CB128" s="229">
        <v>3.1899999999999998E-2</v>
      </c>
      <c r="CC128" s="230">
        <v>1097</v>
      </c>
      <c r="CD128" s="228">
        <v>111</v>
      </c>
      <c r="CE128" s="228">
        <v>986</v>
      </c>
      <c r="CF128" s="229">
        <v>8.8462999999999994</v>
      </c>
      <c r="CG128" s="228">
        <v>40</v>
      </c>
      <c r="CH128" s="230">
        <v>1066</v>
      </c>
      <c r="CI128" s="230">
        <v>-1026</v>
      </c>
      <c r="CJ128" s="229">
        <v>-0.96250000000000002</v>
      </c>
      <c r="CK128" s="228">
        <v>2</v>
      </c>
      <c r="CL128" s="228">
        <v>37</v>
      </c>
      <c r="CM128" s="228">
        <v>-36</v>
      </c>
      <c r="CN128" s="229">
        <v>-0.95809999999999995</v>
      </c>
      <c r="CO128" s="228">
        <v>388</v>
      </c>
      <c r="CP128" s="228">
        <v>256</v>
      </c>
      <c r="CQ128" s="228">
        <v>133</v>
      </c>
      <c r="CR128" s="229">
        <v>0.51949999999999996</v>
      </c>
      <c r="CS128" s="228">
        <v>291</v>
      </c>
      <c r="CT128" s="228">
        <v>241</v>
      </c>
      <c r="CU128" s="228">
        <v>50</v>
      </c>
      <c r="CV128" s="229">
        <v>0.20860000000000001</v>
      </c>
      <c r="CW128" s="230">
        <v>1818</v>
      </c>
      <c r="CX128" s="230">
        <v>1600</v>
      </c>
      <c r="CY128" s="228">
        <v>218</v>
      </c>
      <c r="CZ128" s="229">
        <v>0.13639999999999999</v>
      </c>
      <c r="DA128" s="228">
        <v>45.41</v>
      </c>
      <c r="DB128" s="228">
        <v>45.09</v>
      </c>
      <c r="DC128" s="228">
        <v>0.32</v>
      </c>
      <c r="DD128" s="228">
        <v>0.32</v>
      </c>
      <c r="DE128" s="228">
        <v>54.06</v>
      </c>
      <c r="DF128" s="228">
        <v>53.31</v>
      </c>
      <c r="DG128" s="228">
        <v>-8.65</v>
      </c>
      <c r="DH128" s="228">
        <v>0.75</v>
      </c>
      <c r="DI128" s="228">
        <v>45.17</v>
      </c>
      <c r="DJ128" s="228">
        <v>45.33</v>
      </c>
      <c r="DK128" s="228">
        <v>-0.16</v>
      </c>
      <c r="DL128" s="228">
        <v>-0.16</v>
      </c>
      <c r="DM128" s="228">
        <v>46.64</v>
      </c>
      <c r="DN128" s="228">
        <v>44.72</v>
      </c>
      <c r="DO128" s="228">
        <v>1.92</v>
      </c>
      <c r="DP128" s="228">
        <v>1.92</v>
      </c>
      <c r="DQ128" s="228">
        <v>0.75</v>
      </c>
      <c r="DR128" s="228">
        <v>0.94</v>
      </c>
      <c r="DS128" s="228">
        <v>-0.19</v>
      </c>
      <c r="DT128" s="229">
        <v>-0.2021</v>
      </c>
      <c r="DU128" s="231">
        <v>2500</v>
      </c>
      <c r="DV128" s="231">
        <v>2300</v>
      </c>
      <c r="DW128" s="228">
        <v>0.19</v>
      </c>
      <c r="DX128" s="228">
        <v>0.54</v>
      </c>
      <c r="DY128" s="228">
        <v>-0.35</v>
      </c>
      <c r="DZ128" s="229">
        <v>-0.64810000000000001</v>
      </c>
      <c r="EA128" s="229">
        <v>3.6499999999999998E-2</v>
      </c>
      <c r="EB128" s="230">
        <v>4381400</v>
      </c>
      <c r="EC128" s="229">
        <v>6.4000000000000003E-3</v>
      </c>
      <c r="ED128" s="229">
        <v>3.6499999999999998E-2</v>
      </c>
      <c r="EE128" s="228">
        <v>8.76</v>
      </c>
      <c r="EF128" s="229">
        <v>3.5000000000000001E-3</v>
      </c>
      <c r="EG128" s="230">
        <v>607173</v>
      </c>
      <c r="EH128" s="230">
        <v>254526</v>
      </c>
      <c r="EI128" s="229">
        <v>1.3855</v>
      </c>
      <c r="EJ128" s="229">
        <v>0.2482</v>
      </c>
      <c r="EK128" s="231">
        <v>2049.33</v>
      </c>
      <c r="EL128" s="228">
        <v>366.24</v>
      </c>
      <c r="EM128" s="228">
        <v>429.73</v>
      </c>
      <c r="EN128" s="228">
        <v>181.82</v>
      </c>
      <c r="EO128" s="231">
        <v>2845.3</v>
      </c>
      <c r="EP128" s="231">
        <v>2665.06</v>
      </c>
      <c r="EQ128" s="228">
        <v>180.23</v>
      </c>
      <c r="ER128" s="229">
        <v>6.7599999999999993E-2</v>
      </c>
      <c r="ES128" s="228">
        <v>397.11</v>
      </c>
      <c r="ET128" s="228">
        <v>274.98</v>
      </c>
      <c r="EU128" s="231">
        <v>1138.75</v>
      </c>
      <c r="EV128" s="231">
        <v>11364224</v>
      </c>
      <c r="EW128" s="231">
        <v>1810.84</v>
      </c>
      <c r="EX128" s="231">
        <v>1508.54</v>
      </c>
      <c r="EY128" s="228">
        <v>302.3</v>
      </c>
      <c r="EZ128" s="229">
        <v>0.20039999999999999</v>
      </c>
      <c r="FA128" s="229">
        <v>0.63539999999999996</v>
      </c>
      <c r="FB128" s="227" t="s">
        <v>555</v>
      </c>
      <c r="FC128">
        <f t="shared" si="1"/>
        <v>41</v>
      </c>
    </row>
    <row r="129" spans="1:159" ht="17.25" thickBot="1" x14ac:dyDescent="0.3">
      <c r="A129" s="226">
        <v>46050</v>
      </c>
      <c r="B129" s="227" t="s">
        <v>175</v>
      </c>
      <c r="C129" s="227" t="s">
        <v>517</v>
      </c>
      <c r="D129" s="228">
        <v>625</v>
      </c>
      <c r="E129" s="228">
        <v>27</v>
      </c>
      <c r="F129" s="231">
        <v>2605</v>
      </c>
      <c r="G129" s="231">
        <v>2437</v>
      </c>
      <c r="H129" s="228">
        <v>168</v>
      </c>
      <c r="I129" s="229">
        <v>6.8900000000000003E-2</v>
      </c>
      <c r="J129" s="231">
        <v>2593</v>
      </c>
      <c r="K129" s="231">
        <v>2418</v>
      </c>
      <c r="L129" s="228">
        <v>175</v>
      </c>
      <c r="M129" s="229">
        <v>7.2400000000000006E-2</v>
      </c>
      <c r="N129" s="231">
        <v>2605</v>
      </c>
      <c r="O129" s="231">
        <v>2418</v>
      </c>
      <c r="P129" s="228">
        <v>187</v>
      </c>
      <c r="Q129" s="229">
        <v>7.7299999999999994E-2</v>
      </c>
      <c r="R129" s="231">
        <v>2619</v>
      </c>
      <c r="S129" s="231">
        <v>2437</v>
      </c>
      <c r="T129" s="228">
        <v>182</v>
      </c>
      <c r="U129" s="229">
        <v>7.4700000000000003E-2</v>
      </c>
      <c r="V129" s="231">
        <v>2636</v>
      </c>
      <c r="W129" s="231">
        <v>2453</v>
      </c>
      <c r="X129" s="228">
        <v>183</v>
      </c>
      <c r="Y129" s="229">
        <v>7.46E-2</v>
      </c>
      <c r="Z129" s="228">
        <v>12</v>
      </c>
      <c r="AA129" s="228">
        <v>19</v>
      </c>
      <c r="AB129" s="228">
        <v>-7</v>
      </c>
      <c r="AC129" s="229">
        <v>4.5999999999999999E-3</v>
      </c>
      <c r="AD129" s="228">
        <v>12</v>
      </c>
      <c r="AE129" s="228">
        <v>0</v>
      </c>
      <c r="AF129" s="228">
        <v>12</v>
      </c>
      <c r="AG129" s="229">
        <v>4.5999999999999999E-3</v>
      </c>
      <c r="AH129" s="228">
        <v>26</v>
      </c>
      <c r="AI129" s="228">
        <v>19</v>
      </c>
      <c r="AJ129" s="228">
        <v>7</v>
      </c>
      <c r="AK129" s="229">
        <v>0.01</v>
      </c>
      <c r="AL129" s="228">
        <v>43</v>
      </c>
      <c r="AM129" s="228">
        <v>35</v>
      </c>
      <c r="AN129" s="228">
        <v>8</v>
      </c>
      <c r="AO129" s="229">
        <v>1.66E-2</v>
      </c>
      <c r="AP129" s="231">
        <v>2574.88</v>
      </c>
      <c r="AQ129" s="231">
        <v>2589.84</v>
      </c>
      <c r="AR129" s="228">
        <v>0</v>
      </c>
      <c r="AS129" s="230">
        <v>2650</v>
      </c>
      <c r="AT129" s="230">
        <v>4595</v>
      </c>
      <c r="AU129" s="230">
        <v>-1944</v>
      </c>
      <c r="AV129" s="229">
        <v>-0.42320000000000002</v>
      </c>
      <c r="AW129" s="230">
        <v>2476</v>
      </c>
      <c r="AX129" s="230">
        <v>1747</v>
      </c>
      <c r="AY129" s="228">
        <v>729</v>
      </c>
      <c r="AZ129" s="229">
        <v>0.41720000000000002</v>
      </c>
      <c r="BA129" s="228">
        <v>150</v>
      </c>
      <c r="BB129" s="230">
        <v>2767</v>
      </c>
      <c r="BC129" s="230">
        <v>-2617</v>
      </c>
      <c r="BD129" s="229">
        <v>-0.94579999999999997</v>
      </c>
      <c r="BE129" s="228">
        <v>24</v>
      </c>
      <c r="BF129" s="228">
        <v>80</v>
      </c>
      <c r="BG129" s="228">
        <v>-56</v>
      </c>
      <c r="BH129" s="229">
        <v>-0.69979999999999998</v>
      </c>
      <c r="BI129" s="230">
        <v>9223</v>
      </c>
      <c r="BJ129" s="230">
        <v>19412</v>
      </c>
      <c r="BK129" s="230">
        <v>-10188</v>
      </c>
      <c r="BL129" s="229">
        <v>-0.52490000000000003</v>
      </c>
      <c r="BM129" s="230">
        <v>4802</v>
      </c>
      <c r="BN129" s="230">
        <v>6173</v>
      </c>
      <c r="BO129" s="230">
        <v>-1371</v>
      </c>
      <c r="BP129" s="229">
        <v>-0.22209999999999999</v>
      </c>
      <c r="BQ129" s="230">
        <v>16676</v>
      </c>
      <c r="BR129" s="230">
        <v>30179</v>
      </c>
      <c r="BS129" s="230">
        <v>-13504</v>
      </c>
      <c r="BT129" s="229">
        <v>-0.44740000000000002</v>
      </c>
      <c r="BU129" s="230">
        <v>7912504</v>
      </c>
      <c r="BV129" s="230">
        <v>6973158</v>
      </c>
      <c r="BW129" s="230">
        <v>939346</v>
      </c>
      <c r="BX129" s="229">
        <v>0.13469999999999999</v>
      </c>
      <c r="BY129" s="230">
        <v>3635</v>
      </c>
      <c r="BZ129" s="230">
        <v>3832</v>
      </c>
      <c r="CA129" s="228">
        <v>-197</v>
      </c>
      <c r="CB129" s="229">
        <v>-5.1499999999999997E-2</v>
      </c>
      <c r="CC129" s="230">
        <v>3529</v>
      </c>
      <c r="CD129" s="228">
        <v>225</v>
      </c>
      <c r="CE129" s="230">
        <v>3304</v>
      </c>
      <c r="CF129" s="229">
        <v>14.661099999999999</v>
      </c>
      <c r="CG129" s="228">
        <v>93</v>
      </c>
      <c r="CH129" s="230">
        <v>3743</v>
      </c>
      <c r="CI129" s="230">
        <v>-3650</v>
      </c>
      <c r="CJ129" s="229">
        <v>-0.97529999999999994</v>
      </c>
      <c r="CK129" s="228">
        <v>13</v>
      </c>
      <c r="CL129" s="228">
        <v>89</v>
      </c>
      <c r="CM129" s="228">
        <v>-76</v>
      </c>
      <c r="CN129" s="229">
        <v>-0.85160000000000002</v>
      </c>
      <c r="CO129" s="230">
        <v>1517</v>
      </c>
      <c r="CP129" s="230">
        <v>1264</v>
      </c>
      <c r="CQ129" s="228">
        <v>252</v>
      </c>
      <c r="CR129" s="229">
        <v>0.19950000000000001</v>
      </c>
      <c r="CS129" s="230">
        <v>1333</v>
      </c>
      <c r="CT129" s="228">
        <v>845</v>
      </c>
      <c r="CU129" s="228">
        <v>488</v>
      </c>
      <c r="CV129" s="229">
        <v>0.57809999999999995</v>
      </c>
      <c r="CW129" s="230">
        <v>6485</v>
      </c>
      <c r="CX129" s="230">
        <v>5941</v>
      </c>
      <c r="CY129" s="228">
        <v>543</v>
      </c>
      <c r="CZ129" s="229">
        <v>9.1499999999999998E-2</v>
      </c>
      <c r="DA129" s="228">
        <v>40.72</v>
      </c>
      <c r="DB129" s="228">
        <v>43.51</v>
      </c>
      <c r="DC129" s="228">
        <v>-2.79</v>
      </c>
      <c r="DD129" s="228">
        <v>-2.79</v>
      </c>
      <c r="DE129" s="228">
        <v>46.25</v>
      </c>
      <c r="DF129" s="228">
        <v>45.4</v>
      </c>
      <c r="DG129" s="228">
        <v>-5.53</v>
      </c>
      <c r="DH129" s="228">
        <v>0.85</v>
      </c>
      <c r="DI129" s="228">
        <v>39.74</v>
      </c>
      <c r="DJ129" s="228">
        <v>43.21</v>
      </c>
      <c r="DK129" s="228">
        <v>-3.47</v>
      </c>
      <c r="DL129" s="228">
        <v>-3.47</v>
      </c>
      <c r="DM129" s="228">
        <v>42.61</v>
      </c>
      <c r="DN129" s="228">
        <v>44.28</v>
      </c>
      <c r="DO129" s="228">
        <v>-1.67</v>
      </c>
      <c r="DP129" s="228">
        <v>-1.67</v>
      </c>
      <c r="DQ129" s="228">
        <v>0.88</v>
      </c>
      <c r="DR129" s="228">
        <v>0.67</v>
      </c>
      <c r="DS129" s="228">
        <v>0.21</v>
      </c>
      <c r="DT129" s="229">
        <v>0.31340000000000001</v>
      </c>
      <c r="DU129" s="231">
        <v>2600</v>
      </c>
      <c r="DV129" s="231">
        <v>2300</v>
      </c>
      <c r="DW129" s="228">
        <v>0.52</v>
      </c>
      <c r="DX129" s="228">
        <v>0.32</v>
      </c>
      <c r="DY129" s="228">
        <v>0.2</v>
      </c>
      <c r="DZ129" s="229">
        <v>0.625</v>
      </c>
      <c r="EA129" s="229">
        <v>2.9100000000000001E-2</v>
      </c>
      <c r="EB129" s="230">
        <v>14710000</v>
      </c>
      <c r="EC129" s="229">
        <v>5.4000000000000003E-3</v>
      </c>
      <c r="ED129" s="229">
        <v>2.9100000000000001E-2</v>
      </c>
      <c r="EE129" s="228">
        <v>14.96</v>
      </c>
      <c r="EF129" s="229">
        <v>5.7999999999999996E-3</v>
      </c>
      <c r="EG129" s="230">
        <v>3053031</v>
      </c>
      <c r="EH129" s="230">
        <v>2146030</v>
      </c>
      <c r="EI129" s="229">
        <v>0.42259999999999998</v>
      </c>
      <c r="EJ129" s="229">
        <v>0.38579999999999998</v>
      </c>
      <c r="EK129" s="231">
        <v>9665.1299999999992</v>
      </c>
      <c r="EL129" s="231">
        <v>4554.84</v>
      </c>
      <c r="EM129" s="231">
        <v>2620.7800000000002</v>
      </c>
      <c r="EN129" s="228">
        <v>252.58</v>
      </c>
      <c r="EO129" s="231">
        <v>16840.740000000002</v>
      </c>
      <c r="EP129" s="231">
        <v>28386.959999999999</v>
      </c>
      <c r="EQ129" s="231">
        <v>-11546.22</v>
      </c>
      <c r="ER129" s="229">
        <v>-0.40670000000000001</v>
      </c>
      <c r="ES129" s="231">
        <v>1502.26</v>
      </c>
      <c r="ET129" s="231">
        <v>1196.3</v>
      </c>
      <c r="EU129" s="231">
        <v>3635.44</v>
      </c>
      <c r="EV129" s="231">
        <v>38177110</v>
      </c>
      <c r="EW129" s="231">
        <v>6334</v>
      </c>
      <c r="EX129" s="231">
        <v>5525.44</v>
      </c>
      <c r="EY129" s="228">
        <v>808.56</v>
      </c>
      <c r="EZ129" s="229">
        <v>0.14630000000000001</v>
      </c>
      <c r="FA129" s="229">
        <v>0.65200000000000002</v>
      </c>
      <c r="FB129" s="227" t="s">
        <v>556</v>
      </c>
      <c r="FC129">
        <f t="shared" si="1"/>
        <v>106</v>
      </c>
    </row>
    <row r="130" spans="1:159" ht="17.25" thickBot="1" x14ac:dyDescent="0.3">
      <c r="A130" s="226">
        <v>46050</v>
      </c>
      <c r="B130" s="227" t="s">
        <v>175</v>
      </c>
      <c r="C130" s="227" t="s">
        <v>257</v>
      </c>
      <c r="D130" s="228">
        <v>400</v>
      </c>
      <c r="E130" s="228">
        <v>27</v>
      </c>
      <c r="F130" s="231">
        <v>1629.7</v>
      </c>
      <c r="G130" s="231">
        <v>1589.7</v>
      </c>
      <c r="H130" s="228">
        <v>40</v>
      </c>
      <c r="I130" s="229">
        <v>2.52E-2</v>
      </c>
      <c r="J130" s="231">
        <v>1623.9</v>
      </c>
      <c r="K130" s="231">
        <v>1576.6</v>
      </c>
      <c r="L130" s="228">
        <v>47.3</v>
      </c>
      <c r="M130" s="229">
        <v>0.03</v>
      </c>
      <c r="N130" s="231">
        <v>1629.7</v>
      </c>
      <c r="O130" s="231">
        <v>1582.1</v>
      </c>
      <c r="P130" s="228">
        <v>47.6</v>
      </c>
      <c r="Q130" s="229">
        <v>3.0099999999999998E-2</v>
      </c>
      <c r="R130" s="231">
        <v>1641.2</v>
      </c>
      <c r="S130" s="231">
        <v>1589.7</v>
      </c>
      <c r="T130" s="228">
        <v>51.5</v>
      </c>
      <c r="U130" s="229">
        <v>3.2399999999999998E-2</v>
      </c>
      <c r="V130" s="228">
        <v>0</v>
      </c>
      <c r="W130" s="231">
        <v>1596.3</v>
      </c>
      <c r="X130" s="228">
        <v>0</v>
      </c>
      <c r="Y130" s="229">
        <v>0</v>
      </c>
      <c r="Z130" s="228">
        <v>5.8</v>
      </c>
      <c r="AA130" s="228">
        <v>13.1</v>
      </c>
      <c r="AB130" s="228">
        <v>-7.3</v>
      </c>
      <c r="AC130" s="229">
        <v>3.5999999999999999E-3</v>
      </c>
      <c r="AD130" s="228">
        <v>5.8</v>
      </c>
      <c r="AE130" s="228">
        <v>5.5</v>
      </c>
      <c r="AF130" s="228">
        <v>0.3</v>
      </c>
      <c r="AG130" s="229">
        <v>3.5999999999999999E-3</v>
      </c>
      <c r="AH130" s="228">
        <v>17.3</v>
      </c>
      <c r="AI130" s="228">
        <v>13.1</v>
      </c>
      <c r="AJ130" s="228">
        <v>4.2</v>
      </c>
      <c r="AK130" s="229">
        <v>1.0699999999999999E-2</v>
      </c>
      <c r="AL130" s="228">
        <v>0</v>
      </c>
      <c r="AM130" s="228">
        <v>19.7</v>
      </c>
      <c r="AN130" s="228">
        <v>0</v>
      </c>
      <c r="AO130" s="229">
        <v>0</v>
      </c>
      <c r="AP130" s="231">
        <v>1622.03</v>
      </c>
      <c r="AQ130" s="231">
        <v>1634.46</v>
      </c>
      <c r="AR130" s="228">
        <v>0</v>
      </c>
      <c r="AS130" s="228">
        <v>216</v>
      </c>
      <c r="AT130" s="228">
        <v>601</v>
      </c>
      <c r="AU130" s="228">
        <v>-385</v>
      </c>
      <c r="AV130" s="229">
        <v>-0.64090000000000003</v>
      </c>
      <c r="AW130" s="228">
        <v>213</v>
      </c>
      <c r="AX130" s="228">
        <v>240</v>
      </c>
      <c r="AY130" s="228">
        <v>-27</v>
      </c>
      <c r="AZ130" s="229">
        <v>-0.11169999999999999</v>
      </c>
      <c r="BA130" s="228">
        <v>3</v>
      </c>
      <c r="BB130" s="228">
        <v>360</v>
      </c>
      <c r="BC130" s="228">
        <v>-358</v>
      </c>
      <c r="BD130" s="229">
        <v>-0.99239999999999995</v>
      </c>
      <c r="BE130" s="228">
        <v>0</v>
      </c>
      <c r="BF130" s="228">
        <v>1</v>
      </c>
      <c r="BG130" s="228">
        <v>0</v>
      </c>
      <c r="BH130" s="229">
        <v>0</v>
      </c>
      <c r="BI130" s="228">
        <v>164</v>
      </c>
      <c r="BJ130" s="228">
        <v>110</v>
      </c>
      <c r="BK130" s="228">
        <v>54</v>
      </c>
      <c r="BL130" s="229">
        <v>0.49519999999999997</v>
      </c>
      <c r="BM130" s="228">
        <v>93</v>
      </c>
      <c r="BN130" s="228">
        <v>222</v>
      </c>
      <c r="BO130" s="228">
        <v>-129</v>
      </c>
      <c r="BP130" s="229">
        <v>-0.58020000000000005</v>
      </c>
      <c r="BQ130" s="228">
        <v>473</v>
      </c>
      <c r="BR130" s="228">
        <v>933</v>
      </c>
      <c r="BS130" s="228">
        <v>-459</v>
      </c>
      <c r="BT130" s="229">
        <v>-0.49270000000000003</v>
      </c>
      <c r="BU130" s="230">
        <v>756234</v>
      </c>
      <c r="BV130" s="230">
        <v>1361178</v>
      </c>
      <c r="BW130" s="230">
        <v>-604944</v>
      </c>
      <c r="BX130" s="229">
        <v>-0.44440000000000002</v>
      </c>
      <c r="BY130" s="230">
        <v>1409</v>
      </c>
      <c r="BZ130" s="230">
        <v>1454</v>
      </c>
      <c r="CA130" s="228">
        <v>-45</v>
      </c>
      <c r="CB130" s="229">
        <v>-3.0700000000000002E-2</v>
      </c>
      <c r="CC130" s="230">
        <v>1406</v>
      </c>
      <c r="CD130" s="228">
        <v>68</v>
      </c>
      <c r="CE130" s="230">
        <v>1338</v>
      </c>
      <c r="CF130" s="229">
        <v>19.645900000000001</v>
      </c>
      <c r="CG130" s="228">
        <v>3</v>
      </c>
      <c r="CH130" s="230">
        <v>1452</v>
      </c>
      <c r="CI130" s="230">
        <v>-1450</v>
      </c>
      <c r="CJ130" s="229">
        <v>-0.99819999999999998</v>
      </c>
      <c r="CK130" s="228">
        <v>0</v>
      </c>
      <c r="CL130" s="228">
        <v>1</v>
      </c>
      <c r="CM130" s="228">
        <v>-1</v>
      </c>
      <c r="CN130" s="229">
        <v>-1</v>
      </c>
      <c r="CO130" s="228">
        <v>101</v>
      </c>
      <c r="CP130" s="228">
        <v>37</v>
      </c>
      <c r="CQ130" s="228">
        <v>64</v>
      </c>
      <c r="CR130" s="229">
        <v>1.7133</v>
      </c>
      <c r="CS130" s="228">
        <v>82</v>
      </c>
      <c r="CT130" s="228">
        <v>37</v>
      </c>
      <c r="CU130" s="228">
        <v>45</v>
      </c>
      <c r="CV130" s="229">
        <v>1.2095</v>
      </c>
      <c r="CW130" s="230">
        <v>1592</v>
      </c>
      <c r="CX130" s="230">
        <v>1528</v>
      </c>
      <c r="CY130" s="228">
        <v>64</v>
      </c>
      <c r="CZ130" s="229">
        <v>4.19E-2</v>
      </c>
      <c r="DA130" s="228">
        <v>30.81</v>
      </c>
      <c r="DB130" s="228">
        <v>31.45</v>
      </c>
      <c r="DC130" s="228">
        <v>-0.64</v>
      </c>
      <c r="DD130" s="228">
        <v>-0.64</v>
      </c>
      <c r="DE130" s="228">
        <v>29.18</v>
      </c>
      <c r="DF130" s="228">
        <v>29</v>
      </c>
      <c r="DG130" s="228">
        <v>1.63</v>
      </c>
      <c r="DH130" s="228">
        <v>0.18</v>
      </c>
      <c r="DI130" s="228">
        <v>30.54</v>
      </c>
      <c r="DJ130" s="228">
        <v>30.55</v>
      </c>
      <c r="DK130" s="228">
        <v>-0.01</v>
      </c>
      <c r="DL130" s="228">
        <v>-0.01</v>
      </c>
      <c r="DM130" s="228">
        <v>31.31</v>
      </c>
      <c r="DN130" s="228">
        <v>32.18</v>
      </c>
      <c r="DO130" s="228">
        <v>-0.87</v>
      </c>
      <c r="DP130" s="228">
        <v>-0.87</v>
      </c>
      <c r="DQ130" s="228">
        <v>0.81</v>
      </c>
      <c r="DR130" s="228">
        <v>0.99</v>
      </c>
      <c r="DS130" s="228">
        <v>-0.18</v>
      </c>
      <c r="DT130" s="229">
        <v>-0.18179999999999999</v>
      </c>
      <c r="DU130" s="231">
        <v>1700</v>
      </c>
      <c r="DV130" s="231">
        <v>1540</v>
      </c>
      <c r="DW130" s="228">
        <v>0.56999999999999995</v>
      </c>
      <c r="DX130" s="228">
        <v>2.02</v>
      </c>
      <c r="DY130" s="228">
        <v>-1.45</v>
      </c>
      <c r="DZ130" s="229">
        <v>-0.71779999999999999</v>
      </c>
      <c r="EA130" s="229">
        <v>1.9E-3</v>
      </c>
      <c r="EB130" s="230">
        <v>8920000</v>
      </c>
      <c r="EC130" s="229">
        <v>7.1000000000000004E-3</v>
      </c>
      <c r="ED130" s="229">
        <v>1.9E-3</v>
      </c>
      <c r="EE130" s="228">
        <v>12.43</v>
      </c>
      <c r="EF130" s="229">
        <v>7.7000000000000002E-3</v>
      </c>
      <c r="EG130" s="230">
        <v>554442</v>
      </c>
      <c r="EH130" s="230">
        <v>796872</v>
      </c>
      <c r="EI130" s="229">
        <v>-0.30420000000000003</v>
      </c>
      <c r="EJ130" s="229">
        <v>0.73319999999999996</v>
      </c>
      <c r="EK130" s="228">
        <v>171.7</v>
      </c>
      <c r="EL130" s="228">
        <v>90.58</v>
      </c>
      <c r="EM130" s="228">
        <v>214.91</v>
      </c>
      <c r="EN130" s="228">
        <v>146.05000000000001</v>
      </c>
      <c r="EO130" s="228">
        <v>477.19</v>
      </c>
      <c r="EP130" s="228">
        <v>915.52</v>
      </c>
      <c r="EQ130" s="228">
        <v>-438.33</v>
      </c>
      <c r="ER130" s="229">
        <v>-0.4788</v>
      </c>
      <c r="ES130" s="228">
        <v>103.52</v>
      </c>
      <c r="ET130" s="228">
        <v>78.09</v>
      </c>
      <c r="EU130" s="231">
        <v>1409.12</v>
      </c>
      <c r="EV130" s="231">
        <v>33919851</v>
      </c>
      <c r="EW130" s="231">
        <v>1590.73</v>
      </c>
      <c r="EX130" s="231">
        <v>1492.13</v>
      </c>
      <c r="EY130" s="228">
        <v>98.6</v>
      </c>
      <c r="EZ130" s="229">
        <v>6.6100000000000006E-2</v>
      </c>
      <c r="FA130" s="229">
        <v>0.28799999999999998</v>
      </c>
      <c r="FB130" s="227" t="s">
        <v>556</v>
      </c>
      <c r="FC130">
        <f t="shared" si="1"/>
        <v>3</v>
      </c>
    </row>
    <row r="131" spans="1:159" ht="17.25" thickBot="1" x14ac:dyDescent="0.3">
      <c r="A131" s="226">
        <v>46050</v>
      </c>
      <c r="B131" s="227" t="s">
        <v>181</v>
      </c>
      <c r="C131" s="227" t="s">
        <v>563</v>
      </c>
      <c r="D131" s="228">
        <v>120</v>
      </c>
      <c r="E131" s="228">
        <v>27</v>
      </c>
      <c r="F131" s="231">
        <v>13409.05</v>
      </c>
      <c r="G131" s="231">
        <v>13216.2</v>
      </c>
      <c r="H131" s="228">
        <v>192.85</v>
      </c>
      <c r="I131" s="229">
        <v>1.46E-2</v>
      </c>
      <c r="J131" s="231">
        <v>13381.9</v>
      </c>
      <c r="K131" s="231">
        <v>13137.9</v>
      </c>
      <c r="L131" s="228">
        <v>244</v>
      </c>
      <c r="M131" s="229">
        <v>1.8599999999999998E-2</v>
      </c>
      <c r="N131" s="231">
        <v>13409.05</v>
      </c>
      <c r="O131" s="231">
        <v>13118.95</v>
      </c>
      <c r="P131" s="228">
        <v>290.10000000000002</v>
      </c>
      <c r="Q131" s="229">
        <v>2.2100000000000002E-2</v>
      </c>
      <c r="R131" s="231">
        <v>13476.6</v>
      </c>
      <c r="S131" s="231">
        <v>13216.2</v>
      </c>
      <c r="T131" s="228">
        <v>260.39999999999998</v>
      </c>
      <c r="U131" s="229">
        <v>1.9699999999999999E-2</v>
      </c>
      <c r="V131" s="231">
        <v>13525.75</v>
      </c>
      <c r="W131" s="231">
        <v>13312.85</v>
      </c>
      <c r="X131" s="228">
        <v>212.9</v>
      </c>
      <c r="Y131" s="229">
        <v>1.6E-2</v>
      </c>
      <c r="Z131" s="228">
        <v>27.15</v>
      </c>
      <c r="AA131" s="228">
        <v>78.3</v>
      </c>
      <c r="AB131" s="228">
        <v>-51.15</v>
      </c>
      <c r="AC131" s="229">
        <v>2E-3</v>
      </c>
      <c r="AD131" s="228">
        <v>27.15</v>
      </c>
      <c r="AE131" s="228">
        <v>-18.95</v>
      </c>
      <c r="AF131" s="228">
        <v>46.1</v>
      </c>
      <c r="AG131" s="229">
        <v>2E-3</v>
      </c>
      <c r="AH131" s="228">
        <v>94.7</v>
      </c>
      <c r="AI131" s="228">
        <v>78.3</v>
      </c>
      <c r="AJ131" s="228">
        <v>16.399999999999999</v>
      </c>
      <c r="AK131" s="229">
        <v>7.1000000000000004E-3</v>
      </c>
      <c r="AL131" s="228">
        <v>143.85</v>
      </c>
      <c r="AM131" s="228">
        <v>174.95</v>
      </c>
      <c r="AN131" s="228">
        <v>-31.1</v>
      </c>
      <c r="AO131" s="229">
        <v>1.0699999999999999E-2</v>
      </c>
      <c r="AP131" s="231">
        <v>13313.86</v>
      </c>
      <c r="AQ131" s="231">
        <v>13384.01</v>
      </c>
      <c r="AR131" s="228">
        <v>0</v>
      </c>
      <c r="AS131" s="230">
        <v>1118</v>
      </c>
      <c r="AT131" s="230">
        <v>3307</v>
      </c>
      <c r="AU131" s="230">
        <v>-2189</v>
      </c>
      <c r="AV131" s="229">
        <v>-0.66190000000000004</v>
      </c>
      <c r="AW131" s="230">
        <v>1059</v>
      </c>
      <c r="AX131" s="230">
        <v>1312</v>
      </c>
      <c r="AY131" s="228">
        <v>-253</v>
      </c>
      <c r="AZ131" s="229">
        <v>-0.19259999999999999</v>
      </c>
      <c r="BA131" s="228">
        <v>52</v>
      </c>
      <c r="BB131" s="230">
        <v>1898</v>
      </c>
      <c r="BC131" s="230">
        <v>-1847</v>
      </c>
      <c r="BD131" s="229">
        <v>-0.9728</v>
      </c>
      <c r="BE131" s="228">
        <v>7</v>
      </c>
      <c r="BF131" s="228">
        <v>96</v>
      </c>
      <c r="BG131" s="228">
        <v>-89</v>
      </c>
      <c r="BH131" s="229">
        <v>-0.92810000000000004</v>
      </c>
      <c r="BI131" s="230">
        <v>19740</v>
      </c>
      <c r="BJ131" s="230">
        <v>814759</v>
      </c>
      <c r="BK131" s="230">
        <v>-795019</v>
      </c>
      <c r="BL131" s="229">
        <v>-0.9758</v>
      </c>
      <c r="BM131" s="230">
        <v>16944</v>
      </c>
      <c r="BN131" s="230">
        <v>717894</v>
      </c>
      <c r="BO131" s="230">
        <v>-700950</v>
      </c>
      <c r="BP131" s="229">
        <v>-0.97640000000000005</v>
      </c>
      <c r="BQ131" s="230">
        <v>37802</v>
      </c>
      <c r="BR131" s="230">
        <v>1535960</v>
      </c>
      <c r="BS131" s="230">
        <v>-1498158</v>
      </c>
      <c r="BT131" s="229">
        <v>-0.97540000000000004</v>
      </c>
      <c r="BU131" s="228">
        <v>0</v>
      </c>
      <c r="BV131" s="228">
        <v>0</v>
      </c>
      <c r="BW131" s="228">
        <v>0</v>
      </c>
      <c r="BX131" s="229">
        <v>0</v>
      </c>
      <c r="BY131" s="230">
        <v>3447</v>
      </c>
      <c r="BZ131" s="230">
        <v>3498</v>
      </c>
      <c r="CA131" s="228">
        <v>-51</v>
      </c>
      <c r="CB131" s="229">
        <v>-1.46E-2</v>
      </c>
      <c r="CC131" s="230">
        <v>3357</v>
      </c>
      <c r="CD131" s="228">
        <v>556</v>
      </c>
      <c r="CE131" s="230">
        <v>2801</v>
      </c>
      <c r="CF131" s="229">
        <v>5.0366999999999997</v>
      </c>
      <c r="CG131" s="228">
        <v>87</v>
      </c>
      <c r="CH131" s="230">
        <v>3416</v>
      </c>
      <c r="CI131" s="230">
        <v>-3329</v>
      </c>
      <c r="CJ131" s="229">
        <v>-0.97470000000000001</v>
      </c>
      <c r="CK131" s="228">
        <v>3</v>
      </c>
      <c r="CL131" s="228">
        <v>82</v>
      </c>
      <c r="CM131" s="228">
        <v>-79</v>
      </c>
      <c r="CN131" s="229">
        <v>-0.95889999999999997</v>
      </c>
      <c r="CO131" s="230">
        <v>4763</v>
      </c>
      <c r="CP131" s="230">
        <v>2551</v>
      </c>
      <c r="CQ131" s="230">
        <v>2212</v>
      </c>
      <c r="CR131" s="229">
        <v>0.8669</v>
      </c>
      <c r="CS131" s="230">
        <v>5415</v>
      </c>
      <c r="CT131" s="230">
        <v>2715</v>
      </c>
      <c r="CU131" s="230">
        <v>2701</v>
      </c>
      <c r="CV131" s="229">
        <v>0.99470000000000003</v>
      </c>
      <c r="CW131" s="230">
        <v>13625</v>
      </c>
      <c r="CX131" s="230">
        <v>8764</v>
      </c>
      <c r="CY131" s="230">
        <v>4861</v>
      </c>
      <c r="CZ131" s="229">
        <v>0.55469999999999997</v>
      </c>
      <c r="DA131" s="228">
        <v>20.54</v>
      </c>
      <c r="DB131" s="228">
        <v>21.55</v>
      </c>
      <c r="DC131" s="228">
        <v>-1.01</v>
      </c>
      <c r="DD131" s="228">
        <v>-1.01</v>
      </c>
      <c r="DE131" s="228">
        <v>21.71</v>
      </c>
      <c r="DF131" s="228">
        <v>21.67</v>
      </c>
      <c r="DG131" s="228">
        <v>-1.17</v>
      </c>
      <c r="DH131" s="228">
        <v>0.04</v>
      </c>
      <c r="DI131" s="228">
        <v>19.3</v>
      </c>
      <c r="DJ131" s="228">
        <v>20.58</v>
      </c>
      <c r="DK131" s="228">
        <v>-1.28</v>
      </c>
      <c r="DL131" s="228">
        <v>-1.28</v>
      </c>
      <c r="DM131" s="228">
        <v>21.98</v>
      </c>
      <c r="DN131" s="228">
        <v>22.74</v>
      </c>
      <c r="DO131" s="228">
        <v>-0.76</v>
      </c>
      <c r="DP131" s="228">
        <v>-0.76</v>
      </c>
      <c r="DQ131" s="228">
        <v>1.1399999999999999</v>
      </c>
      <c r="DR131" s="228">
        <v>1.06</v>
      </c>
      <c r="DS131" s="228">
        <v>0.08</v>
      </c>
      <c r="DT131" s="229">
        <v>7.5499999999999998E-2</v>
      </c>
      <c r="DU131" s="231">
        <v>14000</v>
      </c>
      <c r="DV131" s="231">
        <v>13000</v>
      </c>
      <c r="DW131" s="228">
        <v>0.86</v>
      </c>
      <c r="DX131" s="228">
        <v>0.88</v>
      </c>
      <c r="DY131" s="228">
        <v>-0.02</v>
      </c>
      <c r="DZ131" s="229">
        <v>-2.2700000000000001E-2</v>
      </c>
      <c r="EA131" s="229">
        <v>2.6100000000000002E-2</v>
      </c>
      <c r="EB131" s="230">
        <v>2608680</v>
      </c>
      <c r="EC131" s="229">
        <v>5.0000000000000001E-3</v>
      </c>
      <c r="ED131" s="229">
        <v>2.6100000000000002E-2</v>
      </c>
      <c r="EE131" s="228">
        <v>70.150000000000006</v>
      </c>
      <c r="EF131" s="229">
        <v>5.3E-3</v>
      </c>
      <c r="EG131" s="228">
        <v>0</v>
      </c>
      <c r="EH131" s="228">
        <v>0</v>
      </c>
      <c r="EI131" s="229">
        <v>0</v>
      </c>
      <c r="EJ131" s="229">
        <v>0</v>
      </c>
      <c r="EK131" s="231">
        <v>20421.22</v>
      </c>
      <c r="EL131" s="231">
        <v>16375.93</v>
      </c>
      <c r="EM131" s="231">
        <v>1110.3900000000001</v>
      </c>
      <c r="EN131" s="228">
        <v>0</v>
      </c>
      <c r="EO131" s="231">
        <v>37907.53</v>
      </c>
      <c r="EP131" s="231">
        <v>1499830.48</v>
      </c>
      <c r="EQ131" s="231">
        <v>-1461922.95</v>
      </c>
      <c r="ER131" s="229">
        <v>-0.97470000000000001</v>
      </c>
      <c r="ES131" s="231">
        <v>4897.34</v>
      </c>
      <c r="ET131" s="231">
        <v>5152.84</v>
      </c>
      <c r="EU131" s="231">
        <v>3447.45</v>
      </c>
      <c r="EV131" s="228">
        <v>0</v>
      </c>
      <c r="EW131" s="231">
        <v>13497.63</v>
      </c>
      <c r="EX131" s="231">
        <v>8657.56</v>
      </c>
      <c r="EY131" s="231">
        <v>4840.07</v>
      </c>
      <c r="EZ131" s="229">
        <v>0.55910000000000004</v>
      </c>
      <c r="FA131" s="229">
        <v>0</v>
      </c>
      <c r="FB131" s="227" t="s">
        <v>556</v>
      </c>
      <c r="FC131">
        <f t="shared" ref="FC131:FC147" si="2">BY131-CC131</f>
        <v>90</v>
      </c>
    </row>
    <row r="132" spans="1:159" ht="17.25" thickBot="1" x14ac:dyDescent="0.3">
      <c r="A132" s="226">
        <v>46050</v>
      </c>
      <c r="B132" s="227" t="s">
        <v>162</v>
      </c>
      <c r="C132" s="227" t="s">
        <v>559</v>
      </c>
      <c r="D132" s="228">
        <v>6150</v>
      </c>
      <c r="E132" s="228">
        <v>27</v>
      </c>
      <c r="F132" s="228">
        <v>111.88</v>
      </c>
      <c r="G132" s="228">
        <v>110.23</v>
      </c>
      <c r="H132" s="228">
        <v>1.65</v>
      </c>
      <c r="I132" s="229">
        <v>1.4999999999999999E-2</v>
      </c>
      <c r="J132" s="228">
        <v>111.43</v>
      </c>
      <c r="K132" s="228">
        <v>109.67</v>
      </c>
      <c r="L132" s="228">
        <v>1.76</v>
      </c>
      <c r="M132" s="229">
        <v>1.6E-2</v>
      </c>
      <c r="N132" s="228">
        <v>111.88</v>
      </c>
      <c r="O132" s="228">
        <v>109.67</v>
      </c>
      <c r="P132" s="228">
        <v>2.21</v>
      </c>
      <c r="Q132" s="229">
        <v>2.0199999999999999E-2</v>
      </c>
      <c r="R132" s="228">
        <v>112.55</v>
      </c>
      <c r="S132" s="228">
        <v>110.23</v>
      </c>
      <c r="T132" s="228">
        <v>2.3199999999999998</v>
      </c>
      <c r="U132" s="229">
        <v>2.1000000000000001E-2</v>
      </c>
      <c r="V132" s="228">
        <v>113.32</v>
      </c>
      <c r="W132" s="228">
        <v>111.11</v>
      </c>
      <c r="X132" s="228">
        <v>2.21</v>
      </c>
      <c r="Y132" s="229">
        <v>1.9900000000000001E-2</v>
      </c>
      <c r="Z132" s="228">
        <v>0.45</v>
      </c>
      <c r="AA132" s="228">
        <v>0.56000000000000005</v>
      </c>
      <c r="AB132" s="228">
        <v>-0.11</v>
      </c>
      <c r="AC132" s="229">
        <v>4.0000000000000001E-3</v>
      </c>
      <c r="AD132" s="228">
        <v>0.45</v>
      </c>
      <c r="AE132" s="228">
        <v>0</v>
      </c>
      <c r="AF132" s="228">
        <v>0.45</v>
      </c>
      <c r="AG132" s="229">
        <v>4.0000000000000001E-3</v>
      </c>
      <c r="AH132" s="228">
        <v>1.1200000000000001</v>
      </c>
      <c r="AI132" s="228">
        <v>0.56000000000000005</v>
      </c>
      <c r="AJ132" s="228">
        <v>0.56000000000000005</v>
      </c>
      <c r="AK132" s="229">
        <v>1.01E-2</v>
      </c>
      <c r="AL132" s="228">
        <v>1.89</v>
      </c>
      <c r="AM132" s="228">
        <v>1.44</v>
      </c>
      <c r="AN132" s="228">
        <v>0.45</v>
      </c>
      <c r="AO132" s="229">
        <v>1.7000000000000001E-2</v>
      </c>
      <c r="AP132" s="228">
        <v>110.59</v>
      </c>
      <c r="AQ132" s="228">
        <v>111.28</v>
      </c>
      <c r="AR132" s="228">
        <v>0</v>
      </c>
      <c r="AS132" s="228">
        <v>298</v>
      </c>
      <c r="AT132" s="228">
        <v>852</v>
      </c>
      <c r="AU132" s="228">
        <v>-554</v>
      </c>
      <c r="AV132" s="229">
        <v>-0.65010000000000001</v>
      </c>
      <c r="AW132" s="228">
        <v>284</v>
      </c>
      <c r="AX132" s="228">
        <v>375</v>
      </c>
      <c r="AY132" s="228">
        <v>-91</v>
      </c>
      <c r="AZ132" s="229">
        <v>-0.2427</v>
      </c>
      <c r="BA132" s="228">
        <v>13</v>
      </c>
      <c r="BB132" s="228">
        <v>463</v>
      </c>
      <c r="BC132" s="228">
        <v>-450</v>
      </c>
      <c r="BD132" s="229">
        <v>-0.9728</v>
      </c>
      <c r="BE132" s="228">
        <v>1</v>
      </c>
      <c r="BF132" s="228">
        <v>14</v>
      </c>
      <c r="BG132" s="228">
        <v>-13</v>
      </c>
      <c r="BH132" s="229">
        <v>-0.89710000000000001</v>
      </c>
      <c r="BI132" s="228">
        <v>307</v>
      </c>
      <c r="BJ132" s="228">
        <v>685</v>
      </c>
      <c r="BK132" s="228">
        <v>-378</v>
      </c>
      <c r="BL132" s="229">
        <v>-0.55179999999999996</v>
      </c>
      <c r="BM132" s="228">
        <v>102</v>
      </c>
      <c r="BN132" s="228">
        <v>354</v>
      </c>
      <c r="BO132" s="228">
        <v>-252</v>
      </c>
      <c r="BP132" s="229">
        <v>-0.7107</v>
      </c>
      <c r="BQ132" s="228">
        <v>708</v>
      </c>
      <c r="BR132" s="230">
        <v>1891</v>
      </c>
      <c r="BS132" s="230">
        <v>-1183</v>
      </c>
      <c r="BT132" s="229">
        <v>-0.62580000000000002</v>
      </c>
      <c r="BU132" s="230">
        <v>12696794</v>
      </c>
      <c r="BV132" s="230">
        <v>10305374</v>
      </c>
      <c r="BW132" s="230">
        <v>2391420</v>
      </c>
      <c r="BX132" s="229">
        <v>0.2321</v>
      </c>
      <c r="BY132" s="230">
        <v>1939</v>
      </c>
      <c r="BZ132" s="230">
        <v>1925</v>
      </c>
      <c r="CA132" s="228">
        <v>13</v>
      </c>
      <c r="CB132" s="229">
        <v>7.0000000000000001E-3</v>
      </c>
      <c r="CC132" s="230">
        <v>1907</v>
      </c>
      <c r="CD132" s="228">
        <v>72</v>
      </c>
      <c r="CE132" s="230">
        <v>1835</v>
      </c>
      <c r="CF132" s="229">
        <v>25.494299999999999</v>
      </c>
      <c r="CG132" s="228">
        <v>31</v>
      </c>
      <c r="CH132" s="230">
        <v>1895</v>
      </c>
      <c r="CI132" s="230">
        <v>-1864</v>
      </c>
      <c r="CJ132" s="229">
        <v>-0.98360000000000003</v>
      </c>
      <c r="CK132" s="228">
        <v>1</v>
      </c>
      <c r="CL132" s="228">
        <v>30</v>
      </c>
      <c r="CM132" s="228">
        <v>-29</v>
      </c>
      <c r="CN132" s="229">
        <v>-0.97240000000000004</v>
      </c>
      <c r="CO132" s="228">
        <v>253</v>
      </c>
      <c r="CP132" s="228">
        <v>237</v>
      </c>
      <c r="CQ132" s="228">
        <v>16</v>
      </c>
      <c r="CR132" s="229">
        <v>6.5799999999999997E-2</v>
      </c>
      <c r="CS132" s="228">
        <v>206</v>
      </c>
      <c r="CT132" s="228">
        <v>189</v>
      </c>
      <c r="CU132" s="228">
        <v>17</v>
      </c>
      <c r="CV132" s="229">
        <v>9.0300000000000005E-2</v>
      </c>
      <c r="CW132" s="230">
        <v>2398</v>
      </c>
      <c r="CX132" s="230">
        <v>2352</v>
      </c>
      <c r="CY132" s="228">
        <v>46</v>
      </c>
      <c r="CZ132" s="229">
        <v>1.9599999999999999E-2</v>
      </c>
      <c r="DA132" s="228">
        <v>38.369999999999997</v>
      </c>
      <c r="DB132" s="228">
        <v>40.58</v>
      </c>
      <c r="DC132" s="228">
        <v>-2.21</v>
      </c>
      <c r="DD132" s="228">
        <v>-2.21</v>
      </c>
      <c r="DE132" s="228">
        <v>38.08</v>
      </c>
      <c r="DF132" s="228">
        <v>38.119999999999997</v>
      </c>
      <c r="DG132" s="228">
        <v>0.28999999999999998</v>
      </c>
      <c r="DH132" s="228">
        <v>-0.04</v>
      </c>
      <c r="DI132" s="228">
        <v>37.93</v>
      </c>
      <c r="DJ132" s="228">
        <v>40.340000000000003</v>
      </c>
      <c r="DK132" s="228">
        <v>-2.41</v>
      </c>
      <c r="DL132" s="228">
        <v>-2.41</v>
      </c>
      <c r="DM132" s="228">
        <v>39.67</v>
      </c>
      <c r="DN132" s="228">
        <v>41.01</v>
      </c>
      <c r="DO132" s="228">
        <v>-1.34</v>
      </c>
      <c r="DP132" s="228">
        <v>-1.34</v>
      </c>
      <c r="DQ132" s="228">
        <v>0.81</v>
      </c>
      <c r="DR132" s="228">
        <v>0.8</v>
      </c>
      <c r="DS132" s="228">
        <v>0.01</v>
      </c>
      <c r="DT132" s="229">
        <v>1.2500000000000001E-2</v>
      </c>
      <c r="DU132" s="228">
        <v>120</v>
      </c>
      <c r="DV132" s="228">
        <v>110</v>
      </c>
      <c r="DW132" s="228">
        <v>0.33</v>
      </c>
      <c r="DX132" s="228">
        <v>0.52</v>
      </c>
      <c r="DY132" s="228">
        <v>-0.19</v>
      </c>
      <c r="DZ132" s="229">
        <v>-0.3654</v>
      </c>
      <c r="EA132" s="229">
        <v>1.6400000000000001E-2</v>
      </c>
      <c r="EB132" s="230">
        <v>172083150</v>
      </c>
      <c r="EC132" s="229">
        <v>6.0000000000000001E-3</v>
      </c>
      <c r="ED132" s="229">
        <v>1.6400000000000001E-2</v>
      </c>
      <c r="EE132" s="228">
        <v>0.69</v>
      </c>
      <c r="EF132" s="229">
        <v>6.1999999999999998E-3</v>
      </c>
      <c r="EG132" s="230">
        <v>6664411</v>
      </c>
      <c r="EH132" s="230">
        <v>4242518</v>
      </c>
      <c r="EI132" s="229">
        <v>0.57089999999999996</v>
      </c>
      <c r="EJ132" s="229">
        <v>0.52490000000000003</v>
      </c>
      <c r="EK132" s="228">
        <v>328.54</v>
      </c>
      <c r="EL132" s="228">
        <v>99.48</v>
      </c>
      <c r="EM132" s="228">
        <v>294.60000000000002</v>
      </c>
      <c r="EN132" s="228">
        <v>192.2</v>
      </c>
      <c r="EO132" s="228">
        <v>722.62</v>
      </c>
      <c r="EP132" s="231">
        <v>1897.59</v>
      </c>
      <c r="EQ132" s="231">
        <v>-1174.96</v>
      </c>
      <c r="ER132" s="229">
        <v>-0.61919999999999997</v>
      </c>
      <c r="ES132" s="228">
        <v>266.56</v>
      </c>
      <c r="ET132" s="228">
        <v>198.23</v>
      </c>
      <c r="EU132" s="231">
        <v>1938.88</v>
      </c>
      <c r="EV132" s="231">
        <v>606151620</v>
      </c>
      <c r="EW132" s="231">
        <v>2403.67</v>
      </c>
      <c r="EX132" s="231">
        <v>2329.5</v>
      </c>
      <c r="EY132" s="228">
        <v>74.17</v>
      </c>
      <c r="EZ132" s="229">
        <v>3.1800000000000002E-2</v>
      </c>
      <c r="FA132" s="229">
        <v>0.35360000000000003</v>
      </c>
      <c r="FB132" s="227" t="s">
        <v>555</v>
      </c>
      <c r="FC132">
        <f t="shared" si="2"/>
        <v>32</v>
      </c>
    </row>
    <row r="133" spans="1:159" ht="17.25" thickBot="1" x14ac:dyDescent="0.3">
      <c r="A133" s="226">
        <v>46050</v>
      </c>
      <c r="B133" s="227" t="s">
        <v>221</v>
      </c>
      <c r="C133" s="227" t="s">
        <v>487</v>
      </c>
      <c r="D133" s="228">
        <v>275</v>
      </c>
      <c r="E133" s="228">
        <v>27</v>
      </c>
      <c r="F133" s="231">
        <v>2843.6</v>
      </c>
      <c r="G133" s="231">
        <v>2826</v>
      </c>
      <c r="H133" s="228">
        <v>17.600000000000001</v>
      </c>
      <c r="I133" s="229">
        <v>6.1999999999999998E-3</v>
      </c>
      <c r="J133" s="231">
        <v>2833.7</v>
      </c>
      <c r="K133" s="231">
        <v>2806.1</v>
      </c>
      <c r="L133" s="228">
        <v>27.6</v>
      </c>
      <c r="M133" s="229">
        <v>9.7999999999999997E-3</v>
      </c>
      <c r="N133" s="231">
        <v>2843.6</v>
      </c>
      <c r="O133" s="231">
        <v>2814.8</v>
      </c>
      <c r="P133" s="228">
        <v>28.8</v>
      </c>
      <c r="Q133" s="229">
        <v>1.0200000000000001E-2</v>
      </c>
      <c r="R133" s="231">
        <v>2861.2</v>
      </c>
      <c r="S133" s="231">
        <v>2826</v>
      </c>
      <c r="T133" s="228">
        <v>35.200000000000003</v>
      </c>
      <c r="U133" s="229">
        <v>1.2500000000000001E-2</v>
      </c>
      <c r="V133" s="228">
        <v>0</v>
      </c>
      <c r="W133" s="231">
        <v>2846</v>
      </c>
      <c r="X133" s="228">
        <v>0</v>
      </c>
      <c r="Y133" s="229">
        <v>0</v>
      </c>
      <c r="Z133" s="228">
        <v>9.9</v>
      </c>
      <c r="AA133" s="228">
        <v>19.899999999999999</v>
      </c>
      <c r="AB133" s="228">
        <v>-10</v>
      </c>
      <c r="AC133" s="229">
        <v>3.5000000000000001E-3</v>
      </c>
      <c r="AD133" s="228">
        <v>9.9</v>
      </c>
      <c r="AE133" s="228">
        <v>8.6999999999999993</v>
      </c>
      <c r="AF133" s="228">
        <v>1.2</v>
      </c>
      <c r="AG133" s="229">
        <v>3.5000000000000001E-3</v>
      </c>
      <c r="AH133" s="228">
        <v>27.5</v>
      </c>
      <c r="AI133" s="228">
        <v>19.899999999999999</v>
      </c>
      <c r="AJ133" s="228">
        <v>7.6</v>
      </c>
      <c r="AK133" s="229">
        <v>9.7000000000000003E-3</v>
      </c>
      <c r="AL133" s="228">
        <v>0</v>
      </c>
      <c r="AM133" s="228">
        <v>39.9</v>
      </c>
      <c r="AN133" s="228">
        <v>0</v>
      </c>
      <c r="AO133" s="229">
        <v>0</v>
      </c>
      <c r="AP133" s="231">
        <v>2843.26</v>
      </c>
      <c r="AQ133" s="231">
        <v>2857.61</v>
      </c>
      <c r="AR133" s="228">
        <v>0</v>
      </c>
      <c r="AS133" s="228">
        <v>146</v>
      </c>
      <c r="AT133" s="228">
        <v>712</v>
      </c>
      <c r="AU133" s="228">
        <v>-566</v>
      </c>
      <c r="AV133" s="229">
        <v>-0.79459999999999997</v>
      </c>
      <c r="AW133" s="228">
        <v>143</v>
      </c>
      <c r="AX133" s="228">
        <v>278</v>
      </c>
      <c r="AY133" s="228">
        <v>-135</v>
      </c>
      <c r="AZ133" s="229">
        <v>-0.4854</v>
      </c>
      <c r="BA133" s="228">
        <v>3</v>
      </c>
      <c r="BB133" s="228">
        <v>429</v>
      </c>
      <c r="BC133" s="228">
        <v>-426</v>
      </c>
      <c r="BD133" s="229">
        <v>-0.99309999999999998</v>
      </c>
      <c r="BE133" s="228">
        <v>0</v>
      </c>
      <c r="BF133" s="228">
        <v>4</v>
      </c>
      <c r="BG133" s="228">
        <v>0</v>
      </c>
      <c r="BH133" s="229">
        <v>0</v>
      </c>
      <c r="BI133" s="228">
        <v>195</v>
      </c>
      <c r="BJ133" s="228">
        <v>542</v>
      </c>
      <c r="BK133" s="228">
        <v>-347</v>
      </c>
      <c r="BL133" s="229">
        <v>-0.63980000000000004</v>
      </c>
      <c r="BM133" s="228">
        <v>102</v>
      </c>
      <c r="BN133" s="228">
        <v>336</v>
      </c>
      <c r="BO133" s="228">
        <v>-235</v>
      </c>
      <c r="BP133" s="229">
        <v>-0.69740000000000002</v>
      </c>
      <c r="BQ133" s="228">
        <v>443</v>
      </c>
      <c r="BR133" s="230">
        <v>1590</v>
      </c>
      <c r="BS133" s="230">
        <v>-1147</v>
      </c>
      <c r="BT133" s="229">
        <v>-0.72130000000000005</v>
      </c>
      <c r="BU133" s="230">
        <v>226946</v>
      </c>
      <c r="BV133" s="230">
        <v>512284</v>
      </c>
      <c r="BW133" s="230">
        <v>-285338</v>
      </c>
      <c r="BX133" s="229">
        <v>-0.55700000000000005</v>
      </c>
      <c r="BY133" s="230">
        <v>1319</v>
      </c>
      <c r="BZ133" s="230">
        <v>1308</v>
      </c>
      <c r="CA133" s="228">
        <v>11</v>
      </c>
      <c r="CB133" s="229">
        <v>8.0999999999999996E-3</v>
      </c>
      <c r="CC133" s="230">
        <v>1311</v>
      </c>
      <c r="CD133" s="228">
        <v>55</v>
      </c>
      <c r="CE133" s="230">
        <v>1256</v>
      </c>
      <c r="CF133" s="229">
        <v>22.822399999999998</v>
      </c>
      <c r="CG133" s="228">
        <v>8</v>
      </c>
      <c r="CH133" s="230">
        <v>1301</v>
      </c>
      <c r="CI133" s="230">
        <v>-1294</v>
      </c>
      <c r="CJ133" s="229">
        <v>-0.99419999999999997</v>
      </c>
      <c r="CK133" s="228">
        <v>0</v>
      </c>
      <c r="CL133" s="228">
        <v>7</v>
      </c>
      <c r="CM133" s="228">
        <v>-7</v>
      </c>
      <c r="CN133" s="229">
        <v>-1</v>
      </c>
      <c r="CO133" s="228">
        <v>120</v>
      </c>
      <c r="CP133" s="228">
        <v>111</v>
      </c>
      <c r="CQ133" s="228">
        <v>9</v>
      </c>
      <c r="CR133" s="229">
        <v>8.5300000000000001E-2</v>
      </c>
      <c r="CS133" s="228">
        <v>89</v>
      </c>
      <c r="CT133" s="228">
        <v>79</v>
      </c>
      <c r="CU133" s="228">
        <v>11</v>
      </c>
      <c r="CV133" s="229">
        <v>0.13550000000000001</v>
      </c>
      <c r="CW133" s="230">
        <v>1529</v>
      </c>
      <c r="CX133" s="230">
        <v>1498</v>
      </c>
      <c r="CY133" s="228">
        <v>31</v>
      </c>
      <c r="CZ133" s="229">
        <v>2.0500000000000001E-2</v>
      </c>
      <c r="DA133" s="228">
        <v>30.12</v>
      </c>
      <c r="DB133" s="228">
        <v>31.51</v>
      </c>
      <c r="DC133" s="228">
        <v>-1.39</v>
      </c>
      <c r="DD133" s="228">
        <v>-1.39</v>
      </c>
      <c r="DE133" s="228">
        <v>35.17</v>
      </c>
      <c r="DF133" s="228">
        <v>35.24</v>
      </c>
      <c r="DG133" s="228">
        <v>-5.05</v>
      </c>
      <c r="DH133" s="228">
        <v>-7.0000000000000007E-2</v>
      </c>
      <c r="DI133" s="228">
        <v>29.46</v>
      </c>
      <c r="DJ133" s="228">
        <v>31.05</v>
      </c>
      <c r="DK133" s="228">
        <v>-1.59</v>
      </c>
      <c r="DL133" s="228">
        <v>-1.59</v>
      </c>
      <c r="DM133" s="228">
        <v>31.38</v>
      </c>
      <c r="DN133" s="228">
        <v>32.29</v>
      </c>
      <c r="DO133" s="228">
        <v>-0.91</v>
      </c>
      <c r="DP133" s="228">
        <v>-0.91</v>
      </c>
      <c r="DQ133" s="228">
        <v>0.74</v>
      </c>
      <c r="DR133" s="228">
        <v>0.71</v>
      </c>
      <c r="DS133" s="228">
        <v>0.03</v>
      </c>
      <c r="DT133" s="229">
        <v>4.2299999999999997E-2</v>
      </c>
      <c r="DU133" s="231">
        <v>2900</v>
      </c>
      <c r="DV133" s="231">
        <v>2800</v>
      </c>
      <c r="DW133" s="228">
        <v>0.52</v>
      </c>
      <c r="DX133" s="228">
        <v>0.62</v>
      </c>
      <c r="DY133" s="228">
        <v>-0.1</v>
      </c>
      <c r="DZ133" s="229">
        <v>-0.1613</v>
      </c>
      <c r="EA133" s="229">
        <v>5.7999999999999996E-3</v>
      </c>
      <c r="EB133" s="230">
        <v>4601300</v>
      </c>
      <c r="EC133" s="229">
        <v>6.1999999999999998E-3</v>
      </c>
      <c r="ED133" s="229">
        <v>5.7999999999999996E-3</v>
      </c>
      <c r="EE133" s="228">
        <v>14.35</v>
      </c>
      <c r="EF133" s="229">
        <v>5.0000000000000001E-3</v>
      </c>
      <c r="EG133" s="230">
        <v>109896</v>
      </c>
      <c r="EH133" s="230">
        <v>278908</v>
      </c>
      <c r="EI133" s="229">
        <v>-0.60599999999999998</v>
      </c>
      <c r="EJ133" s="229">
        <v>0.48420000000000002</v>
      </c>
      <c r="EK133" s="228">
        <v>207.36</v>
      </c>
      <c r="EL133" s="228">
        <v>97.18</v>
      </c>
      <c r="EM133" s="228">
        <v>146.22999999999999</v>
      </c>
      <c r="EN133" s="228">
        <v>169.72</v>
      </c>
      <c r="EO133" s="228">
        <v>450.77</v>
      </c>
      <c r="EP133" s="231">
        <v>1579.94</v>
      </c>
      <c r="EQ133" s="231">
        <v>-1129.17</v>
      </c>
      <c r="ER133" s="229">
        <v>-0.7147</v>
      </c>
      <c r="ES133" s="228">
        <v>125.11</v>
      </c>
      <c r="ET133" s="228">
        <v>83.63</v>
      </c>
      <c r="EU133" s="231">
        <v>1319.11</v>
      </c>
      <c r="EV133" s="231">
        <v>17093933</v>
      </c>
      <c r="EW133" s="231">
        <v>1527.85</v>
      </c>
      <c r="EX133" s="231">
        <v>1488.3</v>
      </c>
      <c r="EY133" s="228">
        <v>39.549999999999997</v>
      </c>
      <c r="EZ133" s="229">
        <v>2.6599999999999999E-2</v>
      </c>
      <c r="FA133" s="229">
        <v>0.3145</v>
      </c>
      <c r="FB133" s="227" t="s">
        <v>555</v>
      </c>
      <c r="FC133">
        <f t="shared" si="2"/>
        <v>8</v>
      </c>
    </row>
    <row r="134" spans="1:159" ht="17.25" thickBot="1" x14ac:dyDescent="0.3">
      <c r="A134" s="226">
        <v>46050</v>
      </c>
      <c r="B134" s="227" t="s">
        <v>175</v>
      </c>
      <c r="C134" s="227" t="s">
        <v>262</v>
      </c>
      <c r="D134" s="228">
        <v>275</v>
      </c>
      <c r="E134" s="228">
        <v>27</v>
      </c>
      <c r="F134" s="231">
        <v>3986.5</v>
      </c>
      <c r="G134" s="231">
        <v>3889.7</v>
      </c>
      <c r="H134" s="228">
        <v>96.8</v>
      </c>
      <c r="I134" s="229">
        <v>2.4899999999999999E-2</v>
      </c>
      <c r="J134" s="231">
        <v>3955.5</v>
      </c>
      <c r="K134" s="231">
        <v>3867.4</v>
      </c>
      <c r="L134" s="228">
        <v>88.1</v>
      </c>
      <c r="M134" s="229">
        <v>2.2800000000000001E-2</v>
      </c>
      <c r="N134" s="231">
        <v>3986.5</v>
      </c>
      <c r="O134" s="231">
        <v>3864.6</v>
      </c>
      <c r="P134" s="228">
        <v>121.9</v>
      </c>
      <c r="Q134" s="229">
        <v>3.15E-2</v>
      </c>
      <c r="R134" s="231">
        <v>4008.6</v>
      </c>
      <c r="S134" s="231">
        <v>3889.7</v>
      </c>
      <c r="T134" s="228">
        <v>118.9</v>
      </c>
      <c r="U134" s="229">
        <v>3.0599999999999999E-2</v>
      </c>
      <c r="V134" s="231">
        <v>4009.2</v>
      </c>
      <c r="W134" s="231">
        <v>3913.5</v>
      </c>
      <c r="X134" s="228">
        <v>95.7</v>
      </c>
      <c r="Y134" s="229">
        <v>2.4500000000000001E-2</v>
      </c>
      <c r="Z134" s="228">
        <v>31</v>
      </c>
      <c r="AA134" s="228">
        <v>22.3</v>
      </c>
      <c r="AB134" s="228">
        <v>8.6999999999999993</v>
      </c>
      <c r="AC134" s="229">
        <v>7.7999999999999996E-3</v>
      </c>
      <c r="AD134" s="228">
        <v>31</v>
      </c>
      <c r="AE134" s="228">
        <v>-2.8</v>
      </c>
      <c r="AF134" s="228">
        <v>33.799999999999997</v>
      </c>
      <c r="AG134" s="229">
        <v>7.7999999999999996E-3</v>
      </c>
      <c r="AH134" s="228">
        <v>53.1</v>
      </c>
      <c r="AI134" s="228">
        <v>22.3</v>
      </c>
      <c r="AJ134" s="228">
        <v>30.8</v>
      </c>
      <c r="AK134" s="229">
        <v>1.34E-2</v>
      </c>
      <c r="AL134" s="228">
        <v>53.7</v>
      </c>
      <c r="AM134" s="228">
        <v>46.1</v>
      </c>
      <c r="AN134" s="228">
        <v>7.6</v>
      </c>
      <c r="AO134" s="229">
        <v>1.3599999999999999E-2</v>
      </c>
      <c r="AP134" s="231">
        <v>3964.77</v>
      </c>
      <c r="AQ134" s="231">
        <v>3987.42</v>
      </c>
      <c r="AR134" s="228">
        <v>0</v>
      </c>
      <c r="AS134" s="228">
        <v>430</v>
      </c>
      <c r="AT134" s="228">
        <v>822</v>
      </c>
      <c r="AU134" s="228">
        <v>-392</v>
      </c>
      <c r="AV134" s="229">
        <v>-0.47720000000000001</v>
      </c>
      <c r="AW134" s="228">
        <v>410</v>
      </c>
      <c r="AX134" s="228">
        <v>311</v>
      </c>
      <c r="AY134" s="228">
        <v>99</v>
      </c>
      <c r="AZ134" s="229">
        <v>0.31780000000000003</v>
      </c>
      <c r="BA134" s="228">
        <v>18</v>
      </c>
      <c r="BB134" s="228">
        <v>499</v>
      </c>
      <c r="BC134" s="228">
        <v>-481</v>
      </c>
      <c r="BD134" s="229">
        <v>-0.96379999999999999</v>
      </c>
      <c r="BE134" s="228">
        <v>2</v>
      </c>
      <c r="BF134" s="228">
        <v>12</v>
      </c>
      <c r="BG134" s="228">
        <v>-10</v>
      </c>
      <c r="BH134" s="229">
        <v>-0.8125</v>
      </c>
      <c r="BI134" s="228">
        <v>545</v>
      </c>
      <c r="BJ134" s="230">
        <v>1233</v>
      </c>
      <c r="BK134" s="228">
        <v>-687</v>
      </c>
      <c r="BL134" s="229">
        <v>-0.55759999999999998</v>
      </c>
      <c r="BM134" s="228">
        <v>238</v>
      </c>
      <c r="BN134" s="228">
        <v>806</v>
      </c>
      <c r="BO134" s="228">
        <v>-569</v>
      </c>
      <c r="BP134" s="229">
        <v>-0.70509999999999995</v>
      </c>
      <c r="BQ134" s="230">
        <v>1213</v>
      </c>
      <c r="BR134" s="230">
        <v>2861</v>
      </c>
      <c r="BS134" s="230">
        <v>-1648</v>
      </c>
      <c r="BT134" s="229">
        <v>-0.57609999999999995</v>
      </c>
      <c r="BU134" s="230">
        <v>475085</v>
      </c>
      <c r="BV134" s="230">
        <v>515215</v>
      </c>
      <c r="BW134" s="230">
        <v>-40130</v>
      </c>
      <c r="BX134" s="229">
        <v>-7.7899999999999997E-2</v>
      </c>
      <c r="BY134" s="230">
        <v>1563</v>
      </c>
      <c r="BZ134" s="230">
        <v>1493</v>
      </c>
      <c r="CA134" s="228">
        <v>71</v>
      </c>
      <c r="CB134" s="229">
        <v>4.7300000000000002E-2</v>
      </c>
      <c r="CC134" s="230">
        <v>1537</v>
      </c>
      <c r="CD134" s="228">
        <v>56</v>
      </c>
      <c r="CE134" s="230">
        <v>1481</v>
      </c>
      <c r="CF134" s="229">
        <v>26.325500000000002</v>
      </c>
      <c r="CG134" s="228">
        <v>25</v>
      </c>
      <c r="CH134" s="230">
        <v>1471</v>
      </c>
      <c r="CI134" s="230">
        <v>-1446</v>
      </c>
      <c r="CJ134" s="229">
        <v>-0.98329999999999995</v>
      </c>
      <c r="CK134" s="228">
        <v>2</v>
      </c>
      <c r="CL134" s="228">
        <v>22</v>
      </c>
      <c r="CM134" s="228">
        <v>-20</v>
      </c>
      <c r="CN134" s="229">
        <v>-0.91</v>
      </c>
      <c r="CO134" s="228">
        <v>387</v>
      </c>
      <c r="CP134" s="228">
        <v>301</v>
      </c>
      <c r="CQ134" s="228">
        <v>86</v>
      </c>
      <c r="CR134" s="229">
        <v>0.28570000000000001</v>
      </c>
      <c r="CS134" s="228">
        <v>267</v>
      </c>
      <c r="CT134" s="228">
        <v>218</v>
      </c>
      <c r="CU134" s="228">
        <v>49</v>
      </c>
      <c r="CV134" s="229">
        <v>0.2261</v>
      </c>
      <c r="CW134" s="230">
        <v>2218</v>
      </c>
      <c r="CX134" s="230">
        <v>2012</v>
      </c>
      <c r="CY134" s="228">
        <v>206</v>
      </c>
      <c r="CZ134" s="229">
        <v>0.1024</v>
      </c>
      <c r="DA134" s="228">
        <v>39.07</v>
      </c>
      <c r="DB134" s="228">
        <v>39.42</v>
      </c>
      <c r="DC134" s="228">
        <v>-0.35</v>
      </c>
      <c r="DD134" s="228">
        <v>-0.35</v>
      </c>
      <c r="DE134" s="228">
        <v>35</v>
      </c>
      <c r="DF134" s="228">
        <v>34.93</v>
      </c>
      <c r="DG134" s="228">
        <v>4.07</v>
      </c>
      <c r="DH134" s="228">
        <v>7.0000000000000007E-2</v>
      </c>
      <c r="DI134" s="228">
        <v>38.520000000000003</v>
      </c>
      <c r="DJ134" s="228">
        <v>38.72</v>
      </c>
      <c r="DK134" s="228">
        <v>-0.2</v>
      </c>
      <c r="DL134" s="228">
        <v>-0.2</v>
      </c>
      <c r="DM134" s="228">
        <v>40.340000000000003</v>
      </c>
      <c r="DN134" s="228">
        <v>40.58</v>
      </c>
      <c r="DO134" s="228">
        <v>-0.24</v>
      </c>
      <c r="DP134" s="228">
        <v>-0.24</v>
      </c>
      <c r="DQ134" s="228">
        <v>0.69</v>
      </c>
      <c r="DR134" s="228">
        <v>0.72</v>
      </c>
      <c r="DS134" s="228">
        <v>-0.03</v>
      </c>
      <c r="DT134" s="229">
        <v>-4.1700000000000001E-2</v>
      </c>
      <c r="DU134" s="231">
        <v>3700</v>
      </c>
      <c r="DV134" s="231">
        <v>3500</v>
      </c>
      <c r="DW134" s="228">
        <v>0.44</v>
      </c>
      <c r="DX134" s="228">
        <v>0.65</v>
      </c>
      <c r="DY134" s="228">
        <v>-0.21</v>
      </c>
      <c r="DZ134" s="229">
        <v>-0.3231</v>
      </c>
      <c r="EA134" s="229">
        <v>1.7000000000000001E-2</v>
      </c>
      <c r="EB134" s="230">
        <v>3744400</v>
      </c>
      <c r="EC134" s="229">
        <v>5.4999999999999997E-3</v>
      </c>
      <c r="ED134" s="229">
        <v>1.7000000000000001E-2</v>
      </c>
      <c r="EE134" s="228">
        <v>22.65</v>
      </c>
      <c r="EF134" s="229">
        <v>5.7000000000000002E-3</v>
      </c>
      <c r="EG134" s="230">
        <v>255157</v>
      </c>
      <c r="EH134" s="230">
        <v>247559</v>
      </c>
      <c r="EI134" s="229">
        <v>3.0700000000000002E-2</v>
      </c>
      <c r="EJ134" s="229">
        <v>0.53710000000000002</v>
      </c>
      <c r="EK134" s="228">
        <v>576.02</v>
      </c>
      <c r="EL134" s="228">
        <v>229.04</v>
      </c>
      <c r="EM134" s="228">
        <v>427.74</v>
      </c>
      <c r="EN134" s="228">
        <v>136.46</v>
      </c>
      <c r="EO134" s="231">
        <v>1232.8</v>
      </c>
      <c r="EP134" s="231">
        <v>2801.32</v>
      </c>
      <c r="EQ134" s="231">
        <v>-1568.52</v>
      </c>
      <c r="ER134" s="229">
        <v>-0.55989999999999995</v>
      </c>
      <c r="ES134" s="228">
        <v>388.69</v>
      </c>
      <c r="ET134" s="228">
        <v>247.25</v>
      </c>
      <c r="EU134" s="231">
        <v>1563.45</v>
      </c>
      <c r="EV134" s="231">
        <v>14790848</v>
      </c>
      <c r="EW134" s="231">
        <v>2199.39</v>
      </c>
      <c r="EX134" s="231">
        <v>1958.98</v>
      </c>
      <c r="EY134" s="228">
        <v>240.41</v>
      </c>
      <c r="EZ134" s="229">
        <v>0.1227</v>
      </c>
      <c r="FA134" s="229">
        <v>0.37619999999999998</v>
      </c>
      <c r="FB134" s="227" t="s">
        <v>555</v>
      </c>
      <c r="FC134">
        <f t="shared" si="2"/>
        <v>26</v>
      </c>
    </row>
    <row r="135" spans="1:159" ht="17.25" thickBot="1" x14ac:dyDescent="0.3">
      <c r="A135" s="226">
        <v>46050</v>
      </c>
      <c r="B135" s="227" t="s">
        <v>227</v>
      </c>
      <c r="C135" s="227" t="s">
        <v>263</v>
      </c>
      <c r="D135" s="228">
        <v>3750</v>
      </c>
      <c r="E135" s="228">
        <v>27</v>
      </c>
      <c r="F135" s="228">
        <v>404.05</v>
      </c>
      <c r="G135" s="228">
        <v>382.05</v>
      </c>
      <c r="H135" s="228">
        <v>22</v>
      </c>
      <c r="I135" s="229">
        <v>5.7599999999999998E-2</v>
      </c>
      <c r="J135" s="228">
        <v>406.15</v>
      </c>
      <c r="K135" s="228">
        <v>384.6</v>
      </c>
      <c r="L135" s="228">
        <v>21.55</v>
      </c>
      <c r="M135" s="229">
        <v>5.6000000000000001E-2</v>
      </c>
      <c r="N135" s="228">
        <v>404.05</v>
      </c>
      <c r="O135" s="228">
        <v>384.4</v>
      </c>
      <c r="P135" s="228">
        <v>19.649999999999999</v>
      </c>
      <c r="Q135" s="229">
        <v>5.11E-2</v>
      </c>
      <c r="R135" s="228">
        <v>404.6</v>
      </c>
      <c r="S135" s="228">
        <v>382.05</v>
      </c>
      <c r="T135" s="228">
        <v>22.55</v>
      </c>
      <c r="U135" s="229">
        <v>5.8999999999999997E-2</v>
      </c>
      <c r="V135" s="228">
        <v>406.5</v>
      </c>
      <c r="W135" s="228">
        <v>382.65</v>
      </c>
      <c r="X135" s="228">
        <v>23.85</v>
      </c>
      <c r="Y135" s="229">
        <v>6.2300000000000001E-2</v>
      </c>
      <c r="Z135" s="228">
        <v>-2.1</v>
      </c>
      <c r="AA135" s="228">
        <v>-2.5499999999999998</v>
      </c>
      <c r="AB135" s="228">
        <v>0.45</v>
      </c>
      <c r="AC135" s="229">
        <v>-5.1999999999999998E-3</v>
      </c>
      <c r="AD135" s="228">
        <v>-2.1</v>
      </c>
      <c r="AE135" s="228">
        <v>-0.2</v>
      </c>
      <c r="AF135" s="228">
        <v>-1.9</v>
      </c>
      <c r="AG135" s="229">
        <v>-5.1999999999999998E-3</v>
      </c>
      <c r="AH135" s="228">
        <v>-1.55</v>
      </c>
      <c r="AI135" s="228">
        <v>-2.5499999999999998</v>
      </c>
      <c r="AJ135" s="228">
        <v>1</v>
      </c>
      <c r="AK135" s="229">
        <v>-3.8E-3</v>
      </c>
      <c r="AL135" s="228">
        <v>0.35</v>
      </c>
      <c r="AM135" s="228">
        <v>-1.95</v>
      </c>
      <c r="AN135" s="228">
        <v>2.2999999999999998</v>
      </c>
      <c r="AO135" s="229">
        <v>8.9999999999999998E-4</v>
      </c>
      <c r="AP135" s="228">
        <v>396.41</v>
      </c>
      <c r="AQ135" s="228">
        <v>397.03</v>
      </c>
      <c r="AR135" s="228">
        <v>0</v>
      </c>
      <c r="AS135" s="230">
        <v>1428</v>
      </c>
      <c r="AT135" s="230">
        <v>2007</v>
      </c>
      <c r="AU135" s="228">
        <v>-579</v>
      </c>
      <c r="AV135" s="229">
        <v>-0.28849999999999998</v>
      </c>
      <c r="AW135" s="230">
        <v>1320</v>
      </c>
      <c r="AX135" s="228">
        <v>744</v>
      </c>
      <c r="AY135" s="228">
        <v>576</v>
      </c>
      <c r="AZ135" s="229">
        <v>0.77490000000000003</v>
      </c>
      <c r="BA135" s="228">
        <v>87</v>
      </c>
      <c r="BB135" s="230">
        <v>1209</v>
      </c>
      <c r="BC135" s="230">
        <v>-1121</v>
      </c>
      <c r="BD135" s="229">
        <v>-0.92779999999999996</v>
      </c>
      <c r="BE135" s="228">
        <v>20</v>
      </c>
      <c r="BF135" s="228">
        <v>54</v>
      </c>
      <c r="BG135" s="228">
        <v>-34</v>
      </c>
      <c r="BH135" s="229">
        <v>-0.624</v>
      </c>
      <c r="BI135" s="230">
        <v>3756</v>
      </c>
      <c r="BJ135" s="230">
        <v>3156</v>
      </c>
      <c r="BK135" s="228">
        <v>600</v>
      </c>
      <c r="BL135" s="229">
        <v>0.19009999999999999</v>
      </c>
      <c r="BM135" s="230">
        <v>1607</v>
      </c>
      <c r="BN135" s="230">
        <v>1581</v>
      </c>
      <c r="BO135" s="228">
        <v>26</v>
      </c>
      <c r="BP135" s="229">
        <v>1.67E-2</v>
      </c>
      <c r="BQ135" s="230">
        <v>6791</v>
      </c>
      <c r="BR135" s="230">
        <v>6744</v>
      </c>
      <c r="BS135" s="228">
        <v>47</v>
      </c>
      <c r="BT135" s="229">
        <v>7.0000000000000001E-3</v>
      </c>
      <c r="BU135" s="230">
        <v>23886396</v>
      </c>
      <c r="BV135" s="230">
        <v>16362182</v>
      </c>
      <c r="BW135" s="230">
        <v>7524214</v>
      </c>
      <c r="BX135" s="229">
        <v>0.45989999999999998</v>
      </c>
      <c r="BY135" s="230">
        <v>1993</v>
      </c>
      <c r="BZ135" s="230">
        <v>1940</v>
      </c>
      <c r="CA135" s="228">
        <v>53</v>
      </c>
      <c r="CB135" s="229">
        <v>2.7400000000000001E-2</v>
      </c>
      <c r="CC135" s="230">
        <v>1917</v>
      </c>
      <c r="CD135" s="228">
        <v>183</v>
      </c>
      <c r="CE135" s="230">
        <v>1734</v>
      </c>
      <c r="CF135" s="229">
        <v>9.49</v>
      </c>
      <c r="CG135" s="228">
        <v>64</v>
      </c>
      <c r="CH135" s="230">
        <v>1890</v>
      </c>
      <c r="CI135" s="230">
        <v>-1826</v>
      </c>
      <c r="CJ135" s="229">
        <v>-0.96599999999999997</v>
      </c>
      <c r="CK135" s="228">
        <v>12</v>
      </c>
      <c r="CL135" s="228">
        <v>49</v>
      </c>
      <c r="CM135" s="228">
        <v>-37</v>
      </c>
      <c r="CN135" s="229">
        <v>-0.75770000000000004</v>
      </c>
      <c r="CO135" s="228">
        <v>865</v>
      </c>
      <c r="CP135" s="228">
        <v>778</v>
      </c>
      <c r="CQ135" s="228">
        <v>87</v>
      </c>
      <c r="CR135" s="229">
        <v>0.112</v>
      </c>
      <c r="CS135" s="228">
        <v>748</v>
      </c>
      <c r="CT135" s="228">
        <v>603</v>
      </c>
      <c r="CU135" s="228">
        <v>145</v>
      </c>
      <c r="CV135" s="229">
        <v>0.24030000000000001</v>
      </c>
      <c r="CW135" s="230">
        <v>3606</v>
      </c>
      <c r="CX135" s="230">
        <v>3321</v>
      </c>
      <c r="CY135" s="228">
        <v>285</v>
      </c>
      <c r="CZ135" s="229">
        <v>8.5900000000000004E-2</v>
      </c>
      <c r="DA135" s="228">
        <v>44.18</v>
      </c>
      <c r="DB135" s="228">
        <v>42.51</v>
      </c>
      <c r="DC135" s="228">
        <v>1.67</v>
      </c>
      <c r="DD135" s="228">
        <v>1.67</v>
      </c>
      <c r="DE135" s="228">
        <v>47.99</v>
      </c>
      <c r="DF135" s="228">
        <v>47.54</v>
      </c>
      <c r="DG135" s="228">
        <v>-3.81</v>
      </c>
      <c r="DH135" s="228">
        <v>0.45</v>
      </c>
      <c r="DI135" s="228">
        <v>43.64</v>
      </c>
      <c r="DJ135" s="228">
        <v>42.21</v>
      </c>
      <c r="DK135" s="228">
        <v>1.43</v>
      </c>
      <c r="DL135" s="228">
        <v>1.43</v>
      </c>
      <c r="DM135" s="228">
        <v>45.43</v>
      </c>
      <c r="DN135" s="228">
        <v>43.2</v>
      </c>
      <c r="DO135" s="228">
        <v>2.23</v>
      </c>
      <c r="DP135" s="228">
        <v>2.23</v>
      </c>
      <c r="DQ135" s="228">
        <v>0.87</v>
      </c>
      <c r="DR135" s="228">
        <v>0.78</v>
      </c>
      <c r="DS135" s="228">
        <v>0.09</v>
      </c>
      <c r="DT135" s="229">
        <v>0.1154</v>
      </c>
      <c r="DU135" s="228">
        <v>400</v>
      </c>
      <c r="DV135" s="228">
        <v>350</v>
      </c>
      <c r="DW135" s="228">
        <v>0.43</v>
      </c>
      <c r="DX135" s="228">
        <v>0.5</v>
      </c>
      <c r="DY135" s="228">
        <v>-7.0000000000000007E-2</v>
      </c>
      <c r="DZ135" s="229">
        <v>-0.14000000000000001</v>
      </c>
      <c r="EA135" s="229">
        <v>3.8199999999999998E-2</v>
      </c>
      <c r="EB135" s="230">
        <v>48011250</v>
      </c>
      <c r="EC135" s="229">
        <v>1.4E-3</v>
      </c>
      <c r="ED135" s="229">
        <v>3.8199999999999998E-2</v>
      </c>
      <c r="EE135" s="228">
        <v>0.62</v>
      </c>
      <c r="EF135" s="229">
        <v>1.6000000000000001E-3</v>
      </c>
      <c r="EG135" s="230">
        <v>6015058</v>
      </c>
      <c r="EH135" s="230">
        <v>6398299</v>
      </c>
      <c r="EI135" s="229">
        <v>-5.9900000000000002E-2</v>
      </c>
      <c r="EJ135" s="229">
        <v>0.25180000000000002</v>
      </c>
      <c r="EK135" s="231">
        <v>3904.36</v>
      </c>
      <c r="EL135" s="231">
        <v>1534.51</v>
      </c>
      <c r="EM135" s="231">
        <v>1401</v>
      </c>
      <c r="EN135" s="228">
        <v>142.47</v>
      </c>
      <c r="EO135" s="231">
        <v>6839.87</v>
      </c>
      <c r="EP135" s="231">
        <v>6385.47</v>
      </c>
      <c r="EQ135" s="228">
        <v>454.4</v>
      </c>
      <c r="ER135" s="229">
        <v>7.1199999999999999E-2</v>
      </c>
      <c r="ES135" s="228">
        <v>842.17</v>
      </c>
      <c r="ET135" s="228">
        <v>659.83</v>
      </c>
      <c r="EU135" s="231">
        <v>1993.24</v>
      </c>
      <c r="EV135" s="231">
        <v>134225816</v>
      </c>
      <c r="EW135" s="231">
        <v>3495.24</v>
      </c>
      <c r="EX135" s="231">
        <v>3091.93</v>
      </c>
      <c r="EY135" s="228">
        <v>403.31</v>
      </c>
      <c r="EZ135" s="229">
        <v>0.13039999999999999</v>
      </c>
      <c r="FA135" s="229">
        <v>0.66490000000000005</v>
      </c>
      <c r="FB135" s="227" t="s">
        <v>555</v>
      </c>
      <c r="FC135">
        <f t="shared" si="2"/>
        <v>76</v>
      </c>
    </row>
    <row r="136" spans="1:159" ht="17.25" thickBot="1" x14ac:dyDescent="0.3">
      <c r="A136" s="226">
        <v>46050</v>
      </c>
      <c r="B136" s="227" t="s">
        <v>615</v>
      </c>
      <c r="C136" s="227" t="s">
        <v>264</v>
      </c>
      <c r="D136" s="228">
        <v>375</v>
      </c>
      <c r="E136" s="228">
        <v>27</v>
      </c>
      <c r="F136" s="231">
        <v>1307.7</v>
      </c>
      <c r="G136" s="231">
        <v>1286.2</v>
      </c>
      <c r="H136" s="228">
        <v>21.5</v>
      </c>
      <c r="I136" s="229">
        <v>1.67E-2</v>
      </c>
      <c r="J136" s="231">
        <v>1299.9000000000001</v>
      </c>
      <c r="K136" s="231">
        <v>1279</v>
      </c>
      <c r="L136" s="228">
        <v>20.9</v>
      </c>
      <c r="M136" s="229">
        <v>1.6299999999999999E-2</v>
      </c>
      <c r="N136" s="231">
        <v>1307.7</v>
      </c>
      <c r="O136" s="231">
        <v>1282.4000000000001</v>
      </c>
      <c r="P136" s="228">
        <v>25.3</v>
      </c>
      <c r="Q136" s="229">
        <v>1.9699999999999999E-2</v>
      </c>
      <c r="R136" s="231">
        <v>1308</v>
      </c>
      <c r="S136" s="231">
        <v>1286.2</v>
      </c>
      <c r="T136" s="228">
        <v>21.8</v>
      </c>
      <c r="U136" s="229">
        <v>1.6899999999999998E-2</v>
      </c>
      <c r="V136" s="231">
        <v>1310</v>
      </c>
      <c r="W136" s="231">
        <v>1292.8</v>
      </c>
      <c r="X136" s="228">
        <v>17.2</v>
      </c>
      <c r="Y136" s="229">
        <v>1.3299999999999999E-2</v>
      </c>
      <c r="Z136" s="228">
        <v>7.8</v>
      </c>
      <c r="AA136" s="228">
        <v>7.2</v>
      </c>
      <c r="AB136" s="228">
        <v>0.6</v>
      </c>
      <c r="AC136" s="229">
        <v>6.0000000000000001E-3</v>
      </c>
      <c r="AD136" s="228">
        <v>7.8</v>
      </c>
      <c r="AE136" s="228">
        <v>3.4</v>
      </c>
      <c r="AF136" s="228">
        <v>4.4000000000000004</v>
      </c>
      <c r="AG136" s="229">
        <v>6.0000000000000001E-3</v>
      </c>
      <c r="AH136" s="228">
        <v>8.1</v>
      </c>
      <c r="AI136" s="228">
        <v>7.2</v>
      </c>
      <c r="AJ136" s="228">
        <v>0.9</v>
      </c>
      <c r="AK136" s="229">
        <v>6.1999999999999998E-3</v>
      </c>
      <c r="AL136" s="228">
        <v>10.1</v>
      </c>
      <c r="AM136" s="228">
        <v>13.8</v>
      </c>
      <c r="AN136" s="228">
        <v>-3.7</v>
      </c>
      <c r="AO136" s="229">
        <v>7.7999999999999996E-3</v>
      </c>
      <c r="AP136" s="231">
        <v>1293.07</v>
      </c>
      <c r="AQ136" s="231">
        <v>1286.92</v>
      </c>
      <c r="AR136" s="228">
        <v>0</v>
      </c>
      <c r="AS136" s="228">
        <v>191</v>
      </c>
      <c r="AT136" s="228">
        <v>441</v>
      </c>
      <c r="AU136" s="228">
        <v>-249</v>
      </c>
      <c r="AV136" s="229">
        <v>-0.56559999999999999</v>
      </c>
      <c r="AW136" s="228">
        <v>181</v>
      </c>
      <c r="AX136" s="228">
        <v>186</v>
      </c>
      <c r="AY136" s="228">
        <v>-5</v>
      </c>
      <c r="AZ136" s="229">
        <v>-2.4299999999999999E-2</v>
      </c>
      <c r="BA136" s="228">
        <v>10</v>
      </c>
      <c r="BB136" s="228">
        <v>250</v>
      </c>
      <c r="BC136" s="228">
        <v>-240</v>
      </c>
      <c r="BD136" s="229">
        <v>-0.95950000000000002</v>
      </c>
      <c r="BE136" s="228">
        <v>0</v>
      </c>
      <c r="BF136" s="228">
        <v>5</v>
      </c>
      <c r="BG136" s="228">
        <v>-4</v>
      </c>
      <c r="BH136" s="229">
        <v>-0.95699999999999996</v>
      </c>
      <c r="BI136" s="228">
        <v>213</v>
      </c>
      <c r="BJ136" s="228">
        <v>385</v>
      </c>
      <c r="BK136" s="228">
        <v>-173</v>
      </c>
      <c r="BL136" s="229">
        <v>-0.44800000000000001</v>
      </c>
      <c r="BM136" s="228">
        <v>132</v>
      </c>
      <c r="BN136" s="228">
        <v>434</v>
      </c>
      <c r="BO136" s="228">
        <v>-302</v>
      </c>
      <c r="BP136" s="229">
        <v>-0.6956</v>
      </c>
      <c r="BQ136" s="228">
        <v>536</v>
      </c>
      <c r="BR136" s="230">
        <v>1260</v>
      </c>
      <c r="BS136" s="228">
        <v>-723</v>
      </c>
      <c r="BT136" s="229">
        <v>-0.57440000000000002</v>
      </c>
      <c r="BU136" s="230">
        <v>1301629</v>
      </c>
      <c r="BV136" s="230">
        <v>1901692</v>
      </c>
      <c r="BW136" s="230">
        <v>-600063</v>
      </c>
      <c r="BX136" s="229">
        <v>-0.3155</v>
      </c>
      <c r="BY136" s="230">
        <v>1061</v>
      </c>
      <c r="BZ136" s="230">
        <v>1041</v>
      </c>
      <c r="CA136" s="228">
        <v>21</v>
      </c>
      <c r="CB136" s="229">
        <v>1.9900000000000001E-2</v>
      </c>
      <c r="CC136" s="230">
        <v>1051</v>
      </c>
      <c r="CD136" s="228">
        <v>34</v>
      </c>
      <c r="CE136" s="230">
        <v>1016</v>
      </c>
      <c r="CF136" s="229">
        <v>29.525600000000001</v>
      </c>
      <c r="CG136" s="228">
        <v>10</v>
      </c>
      <c r="CH136" s="230">
        <v>1034</v>
      </c>
      <c r="CI136" s="230">
        <v>-1024</v>
      </c>
      <c r="CJ136" s="229">
        <v>-0.99009999999999998</v>
      </c>
      <c r="CK136" s="228">
        <v>0</v>
      </c>
      <c r="CL136" s="228">
        <v>6</v>
      </c>
      <c r="CM136" s="228">
        <v>-6</v>
      </c>
      <c r="CN136" s="229">
        <v>-0.96919999999999995</v>
      </c>
      <c r="CO136" s="228">
        <v>141</v>
      </c>
      <c r="CP136" s="228">
        <v>108</v>
      </c>
      <c r="CQ136" s="228">
        <v>33</v>
      </c>
      <c r="CR136" s="229">
        <v>0.30990000000000001</v>
      </c>
      <c r="CS136" s="228">
        <v>125</v>
      </c>
      <c r="CT136" s="228">
        <v>104</v>
      </c>
      <c r="CU136" s="228">
        <v>22</v>
      </c>
      <c r="CV136" s="229">
        <v>0.2079</v>
      </c>
      <c r="CW136" s="230">
        <v>1328</v>
      </c>
      <c r="CX136" s="230">
        <v>1252</v>
      </c>
      <c r="CY136" s="228">
        <v>76</v>
      </c>
      <c r="CZ136" s="229">
        <v>6.0400000000000002E-2</v>
      </c>
      <c r="DA136" s="228">
        <v>35.200000000000003</v>
      </c>
      <c r="DB136" s="228">
        <v>35.909999999999997</v>
      </c>
      <c r="DC136" s="228">
        <v>-0.71</v>
      </c>
      <c r="DD136" s="228">
        <v>-0.71</v>
      </c>
      <c r="DE136" s="228">
        <v>35.21</v>
      </c>
      <c r="DF136" s="228">
        <v>35.229999999999997</v>
      </c>
      <c r="DG136" s="228">
        <v>-0.01</v>
      </c>
      <c r="DH136" s="228">
        <v>-0.02</v>
      </c>
      <c r="DI136" s="228">
        <v>33.74</v>
      </c>
      <c r="DJ136" s="228">
        <v>33.86</v>
      </c>
      <c r="DK136" s="228">
        <v>-0.12</v>
      </c>
      <c r="DL136" s="228">
        <v>-0.12</v>
      </c>
      <c r="DM136" s="228">
        <v>37.549999999999997</v>
      </c>
      <c r="DN136" s="228">
        <v>38.07</v>
      </c>
      <c r="DO136" s="228">
        <v>-0.52</v>
      </c>
      <c r="DP136" s="228">
        <v>-0.52</v>
      </c>
      <c r="DQ136" s="228">
        <v>0.88</v>
      </c>
      <c r="DR136" s="228">
        <v>0.96</v>
      </c>
      <c r="DS136" s="228">
        <v>-0.08</v>
      </c>
      <c r="DT136" s="229">
        <v>-8.3299999999999999E-2</v>
      </c>
      <c r="DU136" s="231">
        <v>1320</v>
      </c>
      <c r="DV136" s="231">
        <v>1200</v>
      </c>
      <c r="DW136" s="228">
        <v>0.62</v>
      </c>
      <c r="DX136" s="228">
        <v>1.1200000000000001</v>
      </c>
      <c r="DY136" s="228">
        <v>-0.5</v>
      </c>
      <c r="DZ136" s="229">
        <v>-0.44640000000000002</v>
      </c>
      <c r="EA136" s="229">
        <v>9.7999999999999997E-3</v>
      </c>
      <c r="EB136" s="230">
        <v>7957500</v>
      </c>
      <c r="EC136" s="229">
        <v>2.0000000000000001E-4</v>
      </c>
      <c r="ED136" s="229">
        <v>9.7999999999999997E-3</v>
      </c>
      <c r="EE136" s="228">
        <v>-6.15</v>
      </c>
      <c r="EF136" s="229">
        <v>-4.7999999999999996E-3</v>
      </c>
      <c r="EG136" s="230">
        <v>806366</v>
      </c>
      <c r="EH136" s="230">
        <v>1142336</v>
      </c>
      <c r="EI136" s="229">
        <v>-0.29409999999999997</v>
      </c>
      <c r="EJ136" s="229">
        <v>0.61950000000000005</v>
      </c>
      <c r="EK136" s="228">
        <v>224.35</v>
      </c>
      <c r="EL136" s="228">
        <v>127.24</v>
      </c>
      <c r="EM136" s="228">
        <v>189.21</v>
      </c>
      <c r="EN136" s="228">
        <v>191.25</v>
      </c>
      <c r="EO136" s="228">
        <v>540.79999999999995</v>
      </c>
      <c r="EP136" s="231">
        <v>1260.23</v>
      </c>
      <c r="EQ136" s="228">
        <v>-719.43</v>
      </c>
      <c r="ER136" s="229">
        <v>-0.57089999999999996</v>
      </c>
      <c r="ES136" s="228">
        <v>147.94999999999999</v>
      </c>
      <c r="ET136" s="228">
        <v>118.67</v>
      </c>
      <c r="EU136" s="231">
        <v>1061.3</v>
      </c>
      <c r="EV136" s="231">
        <v>45110207</v>
      </c>
      <c r="EW136" s="231">
        <v>1327.93</v>
      </c>
      <c r="EX136" s="231">
        <v>1235.26</v>
      </c>
      <c r="EY136" s="228">
        <v>92.67</v>
      </c>
      <c r="EZ136" s="229">
        <v>7.4999999999999997E-2</v>
      </c>
      <c r="FA136" s="229">
        <v>0.22509999999999999</v>
      </c>
      <c r="FB136" s="227" t="s">
        <v>555</v>
      </c>
      <c r="FC136">
        <f t="shared" si="2"/>
        <v>10</v>
      </c>
    </row>
    <row r="137" spans="1:159" ht="17.25" thickBot="1" x14ac:dyDescent="0.3">
      <c r="A137" s="226">
        <v>46050</v>
      </c>
      <c r="B137" s="227" t="s">
        <v>206</v>
      </c>
      <c r="C137" s="227" t="s">
        <v>550</v>
      </c>
      <c r="D137" s="228">
        <v>6500</v>
      </c>
      <c r="E137" s="228">
        <v>27</v>
      </c>
      <c r="F137" s="228">
        <v>99.8</v>
      </c>
      <c r="G137" s="228">
        <v>97.23</v>
      </c>
      <c r="H137" s="228">
        <v>2.57</v>
      </c>
      <c r="I137" s="229">
        <v>2.64E-2</v>
      </c>
      <c r="J137" s="228">
        <v>99.53</v>
      </c>
      <c r="K137" s="228">
        <v>96.84</v>
      </c>
      <c r="L137" s="228">
        <v>2.69</v>
      </c>
      <c r="M137" s="229">
        <v>2.7799999999999998E-2</v>
      </c>
      <c r="N137" s="228">
        <v>99.8</v>
      </c>
      <c r="O137" s="228">
        <v>96.64</v>
      </c>
      <c r="P137" s="228">
        <v>3.16</v>
      </c>
      <c r="Q137" s="229">
        <v>3.27E-2</v>
      </c>
      <c r="R137" s="228">
        <v>100.39</v>
      </c>
      <c r="S137" s="228">
        <v>97.23</v>
      </c>
      <c r="T137" s="228">
        <v>3.16</v>
      </c>
      <c r="U137" s="229">
        <v>3.2500000000000001E-2</v>
      </c>
      <c r="V137" s="228">
        <v>100.98</v>
      </c>
      <c r="W137" s="228">
        <v>98.03</v>
      </c>
      <c r="X137" s="228">
        <v>2.95</v>
      </c>
      <c r="Y137" s="229">
        <v>3.0099999999999998E-2</v>
      </c>
      <c r="Z137" s="228">
        <v>0.27</v>
      </c>
      <c r="AA137" s="228">
        <v>0.39</v>
      </c>
      <c r="AB137" s="228">
        <v>-0.12</v>
      </c>
      <c r="AC137" s="229">
        <v>2.7000000000000001E-3</v>
      </c>
      <c r="AD137" s="228">
        <v>0.27</v>
      </c>
      <c r="AE137" s="228">
        <v>-0.2</v>
      </c>
      <c r="AF137" s="228">
        <v>0.47</v>
      </c>
      <c r="AG137" s="229">
        <v>2.7000000000000001E-3</v>
      </c>
      <c r="AH137" s="228">
        <v>0.86</v>
      </c>
      <c r="AI137" s="228">
        <v>0.39</v>
      </c>
      <c r="AJ137" s="228">
        <v>0.47</v>
      </c>
      <c r="AK137" s="229">
        <v>8.6E-3</v>
      </c>
      <c r="AL137" s="228">
        <v>1.45</v>
      </c>
      <c r="AM137" s="228">
        <v>1.19</v>
      </c>
      <c r="AN137" s="228">
        <v>0.26</v>
      </c>
      <c r="AO137" s="229">
        <v>1.46E-2</v>
      </c>
      <c r="AP137" s="228">
        <v>98.54</v>
      </c>
      <c r="AQ137" s="228">
        <v>99.11</v>
      </c>
      <c r="AR137" s="228">
        <v>0</v>
      </c>
      <c r="AS137" s="228">
        <v>182</v>
      </c>
      <c r="AT137" s="228">
        <v>832</v>
      </c>
      <c r="AU137" s="228">
        <v>-650</v>
      </c>
      <c r="AV137" s="229">
        <v>-0.78169999999999995</v>
      </c>
      <c r="AW137" s="228">
        <v>172</v>
      </c>
      <c r="AX137" s="228">
        <v>384</v>
      </c>
      <c r="AY137" s="228">
        <v>-212</v>
      </c>
      <c r="AZ137" s="229">
        <v>-0.55300000000000005</v>
      </c>
      <c r="BA137" s="228">
        <v>8</v>
      </c>
      <c r="BB137" s="228">
        <v>434</v>
      </c>
      <c r="BC137" s="228">
        <v>-425</v>
      </c>
      <c r="BD137" s="229">
        <v>-0.98089999999999999</v>
      </c>
      <c r="BE137" s="228">
        <v>2</v>
      </c>
      <c r="BF137" s="228">
        <v>14</v>
      </c>
      <c r="BG137" s="228">
        <v>-13</v>
      </c>
      <c r="BH137" s="229">
        <v>-0.88529999999999998</v>
      </c>
      <c r="BI137" s="228">
        <v>289</v>
      </c>
      <c r="BJ137" s="228">
        <v>320</v>
      </c>
      <c r="BK137" s="228">
        <v>-32</v>
      </c>
      <c r="BL137" s="229">
        <v>-9.9000000000000005E-2</v>
      </c>
      <c r="BM137" s="228">
        <v>101</v>
      </c>
      <c r="BN137" s="228">
        <v>220</v>
      </c>
      <c r="BO137" s="228">
        <v>-119</v>
      </c>
      <c r="BP137" s="229">
        <v>-0.54039999999999999</v>
      </c>
      <c r="BQ137" s="228">
        <v>571</v>
      </c>
      <c r="BR137" s="230">
        <v>1373</v>
      </c>
      <c r="BS137" s="228">
        <v>-801</v>
      </c>
      <c r="BT137" s="229">
        <v>-0.5837</v>
      </c>
      <c r="BU137" s="230">
        <v>11788751</v>
      </c>
      <c r="BV137" s="230">
        <v>11220914</v>
      </c>
      <c r="BW137" s="230">
        <v>567837</v>
      </c>
      <c r="BX137" s="229">
        <v>5.0599999999999999E-2</v>
      </c>
      <c r="BY137" s="228">
        <v>855</v>
      </c>
      <c r="BZ137" s="228">
        <v>862</v>
      </c>
      <c r="CA137" s="228">
        <v>-7</v>
      </c>
      <c r="CB137" s="229">
        <v>-8.0999999999999996E-3</v>
      </c>
      <c r="CC137" s="228">
        <v>824</v>
      </c>
      <c r="CD137" s="228">
        <v>83</v>
      </c>
      <c r="CE137" s="228">
        <v>741</v>
      </c>
      <c r="CF137" s="229">
        <v>8.9560999999999993</v>
      </c>
      <c r="CG137" s="228">
        <v>30</v>
      </c>
      <c r="CH137" s="228">
        <v>833</v>
      </c>
      <c r="CI137" s="228">
        <v>-803</v>
      </c>
      <c r="CJ137" s="229">
        <v>-0.96419999999999995</v>
      </c>
      <c r="CK137" s="228">
        <v>1</v>
      </c>
      <c r="CL137" s="228">
        <v>30</v>
      </c>
      <c r="CM137" s="228">
        <v>-28</v>
      </c>
      <c r="CN137" s="229">
        <v>-0.96040000000000003</v>
      </c>
      <c r="CO137" s="228">
        <v>206</v>
      </c>
      <c r="CP137" s="228">
        <v>168</v>
      </c>
      <c r="CQ137" s="228">
        <v>38</v>
      </c>
      <c r="CR137" s="229">
        <v>0.22520000000000001</v>
      </c>
      <c r="CS137" s="228">
        <v>169</v>
      </c>
      <c r="CT137" s="228">
        <v>152</v>
      </c>
      <c r="CU137" s="228">
        <v>17</v>
      </c>
      <c r="CV137" s="229">
        <v>0.1152</v>
      </c>
      <c r="CW137" s="230">
        <v>1230</v>
      </c>
      <c r="CX137" s="230">
        <v>1182</v>
      </c>
      <c r="CY137" s="228">
        <v>48</v>
      </c>
      <c r="CZ137" s="229">
        <v>4.0899999999999999E-2</v>
      </c>
      <c r="DA137" s="228">
        <v>44.14</v>
      </c>
      <c r="DB137" s="228">
        <v>45.5</v>
      </c>
      <c r="DC137" s="228">
        <v>-1.36</v>
      </c>
      <c r="DD137" s="228">
        <v>-1.36</v>
      </c>
      <c r="DE137" s="228">
        <v>50.44</v>
      </c>
      <c r="DF137" s="228">
        <v>50.44</v>
      </c>
      <c r="DG137" s="228">
        <v>-6.3</v>
      </c>
      <c r="DH137" s="228">
        <v>0</v>
      </c>
      <c r="DI137" s="228">
        <v>43.99</v>
      </c>
      <c r="DJ137" s="228">
        <v>45.51</v>
      </c>
      <c r="DK137" s="228">
        <v>-1.52</v>
      </c>
      <c r="DL137" s="228">
        <v>-1.52</v>
      </c>
      <c r="DM137" s="228">
        <v>44.56</v>
      </c>
      <c r="DN137" s="228">
        <v>45.47</v>
      </c>
      <c r="DO137" s="228">
        <v>-0.91</v>
      </c>
      <c r="DP137" s="228">
        <v>-0.91</v>
      </c>
      <c r="DQ137" s="228">
        <v>0.82</v>
      </c>
      <c r="DR137" s="228">
        <v>0.9</v>
      </c>
      <c r="DS137" s="228">
        <v>-0.08</v>
      </c>
      <c r="DT137" s="229">
        <v>-8.8900000000000007E-2</v>
      </c>
      <c r="DU137" s="228">
        <v>100</v>
      </c>
      <c r="DV137" s="228">
        <v>100</v>
      </c>
      <c r="DW137" s="228">
        <v>0.35</v>
      </c>
      <c r="DX137" s="228">
        <v>0.69</v>
      </c>
      <c r="DY137" s="228">
        <v>-0.34</v>
      </c>
      <c r="DZ137" s="229">
        <v>-0.49280000000000002</v>
      </c>
      <c r="EA137" s="229">
        <v>3.6200000000000003E-2</v>
      </c>
      <c r="EB137" s="230">
        <v>86378500</v>
      </c>
      <c r="EC137" s="229">
        <v>5.8999999999999999E-3</v>
      </c>
      <c r="ED137" s="229">
        <v>3.6200000000000003E-2</v>
      </c>
      <c r="EE137" s="228">
        <v>0.56999999999999995</v>
      </c>
      <c r="EF137" s="229">
        <v>5.7999999999999996E-3</v>
      </c>
      <c r="EG137" s="230">
        <v>3795858</v>
      </c>
      <c r="EH137" s="230">
        <v>3181243</v>
      </c>
      <c r="EI137" s="229">
        <v>0.19320000000000001</v>
      </c>
      <c r="EJ137" s="229">
        <v>0.32200000000000001</v>
      </c>
      <c r="EK137" s="228">
        <v>310.23</v>
      </c>
      <c r="EL137" s="228">
        <v>99.5</v>
      </c>
      <c r="EM137" s="228">
        <v>179.42</v>
      </c>
      <c r="EN137" s="228">
        <v>107.19</v>
      </c>
      <c r="EO137" s="228">
        <v>589.16</v>
      </c>
      <c r="EP137" s="231">
        <v>1376.77</v>
      </c>
      <c r="EQ137" s="228">
        <v>-787.61</v>
      </c>
      <c r="ER137" s="229">
        <v>-0.57210000000000005</v>
      </c>
      <c r="ES137" s="228">
        <v>223.54</v>
      </c>
      <c r="ET137" s="228">
        <v>166.52</v>
      </c>
      <c r="EU137" s="228">
        <v>855.24</v>
      </c>
      <c r="EV137" s="231">
        <v>154894704</v>
      </c>
      <c r="EW137" s="231">
        <v>1245.3</v>
      </c>
      <c r="EX137" s="231">
        <v>1172.83</v>
      </c>
      <c r="EY137" s="228">
        <v>72.47</v>
      </c>
      <c r="EZ137" s="229">
        <v>6.1800000000000001E-2</v>
      </c>
      <c r="FA137" s="229">
        <v>0.79579999999999995</v>
      </c>
      <c r="FB137" s="227" t="s">
        <v>556</v>
      </c>
      <c r="FC137">
        <f t="shared" si="2"/>
        <v>31</v>
      </c>
    </row>
    <row r="138" spans="1:159" ht="17.25" thickBot="1" x14ac:dyDescent="0.3">
      <c r="A138" s="226">
        <v>46050</v>
      </c>
      <c r="B138" s="227" t="s">
        <v>168</v>
      </c>
      <c r="C138" s="227" t="s">
        <v>265</v>
      </c>
      <c r="D138" s="228">
        <v>500</v>
      </c>
      <c r="E138" s="228">
        <v>27</v>
      </c>
      <c r="F138" s="231">
        <v>1288.5999999999999</v>
      </c>
      <c r="G138" s="231">
        <v>1304.5999999999999</v>
      </c>
      <c r="H138" s="228">
        <v>-16</v>
      </c>
      <c r="I138" s="229">
        <v>-1.23E-2</v>
      </c>
      <c r="J138" s="231">
        <v>1292.4000000000001</v>
      </c>
      <c r="K138" s="231">
        <v>1303.3</v>
      </c>
      <c r="L138" s="228">
        <v>-10.9</v>
      </c>
      <c r="M138" s="229">
        <v>-8.3999999999999995E-3</v>
      </c>
      <c r="N138" s="231">
        <v>1288.5999999999999</v>
      </c>
      <c r="O138" s="231">
        <v>1302</v>
      </c>
      <c r="P138" s="228">
        <v>-13.4</v>
      </c>
      <c r="Q138" s="229">
        <v>-1.03E-2</v>
      </c>
      <c r="R138" s="231">
        <v>1296.5</v>
      </c>
      <c r="S138" s="231">
        <v>1304.5999999999999</v>
      </c>
      <c r="T138" s="228">
        <v>-8.1</v>
      </c>
      <c r="U138" s="229">
        <v>-6.1999999999999998E-3</v>
      </c>
      <c r="V138" s="231">
        <v>1300.8</v>
      </c>
      <c r="W138" s="231">
        <v>1313.9</v>
      </c>
      <c r="X138" s="228">
        <v>-13.1</v>
      </c>
      <c r="Y138" s="229">
        <v>-0.01</v>
      </c>
      <c r="Z138" s="228">
        <v>-3.8</v>
      </c>
      <c r="AA138" s="228">
        <v>1.3</v>
      </c>
      <c r="AB138" s="228">
        <v>-5.0999999999999996</v>
      </c>
      <c r="AC138" s="229">
        <v>-2.8999999999999998E-3</v>
      </c>
      <c r="AD138" s="228">
        <v>-3.8</v>
      </c>
      <c r="AE138" s="228">
        <v>-1.3</v>
      </c>
      <c r="AF138" s="228">
        <v>-2.5</v>
      </c>
      <c r="AG138" s="229">
        <v>-2.8999999999999998E-3</v>
      </c>
      <c r="AH138" s="228">
        <v>4.0999999999999996</v>
      </c>
      <c r="AI138" s="228">
        <v>1.3</v>
      </c>
      <c r="AJ138" s="228">
        <v>2.8</v>
      </c>
      <c r="AK138" s="229">
        <v>3.2000000000000002E-3</v>
      </c>
      <c r="AL138" s="228">
        <v>8.4</v>
      </c>
      <c r="AM138" s="228">
        <v>10.6</v>
      </c>
      <c r="AN138" s="228">
        <v>-2.2000000000000002</v>
      </c>
      <c r="AO138" s="229">
        <v>6.4999999999999997E-3</v>
      </c>
      <c r="AP138" s="231">
        <v>1287.8599999999999</v>
      </c>
      <c r="AQ138" s="231">
        <v>1292.07</v>
      </c>
      <c r="AR138" s="228">
        <v>0</v>
      </c>
      <c r="AS138" s="228">
        <v>345</v>
      </c>
      <c r="AT138" s="230">
        <v>1061</v>
      </c>
      <c r="AU138" s="228">
        <v>-716</v>
      </c>
      <c r="AV138" s="229">
        <v>-0.67479999999999996</v>
      </c>
      <c r="AW138" s="228">
        <v>328</v>
      </c>
      <c r="AX138" s="228">
        <v>462</v>
      </c>
      <c r="AY138" s="228">
        <v>-134</v>
      </c>
      <c r="AZ138" s="229">
        <v>-0.28970000000000001</v>
      </c>
      <c r="BA138" s="228">
        <v>16</v>
      </c>
      <c r="BB138" s="228">
        <v>593</v>
      </c>
      <c r="BC138" s="228">
        <v>-577</v>
      </c>
      <c r="BD138" s="229">
        <v>-0.97219999999999995</v>
      </c>
      <c r="BE138" s="228">
        <v>1</v>
      </c>
      <c r="BF138" s="228">
        <v>6</v>
      </c>
      <c r="BG138" s="228">
        <v>-5</v>
      </c>
      <c r="BH138" s="229">
        <v>-0.91010000000000002</v>
      </c>
      <c r="BI138" s="228">
        <v>344</v>
      </c>
      <c r="BJ138" s="228">
        <v>329</v>
      </c>
      <c r="BK138" s="228">
        <v>15</v>
      </c>
      <c r="BL138" s="229">
        <v>4.4200000000000003E-2</v>
      </c>
      <c r="BM138" s="228">
        <v>205</v>
      </c>
      <c r="BN138" s="228">
        <v>220</v>
      </c>
      <c r="BO138" s="228">
        <v>-15</v>
      </c>
      <c r="BP138" s="229">
        <v>-6.8400000000000002E-2</v>
      </c>
      <c r="BQ138" s="228">
        <v>894</v>
      </c>
      <c r="BR138" s="230">
        <v>1610</v>
      </c>
      <c r="BS138" s="228">
        <v>-716</v>
      </c>
      <c r="BT138" s="229">
        <v>-0.44500000000000001</v>
      </c>
      <c r="BU138" s="230">
        <v>966729</v>
      </c>
      <c r="BV138" s="230">
        <v>1179783</v>
      </c>
      <c r="BW138" s="230">
        <v>-213054</v>
      </c>
      <c r="BX138" s="229">
        <v>-0.18060000000000001</v>
      </c>
      <c r="BY138" s="230">
        <v>2284</v>
      </c>
      <c r="BZ138" s="230">
        <v>2283</v>
      </c>
      <c r="CA138" s="228">
        <v>1</v>
      </c>
      <c r="CB138" s="229">
        <v>5.0000000000000001E-4</v>
      </c>
      <c r="CC138" s="230">
        <v>2248</v>
      </c>
      <c r="CD138" s="228">
        <v>49</v>
      </c>
      <c r="CE138" s="230">
        <v>2199</v>
      </c>
      <c r="CF138" s="229">
        <v>44.913200000000003</v>
      </c>
      <c r="CG138" s="228">
        <v>35</v>
      </c>
      <c r="CH138" s="230">
        <v>2252</v>
      </c>
      <c r="CI138" s="230">
        <v>-2217</v>
      </c>
      <c r="CJ138" s="229">
        <v>-0.98450000000000004</v>
      </c>
      <c r="CK138" s="228">
        <v>1</v>
      </c>
      <c r="CL138" s="228">
        <v>31</v>
      </c>
      <c r="CM138" s="228">
        <v>-30</v>
      </c>
      <c r="CN138" s="229">
        <v>-0.98319999999999996</v>
      </c>
      <c r="CO138" s="228">
        <v>198</v>
      </c>
      <c r="CP138" s="228">
        <v>103</v>
      </c>
      <c r="CQ138" s="228">
        <v>95</v>
      </c>
      <c r="CR138" s="229">
        <v>0.91900000000000004</v>
      </c>
      <c r="CS138" s="228">
        <v>142</v>
      </c>
      <c r="CT138" s="228">
        <v>88</v>
      </c>
      <c r="CU138" s="228">
        <v>54</v>
      </c>
      <c r="CV138" s="229">
        <v>0.61119999999999997</v>
      </c>
      <c r="CW138" s="230">
        <v>2624</v>
      </c>
      <c r="CX138" s="230">
        <v>2474</v>
      </c>
      <c r="CY138" s="228">
        <v>150</v>
      </c>
      <c r="CZ138" s="229">
        <v>6.0600000000000001E-2</v>
      </c>
      <c r="DA138" s="228">
        <v>27.81</v>
      </c>
      <c r="DB138" s="228">
        <v>26.57</v>
      </c>
      <c r="DC138" s="228">
        <v>1.24</v>
      </c>
      <c r="DD138" s="228">
        <v>1.24</v>
      </c>
      <c r="DE138" s="228">
        <v>22.5</v>
      </c>
      <c r="DF138" s="228">
        <v>22.51</v>
      </c>
      <c r="DG138" s="228">
        <v>5.31</v>
      </c>
      <c r="DH138" s="228">
        <v>-0.01</v>
      </c>
      <c r="DI138" s="228">
        <v>27.47</v>
      </c>
      <c r="DJ138" s="228">
        <v>26.18</v>
      </c>
      <c r="DK138" s="228">
        <v>1.29</v>
      </c>
      <c r="DL138" s="228">
        <v>1.29</v>
      </c>
      <c r="DM138" s="228">
        <v>28.4</v>
      </c>
      <c r="DN138" s="228">
        <v>27.2</v>
      </c>
      <c r="DO138" s="228">
        <v>1.2</v>
      </c>
      <c r="DP138" s="228">
        <v>1.2</v>
      </c>
      <c r="DQ138" s="228">
        <v>0.72</v>
      </c>
      <c r="DR138" s="228">
        <v>0.85</v>
      </c>
      <c r="DS138" s="228">
        <v>-0.13</v>
      </c>
      <c r="DT138" s="229">
        <v>-0.15290000000000001</v>
      </c>
      <c r="DU138" s="231">
        <v>1300</v>
      </c>
      <c r="DV138" s="231">
        <v>1300</v>
      </c>
      <c r="DW138" s="228">
        <v>0.59</v>
      </c>
      <c r="DX138" s="228">
        <v>0.67</v>
      </c>
      <c r="DY138" s="228">
        <v>-0.08</v>
      </c>
      <c r="DZ138" s="229">
        <v>-0.11940000000000001</v>
      </c>
      <c r="EA138" s="229">
        <v>1.55E-2</v>
      </c>
      <c r="EB138" s="230">
        <v>17714000</v>
      </c>
      <c r="EC138" s="229">
        <v>6.1000000000000004E-3</v>
      </c>
      <c r="ED138" s="229">
        <v>1.55E-2</v>
      </c>
      <c r="EE138" s="228">
        <v>4.21</v>
      </c>
      <c r="EF138" s="229">
        <v>3.3E-3</v>
      </c>
      <c r="EG138" s="230">
        <v>468721</v>
      </c>
      <c r="EH138" s="230">
        <v>537863</v>
      </c>
      <c r="EI138" s="229">
        <v>-0.1285</v>
      </c>
      <c r="EJ138" s="229">
        <v>0.4849</v>
      </c>
      <c r="EK138" s="228">
        <v>360.78</v>
      </c>
      <c r="EL138" s="228">
        <v>201.05</v>
      </c>
      <c r="EM138" s="228">
        <v>344.88</v>
      </c>
      <c r="EN138" s="228">
        <v>217.09</v>
      </c>
      <c r="EO138" s="228">
        <v>906.71</v>
      </c>
      <c r="EP138" s="231">
        <v>1633.56</v>
      </c>
      <c r="EQ138" s="228">
        <v>-726.85</v>
      </c>
      <c r="ER138" s="229">
        <v>-0.44490000000000002</v>
      </c>
      <c r="ES138" s="228">
        <v>201.95</v>
      </c>
      <c r="ET138" s="228">
        <v>137.78</v>
      </c>
      <c r="EU138" s="231">
        <v>2283.94</v>
      </c>
      <c r="EV138" s="231">
        <v>71801274</v>
      </c>
      <c r="EW138" s="231">
        <v>2623.67</v>
      </c>
      <c r="EX138" s="231">
        <v>2505.25</v>
      </c>
      <c r="EY138" s="228">
        <v>118.42</v>
      </c>
      <c r="EZ138" s="229">
        <v>4.7300000000000002E-2</v>
      </c>
      <c r="FA138" s="229">
        <v>0.28360000000000002</v>
      </c>
      <c r="FB138" s="227" t="s">
        <v>567</v>
      </c>
      <c r="FC138">
        <f t="shared" si="2"/>
        <v>36</v>
      </c>
    </row>
    <row r="139" spans="1:159" ht="17.25" thickBot="1" x14ac:dyDescent="0.3">
      <c r="A139" s="226">
        <v>46050</v>
      </c>
      <c r="B139" s="227" t="s">
        <v>161</v>
      </c>
      <c r="C139" s="227" t="s">
        <v>585</v>
      </c>
      <c r="D139" s="228">
        <v>6400</v>
      </c>
      <c r="E139" s="228">
        <v>27</v>
      </c>
      <c r="F139" s="228">
        <v>78.38</v>
      </c>
      <c r="G139" s="228">
        <v>75.08</v>
      </c>
      <c r="H139" s="228">
        <v>3.3</v>
      </c>
      <c r="I139" s="229">
        <v>4.3999999999999997E-2</v>
      </c>
      <c r="J139" s="228">
        <v>78.89</v>
      </c>
      <c r="K139" s="228">
        <v>75.14</v>
      </c>
      <c r="L139" s="228">
        <v>3.75</v>
      </c>
      <c r="M139" s="229">
        <v>4.99E-2</v>
      </c>
      <c r="N139" s="228">
        <v>78.38</v>
      </c>
      <c r="O139" s="228">
        <v>75.290000000000006</v>
      </c>
      <c r="P139" s="228">
        <v>3.09</v>
      </c>
      <c r="Q139" s="229">
        <v>4.1000000000000002E-2</v>
      </c>
      <c r="R139" s="228">
        <v>78.819999999999993</v>
      </c>
      <c r="S139" s="228">
        <v>75.08</v>
      </c>
      <c r="T139" s="228">
        <v>3.74</v>
      </c>
      <c r="U139" s="229">
        <v>4.9799999999999997E-2</v>
      </c>
      <c r="V139" s="228">
        <v>79.3</v>
      </c>
      <c r="W139" s="228">
        <v>75.86</v>
      </c>
      <c r="X139" s="228">
        <v>3.44</v>
      </c>
      <c r="Y139" s="229">
        <v>4.53E-2</v>
      </c>
      <c r="Z139" s="228">
        <v>-0.51</v>
      </c>
      <c r="AA139" s="228">
        <v>-0.06</v>
      </c>
      <c r="AB139" s="228">
        <v>-0.45</v>
      </c>
      <c r="AC139" s="229">
        <v>-6.4999999999999997E-3</v>
      </c>
      <c r="AD139" s="228">
        <v>-0.51</v>
      </c>
      <c r="AE139" s="228">
        <v>0.15</v>
      </c>
      <c r="AF139" s="228">
        <v>-0.66</v>
      </c>
      <c r="AG139" s="229">
        <v>-6.4999999999999997E-3</v>
      </c>
      <c r="AH139" s="228">
        <v>-7.0000000000000007E-2</v>
      </c>
      <c r="AI139" s="228">
        <v>-0.06</v>
      </c>
      <c r="AJ139" s="228">
        <v>-0.01</v>
      </c>
      <c r="AK139" s="229">
        <v>-8.9999999999999998E-4</v>
      </c>
      <c r="AL139" s="228">
        <v>0.41</v>
      </c>
      <c r="AM139" s="228">
        <v>0.72</v>
      </c>
      <c r="AN139" s="228">
        <v>-0.31</v>
      </c>
      <c r="AO139" s="229">
        <v>5.1999999999999998E-3</v>
      </c>
      <c r="AP139" s="228">
        <v>77.52</v>
      </c>
      <c r="AQ139" s="228">
        <v>77.88</v>
      </c>
      <c r="AR139" s="228">
        <v>0</v>
      </c>
      <c r="AS139" s="228">
        <v>106</v>
      </c>
      <c r="AT139" s="228">
        <v>607</v>
      </c>
      <c r="AU139" s="228">
        <v>-501</v>
      </c>
      <c r="AV139" s="229">
        <v>-0.82569999999999999</v>
      </c>
      <c r="AW139" s="228">
        <v>99</v>
      </c>
      <c r="AX139" s="228">
        <v>254</v>
      </c>
      <c r="AY139" s="228">
        <v>-155</v>
      </c>
      <c r="AZ139" s="229">
        <v>-0.6109</v>
      </c>
      <c r="BA139" s="228">
        <v>6</v>
      </c>
      <c r="BB139" s="228">
        <v>341</v>
      </c>
      <c r="BC139" s="228">
        <v>-335</v>
      </c>
      <c r="BD139" s="229">
        <v>-0.98280000000000001</v>
      </c>
      <c r="BE139" s="228">
        <v>1</v>
      </c>
      <c r="BF139" s="228">
        <v>13</v>
      </c>
      <c r="BG139" s="228">
        <v>-12</v>
      </c>
      <c r="BH139" s="229">
        <v>-0.90590000000000004</v>
      </c>
      <c r="BI139" s="228">
        <v>203</v>
      </c>
      <c r="BJ139" s="228">
        <v>238</v>
      </c>
      <c r="BK139" s="228">
        <v>-35</v>
      </c>
      <c r="BL139" s="229">
        <v>-0.14729999999999999</v>
      </c>
      <c r="BM139" s="228">
        <v>121</v>
      </c>
      <c r="BN139" s="228">
        <v>187</v>
      </c>
      <c r="BO139" s="228">
        <v>-66</v>
      </c>
      <c r="BP139" s="229">
        <v>-0.35049999999999998</v>
      </c>
      <c r="BQ139" s="228">
        <v>430</v>
      </c>
      <c r="BR139" s="230">
        <v>1032</v>
      </c>
      <c r="BS139" s="228">
        <v>-602</v>
      </c>
      <c r="BT139" s="229">
        <v>-0.58309999999999995</v>
      </c>
      <c r="BU139" s="230">
        <v>12096568</v>
      </c>
      <c r="BV139" s="230">
        <v>41674636</v>
      </c>
      <c r="BW139" s="230">
        <v>-29578068</v>
      </c>
      <c r="BX139" s="229">
        <v>-0.7097</v>
      </c>
      <c r="BY139" s="228">
        <v>560</v>
      </c>
      <c r="BZ139" s="228">
        <v>559</v>
      </c>
      <c r="CA139" s="228">
        <v>2</v>
      </c>
      <c r="CB139" s="229">
        <v>2.8E-3</v>
      </c>
      <c r="CC139" s="228">
        <v>548</v>
      </c>
      <c r="CD139" s="228">
        <v>168</v>
      </c>
      <c r="CE139" s="228">
        <v>380</v>
      </c>
      <c r="CF139" s="229">
        <v>2.2561</v>
      </c>
      <c r="CG139" s="228">
        <v>11</v>
      </c>
      <c r="CH139" s="228">
        <v>547</v>
      </c>
      <c r="CI139" s="228">
        <v>-536</v>
      </c>
      <c r="CJ139" s="229">
        <v>-0.97929999999999995</v>
      </c>
      <c r="CK139" s="228">
        <v>1</v>
      </c>
      <c r="CL139" s="228">
        <v>11</v>
      </c>
      <c r="CM139" s="228">
        <v>-10</v>
      </c>
      <c r="CN139" s="229">
        <v>-0.90629999999999999</v>
      </c>
      <c r="CO139" s="228">
        <v>107</v>
      </c>
      <c r="CP139" s="228">
        <v>90</v>
      </c>
      <c r="CQ139" s="228">
        <v>17</v>
      </c>
      <c r="CR139" s="229">
        <v>0.185</v>
      </c>
      <c r="CS139" s="228">
        <v>95</v>
      </c>
      <c r="CT139" s="228">
        <v>83</v>
      </c>
      <c r="CU139" s="228">
        <v>12</v>
      </c>
      <c r="CV139" s="229">
        <v>0.14180000000000001</v>
      </c>
      <c r="CW139" s="228">
        <v>762</v>
      </c>
      <c r="CX139" s="228">
        <v>732</v>
      </c>
      <c r="CY139" s="228">
        <v>30</v>
      </c>
      <c r="CZ139" s="229">
        <v>4.1000000000000002E-2</v>
      </c>
      <c r="DA139" s="228">
        <v>37.119999999999997</v>
      </c>
      <c r="DB139" s="228">
        <v>36.950000000000003</v>
      </c>
      <c r="DC139" s="228">
        <v>0.17</v>
      </c>
      <c r="DD139" s="228">
        <v>0.17</v>
      </c>
      <c r="DE139" s="228">
        <v>36.520000000000003</v>
      </c>
      <c r="DF139" s="228">
        <v>36.15</v>
      </c>
      <c r="DG139" s="228">
        <v>0.6</v>
      </c>
      <c r="DH139" s="228">
        <v>0.37</v>
      </c>
      <c r="DI139" s="228">
        <v>37.03</v>
      </c>
      <c r="DJ139" s="228">
        <v>37.67</v>
      </c>
      <c r="DK139" s="228">
        <v>-0.64</v>
      </c>
      <c r="DL139" s="228">
        <v>-0.64</v>
      </c>
      <c r="DM139" s="228">
        <v>37.270000000000003</v>
      </c>
      <c r="DN139" s="228">
        <v>35.64</v>
      </c>
      <c r="DO139" s="228">
        <v>1.63</v>
      </c>
      <c r="DP139" s="228">
        <v>1.63</v>
      </c>
      <c r="DQ139" s="228">
        <v>0.89</v>
      </c>
      <c r="DR139" s="228">
        <v>0.93</v>
      </c>
      <c r="DS139" s="228">
        <v>-0.04</v>
      </c>
      <c r="DT139" s="229">
        <v>-4.2999999999999997E-2</v>
      </c>
      <c r="DU139" s="228">
        <v>80</v>
      </c>
      <c r="DV139" s="228">
        <v>75</v>
      </c>
      <c r="DW139" s="228">
        <v>0.6</v>
      </c>
      <c r="DX139" s="228">
        <v>0.79</v>
      </c>
      <c r="DY139" s="228">
        <v>-0.19</v>
      </c>
      <c r="DZ139" s="229">
        <v>-0.24049999999999999</v>
      </c>
      <c r="EA139" s="229">
        <v>2.2100000000000002E-2</v>
      </c>
      <c r="EB139" s="230">
        <v>71276800</v>
      </c>
      <c r="EC139" s="229">
        <v>5.5999999999999999E-3</v>
      </c>
      <c r="ED139" s="229">
        <v>2.2100000000000002E-2</v>
      </c>
      <c r="EE139" s="228">
        <v>0.36</v>
      </c>
      <c r="EF139" s="229">
        <v>4.5999999999999999E-3</v>
      </c>
      <c r="EG139" s="230">
        <v>5400383</v>
      </c>
      <c r="EH139" s="230">
        <v>25375295</v>
      </c>
      <c r="EI139" s="229">
        <v>-0.78720000000000001</v>
      </c>
      <c r="EJ139" s="229">
        <v>0.44640000000000002</v>
      </c>
      <c r="EK139" s="228">
        <v>215.88</v>
      </c>
      <c r="EL139" s="228">
        <v>116.56</v>
      </c>
      <c r="EM139" s="228">
        <v>104.68</v>
      </c>
      <c r="EN139" s="228">
        <v>90.34</v>
      </c>
      <c r="EO139" s="228">
        <v>437.12</v>
      </c>
      <c r="EP139" s="231">
        <v>1009.72</v>
      </c>
      <c r="EQ139" s="228">
        <v>-572.6</v>
      </c>
      <c r="ER139" s="229">
        <v>-0.56710000000000005</v>
      </c>
      <c r="ES139" s="228">
        <v>112.1</v>
      </c>
      <c r="ET139" s="228">
        <v>91.46</v>
      </c>
      <c r="EU139" s="228">
        <v>560.29999999999995</v>
      </c>
      <c r="EV139" s="231">
        <v>491233252</v>
      </c>
      <c r="EW139" s="228">
        <v>763.86</v>
      </c>
      <c r="EX139" s="228">
        <v>708.71</v>
      </c>
      <c r="EY139" s="228">
        <v>55.15</v>
      </c>
      <c r="EZ139" s="229">
        <v>7.7799999999999994E-2</v>
      </c>
      <c r="FA139" s="229">
        <v>0.19800000000000001</v>
      </c>
      <c r="FB139" s="227" t="s">
        <v>555</v>
      </c>
      <c r="FC139">
        <f t="shared" si="2"/>
        <v>12</v>
      </c>
    </row>
    <row r="140" spans="1:159" ht="17.25" thickBot="1" x14ac:dyDescent="0.3">
      <c r="A140" s="226">
        <v>46050</v>
      </c>
      <c r="B140" s="227" t="s">
        <v>181</v>
      </c>
      <c r="C140" s="227" t="s">
        <v>266</v>
      </c>
      <c r="D140" s="228">
        <v>65</v>
      </c>
      <c r="E140" s="228">
        <v>27</v>
      </c>
      <c r="F140" s="231">
        <v>25450.400000000001</v>
      </c>
      <c r="G140" s="231">
        <v>25382.6</v>
      </c>
      <c r="H140" s="228">
        <v>67.8</v>
      </c>
      <c r="I140" s="229">
        <v>2.7000000000000001E-3</v>
      </c>
      <c r="J140" s="231">
        <v>25342.75</v>
      </c>
      <c r="K140" s="231">
        <v>25175.4</v>
      </c>
      <c r="L140" s="228">
        <v>167.35</v>
      </c>
      <c r="M140" s="229">
        <v>6.6E-3</v>
      </c>
      <c r="N140" s="231">
        <v>25450.400000000001</v>
      </c>
      <c r="O140" s="231">
        <v>25164.2</v>
      </c>
      <c r="P140" s="228">
        <v>286.2</v>
      </c>
      <c r="Q140" s="229">
        <v>1.14E-2</v>
      </c>
      <c r="R140" s="231">
        <v>25630.3</v>
      </c>
      <c r="S140" s="231">
        <v>25382.6</v>
      </c>
      <c r="T140" s="228">
        <v>247.7</v>
      </c>
      <c r="U140" s="229">
        <v>9.7999999999999997E-3</v>
      </c>
      <c r="V140" s="231">
        <v>25778.799999999999</v>
      </c>
      <c r="W140" s="231">
        <v>25569.3</v>
      </c>
      <c r="X140" s="228">
        <v>209.5</v>
      </c>
      <c r="Y140" s="229">
        <v>8.2000000000000007E-3</v>
      </c>
      <c r="Z140" s="228">
        <v>107.65</v>
      </c>
      <c r="AA140" s="228">
        <v>207.2</v>
      </c>
      <c r="AB140" s="228">
        <v>-99.55</v>
      </c>
      <c r="AC140" s="229">
        <v>4.1999999999999997E-3</v>
      </c>
      <c r="AD140" s="228">
        <v>107.65</v>
      </c>
      <c r="AE140" s="228">
        <v>-11.2</v>
      </c>
      <c r="AF140" s="228">
        <v>118.85</v>
      </c>
      <c r="AG140" s="229">
        <v>4.1999999999999997E-3</v>
      </c>
      <c r="AH140" s="228">
        <v>287.55</v>
      </c>
      <c r="AI140" s="228">
        <v>207.2</v>
      </c>
      <c r="AJ140" s="228">
        <v>80.349999999999994</v>
      </c>
      <c r="AK140" s="229">
        <v>1.1299999999999999E-2</v>
      </c>
      <c r="AL140" s="228">
        <v>436.05</v>
      </c>
      <c r="AM140" s="228">
        <v>393.9</v>
      </c>
      <c r="AN140" s="228">
        <v>42.15</v>
      </c>
      <c r="AO140" s="229">
        <v>1.72E-2</v>
      </c>
      <c r="AP140" s="231">
        <v>25413.4</v>
      </c>
      <c r="AQ140" s="231">
        <v>25590.65</v>
      </c>
      <c r="AR140" s="228">
        <v>0</v>
      </c>
      <c r="AS140" s="230">
        <v>19596</v>
      </c>
      <c r="AT140" s="230">
        <v>46199</v>
      </c>
      <c r="AU140" s="230">
        <v>-26603</v>
      </c>
      <c r="AV140" s="229">
        <v>-0.57579999999999998</v>
      </c>
      <c r="AW140" s="230">
        <v>18056</v>
      </c>
      <c r="AX140" s="230">
        <v>17569</v>
      </c>
      <c r="AY140" s="228">
        <v>487</v>
      </c>
      <c r="AZ140" s="229">
        <v>2.7699999999999999E-2</v>
      </c>
      <c r="BA140" s="230">
        <v>1178</v>
      </c>
      <c r="BB140" s="230">
        <v>26974</v>
      </c>
      <c r="BC140" s="230">
        <v>-25796</v>
      </c>
      <c r="BD140" s="229">
        <v>-0.95630000000000004</v>
      </c>
      <c r="BE140" s="228">
        <v>363</v>
      </c>
      <c r="BF140" s="230">
        <v>1656</v>
      </c>
      <c r="BG140" s="230">
        <v>-1294</v>
      </c>
      <c r="BH140" s="229">
        <v>-0.78110000000000002</v>
      </c>
      <c r="BI140" s="230">
        <v>4119379</v>
      </c>
      <c r="BJ140" s="230">
        <v>34851761</v>
      </c>
      <c r="BK140" s="230">
        <v>-30732381</v>
      </c>
      <c r="BL140" s="229">
        <v>-0.88180000000000003</v>
      </c>
      <c r="BM140" s="230">
        <v>3850906</v>
      </c>
      <c r="BN140" s="230">
        <v>31934966</v>
      </c>
      <c r="BO140" s="230">
        <v>-28084060</v>
      </c>
      <c r="BP140" s="229">
        <v>-0.87939999999999996</v>
      </c>
      <c r="BQ140" s="230">
        <v>7989882</v>
      </c>
      <c r="BR140" s="230">
        <v>66832926</v>
      </c>
      <c r="BS140" s="230">
        <v>-58843044</v>
      </c>
      <c r="BT140" s="229">
        <v>-0.88039999999999996</v>
      </c>
      <c r="BU140" s="228">
        <v>0</v>
      </c>
      <c r="BV140" s="228">
        <v>0</v>
      </c>
      <c r="BW140" s="228">
        <v>0</v>
      </c>
      <c r="BX140" s="229">
        <v>0</v>
      </c>
      <c r="BY140" s="230">
        <v>45505</v>
      </c>
      <c r="BZ140" s="230">
        <v>44351</v>
      </c>
      <c r="CA140" s="230">
        <v>1154</v>
      </c>
      <c r="CB140" s="229">
        <v>2.5999999999999999E-2</v>
      </c>
      <c r="CC140" s="230">
        <v>42216</v>
      </c>
      <c r="CD140" s="230">
        <v>18339</v>
      </c>
      <c r="CE140" s="230">
        <v>23876</v>
      </c>
      <c r="CF140" s="229">
        <v>1.3019000000000001</v>
      </c>
      <c r="CG140" s="230">
        <v>3123</v>
      </c>
      <c r="CH140" s="230">
        <v>41346</v>
      </c>
      <c r="CI140" s="230">
        <v>-38223</v>
      </c>
      <c r="CJ140" s="229">
        <v>-0.92449999999999999</v>
      </c>
      <c r="CK140" s="228">
        <v>166</v>
      </c>
      <c r="CL140" s="230">
        <v>3005</v>
      </c>
      <c r="CM140" s="230">
        <v>-2839</v>
      </c>
      <c r="CN140" s="229">
        <v>-0.94479999999999997</v>
      </c>
      <c r="CO140" s="230">
        <v>422601</v>
      </c>
      <c r="CP140" s="230">
        <v>301910</v>
      </c>
      <c r="CQ140" s="230">
        <v>120690</v>
      </c>
      <c r="CR140" s="229">
        <v>0.39979999999999999</v>
      </c>
      <c r="CS140" s="230">
        <v>410276</v>
      </c>
      <c r="CT140" s="230">
        <v>307116</v>
      </c>
      <c r="CU140" s="230">
        <v>103160</v>
      </c>
      <c r="CV140" s="229">
        <v>0.33589999999999998</v>
      </c>
      <c r="CW140" s="230">
        <v>878381</v>
      </c>
      <c r="CX140" s="230">
        <v>653377</v>
      </c>
      <c r="CY140" s="230">
        <v>225004</v>
      </c>
      <c r="CZ140" s="229">
        <v>0.34439999999999998</v>
      </c>
      <c r="DA140" s="228">
        <v>16.829999999999998</v>
      </c>
      <c r="DB140" s="228">
        <v>17.93</v>
      </c>
      <c r="DC140" s="228">
        <v>-1.1000000000000001</v>
      </c>
      <c r="DD140" s="228">
        <v>-1.1000000000000001</v>
      </c>
      <c r="DE140" s="228">
        <v>13.75</v>
      </c>
      <c r="DF140" s="228">
        <v>13.76</v>
      </c>
      <c r="DG140" s="228">
        <v>3.08</v>
      </c>
      <c r="DH140" s="228">
        <v>-0.01</v>
      </c>
      <c r="DI140" s="228">
        <v>16.239999999999998</v>
      </c>
      <c r="DJ140" s="228">
        <v>16.989999999999998</v>
      </c>
      <c r="DK140" s="228">
        <v>-0.75</v>
      </c>
      <c r="DL140" s="228">
        <v>-0.75</v>
      </c>
      <c r="DM140" s="228">
        <v>17.46</v>
      </c>
      <c r="DN140" s="228">
        <v>19.02</v>
      </c>
      <c r="DO140" s="228">
        <v>-1.56</v>
      </c>
      <c r="DP140" s="228">
        <v>-1.56</v>
      </c>
      <c r="DQ140" s="228">
        <v>0.97</v>
      </c>
      <c r="DR140" s="228">
        <v>1.02</v>
      </c>
      <c r="DS140" s="228">
        <v>-0.05</v>
      </c>
      <c r="DT140" s="229">
        <v>-4.9000000000000002E-2</v>
      </c>
      <c r="DU140" s="231">
        <v>26000</v>
      </c>
      <c r="DV140" s="231">
        <v>23300</v>
      </c>
      <c r="DW140" s="228">
        <v>0.93</v>
      </c>
      <c r="DX140" s="228">
        <v>0.92</v>
      </c>
      <c r="DY140" s="228">
        <v>0.01</v>
      </c>
      <c r="DZ140" s="229">
        <v>1.09E-2</v>
      </c>
      <c r="EA140" s="229">
        <v>7.2300000000000003E-2</v>
      </c>
      <c r="EB140" s="230">
        <v>17426435</v>
      </c>
      <c r="EC140" s="229">
        <v>7.1000000000000004E-3</v>
      </c>
      <c r="ED140" s="229">
        <v>7.2300000000000003E-2</v>
      </c>
      <c r="EE140" s="228">
        <v>177.25</v>
      </c>
      <c r="EF140" s="229">
        <v>7.0000000000000001E-3</v>
      </c>
      <c r="EG140" s="228">
        <v>0</v>
      </c>
      <c r="EH140" s="228">
        <v>0</v>
      </c>
      <c r="EI140" s="229">
        <v>0</v>
      </c>
      <c r="EJ140" s="229">
        <v>0</v>
      </c>
      <c r="EK140" s="231">
        <v>4196642.7</v>
      </c>
      <c r="EL140" s="231">
        <v>3785254.61</v>
      </c>
      <c r="EM140" s="231">
        <v>19580.740000000002</v>
      </c>
      <c r="EN140" s="231">
        <v>2393.6</v>
      </c>
      <c r="EO140" s="231">
        <v>8001478.04</v>
      </c>
      <c r="EP140" s="231">
        <v>66043547.659999996</v>
      </c>
      <c r="EQ140" s="231">
        <v>-58042069.619999997</v>
      </c>
      <c r="ER140" s="229">
        <v>-0.87880000000000003</v>
      </c>
      <c r="ES140" s="231">
        <v>435222.23</v>
      </c>
      <c r="ET140" s="231">
        <v>399374.78</v>
      </c>
      <c r="EU140" s="231">
        <v>45528.71</v>
      </c>
      <c r="EV140" s="228">
        <v>0</v>
      </c>
      <c r="EW140" s="231">
        <v>880125.73</v>
      </c>
      <c r="EX140" s="231">
        <v>654977.04</v>
      </c>
      <c r="EY140" s="231">
        <v>225148.69</v>
      </c>
      <c r="EZ140" s="229">
        <v>0.34379999999999999</v>
      </c>
      <c r="FA140" s="229">
        <v>0</v>
      </c>
      <c r="FB140" s="227" t="s">
        <v>555</v>
      </c>
      <c r="FC140">
        <f t="shared" si="2"/>
        <v>3289</v>
      </c>
    </row>
    <row r="141" spans="1:159" ht="17.25" thickBot="1" x14ac:dyDescent="0.3">
      <c r="A141" s="226">
        <v>46050</v>
      </c>
      <c r="B141" s="227" t="s">
        <v>181</v>
      </c>
      <c r="C141" s="227" t="s">
        <v>566</v>
      </c>
      <c r="D141" s="228">
        <v>25</v>
      </c>
      <c r="E141" s="228">
        <v>27</v>
      </c>
      <c r="F141" s="231">
        <v>68402.8</v>
      </c>
      <c r="G141" s="231">
        <v>67036.399999999994</v>
      </c>
      <c r="H141" s="231">
        <v>1366.4</v>
      </c>
      <c r="I141" s="229">
        <v>2.0400000000000001E-2</v>
      </c>
      <c r="J141" s="231">
        <v>68205.649999999994</v>
      </c>
      <c r="K141" s="231">
        <v>66696.55</v>
      </c>
      <c r="L141" s="231">
        <v>1509.1</v>
      </c>
      <c r="M141" s="229">
        <v>2.2599999999999999E-2</v>
      </c>
      <c r="N141" s="231">
        <v>68402.8</v>
      </c>
      <c r="O141" s="231">
        <v>66675.8</v>
      </c>
      <c r="P141" s="231">
        <v>1727</v>
      </c>
      <c r="Q141" s="229">
        <v>2.5899999999999999E-2</v>
      </c>
      <c r="R141" s="231">
        <v>68802.2</v>
      </c>
      <c r="S141" s="231">
        <v>67036.399999999994</v>
      </c>
      <c r="T141" s="231">
        <v>1765.8</v>
      </c>
      <c r="U141" s="229">
        <v>2.63E-2</v>
      </c>
      <c r="V141" s="228">
        <v>0</v>
      </c>
      <c r="W141" s="231">
        <v>67582</v>
      </c>
      <c r="X141" s="228">
        <v>0</v>
      </c>
      <c r="Y141" s="229">
        <v>0</v>
      </c>
      <c r="Z141" s="228">
        <v>197.15</v>
      </c>
      <c r="AA141" s="228">
        <v>339.85</v>
      </c>
      <c r="AB141" s="228">
        <v>-142.69999999999999</v>
      </c>
      <c r="AC141" s="229">
        <v>2.8999999999999998E-3</v>
      </c>
      <c r="AD141" s="228">
        <v>197.15</v>
      </c>
      <c r="AE141" s="228">
        <v>-20.75</v>
      </c>
      <c r="AF141" s="228">
        <v>217.9</v>
      </c>
      <c r="AG141" s="229">
        <v>2.8999999999999998E-3</v>
      </c>
      <c r="AH141" s="228">
        <v>596.54999999999995</v>
      </c>
      <c r="AI141" s="228">
        <v>339.85</v>
      </c>
      <c r="AJ141" s="228">
        <v>256.7</v>
      </c>
      <c r="AK141" s="229">
        <v>8.6999999999999994E-3</v>
      </c>
      <c r="AL141" s="228">
        <v>0</v>
      </c>
      <c r="AM141" s="228">
        <v>885.45</v>
      </c>
      <c r="AN141" s="228">
        <v>0</v>
      </c>
      <c r="AO141" s="229">
        <v>0</v>
      </c>
      <c r="AP141" s="231">
        <v>67763.86</v>
      </c>
      <c r="AQ141" s="231">
        <v>68497.78</v>
      </c>
      <c r="AR141" s="228">
        <v>0</v>
      </c>
      <c r="AS141" s="228">
        <v>92</v>
      </c>
      <c r="AT141" s="228">
        <v>274</v>
      </c>
      <c r="AU141" s="228">
        <v>-183</v>
      </c>
      <c r="AV141" s="229">
        <v>-0.66600000000000004</v>
      </c>
      <c r="AW141" s="228">
        <v>89</v>
      </c>
      <c r="AX141" s="228">
        <v>153</v>
      </c>
      <c r="AY141" s="228">
        <v>-65</v>
      </c>
      <c r="AZ141" s="229">
        <v>-0.4219</v>
      </c>
      <c r="BA141" s="228">
        <v>3</v>
      </c>
      <c r="BB141" s="228">
        <v>120</v>
      </c>
      <c r="BC141" s="228">
        <v>-117</v>
      </c>
      <c r="BD141" s="229">
        <v>-0.97440000000000004</v>
      </c>
      <c r="BE141" s="228">
        <v>0</v>
      </c>
      <c r="BF141" s="228">
        <v>1</v>
      </c>
      <c r="BG141" s="228">
        <v>0</v>
      </c>
      <c r="BH141" s="229">
        <v>0</v>
      </c>
      <c r="BI141" s="228">
        <v>43</v>
      </c>
      <c r="BJ141" s="230">
        <v>1905</v>
      </c>
      <c r="BK141" s="230">
        <v>-1862</v>
      </c>
      <c r="BL141" s="229">
        <v>-0.97740000000000005</v>
      </c>
      <c r="BM141" s="228">
        <v>28</v>
      </c>
      <c r="BN141" s="228">
        <v>625</v>
      </c>
      <c r="BO141" s="228">
        <v>-597</v>
      </c>
      <c r="BP141" s="229">
        <v>-0.95509999999999995</v>
      </c>
      <c r="BQ141" s="228">
        <v>163</v>
      </c>
      <c r="BR141" s="230">
        <v>2804</v>
      </c>
      <c r="BS141" s="230">
        <v>-2642</v>
      </c>
      <c r="BT141" s="229">
        <v>-0.94189999999999996</v>
      </c>
      <c r="BU141" s="228">
        <v>0</v>
      </c>
      <c r="BV141" s="228">
        <v>0</v>
      </c>
      <c r="BW141" s="228">
        <v>0</v>
      </c>
      <c r="BX141" s="229">
        <v>0</v>
      </c>
      <c r="BY141" s="228">
        <v>150</v>
      </c>
      <c r="BZ141" s="228">
        <v>136</v>
      </c>
      <c r="CA141" s="228">
        <v>14</v>
      </c>
      <c r="CB141" s="229">
        <v>0.1055</v>
      </c>
      <c r="CC141" s="228">
        <v>148</v>
      </c>
      <c r="CD141" s="228">
        <v>18</v>
      </c>
      <c r="CE141" s="228">
        <v>130</v>
      </c>
      <c r="CF141" s="229">
        <v>7.2980999999999998</v>
      </c>
      <c r="CG141" s="228">
        <v>3</v>
      </c>
      <c r="CH141" s="228">
        <v>135</v>
      </c>
      <c r="CI141" s="228">
        <v>-132</v>
      </c>
      <c r="CJ141" s="229">
        <v>-0.97850000000000004</v>
      </c>
      <c r="CK141" s="228">
        <v>0</v>
      </c>
      <c r="CL141" s="228">
        <v>1</v>
      </c>
      <c r="CM141" s="228">
        <v>-1</v>
      </c>
      <c r="CN141" s="229">
        <v>-1</v>
      </c>
      <c r="CO141" s="228">
        <v>13</v>
      </c>
      <c r="CP141" s="228">
        <v>0</v>
      </c>
      <c r="CQ141" s="228">
        <v>13</v>
      </c>
      <c r="CR141" s="229">
        <v>75</v>
      </c>
      <c r="CS141" s="228">
        <v>10</v>
      </c>
      <c r="CT141" s="228">
        <v>4</v>
      </c>
      <c r="CU141" s="228">
        <v>6</v>
      </c>
      <c r="CV141" s="229">
        <v>1.5909</v>
      </c>
      <c r="CW141" s="228">
        <v>173</v>
      </c>
      <c r="CX141" s="228">
        <v>140</v>
      </c>
      <c r="CY141" s="228">
        <v>33</v>
      </c>
      <c r="CZ141" s="229">
        <v>0.2369</v>
      </c>
      <c r="DA141" s="228">
        <v>16.87</v>
      </c>
      <c r="DB141" s="228">
        <v>16.2</v>
      </c>
      <c r="DC141" s="228">
        <v>0.67</v>
      </c>
      <c r="DD141" s="228">
        <v>0.67</v>
      </c>
      <c r="DE141" s="228">
        <v>19.829999999999998</v>
      </c>
      <c r="DF141" s="228">
        <v>19.649999999999999</v>
      </c>
      <c r="DG141" s="228">
        <v>-2.96</v>
      </c>
      <c r="DH141" s="228">
        <v>0.18</v>
      </c>
      <c r="DI141" s="228">
        <v>16.13</v>
      </c>
      <c r="DJ141" s="228">
        <v>15.08</v>
      </c>
      <c r="DK141" s="228">
        <v>1.05</v>
      </c>
      <c r="DL141" s="228">
        <v>1.05</v>
      </c>
      <c r="DM141" s="228">
        <v>18</v>
      </c>
      <c r="DN141" s="228">
        <v>16.239999999999998</v>
      </c>
      <c r="DO141" s="228">
        <v>1.76</v>
      </c>
      <c r="DP141" s="228">
        <v>1.76</v>
      </c>
      <c r="DQ141" s="228">
        <v>0.75</v>
      </c>
      <c r="DR141" s="228">
        <v>22</v>
      </c>
      <c r="DS141" s="228">
        <v>-21.25</v>
      </c>
      <c r="DT141" s="229">
        <v>-0.96589999999999998</v>
      </c>
      <c r="DU141" s="231">
        <v>67500</v>
      </c>
      <c r="DV141" s="231">
        <v>67000</v>
      </c>
      <c r="DW141" s="228">
        <v>0.65</v>
      </c>
      <c r="DX141" s="228">
        <v>0.33</v>
      </c>
      <c r="DY141" s="228">
        <v>0.32</v>
      </c>
      <c r="DZ141" s="229">
        <v>0.96970000000000001</v>
      </c>
      <c r="EA141" s="229">
        <v>1.9300000000000001E-2</v>
      </c>
      <c r="EB141" s="230">
        <v>19900</v>
      </c>
      <c r="EC141" s="229">
        <v>5.7999999999999996E-3</v>
      </c>
      <c r="ED141" s="229">
        <v>1.9300000000000001E-2</v>
      </c>
      <c r="EE141" s="228">
        <v>733.92</v>
      </c>
      <c r="EF141" s="229">
        <v>1.0800000000000001E-2</v>
      </c>
      <c r="EG141" s="228">
        <v>0</v>
      </c>
      <c r="EH141" s="228">
        <v>0</v>
      </c>
      <c r="EI141" s="229">
        <v>0</v>
      </c>
      <c r="EJ141" s="229">
        <v>0</v>
      </c>
      <c r="EK141" s="228">
        <v>43.39</v>
      </c>
      <c r="EL141" s="228">
        <v>27.69</v>
      </c>
      <c r="EM141" s="228">
        <v>90.84</v>
      </c>
      <c r="EN141" s="228">
        <v>0</v>
      </c>
      <c r="EO141" s="228">
        <v>161.91999999999999</v>
      </c>
      <c r="EP141" s="231">
        <v>2744.31</v>
      </c>
      <c r="EQ141" s="231">
        <v>-2582.39</v>
      </c>
      <c r="ER141" s="229">
        <v>-0.94099999999999995</v>
      </c>
      <c r="ES141" s="228">
        <v>12.84</v>
      </c>
      <c r="ET141" s="228">
        <v>9.51</v>
      </c>
      <c r="EU141" s="228">
        <v>150.5</v>
      </c>
      <c r="EV141" s="228">
        <v>0</v>
      </c>
      <c r="EW141" s="228">
        <v>172.84</v>
      </c>
      <c r="EX141" s="228">
        <v>137.27000000000001</v>
      </c>
      <c r="EY141" s="228">
        <v>35.57</v>
      </c>
      <c r="EZ141" s="229">
        <v>0.2591</v>
      </c>
      <c r="FA141" s="229">
        <v>0</v>
      </c>
      <c r="FB141" s="227" t="s">
        <v>555</v>
      </c>
      <c r="FC141">
        <f t="shared" si="2"/>
        <v>2</v>
      </c>
    </row>
    <row r="142" spans="1:159" ht="17.25" thickBot="1" x14ac:dyDescent="0.3">
      <c r="A142" s="226">
        <v>46050</v>
      </c>
      <c r="B142" s="227" t="s">
        <v>227</v>
      </c>
      <c r="C142" s="227" t="s">
        <v>267</v>
      </c>
      <c r="D142" s="228">
        <v>6750</v>
      </c>
      <c r="E142" s="228">
        <v>27</v>
      </c>
      <c r="F142" s="228">
        <v>81.69</v>
      </c>
      <c r="G142" s="228">
        <v>79.42</v>
      </c>
      <c r="H142" s="228">
        <v>2.27</v>
      </c>
      <c r="I142" s="229">
        <v>2.86E-2</v>
      </c>
      <c r="J142" s="228">
        <v>81.52</v>
      </c>
      <c r="K142" s="228">
        <v>78.84</v>
      </c>
      <c r="L142" s="228">
        <v>2.68</v>
      </c>
      <c r="M142" s="229">
        <v>3.4000000000000002E-2</v>
      </c>
      <c r="N142" s="228">
        <v>81.69</v>
      </c>
      <c r="O142" s="228">
        <v>78.89</v>
      </c>
      <c r="P142" s="228">
        <v>2.8</v>
      </c>
      <c r="Q142" s="229">
        <v>3.5499999999999997E-2</v>
      </c>
      <c r="R142" s="228">
        <v>82.19</v>
      </c>
      <c r="S142" s="228">
        <v>79.42</v>
      </c>
      <c r="T142" s="228">
        <v>2.77</v>
      </c>
      <c r="U142" s="229">
        <v>3.49E-2</v>
      </c>
      <c r="V142" s="228">
        <v>82.21</v>
      </c>
      <c r="W142" s="228">
        <v>80.03</v>
      </c>
      <c r="X142" s="228">
        <v>2.1800000000000002</v>
      </c>
      <c r="Y142" s="229">
        <v>2.7199999999999998E-2</v>
      </c>
      <c r="Z142" s="228">
        <v>0.17</v>
      </c>
      <c r="AA142" s="228">
        <v>0.57999999999999996</v>
      </c>
      <c r="AB142" s="228">
        <v>-0.41</v>
      </c>
      <c r="AC142" s="229">
        <v>2.0999999999999999E-3</v>
      </c>
      <c r="AD142" s="228">
        <v>0.17</v>
      </c>
      <c r="AE142" s="228">
        <v>0.05</v>
      </c>
      <c r="AF142" s="228">
        <v>0.12</v>
      </c>
      <c r="AG142" s="229">
        <v>2.0999999999999999E-3</v>
      </c>
      <c r="AH142" s="228">
        <v>0.67</v>
      </c>
      <c r="AI142" s="228">
        <v>0.57999999999999996</v>
      </c>
      <c r="AJ142" s="228">
        <v>0.09</v>
      </c>
      <c r="AK142" s="229">
        <v>8.2000000000000007E-3</v>
      </c>
      <c r="AL142" s="228">
        <v>0.69</v>
      </c>
      <c r="AM142" s="228">
        <v>1.19</v>
      </c>
      <c r="AN142" s="228">
        <v>-0.5</v>
      </c>
      <c r="AO142" s="229">
        <v>8.5000000000000006E-3</v>
      </c>
      <c r="AP142" s="228">
        <v>81.23</v>
      </c>
      <c r="AQ142" s="228">
        <v>81.48</v>
      </c>
      <c r="AR142" s="228">
        <v>0</v>
      </c>
      <c r="AS142" s="228">
        <v>351</v>
      </c>
      <c r="AT142" s="230">
        <v>1378</v>
      </c>
      <c r="AU142" s="230">
        <v>-1027</v>
      </c>
      <c r="AV142" s="229">
        <v>-0.74529999999999996</v>
      </c>
      <c r="AW142" s="228">
        <v>334</v>
      </c>
      <c r="AX142" s="228">
        <v>601</v>
      </c>
      <c r="AY142" s="228">
        <v>-267</v>
      </c>
      <c r="AZ142" s="229">
        <v>-0.44490000000000002</v>
      </c>
      <c r="BA142" s="228">
        <v>17</v>
      </c>
      <c r="BB142" s="228">
        <v>761</v>
      </c>
      <c r="BC142" s="228">
        <v>-744</v>
      </c>
      <c r="BD142" s="229">
        <v>-0.9778</v>
      </c>
      <c r="BE142" s="228">
        <v>0</v>
      </c>
      <c r="BF142" s="228">
        <v>16</v>
      </c>
      <c r="BG142" s="228">
        <v>-15</v>
      </c>
      <c r="BH142" s="229">
        <v>-0.9788</v>
      </c>
      <c r="BI142" s="228">
        <v>860</v>
      </c>
      <c r="BJ142" s="228">
        <v>675</v>
      </c>
      <c r="BK142" s="228">
        <v>185</v>
      </c>
      <c r="BL142" s="229">
        <v>0.2732</v>
      </c>
      <c r="BM142" s="228">
        <v>241</v>
      </c>
      <c r="BN142" s="228">
        <v>329</v>
      </c>
      <c r="BO142" s="228">
        <v>-89</v>
      </c>
      <c r="BP142" s="229">
        <v>-0.26900000000000002</v>
      </c>
      <c r="BQ142" s="230">
        <v>1451</v>
      </c>
      <c r="BR142" s="230">
        <v>2382</v>
      </c>
      <c r="BS142" s="228">
        <v>-931</v>
      </c>
      <c r="BT142" s="229">
        <v>-0.39079999999999998</v>
      </c>
      <c r="BU142" s="230">
        <v>33391563</v>
      </c>
      <c r="BV142" s="230">
        <v>30467959</v>
      </c>
      <c r="BW142" s="230">
        <v>2923604</v>
      </c>
      <c r="BX142" s="229">
        <v>9.6000000000000002E-2</v>
      </c>
      <c r="BY142" s="230">
        <v>2756</v>
      </c>
      <c r="BZ142" s="230">
        <v>2759</v>
      </c>
      <c r="CA142" s="228">
        <v>-4</v>
      </c>
      <c r="CB142" s="229">
        <v>-1.4E-3</v>
      </c>
      <c r="CC142" s="230">
        <v>2716</v>
      </c>
      <c r="CD142" s="228">
        <v>114</v>
      </c>
      <c r="CE142" s="230">
        <v>2601</v>
      </c>
      <c r="CF142" s="229">
        <v>22.747299999999999</v>
      </c>
      <c r="CG142" s="228">
        <v>40</v>
      </c>
      <c r="CH142" s="230">
        <v>2720</v>
      </c>
      <c r="CI142" s="230">
        <v>-2680</v>
      </c>
      <c r="CJ142" s="229">
        <v>-0.98540000000000005</v>
      </c>
      <c r="CK142" s="228">
        <v>0</v>
      </c>
      <c r="CL142" s="228">
        <v>40</v>
      </c>
      <c r="CM142" s="228">
        <v>-39</v>
      </c>
      <c r="CN142" s="229">
        <v>-0.99439999999999995</v>
      </c>
      <c r="CO142" s="228">
        <v>468</v>
      </c>
      <c r="CP142" s="228">
        <v>384</v>
      </c>
      <c r="CQ142" s="228">
        <v>84</v>
      </c>
      <c r="CR142" s="229">
        <v>0.22</v>
      </c>
      <c r="CS142" s="228">
        <v>279</v>
      </c>
      <c r="CT142" s="228">
        <v>263</v>
      </c>
      <c r="CU142" s="228">
        <v>16</v>
      </c>
      <c r="CV142" s="229">
        <v>5.9700000000000003E-2</v>
      </c>
      <c r="CW142" s="230">
        <v>3503</v>
      </c>
      <c r="CX142" s="230">
        <v>3407</v>
      </c>
      <c r="CY142" s="228">
        <v>96</v>
      </c>
      <c r="CZ142" s="229">
        <v>2.8299999999999999E-2</v>
      </c>
      <c r="DA142" s="228">
        <v>36.36</v>
      </c>
      <c r="DB142" s="228">
        <v>37.64</v>
      </c>
      <c r="DC142" s="228">
        <v>-1.28</v>
      </c>
      <c r="DD142" s="228">
        <v>-1.28</v>
      </c>
      <c r="DE142" s="228">
        <v>37.880000000000003</v>
      </c>
      <c r="DF142" s="228">
        <v>37.79</v>
      </c>
      <c r="DG142" s="228">
        <v>-1.52</v>
      </c>
      <c r="DH142" s="228">
        <v>0.09</v>
      </c>
      <c r="DI142" s="228">
        <v>36.159999999999997</v>
      </c>
      <c r="DJ142" s="228">
        <v>37.39</v>
      </c>
      <c r="DK142" s="228">
        <v>-1.23</v>
      </c>
      <c r="DL142" s="228">
        <v>-1.23</v>
      </c>
      <c r="DM142" s="228">
        <v>37.090000000000003</v>
      </c>
      <c r="DN142" s="228">
        <v>38.25</v>
      </c>
      <c r="DO142" s="228">
        <v>-1.1599999999999999</v>
      </c>
      <c r="DP142" s="228">
        <v>-1.1599999999999999</v>
      </c>
      <c r="DQ142" s="228">
        <v>0.6</v>
      </c>
      <c r="DR142" s="228">
        <v>0.69</v>
      </c>
      <c r="DS142" s="228">
        <v>-0.09</v>
      </c>
      <c r="DT142" s="229">
        <v>-0.13039999999999999</v>
      </c>
      <c r="DU142" s="228">
        <v>90</v>
      </c>
      <c r="DV142" s="228">
        <v>70</v>
      </c>
      <c r="DW142" s="228">
        <v>0.28000000000000003</v>
      </c>
      <c r="DX142" s="228">
        <v>0.49</v>
      </c>
      <c r="DY142" s="228">
        <v>-0.21</v>
      </c>
      <c r="DZ142" s="229">
        <v>-0.42859999999999998</v>
      </c>
      <c r="EA142" s="229">
        <v>1.4500000000000001E-2</v>
      </c>
      <c r="EB142" s="230">
        <v>337797000</v>
      </c>
      <c r="EC142" s="229">
        <v>6.1000000000000004E-3</v>
      </c>
      <c r="ED142" s="229">
        <v>1.4500000000000001E-2</v>
      </c>
      <c r="EE142" s="228">
        <v>0.25</v>
      </c>
      <c r="EF142" s="229">
        <v>3.0999999999999999E-3</v>
      </c>
      <c r="EG142" s="230">
        <v>14831820</v>
      </c>
      <c r="EH142" s="230">
        <v>16090402</v>
      </c>
      <c r="EI142" s="229">
        <v>-7.8200000000000006E-2</v>
      </c>
      <c r="EJ142" s="229">
        <v>0.44419999999999998</v>
      </c>
      <c r="EK142" s="228">
        <v>907.08</v>
      </c>
      <c r="EL142" s="228">
        <v>234.47</v>
      </c>
      <c r="EM142" s="228">
        <v>348.95</v>
      </c>
      <c r="EN142" s="228">
        <v>283.07</v>
      </c>
      <c r="EO142" s="231">
        <v>1490.5</v>
      </c>
      <c r="EP142" s="231">
        <v>2326.92</v>
      </c>
      <c r="EQ142" s="228">
        <v>-836.42</v>
      </c>
      <c r="ER142" s="229">
        <v>-0.35949999999999999</v>
      </c>
      <c r="ES142" s="228">
        <v>484.33</v>
      </c>
      <c r="ET142" s="228">
        <v>266.45</v>
      </c>
      <c r="EU142" s="231">
        <v>2755.9</v>
      </c>
      <c r="EV142" s="231">
        <v>517037525</v>
      </c>
      <c r="EW142" s="231">
        <v>3506.69</v>
      </c>
      <c r="EX142" s="231">
        <v>3330.7</v>
      </c>
      <c r="EY142" s="228">
        <v>175.99</v>
      </c>
      <c r="EZ142" s="229">
        <v>5.28E-2</v>
      </c>
      <c r="FA142" s="229">
        <v>0.82940000000000003</v>
      </c>
      <c r="FB142" s="227" t="s">
        <v>556</v>
      </c>
      <c r="FC142">
        <f t="shared" si="2"/>
        <v>40</v>
      </c>
    </row>
    <row r="143" spans="1:159" ht="17.25" thickBot="1" x14ac:dyDescent="0.3">
      <c r="A143" s="226">
        <v>46050</v>
      </c>
      <c r="B143" s="227" t="s">
        <v>161</v>
      </c>
      <c r="C143" s="227" t="s">
        <v>268</v>
      </c>
      <c r="D143" s="228">
        <v>1500</v>
      </c>
      <c r="E143" s="228">
        <v>27</v>
      </c>
      <c r="F143" s="228">
        <v>347.5</v>
      </c>
      <c r="G143" s="228">
        <v>343.5</v>
      </c>
      <c r="H143" s="228">
        <v>4</v>
      </c>
      <c r="I143" s="229">
        <v>1.1599999999999999E-2</v>
      </c>
      <c r="J143" s="228">
        <v>348.05</v>
      </c>
      <c r="K143" s="228">
        <v>344.7</v>
      </c>
      <c r="L143" s="228">
        <v>3.35</v>
      </c>
      <c r="M143" s="229">
        <v>9.7000000000000003E-3</v>
      </c>
      <c r="N143" s="228">
        <v>347.5</v>
      </c>
      <c r="O143" s="228">
        <v>343.45</v>
      </c>
      <c r="P143" s="228">
        <v>4.05</v>
      </c>
      <c r="Q143" s="229">
        <v>1.18E-2</v>
      </c>
      <c r="R143" s="228">
        <v>349.8</v>
      </c>
      <c r="S143" s="228">
        <v>343.5</v>
      </c>
      <c r="T143" s="228">
        <v>6.3</v>
      </c>
      <c r="U143" s="229">
        <v>1.83E-2</v>
      </c>
      <c r="V143" s="228">
        <v>352.25</v>
      </c>
      <c r="W143" s="228">
        <v>346.3</v>
      </c>
      <c r="X143" s="228">
        <v>5.95</v>
      </c>
      <c r="Y143" s="229">
        <v>1.72E-2</v>
      </c>
      <c r="Z143" s="228">
        <v>-0.55000000000000004</v>
      </c>
      <c r="AA143" s="228">
        <v>-1.2</v>
      </c>
      <c r="AB143" s="228">
        <v>0.65</v>
      </c>
      <c r="AC143" s="229">
        <v>-1.6000000000000001E-3</v>
      </c>
      <c r="AD143" s="228">
        <v>-0.55000000000000004</v>
      </c>
      <c r="AE143" s="228">
        <v>-1.25</v>
      </c>
      <c r="AF143" s="228">
        <v>0.7</v>
      </c>
      <c r="AG143" s="229">
        <v>-1.6000000000000001E-3</v>
      </c>
      <c r="AH143" s="228">
        <v>1.75</v>
      </c>
      <c r="AI143" s="228">
        <v>-1.2</v>
      </c>
      <c r="AJ143" s="228">
        <v>2.95</v>
      </c>
      <c r="AK143" s="229">
        <v>5.0000000000000001E-3</v>
      </c>
      <c r="AL143" s="228">
        <v>4.2</v>
      </c>
      <c r="AM143" s="228">
        <v>1.6</v>
      </c>
      <c r="AN143" s="228">
        <v>2.6</v>
      </c>
      <c r="AO143" s="229">
        <v>1.21E-2</v>
      </c>
      <c r="AP143" s="228">
        <v>347.84</v>
      </c>
      <c r="AQ143" s="228">
        <v>350.14</v>
      </c>
      <c r="AR143" s="228">
        <v>0</v>
      </c>
      <c r="AS143" s="228">
        <v>337</v>
      </c>
      <c r="AT143" s="230">
        <v>1646</v>
      </c>
      <c r="AU143" s="230">
        <v>-1310</v>
      </c>
      <c r="AV143" s="229">
        <v>-0.79549999999999998</v>
      </c>
      <c r="AW143" s="228">
        <v>326</v>
      </c>
      <c r="AX143" s="228">
        <v>726</v>
      </c>
      <c r="AY143" s="228">
        <v>-400</v>
      </c>
      <c r="AZ143" s="229">
        <v>-0.55059999999999998</v>
      </c>
      <c r="BA143" s="228">
        <v>9</v>
      </c>
      <c r="BB143" s="228">
        <v>902</v>
      </c>
      <c r="BC143" s="228">
        <v>-893</v>
      </c>
      <c r="BD143" s="229">
        <v>-0.98960000000000004</v>
      </c>
      <c r="BE143" s="228">
        <v>1</v>
      </c>
      <c r="BF143" s="228">
        <v>18</v>
      </c>
      <c r="BG143" s="228">
        <v>-17</v>
      </c>
      <c r="BH143" s="229">
        <v>-0.9456</v>
      </c>
      <c r="BI143" s="230">
        <v>1755</v>
      </c>
      <c r="BJ143" s="230">
        <v>1781</v>
      </c>
      <c r="BK143" s="228">
        <v>-26</v>
      </c>
      <c r="BL143" s="229">
        <v>-1.46E-2</v>
      </c>
      <c r="BM143" s="228">
        <v>720</v>
      </c>
      <c r="BN143" s="230">
        <v>1005</v>
      </c>
      <c r="BO143" s="228">
        <v>-285</v>
      </c>
      <c r="BP143" s="229">
        <v>-0.28389999999999999</v>
      </c>
      <c r="BQ143" s="230">
        <v>2812</v>
      </c>
      <c r="BR143" s="230">
        <v>4433</v>
      </c>
      <c r="BS143" s="230">
        <v>-1621</v>
      </c>
      <c r="BT143" s="229">
        <v>-0.36570000000000003</v>
      </c>
      <c r="BU143" s="230">
        <v>14762156</v>
      </c>
      <c r="BV143" s="230">
        <v>13046025</v>
      </c>
      <c r="BW143" s="230">
        <v>1716131</v>
      </c>
      <c r="BX143" s="229">
        <v>0.13150000000000001</v>
      </c>
      <c r="BY143" s="230">
        <v>2953</v>
      </c>
      <c r="BZ143" s="230">
        <v>2933</v>
      </c>
      <c r="CA143" s="228">
        <v>19</v>
      </c>
      <c r="CB143" s="229">
        <v>6.4999999999999997E-3</v>
      </c>
      <c r="CC143" s="230">
        <v>2895</v>
      </c>
      <c r="CD143" s="228">
        <v>341</v>
      </c>
      <c r="CE143" s="230">
        <v>2553</v>
      </c>
      <c r="CF143" s="229">
        <v>7.4858000000000002</v>
      </c>
      <c r="CG143" s="228">
        <v>57</v>
      </c>
      <c r="CH143" s="230">
        <v>2878</v>
      </c>
      <c r="CI143" s="230">
        <v>-2821</v>
      </c>
      <c r="CJ143" s="229">
        <v>-0.98009999999999997</v>
      </c>
      <c r="CK143" s="228">
        <v>1</v>
      </c>
      <c r="CL143" s="228">
        <v>56</v>
      </c>
      <c r="CM143" s="228">
        <v>-55</v>
      </c>
      <c r="CN143" s="229">
        <v>-0.98309999999999997</v>
      </c>
      <c r="CO143" s="228">
        <v>584</v>
      </c>
      <c r="CP143" s="228">
        <v>426</v>
      </c>
      <c r="CQ143" s="228">
        <v>159</v>
      </c>
      <c r="CR143" s="229">
        <v>0.37330000000000002</v>
      </c>
      <c r="CS143" s="228">
        <v>471</v>
      </c>
      <c r="CT143" s="228">
        <v>367</v>
      </c>
      <c r="CU143" s="228">
        <v>103</v>
      </c>
      <c r="CV143" s="229">
        <v>0.28189999999999998</v>
      </c>
      <c r="CW143" s="230">
        <v>4008</v>
      </c>
      <c r="CX143" s="230">
        <v>3726</v>
      </c>
      <c r="CY143" s="228">
        <v>282</v>
      </c>
      <c r="CZ143" s="229">
        <v>7.5600000000000001E-2</v>
      </c>
      <c r="DA143" s="228">
        <v>26.56</v>
      </c>
      <c r="DB143" s="228">
        <v>26.14</v>
      </c>
      <c r="DC143" s="228">
        <v>0.42</v>
      </c>
      <c r="DD143" s="228">
        <v>0.42</v>
      </c>
      <c r="DE143" s="228">
        <v>27.01</v>
      </c>
      <c r="DF143" s="228">
        <v>27.05</v>
      </c>
      <c r="DG143" s="228">
        <v>-0.45</v>
      </c>
      <c r="DH143" s="228">
        <v>-0.04</v>
      </c>
      <c r="DI143" s="228">
        <v>26.33</v>
      </c>
      <c r="DJ143" s="228">
        <v>25.81</v>
      </c>
      <c r="DK143" s="228">
        <v>0.52</v>
      </c>
      <c r="DL143" s="228">
        <v>0.52</v>
      </c>
      <c r="DM143" s="228">
        <v>27.13</v>
      </c>
      <c r="DN143" s="228">
        <v>26.66</v>
      </c>
      <c r="DO143" s="228">
        <v>0.47</v>
      </c>
      <c r="DP143" s="228">
        <v>0.47</v>
      </c>
      <c r="DQ143" s="228">
        <v>0.81</v>
      </c>
      <c r="DR143" s="228">
        <v>0.86</v>
      </c>
      <c r="DS143" s="228">
        <v>-0.05</v>
      </c>
      <c r="DT143" s="229">
        <v>-5.8099999999999999E-2</v>
      </c>
      <c r="DU143" s="228">
        <v>350</v>
      </c>
      <c r="DV143" s="228">
        <v>380</v>
      </c>
      <c r="DW143" s="228">
        <v>0.41</v>
      </c>
      <c r="DX143" s="228">
        <v>0.56000000000000005</v>
      </c>
      <c r="DY143" s="228">
        <v>-0.15</v>
      </c>
      <c r="DZ143" s="229">
        <v>-0.26790000000000003</v>
      </c>
      <c r="EA143" s="229">
        <v>1.9699999999999999E-2</v>
      </c>
      <c r="EB143" s="230">
        <v>84417000</v>
      </c>
      <c r="EC143" s="229">
        <v>6.6E-3</v>
      </c>
      <c r="ED143" s="229">
        <v>1.9699999999999999E-2</v>
      </c>
      <c r="EE143" s="228">
        <v>2.2999999999999998</v>
      </c>
      <c r="EF143" s="229">
        <v>6.6E-3</v>
      </c>
      <c r="EG143" s="230">
        <v>9848918</v>
      </c>
      <c r="EH143" s="230">
        <v>8037809</v>
      </c>
      <c r="EI143" s="229">
        <v>0.2253</v>
      </c>
      <c r="EJ143" s="229">
        <v>0.66720000000000002</v>
      </c>
      <c r="EK143" s="231">
        <v>1855.2</v>
      </c>
      <c r="EL143" s="228">
        <v>715.21</v>
      </c>
      <c r="EM143" s="228">
        <v>337.02</v>
      </c>
      <c r="EN143" s="228">
        <v>335.38</v>
      </c>
      <c r="EO143" s="231">
        <v>2907.44</v>
      </c>
      <c r="EP143" s="231">
        <v>4404.18</v>
      </c>
      <c r="EQ143" s="231">
        <v>-1496.74</v>
      </c>
      <c r="ER143" s="229">
        <v>-0.33979999999999999</v>
      </c>
      <c r="ES143" s="228">
        <v>609.99</v>
      </c>
      <c r="ET143" s="228">
        <v>460.64</v>
      </c>
      <c r="EU143" s="231">
        <v>2953.06</v>
      </c>
      <c r="EV143" s="231">
        <v>474131988</v>
      </c>
      <c r="EW143" s="231">
        <v>4023.69</v>
      </c>
      <c r="EX143" s="231">
        <v>3705.43</v>
      </c>
      <c r="EY143" s="228">
        <v>318.26</v>
      </c>
      <c r="EZ143" s="229">
        <v>8.5900000000000004E-2</v>
      </c>
      <c r="FA143" s="229">
        <v>0.2432</v>
      </c>
      <c r="FB143" s="227" t="s">
        <v>555</v>
      </c>
      <c r="FC143">
        <f t="shared" si="2"/>
        <v>58</v>
      </c>
    </row>
    <row r="144" spans="1:159" ht="17.25" thickBot="1" x14ac:dyDescent="0.3">
      <c r="A144" s="226">
        <v>46050</v>
      </c>
      <c r="B144" s="227" t="s">
        <v>175</v>
      </c>
      <c r="C144" s="227" t="s">
        <v>684</v>
      </c>
      <c r="D144" s="228">
        <v>500</v>
      </c>
      <c r="E144" s="228">
        <v>27</v>
      </c>
      <c r="F144" s="231">
        <v>1332.7</v>
      </c>
      <c r="G144" s="231">
        <v>1276.5</v>
      </c>
      <c r="H144" s="228">
        <v>56.2</v>
      </c>
      <c r="I144" s="229">
        <v>4.3999999999999997E-2</v>
      </c>
      <c r="J144" s="231">
        <v>1322.5</v>
      </c>
      <c r="K144" s="231">
        <v>1265.2</v>
      </c>
      <c r="L144" s="228">
        <v>57.3</v>
      </c>
      <c r="M144" s="229">
        <v>4.53E-2</v>
      </c>
      <c r="N144" s="231">
        <v>1332.7</v>
      </c>
      <c r="O144" s="231">
        <v>1264.9000000000001</v>
      </c>
      <c r="P144" s="228">
        <v>67.8</v>
      </c>
      <c r="Q144" s="229">
        <v>5.3600000000000002E-2</v>
      </c>
      <c r="R144" s="231">
        <v>1335.5</v>
      </c>
      <c r="S144" s="231">
        <v>1276.5</v>
      </c>
      <c r="T144" s="228">
        <v>59</v>
      </c>
      <c r="U144" s="229">
        <v>4.6199999999999998E-2</v>
      </c>
      <c r="V144" s="228">
        <v>0</v>
      </c>
      <c r="W144" s="231">
        <v>1285.5999999999999</v>
      </c>
      <c r="X144" s="228">
        <v>0</v>
      </c>
      <c r="Y144" s="229">
        <v>0</v>
      </c>
      <c r="Z144" s="228">
        <v>10.199999999999999</v>
      </c>
      <c r="AA144" s="228">
        <v>11.3</v>
      </c>
      <c r="AB144" s="228">
        <v>-1.1000000000000001</v>
      </c>
      <c r="AC144" s="229">
        <v>7.7000000000000002E-3</v>
      </c>
      <c r="AD144" s="228">
        <v>10.199999999999999</v>
      </c>
      <c r="AE144" s="228">
        <v>-0.3</v>
      </c>
      <c r="AF144" s="228">
        <v>10.5</v>
      </c>
      <c r="AG144" s="229">
        <v>7.7000000000000002E-3</v>
      </c>
      <c r="AH144" s="228">
        <v>13</v>
      </c>
      <c r="AI144" s="228">
        <v>11.3</v>
      </c>
      <c r="AJ144" s="228">
        <v>1.7</v>
      </c>
      <c r="AK144" s="229">
        <v>9.7999999999999997E-3</v>
      </c>
      <c r="AL144" s="228">
        <v>0</v>
      </c>
      <c r="AM144" s="228">
        <v>20.399999999999999</v>
      </c>
      <c r="AN144" s="228">
        <v>0</v>
      </c>
      <c r="AO144" s="229">
        <v>0</v>
      </c>
      <c r="AP144" s="231">
        <v>1308.58</v>
      </c>
      <c r="AQ144" s="231">
        <v>1323.42</v>
      </c>
      <c r="AR144" s="228">
        <v>0</v>
      </c>
      <c r="AS144" s="228">
        <v>168</v>
      </c>
      <c r="AT144" s="228">
        <v>407</v>
      </c>
      <c r="AU144" s="228">
        <v>-240</v>
      </c>
      <c r="AV144" s="229">
        <v>-0.58860000000000001</v>
      </c>
      <c r="AW144" s="228">
        <v>164</v>
      </c>
      <c r="AX144" s="228">
        <v>159</v>
      </c>
      <c r="AY144" s="228">
        <v>5</v>
      </c>
      <c r="AZ144" s="229">
        <v>3.2199999999999999E-2</v>
      </c>
      <c r="BA144" s="228">
        <v>3</v>
      </c>
      <c r="BB144" s="228">
        <v>246</v>
      </c>
      <c r="BC144" s="228">
        <v>-242</v>
      </c>
      <c r="BD144" s="229">
        <v>-0.98699999999999999</v>
      </c>
      <c r="BE144" s="228">
        <v>0</v>
      </c>
      <c r="BF144" s="228">
        <v>3</v>
      </c>
      <c r="BG144" s="228">
        <v>0</v>
      </c>
      <c r="BH144" s="229">
        <v>0</v>
      </c>
      <c r="BI144" s="228">
        <v>286</v>
      </c>
      <c r="BJ144" s="228">
        <v>319</v>
      </c>
      <c r="BK144" s="228">
        <v>-33</v>
      </c>
      <c r="BL144" s="229">
        <v>-0.1027</v>
      </c>
      <c r="BM144" s="228">
        <v>129</v>
      </c>
      <c r="BN144" s="228">
        <v>289</v>
      </c>
      <c r="BO144" s="228">
        <v>-160</v>
      </c>
      <c r="BP144" s="229">
        <v>-0.55389999999999995</v>
      </c>
      <c r="BQ144" s="228">
        <v>583</v>
      </c>
      <c r="BR144" s="230">
        <v>1016</v>
      </c>
      <c r="BS144" s="228">
        <v>-433</v>
      </c>
      <c r="BT144" s="229">
        <v>-0.42609999999999998</v>
      </c>
      <c r="BU144" s="230">
        <v>863409</v>
      </c>
      <c r="BV144" s="230">
        <v>1576274</v>
      </c>
      <c r="BW144" s="230">
        <v>-712865</v>
      </c>
      <c r="BX144" s="229">
        <v>-0.45219999999999999</v>
      </c>
      <c r="BY144" s="228">
        <v>364</v>
      </c>
      <c r="BZ144" s="228">
        <v>359</v>
      </c>
      <c r="CA144" s="228">
        <v>5</v>
      </c>
      <c r="CB144" s="229">
        <v>1.49E-2</v>
      </c>
      <c r="CC144" s="228">
        <v>360</v>
      </c>
      <c r="CD144" s="228">
        <v>19</v>
      </c>
      <c r="CE144" s="228">
        <v>341</v>
      </c>
      <c r="CF144" s="229">
        <v>17.961400000000001</v>
      </c>
      <c r="CG144" s="228">
        <v>4</v>
      </c>
      <c r="CH144" s="228">
        <v>356</v>
      </c>
      <c r="CI144" s="228">
        <v>-352</v>
      </c>
      <c r="CJ144" s="229">
        <v>-0.98839999999999995</v>
      </c>
      <c r="CK144" s="228">
        <v>0</v>
      </c>
      <c r="CL144" s="228">
        <v>3</v>
      </c>
      <c r="CM144" s="228">
        <v>-3</v>
      </c>
      <c r="CN144" s="229">
        <v>-1</v>
      </c>
      <c r="CO144" s="228">
        <v>79</v>
      </c>
      <c r="CP144" s="228">
        <v>58</v>
      </c>
      <c r="CQ144" s="228">
        <v>21</v>
      </c>
      <c r="CR144" s="229">
        <v>0.3579</v>
      </c>
      <c r="CS144" s="228">
        <v>69</v>
      </c>
      <c r="CT144" s="228">
        <v>53</v>
      </c>
      <c r="CU144" s="228">
        <v>16</v>
      </c>
      <c r="CV144" s="229">
        <v>0.2984</v>
      </c>
      <c r="CW144" s="228">
        <v>512</v>
      </c>
      <c r="CX144" s="228">
        <v>470</v>
      </c>
      <c r="CY144" s="228">
        <v>42</v>
      </c>
      <c r="CZ144" s="229">
        <v>8.9300000000000004E-2</v>
      </c>
      <c r="DA144" s="228">
        <v>36.72</v>
      </c>
      <c r="DB144" s="228">
        <v>40.340000000000003</v>
      </c>
      <c r="DC144" s="228">
        <v>-3.62</v>
      </c>
      <c r="DD144" s="228">
        <v>-3.62</v>
      </c>
      <c r="DE144" s="228">
        <v>48.47</v>
      </c>
      <c r="DF144" s="228">
        <v>48.24</v>
      </c>
      <c r="DG144" s="228">
        <v>-11.75</v>
      </c>
      <c r="DH144" s="228">
        <v>0.23</v>
      </c>
      <c r="DI144" s="228">
        <v>35.75</v>
      </c>
      <c r="DJ144" s="228">
        <v>38.15</v>
      </c>
      <c r="DK144" s="228">
        <v>-2.4</v>
      </c>
      <c r="DL144" s="228">
        <v>-2.4</v>
      </c>
      <c r="DM144" s="228">
        <v>38.869999999999997</v>
      </c>
      <c r="DN144" s="228">
        <v>42.54</v>
      </c>
      <c r="DO144" s="228">
        <v>-3.67</v>
      </c>
      <c r="DP144" s="228">
        <v>-3.67</v>
      </c>
      <c r="DQ144" s="228">
        <v>0.88</v>
      </c>
      <c r="DR144" s="228">
        <v>0.92</v>
      </c>
      <c r="DS144" s="228">
        <v>-0.04</v>
      </c>
      <c r="DT144" s="229">
        <v>-4.3499999999999997E-2</v>
      </c>
      <c r="DU144" s="231">
        <v>1500</v>
      </c>
      <c r="DV144" s="231">
        <v>1200</v>
      </c>
      <c r="DW144" s="228">
        <v>0.45</v>
      </c>
      <c r="DX144" s="228">
        <v>0.91</v>
      </c>
      <c r="DY144" s="228">
        <v>-0.46</v>
      </c>
      <c r="DZ144" s="229">
        <v>-0.50549999999999995</v>
      </c>
      <c r="EA144" s="229">
        <v>1.1299999999999999E-2</v>
      </c>
      <c r="EB144" s="230">
        <v>2693000</v>
      </c>
      <c r="EC144" s="229">
        <v>2.0999999999999999E-3</v>
      </c>
      <c r="ED144" s="229">
        <v>1.1299999999999999E-2</v>
      </c>
      <c r="EE144" s="228">
        <v>14.84</v>
      </c>
      <c r="EF144" s="229">
        <v>1.1299999999999999E-2</v>
      </c>
      <c r="EG144" s="230">
        <v>370242</v>
      </c>
      <c r="EH144" s="230">
        <v>466330</v>
      </c>
      <c r="EI144" s="229">
        <v>-0.20610000000000001</v>
      </c>
      <c r="EJ144" s="229">
        <v>0.42880000000000001</v>
      </c>
      <c r="EK144" s="228">
        <v>303.19</v>
      </c>
      <c r="EL144" s="228">
        <v>125.56</v>
      </c>
      <c r="EM144" s="228">
        <v>164.59</v>
      </c>
      <c r="EN144" s="228">
        <v>53.07</v>
      </c>
      <c r="EO144" s="228">
        <v>593.34</v>
      </c>
      <c r="EP144" s="231">
        <v>1006.23</v>
      </c>
      <c r="EQ144" s="228">
        <v>-412.89</v>
      </c>
      <c r="ER144" s="229">
        <v>-0.4103</v>
      </c>
      <c r="ES144" s="228">
        <v>82.42</v>
      </c>
      <c r="ET144" s="228">
        <v>66.23</v>
      </c>
      <c r="EU144" s="228">
        <v>364.24</v>
      </c>
      <c r="EV144" s="231">
        <v>12267678</v>
      </c>
      <c r="EW144" s="228">
        <v>512.88</v>
      </c>
      <c r="EX144" s="228">
        <v>455.39</v>
      </c>
      <c r="EY144" s="228">
        <v>57.49</v>
      </c>
      <c r="EZ144" s="229">
        <v>0.12620000000000001</v>
      </c>
      <c r="FA144" s="229">
        <v>0.31330000000000002</v>
      </c>
      <c r="FB144" s="227" t="s">
        <v>555</v>
      </c>
      <c r="FC144">
        <f t="shared" si="2"/>
        <v>4</v>
      </c>
    </row>
    <row r="145" spans="1:159" ht="17.25" thickBot="1" x14ac:dyDescent="0.3">
      <c r="A145" s="226">
        <v>46050</v>
      </c>
      <c r="B145" s="227" t="s">
        <v>615</v>
      </c>
      <c r="C145" s="227" t="s">
        <v>613</v>
      </c>
      <c r="D145" s="228">
        <v>3125</v>
      </c>
      <c r="E145" s="228">
        <v>27</v>
      </c>
      <c r="F145" s="228">
        <v>238.8</v>
      </c>
      <c r="G145" s="228">
        <v>238.3</v>
      </c>
      <c r="H145" s="228">
        <v>0.5</v>
      </c>
      <c r="I145" s="229">
        <v>2.0999999999999999E-3</v>
      </c>
      <c r="J145" s="228">
        <v>237.2</v>
      </c>
      <c r="K145" s="228">
        <v>236.5</v>
      </c>
      <c r="L145" s="228">
        <v>0.7</v>
      </c>
      <c r="M145" s="229">
        <v>3.0000000000000001E-3</v>
      </c>
      <c r="N145" s="228">
        <v>238.8</v>
      </c>
      <c r="O145" s="228">
        <v>236.95</v>
      </c>
      <c r="P145" s="228">
        <v>1.85</v>
      </c>
      <c r="Q145" s="229">
        <v>7.7999999999999996E-3</v>
      </c>
      <c r="R145" s="228">
        <v>240.15</v>
      </c>
      <c r="S145" s="228">
        <v>238.3</v>
      </c>
      <c r="T145" s="228">
        <v>1.85</v>
      </c>
      <c r="U145" s="229">
        <v>7.7999999999999996E-3</v>
      </c>
      <c r="V145" s="228">
        <v>0</v>
      </c>
      <c r="W145" s="228">
        <v>238.65</v>
      </c>
      <c r="X145" s="228">
        <v>0</v>
      </c>
      <c r="Y145" s="229">
        <v>0</v>
      </c>
      <c r="Z145" s="228">
        <v>1.6</v>
      </c>
      <c r="AA145" s="228">
        <v>1.8</v>
      </c>
      <c r="AB145" s="228">
        <v>-0.2</v>
      </c>
      <c r="AC145" s="229">
        <v>6.7000000000000002E-3</v>
      </c>
      <c r="AD145" s="228">
        <v>1.6</v>
      </c>
      <c r="AE145" s="228">
        <v>0.45</v>
      </c>
      <c r="AF145" s="228">
        <v>1.1499999999999999</v>
      </c>
      <c r="AG145" s="229">
        <v>6.7000000000000002E-3</v>
      </c>
      <c r="AH145" s="228">
        <v>2.95</v>
      </c>
      <c r="AI145" s="228">
        <v>1.8</v>
      </c>
      <c r="AJ145" s="228">
        <v>1.1499999999999999</v>
      </c>
      <c r="AK145" s="229">
        <v>1.24E-2</v>
      </c>
      <c r="AL145" s="228">
        <v>0</v>
      </c>
      <c r="AM145" s="228">
        <v>2.15</v>
      </c>
      <c r="AN145" s="228">
        <v>0</v>
      </c>
      <c r="AO145" s="229">
        <v>0</v>
      </c>
      <c r="AP145" s="228">
        <v>237.61</v>
      </c>
      <c r="AQ145" s="228">
        <v>237.7</v>
      </c>
      <c r="AR145" s="228">
        <v>0</v>
      </c>
      <c r="AS145" s="228">
        <v>148</v>
      </c>
      <c r="AT145" s="228">
        <v>804</v>
      </c>
      <c r="AU145" s="228">
        <v>-656</v>
      </c>
      <c r="AV145" s="229">
        <v>-0.81620000000000004</v>
      </c>
      <c r="AW145" s="228">
        <v>144</v>
      </c>
      <c r="AX145" s="228">
        <v>351</v>
      </c>
      <c r="AY145" s="228">
        <v>-207</v>
      </c>
      <c r="AZ145" s="229">
        <v>-0.59089999999999998</v>
      </c>
      <c r="BA145" s="228">
        <v>4</v>
      </c>
      <c r="BB145" s="228">
        <v>448</v>
      </c>
      <c r="BC145" s="228">
        <v>-444</v>
      </c>
      <c r="BD145" s="229">
        <v>-0.99080000000000001</v>
      </c>
      <c r="BE145" s="228">
        <v>0</v>
      </c>
      <c r="BF145" s="228">
        <v>5</v>
      </c>
      <c r="BG145" s="228">
        <v>0</v>
      </c>
      <c r="BH145" s="229">
        <v>0</v>
      </c>
      <c r="BI145" s="228">
        <v>108</v>
      </c>
      <c r="BJ145" s="228">
        <v>168</v>
      </c>
      <c r="BK145" s="228">
        <v>-61</v>
      </c>
      <c r="BL145" s="229">
        <v>-0.36049999999999999</v>
      </c>
      <c r="BM145" s="228">
        <v>96</v>
      </c>
      <c r="BN145" s="228">
        <v>218</v>
      </c>
      <c r="BO145" s="228">
        <v>-122</v>
      </c>
      <c r="BP145" s="229">
        <v>-0.55759999999999998</v>
      </c>
      <c r="BQ145" s="228">
        <v>352</v>
      </c>
      <c r="BR145" s="230">
        <v>1190</v>
      </c>
      <c r="BS145" s="228">
        <v>-838</v>
      </c>
      <c r="BT145" s="229">
        <v>-0.70440000000000003</v>
      </c>
      <c r="BU145" s="230">
        <v>6147559</v>
      </c>
      <c r="BV145" s="230">
        <v>8090235</v>
      </c>
      <c r="BW145" s="230">
        <v>-1942676</v>
      </c>
      <c r="BX145" s="229">
        <v>-0.24010000000000001</v>
      </c>
      <c r="BY145" s="228">
        <v>899</v>
      </c>
      <c r="BZ145" s="228">
        <v>875</v>
      </c>
      <c r="CA145" s="228">
        <v>24</v>
      </c>
      <c r="CB145" s="229">
        <v>2.75E-2</v>
      </c>
      <c r="CC145" s="228">
        <v>891</v>
      </c>
      <c r="CD145" s="228">
        <v>130</v>
      </c>
      <c r="CE145" s="228">
        <v>761</v>
      </c>
      <c r="CF145" s="229">
        <v>5.8525</v>
      </c>
      <c r="CG145" s="228">
        <v>8</v>
      </c>
      <c r="CH145" s="228">
        <v>868</v>
      </c>
      <c r="CI145" s="228">
        <v>-860</v>
      </c>
      <c r="CJ145" s="229">
        <v>-0.99050000000000005</v>
      </c>
      <c r="CK145" s="228">
        <v>0</v>
      </c>
      <c r="CL145" s="228">
        <v>7</v>
      </c>
      <c r="CM145" s="228">
        <v>-7</v>
      </c>
      <c r="CN145" s="229">
        <v>-1</v>
      </c>
      <c r="CO145" s="228">
        <v>129</v>
      </c>
      <c r="CP145" s="228">
        <v>110</v>
      </c>
      <c r="CQ145" s="228">
        <v>19</v>
      </c>
      <c r="CR145" s="229">
        <v>0.16819999999999999</v>
      </c>
      <c r="CS145" s="228">
        <v>156</v>
      </c>
      <c r="CT145" s="228">
        <v>135</v>
      </c>
      <c r="CU145" s="228">
        <v>21</v>
      </c>
      <c r="CV145" s="229">
        <v>0.15659999999999999</v>
      </c>
      <c r="CW145" s="230">
        <v>1184</v>
      </c>
      <c r="CX145" s="230">
        <v>1120</v>
      </c>
      <c r="CY145" s="228">
        <v>64</v>
      </c>
      <c r="CZ145" s="229">
        <v>5.6899999999999999E-2</v>
      </c>
      <c r="DA145" s="228">
        <v>37.200000000000003</v>
      </c>
      <c r="DB145" s="228">
        <v>38.17</v>
      </c>
      <c r="DC145" s="228">
        <v>-0.97</v>
      </c>
      <c r="DD145" s="228">
        <v>-0.97</v>
      </c>
      <c r="DE145" s="228">
        <v>35.01</v>
      </c>
      <c r="DF145" s="228">
        <v>35.1</v>
      </c>
      <c r="DG145" s="228">
        <v>2.19</v>
      </c>
      <c r="DH145" s="228">
        <v>-0.09</v>
      </c>
      <c r="DI145" s="228">
        <v>37.28</v>
      </c>
      <c r="DJ145" s="228">
        <v>37.380000000000003</v>
      </c>
      <c r="DK145" s="228">
        <v>-0.1</v>
      </c>
      <c r="DL145" s="228">
        <v>-0.1</v>
      </c>
      <c r="DM145" s="228">
        <v>37.1</v>
      </c>
      <c r="DN145" s="228">
        <v>38.729999999999997</v>
      </c>
      <c r="DO145" s="228">
        <v>-1.63</v>
      </c>
      <c r="DP145" s="228">
        <v>-1.63</v>
      </c>
      <c r="DQ145" s="228">
        <v>1.22</v>
      </c>
      <c r="DR145" s="228">
        <v>1.23</v>
      </c>
      <c r="DS145" s="228">
        <v>-0.01</v>
      </c>
      <c r="DT145" s="229">
        <v>-8.0999999999999996E-3</v>
      </c>
      <c r="DU145" s="228">
        <v>240</v>
      </c>
      <c r="DV145" s="228">
        <v>235</v>
      </c>
      <c r="DW145" s="228">
        <v>0.9</v>
      </c>
      <c r="DX145" s="228">
        <v>1.3</v>
      </c>
      <c r="DY145" s="228">
        <v>-0.4</v>
      </c>
      <c r="DZ145" s="229">
        <v>-0.30769999999999997</v>
      </c>
      <c r="EA145" s="229">
        <v>9.1000000000000004E-3</v>
      </c>
      <c r="EB145" s="230">
        <v>36640625</v>
      </c>
      <c r="EC145" s="229">
        <v>5.7000000000000002E-3</v>
      </c>
      <c r="ED145" s="229">
        <v>9.1000000000000004E-3</v>
      </c>
      <c r="EE145" s="228">
        <v>0.09</v>
      </c>
      <c r="EF145" s="229">
        <v>4.0000000000000002E-4</v>
      </c>
      <c r="EG145" s="230">
        <v>3849897</v>
      </c>
      <c r="EH145" s="230">
        <v>4470084</v>
      </c>
      <c r="EI145" s="229">
        <v>-0.13869999999999999</v>
      </c>
      <c r="EJ145" s="229">
        <v>0.62619999999999998</v>
      </c>
      <c r="EK145" s="228">
        <v>114.09</v>
      </c>
      <c r="EL145" s="228">
        <v>97.97</v>
      </c>
      <c r="EM145" s="228">
        <v>147.02000000000001</v>
      </c>
      <c r="EN145" s="228">
        <v>110.3</v>
      </c>
      <c r="EO145" s="228">
        <v>359.08</v>
      </c>
      <c r="EP145" s="231">
        <v>1195.7</v>
      </c>
      <c r="EQ145" s="228">
        <v>-836.63</v>
      </c>
      <c r="ER145" s="229">
        <v>-0.69969999999999999</v>
      </c>
      <c r="ES145" s="228">
        <v>139.1</v>
      </c>
      <c r="ET145" s="228">
        <v>154.76</v>
      </c>
      <c r="EU145" s="228">
        <v>899.05</v>
      </c>
      <c r="EV145" s="231">
        <v>205483040</v>
      </c>
      <c r="EW145" s="231">
        <v>1192.9100000000001</v>
      </c>
      <c r="EX145" s="231">
        <v>1127.31</v>
      </c>
      <c r="EY145" s="228">
        <v>65.599999999999994</v>
      </c>
      <c r="EZ145" s="229">
        <v>5.8200000000000002E-2</v>
      </c>
      <c r="FA145" s="229">
        <v>0.24129999999999999</v>
      </c>
      <c r="FB145" s="227" t="s">
        <v>555</v>
      </c>
      <c r="FC145">
        <f t="shared" si="2"/>
        <v>8</v>
      </c>
    </row>
    <row r="146" spans="1:159" ht="17.25" thickBot="1" x14ac:dyDescent="0.3">
      <c r="A146" s="226">
        <v>46050</v>
      </c>
      <c r="B146" s="227" t="s">
        <v>206</v>
      </c>
      <c r="C146" s="227" t="s">
        <v>528</v>
      </c>
      <c r="D146" s="228">
        <v>350</v>
      </c>
      <c r="E146" s="228">
        <v>27</v>
      </c>
      <c r="F146" s="231">
        <v>1488.5</v>
      </c>
      <c r="G146" s="231">
        <v>1476.8</v>
      </c>
      <c r="H146" s="228">
        <v>11.7</v>
      </c>
      <c r="I146" s="229">
        <v>7.9000000000000008E-3</v>
      </c>
      <c r="J146" s="231">
        <v>1483.2</v>
      </c>
      <c r="K146" s="231">
        <v>1467.6</v>
      </c>
      <c r="L146" s="228">
        <v>15.6</v>
      </c>
      <c r="M146" s="229">
        <v>1.06E-2</v>
      </c>
      <c r="N146" s="231">
        <v>1488.5</v>
      </c>
      <c r="O146" s="231">
        <v>1468</v>
      </c>
      <c r="P146" s="228">
        <v>20.5</v>
      </c>
      <c r="Q146" s="229">
        <v>1.4E-2</v>
      </c>
      <c r="R146" s="231">
        <v>1486.1</v>
      </c>
      <c r="S146" s="231">
        <v>1476.8</v>
      </c>
      <c r="T146" s="228">
        <v>9.3000000000000007</v>
      </c>
      <c r="U146" s="229">
        <v>6.3E-3</v>
      </c>
      <c r="V146" s="231">
        <v>1468</v>
      </c>
      <c r="W146" s="231">
        <v>1475.2</v>
      </c>
      <c r="X146" s="228">
        <v>-7.2</v>
      </c>
      <c r="Y146" s="229">
        <v>-4.8999999999999998E-3</v>
      </c>
      <c r="Z146" s="228">
        <v>5.3</v>
      </c>
      <c r="AA146" s="228">
        <v>9.1999999999999993</v>
      </c>
      <c r="AB146" s="228">
        <v>-3.9</v>
      </c>
      <c r="AC146" s="229">
        <v>3.5999999999999999E-3</v>
      </c>
      <c r="AD146" s="228">
        <v>5.3</v>
      </c>
      <c r="AE146" s="228">
        <v>0.4</v>
      </c>
      <c r="AF146" s="228">
        <v>4.9000000000000004</v>
      </c>
      <c r="AG146" s="229">
        <v>3.5999999999999999E-3</v>
      </c>
      <c r="AH146" s="228">
        <v>2.9</v>
      </c>
      <c r="AI146" s="228">
        <v>9.1999999999999993</v>
      </c>
      <c r="AJ146" s="228">
        <v>-6.3</v>
      </c>
      <c r="AK146" s="229">
        <v>2E-3</v>
      </c>
      <c r="AL146" s="228">
        <v>-15.2</v>
      </c>
      <c r="AM146" s="228">
        <v>7.6</v>
      </c>
      <c r="AN146" s="228">
        <v>-22.8</v>
      </c>
      <c r="AO146" s="229">
        <v>-1.0200000000000001E-2</v>
      </c>
      <c r="AP146" s="231">
        <v>1483.25</v>
      </c>
      <c r="AQ146" s="231">
        <v>1476.58</v>
      </c>
      <c r="AR146" s="228">
        <v>0</v>
      </c>
      <c r="AS146" s="228">
        <v>146</v>
      </c>
      <c r="AT146" s="228">
        <v>492</v>
      </c>
      <c r="AU146" s="228">
        <v>-346</v>
      </c>
      <c r="AV146" s="229">
        <v>-0.70389999999999997</v>
      </c>
      <c r="AW146" s="228">
        <v>142</v>
      </c>
      <c r="AX146" s="228">
        <v>224</v>
      </c>
      <c r="AY146" s="228">
        <v>-82</v>
      </c>
      <c r="AZ146" s="229">
        <v>-0.36480000000000001</v>
      </c>
      <c r="BA146" s="228">
        <v>3</v>
      </c>
      <c r="BB146" s="228">
        <v>264</v>
      </c>
      <c r="BC146" s="228">
        <v>-261</v>
      </c>
      <c r="BD146" s="229">
        <v>-0.98799999999999999</v>
      </c>
      <c r="BE146" s="228">
        <v>0</v>
      </c>
      <c r="BF146" s="228">
        <v>3</v>
      </c>
      <c r="BG146" s="228">
        <v>-3</v>
      </c>
      <c r="BH146" s="229">
        <v>-0.98480000000000001</v>
      </c>
      <c r="BI146" s="228">
        <v>143</v>
      </c>
      <c r="BJ146" s="228">
        <v>245</v>
      </c>
      <c r="BK146" s="228">
        <v>-102</v>
      </c>
      <c r="BL146" s="229">
        <v>-0.41520000000000001</v>
      </c>
      <c r="BM146" s="228">
        <v>109</v>
      </c>
      <c r="BN146" s="228">
        <v>165</v>
      </c>
      <c r="BO146" s="228">
        <v>-56</v>
      </c>
      <c r="BP146" s="229">
        <v>-0.33950000000000002</v>
      </c>
      <c r="BQ146" s="228">
        <v>398</v>
      </c>
      <c r="BR146" s="228">
        <v>901</v>
      </c>
      <c r="BS146" s="228">
        <v>-504</v>
      </c>
      <c r="BT146" s="229">
        <v>-0.55879999999999996</v>
      </c>
      <c r="BU146" s="230">
        <v>532447</v>
      </c>
      <c r="BV146" s="230">
        <v>968188</v>
      </c>
      <c r="BW146" s="230">
        <v>-435741</v>
      </c>
      <c r="BX146" s="229">
        <v>-0.4501</v>
      </c>
      <c r="BY146" s="228">
        <v>817</v>
      </c>
      <c r="BZ146" s="228">
        <v>799</v>
      </c>
      <c r="CA146" s="228">
        <v>18</v>
      </c>
      <c r="CB146" s="229">
        <v>2.1999999999999999E-2</v>
      </c>
      <c r="CC146" s="228">
        <v>808</v>
      </c>
      <c r="CD146" s="228">
        <v>89</v>
      </c>
      <c r="CE146" s="228">
        <v>719</v>
      </c>
      <c r="CF146" s="229">
        <v>8.0878999999999994</v>
      </c>
      <c r="CG146" s="228">
        <v>9</v>
      </c>
      <c r="CH146" s="228">
        <v>791</v>
      </c>
      <c r="CI146" s="228">
        <v>-781</v>
      </c>
      <c r="CJ146" s="229">
        <v>-0.98819999999999997</v>
      </c>
      <c r="CK146" s="228">
        <v>0</v>
      </c>
      <c r="CL146" s="228">
        <v>9</v>
      </c>
      <c r="CM146" s="228">
        <v>-9</v>
      </c>
      <c r="CN146" s="229">
        <v>-0.99419999999999997</v>
      </c>
      <c r="CO146" s="228">
        <v>108</v>
      </c>
      <c r="CP146" s="228">
        <v>87</v>
      </c>
      <c r="CQ146" s="228">
        <v>21</v>
      </c>
      <c r="CR146" s="229">
        <v>0.23949999999999999</v>
      </c>
      <c r="CS146" s="228">
        <v>150</v>
      </c>
      <c r="CT146" s="228">
        <v>112</v>
      </c>
      <c r="CU146" s="228">
        <v>38</v>
      </c>
      <c r="CV146" s="229">
        <v>0.33529999999999999</v>
      </c>
      <c r="CW146" s="230">
        <v>1074</v>
      </c>
      <c r="CX146" s="228">
        <v>998</v>
      </c>
      <c r="CY146" s="228">
        <v>76</v>
      </c>
      <c r="CZ146" s="229">
        <v>7.6100000000000001E-2</v>
      </c>
      <c r="DA146" s="228">
        <v>34</v>
      </c>
      <c r="DB146" s="228">
        <v>36.14</v>
      </c>
      <c r="DC146" s="228">
        <v>-2.14</v>
      </c>
      <c r="DD146" s="228">
        <v>-2.14</v>
      </c>
      <c r="DE146" s="228">
        <v>37.159999999999997</v>
      </c>
      <c r="DF146" s="228">
        <v>37.229999999999997</v>
      </c>
      <c r="DG146" s="228">
        <v>-3.16</v>
      </c>
      <c r="DH146" s="228">
        <v>-7.0000000000000007E-2</v>
      </c>
      <c r="DI146" s="228">
        <v>33.71</v>
      </c>
      <c r="DJ146" s="228">
        <v>35.49</v>
      </c>
      <c r="DK146" s="228">
        <v>-1.78</v>
      </c>
      <c r="DL146" s="228">
        <v>-1.78</v>
      </c>
      <c r="DM146" s="228">
        <v>34.39</v>
      </c>
      <c r="DN146" s="228">
        <v>36.950000000000003</v>
      </c>
      <c r="DO146" s="228">
        <v>-2.56</v>
      </c>
      <c r="DP146" s="228">
        <v>-2.56</v>
      </c>
      <c r="DQ146" s="228">
        <v>1.39</v>
      </c>
      <c r="DR146" s="228">
        <v>1.29</v>
      </c>
      <c r="DS146" s="228">
        <v>0.1</v>
      </c>
      <c r="DT146" s="229">
        <v>7.7499999999999999E-2</v>
      </c>
      <c r="DU146" s="231">
        <v>1500</v>
      </c>
      <c r="DV146" s="231">
        <v>1340</v>
      </c>
      <c r="DW146" s="228">
        <v>0.76</v>
      </c>
      <c r="DX146" s="228">
        <v>0.67</v>
      </c>
      <c r="DY146" s="228">
        <v>0.09</v>
      </c>
      <c r="DZ146" s="229">
        <v>0.1343</v>
      </c>
      <c r="EA146" s="229">
        <v>1.15E-2</v>
      </c>
      <c r="EB146" s="230">
        <v>5371100</v>
      </c>
      <c r="EC146" s="229">
        <v>-1.6000000000000001E-3</v>
      </c>
      <c r="ED146" s="229">
        <v>1.15E-2</v>
      </c>
      <c r="EE146" s="228">
        <v>-6.67</v>
      </c>
      <c r="EF146" s="229">
        <v>-4.4999999999999997E-3</v>
      </c>
      <c r="EG146" s="230">
        <v>278351</v>
      </c>
      <c r="EH146" s="230">
        <v>474407</v>
      </c>
      <c r="EI146" s="229">
        <v>-0.4133</v>
      </c>
      <c r="EJ146" s="229">
        <v>0.52280000000000004</v>
      </c>
      <c r="EK146" s="228">
        <v>151.88</v>
      </c>
      <c r="EL146" s="228">
        <v>107.68</v>
      </c>
      <c r="EM146" s="228">
        <v>145.03</v>
      </c>
      <c r="EN146" s="228">
        <v>136.43</v>
      </c>
      <c r="EO146" s="228">
        <v>404.59</v>
      </c>
      <c r="EP146" s="228">
        <v>917.61</v>
      </c>
      <c r="EQ146" s="228">
        <v>-513.02</v>
      </c>
      <c r="ER146" s="229">
        <v>-0.55910000000000004</v>
      </c>
      <c r="ES146" s="228">
        <v>114.19</v>
      </c>
      <c r="ET146" s="228">
        <v>145.15</v>
      </c>
      <c r="EU146" s="228">
        <v>817.08</v>
      </c>
      <c r="EV146" s="231">
        <v>17614093</v>
      </c>
      <c r="EW146" s="231">
        <v>1076.42</v>
      </c>
      <c r="EX146" s="228">
        <v>995.1</v>
      </c>
      <c r="EY146" s="228">
        <v>81.319999999999993</v>
      </c>
      <c r="EZ146" s="229">
        <v>8.1699999999999995E-2</v>
      </c>
      <c r="FA146" s="229">
        <v>0.4098</v>
      </c>
      <c r="FB146" s="227" t="s">
        <v>555</v>
      </c>
      <c r="FC146">
        <f t="shared" si="2"/>
        <v>9</v>
      </c>
    </row>
    <row r="147" spans="1:159" ht="17.25" thickBot="1" x14ac:dyDescent="0.3">
      <c r="A147" s="226">
        <v>46050</v>
      </c>
      <c r="B147" s="227" t="s">
        <v>221</v>
      </c>
      <c r="C147" s="227" t="s">
        <v>518</v>
      </c>
      <c r="D147" s="228">
        <v>75</v>
      </c>
      <c r="E147" s="228">
        <v>27</v>
      </c>
      <c r="F147" s="231">
        <v>8059</v>
      </c>
      <c r="G147" s="231">
        <v>8041.5</v>
      </c>
      <c r="H147" s="228">
        <v>17.5</v>
      </c>
      <c r="I147" s="229">
        <v>2.2000000000000001E-3</v>
      </c>
      <c r="J147" s="231">
        <v>8012.5</v>
      </c>
      <c r="K147" s="231">
        <v>8006</v>
      </c>
      <c r="L147" s="228">
        <v>6.5</v>
      </c>
      <c r="M147" s="229">
        <v>8.0000000000000004E-4</v>
      </c>
      <c r="N147" s="231">
        <v>8059</v>
      </c>
      <c r="O147" s="231">
        <v>8004.5</v>
      </c>
      <c r="P147" s="228">
        <v>54.5</v>
      </c>
      <c r="Q147" s="229">
        <v>6.7999999999999996E-3</v>
      </c>
      <c r="R147" s="231">
        <v>8089.5</v>
      </c>
      <c r="S147" s="231">
        <v>8041.5</v>
      </c>
      <c r="T147" s="228">
        <v>48</v>
      </c>
      <c r="U147" s="229">
        <v>6.0000000000000001E-3</v>
      </c>
      <c r="V147" s="231">
        <v>8121</v>
      </c>
      <c r="W147" s="231">
        <v>8072</v>
      </c>
      <c r="X147" s="228">
        <v>49</v>
      </c>
      <c r="Y147" s="229">
        <v>6.1000000000000004E-3</v>
      </c>
      <c r="Z147" s="228">
        <v>46.5</v>
      </c>
      <c r="AA147" s="228">
        <v>35.5</v>
      </c>
      <c r="AB147" s="228">
        <v>11</v>
      </c>
      <c r="AC147" s="229">
        <v>5.7999999999999996E-3</v>
      </c>
      <c r="AD147" s="228">
        <v>46.5</v>
      </c>
      <c r="AE147" s="228">
        <v>-1.5</v>
      </c>
      <c r="AF147" s="228">
        <v>48</v>
      </c>
      <c r="AG147" s="229">
        <v>5.7999999999999996E-3</v>
      </c>
      <c r="AH147" s="228">
        <v>77</v>
      </c>
      <c r="AI147" s="228">
        <v>35.5</v>
      </c>
      <c r="AJ147" s="228">
        <v>41.5</v>
      </c>
      <c r="AK147" s="229">
        <v>9.5999999999999992E-3</v>
      </c>
      <c r="AL147" s="228">
        <v>108.5</v>
      </c>
      <c r="AM147" s="228">
        <v>66</v>
      </c>
      <c r="AN147" s="228">
        <v>42.5</v>
      </c>
      <c r="AO147" s="229">
        <v>1.35E-2</v>
      </c>
      <c r="AP147" s="231">
        <v>8038.27</v>
      </c>
      <c r="AQ147" s="231">
        <v>8070.25</v>
      </c>
      <c r="AR147" s="228">
        <v>0</v>
      </c>
      <c r="AS147" s="228">
        <v>130</v>
      </c>
      <c r="AT147" s="228">
        <v>664</v>
      </c>
      <c r="AU147" s="228">
        <v>-533</v>
      </c>
      <c r="AV147" s="229">
        <v>-0.8034</v>
      </c>
      <c r="AW147" s="228">
        <v>126</v>
      </c>
      <c r="AX147" s="228">
        <v>308</v>
      </c>
      <c r="AY147" s="228">
        <v>-182</v>
      </c>
      <c r="AZ147" s="229">
        <v>-0.59109999999999996</v>
      </c>
      <c r="BA147" s="228">
        <v>4</v>
      </c>
      <c r="BB147" s="228">
        <v>346</v>
      </c>
      <c r="BC147" s="228">
        <v>-342</v>
      </c>
      <c r="BD147" s="229">
        <v>-0.98829999999999996</v>
      </c>
      <c r="BE147" s="228">
        <v>0</v>
      </c>
      <c r="BF147" s="228">
        <v>9</v>
      </c>
      <c r="BG147" s="228">
        <v>-9</v>
      </c>
      <c r="BH147" s="229">
        <v>-0.96750000000000003</v>
      </c>
      <c r="BI147" s="228">
        <v>222</v>
      </c>
      <c r="BJ147" s="228">
        <v>721</v>
      </c>
      <c r="BK147" s="228">
        <v>-499</v>
      </c>
      <c r="BL147" s="229">
        <v>-0.69220000000000004</v>
      </c>
      <c r="BM147" s="228">
        <v>106</v>
      </c>
      <c r="BN147" s="228">
        <v>562</v>
      </c>
      <c r="BO147" s="228">
        <v>-456</v>
      </c>
      <c r="BP147" s="229">
        <v>-0.81069999999999998</v>
      </c>
      <c r="BQ147" s="228">
        <v>459</v>
      </c>
      <c r="BR147" s="230">
        <v>1947</v>
      </c>
      <c r="BS147" s="230">
        <v>-1488</v>
      </c>
      <c r="BT147" s="229">
        <v>-0.76439999999999997</v>
      </c>
      <c r="BU147" s="230">
        <v>86548</v>
      </c>
      <c r="BV147" s="230">
        <v>143987</v>
      </c>
      <c r="BW147" s="230">
        <v>-57439</v>
      </c>
      <c r="BX147" s="229">
        <v>-0.39889999999999998</v>
      </c>
      <c r="BY147" s="228">
        <v>927</v>
      </c>
      <c r="BZ147" s="228">
        <v>907</v>
      </c>
      <c r="CA147" s="228">
        <v>20</v>
      </c>
      <c r="CB147" s="229">
        <v>2.1899999999999999E-2</v>
      </c>
      <c r="CC147" s="228">
        <v>913</v>
      </c>
      <c r="CD147" s="228">
        <v>35</v>
      </c>
      <c r="CE147" s="228">
        <v>878</v>
      </c>
      <c r="CF147" s="229">
        <v>25.269600000000001</v>
      </c>
      <c r="CG147" s="228">
        <v>14</v>
      </c>
      <c r="CH147" s="228">
        <v>894</v>
      </c>
      <c r="CI147" s="228">
        <v>-881</v>
      </c>
      <c r="CJ147" s="229">
        <v>-0.98470000000000002</v>
      </c>
      <c r="CK147" s="228">
        <v>0</v>
      </c>
      <c r="CL147" s="228">
        <v>13</v>
      </c>
      <c r="CM147" s="228">
        <v>-13</v>
      </c>
      <c r="CN147" s="229">
        <v>-0.98109999999999997</v>
      </c>
      <c r="CO147" s="228">
        <v>168</v>
      </c>
      <c r="CP147" s="228">
        <v>150</v>
      </c>
      <c r="CQ147" s="228">
        <v>18</v>
      </c>
      <c r="CR147" s="229">
        <v>0.12089999999999999</v>
      </c>
      <c r="CS147" s="228">
        <v>139</v>
      </c>
      <c r="CT147" s="228">
        <v>123</v>
      </c>
      <c r="CU147" s="228">
        <v>16</v>
      </c>
      <c r="CV147" s="229">
        <v>0.12839999999999999</v>
      </c>
      <c r="CW147" s="230">
        <v>1234</v>
      </c>
      <c r="CX147" s="230">
        <v>1180</v>
      </c>
      <c r="CY147" s="228">
        <v>54</v>
      </c>
      <c r="CZ147" s="229">
        <v>4.5600000000000002E-2</v>
      </c>
      <c r="DA147" s="228">
        <v>29.21</v>
      </c>
      <c r="DB147" s="228">
        <v>31.41</v>
      </c>
      <c r="DC147" s="228">
        <v>-2.2000000000000002</v>
      </c>
      <c r="DD147" s="228">
        <v>-2.2000000000000002</v>
      </c>
      <c r="DE147" s="228">
        <v>38.44</v>
      </c>
      <c r="DF147" s="228">
        <v>38.53</v>
      </c>
      <c r="DG147" s="228">
        <v>-9.23</v>
      </c>
      <c r="DH147" s="228">
        <v>-0.09</v>
      </c>
      <c r="DI147" s="228">
        <v>29.13</v>
      </c>
      <c r="DJ147" s="228">
        <v>31.52</v>
      </c>
      <c r="DK147" s="228">
        <v>-2.39</v>
      </c>
      <c r="DL147" s="228">
        <v>-2.39</v>
      </c>
      <c r="DM147" s="228">
        <v>29.38</v>
      </c>
      <c r="DN147" s="228">
        <v>31.08</v>
      </c>
      <c r="DO147" s="228">
        <v>-1.7</v>
      </c>
      <c r="DP147" s="228">
        <v>-1.7</v>
      </c>
      <c r="DQ147" s="228">
        <v>0.82</v>
      </c>
      <c r="DR147" s="228">
        <v>0.82</v>
      </c>
      <c r="DS147" s="228">
        <v>0</v>
      </c>
      <c r="DT147" s="229">
        <v>0</v>
      </c>
      <c r="DU147" s="231">
        <v>8000</v>
      </c>
      <c r="DV147" s="231">
        <v>8000</v>
      </c>
      <c r="DW147" s="228">
        <v>0.48</v>
      </c>
      <c r="DX147" s="228">
        <v>0.78</v>
      </c>
      <c r="DY147" s="228">
        <v>-0.3</v>
      </c>
      <c r="DZ147" s="229">
        <v>-0.3846</v>
      </c>
      <c r="EA147" s="229">
        <v>1.5100000000000001E-2</v>
      </c>
      <c r="EB147" s="230">
        <v>1125525</v>
      </c>
      <c r="EC147" s="229">
        <v>3.8E-3</v>
      </c>
      <c r="ED147" s="229">
        <v>1.5100000000000001E-2</v>
      </c>
      <c r="EE147" s="228">
        <v>31.98</v>
      </c>
      <c r="EF147" s="229">
        <v>4.0000000000000001E-3</v>
      </c>
      <c r="EG147" s="230">
        <v>38833</v>
      </c>
      <c r="EH147" s="230">
        <v>67748</v>
      </c>
      <c r="EI147" s="229">
        <v>-0.42680000000000001</v>
      </c>
      <c r="EJ147" s="229">
        <v>0.44869999999999999</v>
      </c>
      <c r="EK147" s="228">
        <v>233.02</v>
      </c>
      <c r="EL147" s="228">
        <v>105.38</v>
      </c>
      <c r="EM147" s="228">
        <v>130.12</v>
      </c>
      <c r="EN147" s="228">
        <v>190.55</v>
      </c>
      <c r="EO147" s="228">
        <v>468.52</v>
      </c>
      <c r="EP147" s="231">
        <v>1948.89</v>
      </c>
      <c r="EQ147" s="231">
        <v>-1480.37</v>
      </c>
      <c r="ER147" s="229">
        <v>-0.75960000000000005</v>
      </c>
      <c r="ES147" s="228">
        <v>174.35</v>
      </c>
      <c r="ET147" s="228">
        <v>134.41</v>
      </c>
      <c r="EU147" s="228">
        <v>927</v>
      </c>
      <c r="EV147" s="231">
        <v>3582756</v>
      </c>
      <c r="EW147" s="231">
        <v>1235.76</v>
      </c>
      <c r="EX147" s="231">
        <v>1179.8900000000001</v>
      </c>
      <c r="EY147" s="228">
        <v>55.87</v>
      </c>
      <c r="EZ147" s="229">
        <v>4.7399999999999998E-2</v>
      </c>
      <c r="FA147" s="229">
        <v>0.42730000000000001</v>
      </c>
      <c r="FB147" s="227" t="s">
        <v>555</v>
      </c>
      <c r="FC147">
        <f t="shared" si="2"/>
        <v>14</v>
      </c>
    </row>
    <row r="148" spans="1:159" ht="17.25" thickBot="1" x14ac:dyDescent="0.3">
      <c r="A148" s="226">
        <v>46050</v>
      </c>
      <c r="B148" s="227" t="s">
        <v>193</v>
      </c>
      <c r="C148" s="227" t="s">
        <v>587</v>
      </c>
      <c r="D148" s="228">
        <v>1400</v>
      </c>
      <c r="E148" s="228">
        <v>27</v>
      </c>
      <c r="F148" s="228">
        <v>490.5</v>
      </c>
      <c r="G148" s="228">
        <v>446.3</v>
      </c>
      <c r="H148" s="228">
        <v>44.2</v>
      </c>
      <c r="I148" s="229">
        <v>9.9000000000000005E-2</v>
      </c>
      <c r="J148" s="228">
        <v>490.5</v>
      </c>
      <c r="K148" s="228">
        <v>448.55</v>
      </c>
      <c r="L148" s="228">
        <v>41.95</v>
      </c>
      <c r="M148" s="229">
        <v>9.35E-2</v>
      </c>
      <c r="N148" s="228">
        <v>490.5</v>
      </c>
      <c r="O148" s="228">
        <v>449.35</v>
      </c>
      <c r="P148" s="228">
        <v>41.15</v>
      </c>
      <c r="Q148" s="229">
        <v>9.1600000000000001E-2</v>
      </c>
      <c r="R148" s="228">
        <v>490.5</v>
      </c>
      <c r="S148" s="228">
        <v>446.3</v>
      </c>
      <c r="T148" s="228">
        <v>44.2</v>
      </c>
      <c r="U148" s="229">
        <v>9.9000000000000005E-2</v>
      </c>
      <c r="V148" s="228">
        <v>491.6</v>
      </c>
      <c r="W148" s="228">
        <v>446.7</v>
      </c>
      <c r="X148" s="228">
        <v>44.9</v>
      </c>
      <c r="Y148" s="229">
        <v>0.10050000000000001</v>
      </c>
      <c r="Z148" s="228">
        <v>0</v>
      </c>
      <c r="AA148" s="228">
        <v>-2.25</v>
      </c>
      <c r="AB148" s="228">
        <v>2.25</v>
      </c>
      <c r="AC148" s="229">
        <v>0</v>
      </c>
      <c r="AD148" s="228">
        <v>0</v>
      </c>
      <c r="AE148" s="228">
        <v>0.8</v>
      </c>
      <c r="AF148" s="228">
        <v>-0.8</v>
      </c>
      <c r="AG148" s="229">
        <v>0</v>
      </c>
      <c r="AH148" s="228">
        <v>0</v>
      </c>
      <c r="AI148" s="228">
        <v>-2.25</v>
      </c>
      <c r="AJ148" s="228">
        <v>2.25</v>
      </c>
      <c r="AK148" s="229">
        <v>0</v>
      </c>
      <c r="AL148" s="228">
        <v>1.1000000000000001</v>
      </c>
      <c r="AM148" s="228">
        <v>-1.85</v>
      </c>
      <c r="AN148" s="228">
        <v>2.95</v>
      </c>
      <c r="AO148" s="229">
        <v>2.2000000000000001E-3</v>
      </c>
      <c r="AP148" s="228">
        <v>482.98</v>
      </c>
      <c r="AQ148" s="228">
        <v>483.81</v>
      </c>
      <c r="AR148" s="228">
        <v>0</v>
      </c>
      <c r="AS148" s="228">
        <v>901</v>
      </c>
      <c r="AT148" s="228">
        <v>443</v>
      </c>
      <c r="AU148" s="228">
        <v>458</v>
      </c>
      <c r="AV148" s="229">
        <v>1.0317000000000001</v>
      </c>
      <c r="AW148" s="228">
        <v>865</v>
      </c>
      <c r="AX148" s="228">
        <v>129</v>
      </c>
      <c r="AY148" s="228">
        <v>736</v>
      </c>
      <c r="AZ148" s="229">
        <v>5.726</v>
      </c>
      <c r="BA148" s="228">
        <v>33</v>
      </c>
      <c r="BB148" s="228">
        <v>310</v>
      </c>
      <c r="BC148" s="228">
        <v>-277</v>
      </c>
      <c r="BD148" s="229">
        <v>-0.89380000000000004</v>
      </c>
      <c r="BE148" s="228">
        <v>4</v>
      </c>
      <c r="BF148" s="228">
        <v>5</v>
      </c>
      <c r="BG148" s="228">
        <v>-2</v>
      </c>
      <c r="BH148" s="229">
        <v>-0.32</v>
      </c>
      <c r="BI148" s="230">
        <v>2874</v>
      </c>
      <c r="BJ148" s="228">
        <v>659</v>
      </c>
      <c r="BK148" s="230">
        <v>2215</v>
      </c>
      <c r="BL148" s="229">
        <v>3.36</v>
      </c>
      <c r="BM148" s="228">
        <v>856</v>
      </c>
      <c r="BN148" s="228">
        <v>117</v>
      </c>
      <c r="BO148" s="228">
        <v>739</v>
      </c>
      <c r="BP148" s="229">
        <v>6.3280000000000003</v>
      </c>
      <c r="BQ148" s="230">
        <v>4631</v>
      </c>
      <c r="BR148" s="230">
        <v>1219</v>
      </c>
      <c r="BS148" s="230">
        <v>3412</v>
      </c>
      <c r="BT148" s="229">
        <v>2.7976000000000001</v>
      </c>
      <c r="BU148" s="230">
        <v>31552962</v>
      </c>
      <c r="BV148" s="230">
        <v>3201841</v>
      </c>
      <c r="BW148" s="230">
        <v>28351121</v>
      </c>
      <c r="BX148" s="229">
        <v>8.8545999999999996</v>
      </c>
      <c r="BY148" s="228">
        <v>709</v>
      </c>
      <c r="BZ148" s="228">
        <v>624</v>
      </c>
      <c r="CA148" s="228">
        <v>85</v>
      </c>
      <c r="CB148" s="229">
        <v>0.1371</v>
      </c>
      <c r="CC148" s="228">
        <v>694</v>
      </c>
      <c r="CD148" s="228">
        <v>44</v>
      </c>
      <c r="CE148" s="228">
        <v>650</v>
      </c>
      <c r="CF148" s="229">
        <v>14.858700000000001</v>
      </c>
      <c r="CG148" s="228">
        <v>13</v>
      </c>
      <c r="CH148" s="228">
        <v>615</v>
      </c>
      <c r="CI148" s="228">
        <v>-601</v>
      </c>
      <c r="CJ148" s="229">
        <v>-0.97819999999999996</v>
      </c>
      <c r="CK148" s="228">
        <v>2</v>
      </c>
      <c r="CL148" s="228">
        <v>9</v>
      </c>
      <c r="CM148" s="228">
        <v>-7</v>
      </c>
      <c r="CN148" s="229">
        <v>-0.77100000000000002</v>
      </c>
      <c r="CO148" s="228">
        <v>234</v>
      </c>
      <c r="CP148" s="228">
        <v>132</v>
      </c>
      <c r="CQ148" s="228">
        <v>102</v>
      </c>
      <c r="CR148" s="229">
        <v>0.77059999999999995</v>
      </c>
      <c r="CS148" s="228">
        <v>198</v>
      </c>
      <c r="CT148" s="228">
        <v>79</v>
      </c>
      <c r="CU148" s="228">
        <v>118</v>
      </c>
      <c r="CV148" s="229">
        <v>1.4904999999999999</v>
      </c>
      <c r="CW148" s="230">
        <v>1141</v>
      </c>
      <c r="CX148" s="228">
        <v>835</v>
      </c>
      <c r="CY148" s="228">
        <v>306</v>
      </c>
      <c r="CZ148" s="229">
        <v>0.36609999999999998</v>
      </c>
      <c r="DA148" s="228">
        <v>44.47</v>
      </c>
      <c r="DB148" s="228">
        <v>39.700000000000003</v>
      </c>
      <c r="DC148" s="228">
        <v>4.7699999999999996</v>
      </c>
      <c r="DD148" s="228">
        <v>4.7699999999999996</v>
      </c>
      <c r="DE148" s="228">
        <v>42.76</v>
      </c>
      <c r="DF148" s="228">
        <v>40.909999999999997</v>
      </c>
      <c r="DG148" s="228">
        <v>1.71</v>
      </c>
      <c r="DH148" s="228">
        <v>1.85</v>
      </c>
      <c r="DI148" s="228">
        <v>44.22</v>
      </c>
      <c r="DJ148" s="228">
        <v>39.58</v>
      </c>
      <c r="DK148" s="228">
        <v>4.6399999999999997</v>
      </c>
      <c r="DL148" s="228">
        <v>4.6399999999999997</v>
      </c>
      <c r="DM148" s="228">
        <v>45.32</v>
      </c>
      <c r="DN148" s="228">
        <v>40.4</v>
      </c>
      <c r="DO148" s="228">
        <v>4.92</v>
      </c>
      <c r="DP148" s="228">
        <v>4.92</v>
      </c>
      <c r="DQ148" s="228">
        <v>0.84</v>
      </c>
      <c r="DR148" s="228">
        <v>0.6</v>
      </c>
      <c r="DS148" s="228">
        <v>0.24</v>
      </c>
      <c r="DT148" s="229">
        <v>0.4</v>
      </c>
      <c r="DU148" s="228">
        <v>500</v>
      </c>
      <c r="DV148" s="228">
        <v>450</v>
      </c>
      <c r="DW148" s="228">
        <v>0.3</v>
      </c>
      <c r="DX148" s="228">
        <v>0.18</v>
      </c>
      <c r="DY148" s="228">
        <v>0.12</v>
      </c>
      <c r="DZ148" s="229">
        <v>0.66669999999999996</v>
      </c>
      <c r="EA148" s="229">
        <v>2.18E-2</v>
      </c>
      <c r="EB148" s="230">
        <v>12714800</v>
      </c>
      <c r="EC148" s="229">
        <v>0</v>
      </c>
      <c r="ED148" s="229">
        <v>2.18E-2</v>
      </c>
      <c r="EE148" s="228">
        <v>0.83</v>
      </c>
      <c r="EF148" s="229">
        <v>1.6999999999999999E-3</v>
      </c>
      <c r="EG148" s="230">
        <v>12209258</v>
      </c>
      <c r="EH148" s="230">
        <v>1231121</v>
      </c>
      <c r="EI148" s="229">
        <v>8.9171999999999993</v>
      </c>
      <c r="EJ148" s="229">
        <v>0.38690000000000002</v>
      </c>
      <c r="EK148" s="231">
        <v>3017.48</v>
      </c>
      <c r="EL148" s="228">
        <v>826.86</v>
      </c>
      <c r="EM148" s="228">
        <v>887.29</v>
      </c>
      <c r="EN148" s="228">
        <v>92.34</v>
      </c>
      <c r="EO148" s="231">
        <v>4731.63</v>
      </c>
      <c r="EP148" s="231">
        <v>1132.1400000000001</v>
      </c>
      <c r="EQ148" s="231">
        <v>3599.48</v>
      </c>
      <c r="ER148" s="229">
        <v>3.1793999999999998</v>
      </c>
      <c r="ES148" s="228">
        <v>235.85</v>
      </c>
      <c r="ET148" s="228">
        <v>180.45</v>
      </c>
      <c r="EU148" s="228">
        <v>709.16</v>
      </c>
      <c r="EV148" s="231">
        <v>102006452</v>
      </c>
      <c r="EW148" s="231">
        <v>1125.46</v>
      </c>
      <c r="EX148" s="228">
        <v>760.26</v>
      </c>
      <c r="EY148" s="228">
        <v>365.2</v>
      </c>
      <c r="EZ148" s="229">
        <v>0.48039999999999999</v>
      </c>
      <c r="FA148" s="229">
        <v>0.2281</v>
      </c>
      <c r="FB148" s="227" t="s">
        <v>555</v>
      </c>
      <c r="FC148">
        <f>BY215-CC215</f>
        <v>0</v>
      </c>
    </row>
    <row r="149" spans="1:159" ht="17.25" thickBot="1" x14ac:dyDescent="0.3">
      <c r="A149" s="226">
        <v>46050</v>
      </c>
      <c r="B149" s="227" t="s">
        <v>193</v>
      </c>
      <c r="C149" s="227" t="s">
        <v>269</v>
      </c>
      <c r="D149" s="228">
        <v>2250</v>
      </c>
      <c r="E149" s="228">
        <v>27</v>
      </c>
      <c r="F149" s="228">
        <v>267.95</v>
      </c>
      <c r="G149" s="228">
        <v>247.87</v>
      </c>
      <c r="H149" s="228">
        <v>20.079999999999998</v>
      </c>
      <c r="I149" s="229">
        <v>8.1000000000000003E-2</v>
      </c>
      <c r="J149" s="228">
        <v>268.58</v>
      </c>
      <c r="K149" s="228">
        <v>247.95</v>
      </c>
      <c r="L149" s="228">
        <v>20.63</v>
      </c>
      <c r="M149" s="229">
        <v>8.3199999999999996E-2</v>
      </c>
      <c r="N149" s="228">
        <v>267.95</v>
      </c>
      <c r="O149" s="228">
        <v>247.47</v>
      </c>
      <c r="P149" s="228">
        <v>20.48</v>
      </c>
      <c r="Q149" s="229">
        <v>8.2799999999999999E-2</v>
      </c>
      <c r="R149" s="228">
        <v>269.23</v>
      </c>
      <c r="S149" s="228">
        <v>247.87</v>
      </c>
      <c r="T149" s="228">
        <v>21.36</v>
      </c>
      <c r="U149" s="229">
        <v>8.6199999999999999E-2</v>
      </c>
      <c r="V149" s="228">
        <v>270.58</v>
      </c>
      <c r="W149" s="228">
        <v>249.48</v>
      </c>
      <c r="X149" s="228">
        <v>21.1</v>
      </c>
      <c r="Y149" s="229">
        <v>8.4599999999999995E-2</v>
      </c>
      <c r="Z149" s="228">
        <v>-0.63</v>
      </c>
      <c r="AA149" s="228">
        <v>-0.08</v>
      </c>
      <c r="AB149" s="228">
        <v>-0.55000000000000004</v>
      </c>
      <c r="AC149" s="229">
        <v>-2.3E-3</v>
      </c>
      <c r="AD149" s="228">
        <v>-0.63</v>
      </c>
      <c r="AE149" s="228">
        <v>-0.48</v>
      </c>
      <c r="AF149" s="228">
        <v>-0.15</v>
      </c>
      <c r="AG149" s="229">
        <v>-2.3E-3</v>
      </c>
      <c r="AH149" s="228">
        <v>0.65</v>
      </c>
      <c r="AI149" s="228">
        <v>-0.08</v>
      </c>
      <c r="AJ149" s="228">
        <v>0.73</v>
      </c>
      <c r="AK149" s="229">
        <v>2.3999999999999998E-3</v>
      </c>
      <c r="AL149" s="228">
        <v>2</v>
      </c>
      <c r="AM149" s="228">
        <v>1.53</v>
      </c>
      <c r="AN149" s="228">
        <v>0.47</v>
      </c>
      <c r="AO149" s="229">
        <v>7.4000000000000003E-3</v>
      </c>
      <c r="AP149" s="228">
        <v>263.77</v>
      </c>
      <c r="AQ149" s="228">
        <v>264.37</v>
      </c>
      <c r="AR149" s="228">
        <v>0</v>
      </c>
      <c r="AS149" s="230">
        <v>1545</v>
      </c>
      <c r="AT149" s="230">
        <v>2931</v>
      </c>
      <c r="AU149" s="230">
        <v>-1386</v>
      </c>
      <c r="AV149" s="229">
        <v>-0.4728</v>
      </c>
      <c r="AW149" s="230">
        <v>1474</v>
      </c>
      <c r="AX149" s="230">
        <v>1668</v>
      </c>
      <c r="AY149" s="228">
        <v>-193</v>
      </c>
      <c r="AZ149" s="229">
        <v>-0.1159</v>
      </c>
      <c r="BA149" s="228">
        <v>64</v>
      </c>
      <c r="BB149" s="230">
        <v>1238</v>
      </c>
      <c r="BC149" s="230">
        <v>-1174</v>
      </c>
      <c r="BD149" s="229">
        <v>-0.94869999999999999</v>
      </c>
      <c r="BE149" s="228">
        <v>7</v>
      </c>
      <c r="BF149" s="228">
        <v>26</v>
      </c>
      <c r="BG149" s="228">
        <v>-18</v>
      </c>
      <c r="BH149" s="229">
        <v>-0.72099999999999997</v>
      </c>
      <c r="BI149" s="230">
        <v>6246</v>
      </c>
      <c r="BJ149" s="230">
        <v>2529</v>
      </c>
      <c r="BK149" s="230">
        <v>3716</v>
      </c>
      <c r="BL149" s="229">
        <v>1.4694</v>
      </c>
      <c r="BM149" s="230">
        <v>2159</v>
      </c>
      <c r="BN149" s="228">
        <v>927</v>
      </c>
      <c r="BO149" s="230">
        <v>1232</v>
      </c>
      <c r="BP149" s="229">
        <v>1.3280000000000001</v>
      </c>
      <c r="BQ149" s="230">
        <v>9950</v>
      </c>
      <c r="BR149" s="230">
        <v>6387</v>
      </c>
      <c r="BS149" s="230">
        <v>3562</v>
      </c>
      <c r="BT149" s="229">
        <v>0.55769999999999997</v>
      </c>
      <c r="BU149" s="230">
        <v>80243940</v>
      </c>
      <c r="BV149" s="230">
        <v>16571947</v>
      </c>
      <c r="BW149" s="230">
        <v>63671993</v>
      </c>
      <c r="BX149" s="229">
        <v>3.8422000000000001</v>
      </c>
      <c r="BY149" s="230">
        <v>2468</v>
      </c>
      <c r="BZ149" s="230">
        <v>2276</v>
      </c>
      <c r="CA149" s="228">
        <v>192</v>
      </c>
      <c r="CB149" s="229">
        <v>8.43E-2</v>
      </c>
      <c r="CC149" s="230">
        <v>2411</v>
      </c>
      <c r="CD149" s="230">
        <v>1047</v>
      </c>
      <c r="CE149" s="230">
        <v>1364</v>
      </c>
      <c r="CF149" s="229">
        <v>1.3023</v>
      </c>
      <c r="CG149" s="228">
        <v>54</v>
      </c>
      <c r="CH149" s="230">
        <v>2227</v>
      </c>
      <c r="CI149" s="230">
        <v>-2173</v>
      </c>
      <c r="CJ149" s="229">
        <v>-0.97570000000000001</v>
      </c>
      <c r="CK149" s="228">
        <v>3</v>
      </c>
      <c r="CL149" s="228">
        <v>49</v>
      </c>
      <c r="CM149" s="228">
        <v>-46</v>
      </c>
      <c r="CN149" s="229">
        <v>-0.93420000000000003</v>
      </c>
      <c r="CO149" s="228">
        <v>739</v>
      </c>
      <c r="CP149" s="228">
        <v>402</v>
      </c>
      <c r="CQ149" s="228">
        <v>337</v>
      </c>
      <c r="CR149" s="229">
        <v>0.83740000000000003</v>
      </c>
      <c r="CS149" s="228">
        <v>654</v>
      </c>
      <c r="CT149" s="228">
        <v>329</v>
      </c>
      <c r="CU149" s="228">
        <v>325</v>
      </c>
      <c r="CV149" s="229">
        <v>0.98860000000000003</v>
      </c>
      <c r="CW149" s="230">
        <v>3861</v>
      </c>
      <c r="CX149" s="230">
        <v>3007</v>
      </c>
      <c r="CY149" s="228">
        <v>854</v>
      </c>
      <c r="CZ149" s="229">
        <v>0.28389999999999999</v>
      </c>
      <c r="DA149" s="228">
        <v>29.7</v>
      </c>
      <c r="DB149" s="228">
        <v>27.55</v>
      </c>
      <c r="DC149" s="228">
        <v>2.15</v>
      </c>
      <c r="DD149" s="228">
        <v>2.15</v>
      </c>
      <c r="DE149" s="228">
        <v>31.45</v>
      </c>
      <c r="DF149" s="228">
        <v>29.61</v>
      </c>
      <c r="DG149" s="228">
        <v>-1.75</v>
      </c>
      <c r="DH149" s="228">
        <v>1.84</v>
      </c>
      <c r="DI149" s="228">
        <v>29.12</v>
      </c>
      <c r="DJ149" s="228">
        <v>26.86</v>
      </c>
      <c r="DK149" s="228">
        <v>2.2599999999999998</v>
      </c>
      <c r="DL149" s="228">
        <v>2.2599999999999998</v>
      </c>
      <c r="DM149" s="228">
        <v>31.36</v>
      </c>
      <c r="DN149" s="228">
        <v>28.86</v>
      </c>
      <c r="DO149" s="228">
        <v>2.5</v>
      </c>
      <c r="DP149" s="228">
        <v>2.5</v>
      </c>
      <c r="DQ149" s="228">
        <v>0.88</v>
      </c>
      <c r="DR149" s="228">
        <v>0.82</v>
      </c>
      <c r="DS149" s="228">
        <v>0.06</v>
      </c>
      <c r="DT149" s="229">
        <v>7.3200000000000001E-2</v>
      </c>
      <c r="DU149" s="228">
        <v>270</v>
      </c>
      <c r="DV149" s="228">
        <v>230</v>
      </c>
      <c r="DW149" s="228">
        <v>0.35</v>
      </c>
      <c r="DX149" s="228">
        <v>0.37</v>
      </c>
      <c r="DY149" s="228">
        <v>-0.02</v>
      </c>
      <c r="DZ149" s="229">
        <v>-5.4100000000000002E-2</v>
      </c>
      <c r="EA149" s="229">
        <v>2.3199999999999998E-2</v>
      </c>
      <c r="EB149" s="230">
        <v>84948750</v>
      </c>
      <c r="EC149" s="229">
        <v>4.7999999999999996E-3</v>
      </c>
      <c r="ED149" s="229">
        <v>2.3199999999999998E-2</v>
      </c>
      <c r="EE149" s="228">
        <v>0.6</v>
      </c>
      <c r="EF149" s="229">
        <v>2.3E-3</v>
      </c>
      <c r="EG149" s="230">
        <v>36298590</v>
      </c>
      <c r="EH149" s="230">
        <v>9013293</v>
      </c>
      <c r="EI149" s="229">
        <v>3.0272000000000001</v>
      </c>
      <c r="EJ149" s="229">
        <v>0.45240000000000002</v>
      </c>
      <c r="EK149" s="231">
        <v>6406.85</v>
      </c>
      <c r="EL149" s="231">
        <v>2086.33</v>
      </c>
      <c r="EM149" s="231">
        <v>1521.23</v>
      </c>
      <c r="EN149" s="228">
        <v>323.89999999999998</v>
      </c>
      <c r="EO149" s="231">
        <v>10014.41</v>
      </c>
      <c r="EP149" s="231">
        <v>5945.92</v>
      </c>
      <c r="EQ149" s="231">
        <v>4068.5</v>
      </c>
      <c r="ER149" s="229">
        <v>0.68430000000000002</v>
      </c>
      <c r="ES149" s="228">
        <v>730.16</v>
      </c>
      <c r="ET149" s="228">
        <v>603.04</v>
      </c>
      <c r="EU149" s="231">
        <v>2468.39</v>
      </c>
      <c r="EV149" s="231">
        <v>517141211</v>
      </c>
      <c r="EW149" s="231">
        <v>3801.59</v>
      </c>
      <c r="EX149" s="231">
        <v>2782.86</v>
      </c>
      <c r="EY149" s="231">
        <v>1018.73</v>
      </c>
      <c r="EZ149" s="229">
        <v>0.36609999999999998</v>
      </c>
      <c r="FA149" s="229">
        <v>0.27860000000000001</v>
      </c>
      <c r="FB149" s="227" t="s">
        <v>555</v>
      </c>
      <c r="FC149">
        <f t="shared" ref="FC149:FC194" si="3">BY214-CC214</f>
        <v>12</v>
      </c>
    </row>
    <row r="150" spans="1:159" ht="17.25" thickBot="1" x14ac:dyDescent="0.3">
      <c r="A150" s="226">
        <v>46050</v>
      </c>
      <c r="B150" s="227" t="s">
        <v>197</v>
      </c>
      <c r="C150" s="227" t="s">
        <v>270</v>
      </c>
      <c r="D150" s="228">
        <v>15</v>
      </c>
      <c r="E150" s="228">
        <v>27</v>
      </c>
      <c r="F150" s="231">
        <v>32065</v>
      </c>
      <c r="G150" s="231">
        <v>31785</v>
      </c>
      <c r="H150" s="228">
        <v>280</v>
      </c>
      <c r="I150" s="229">
        <v>8.8000000000000005E-3</v>
      </c>
      <c r="J150" s="231">
        <v>32615</v>
      </c>
      <c r="K150" s="231">
        <v>32520</v>
      </c>
      <c r="L150" s="228">
        <v>95</v>
      </c>
      <c r="M150" s="229">
        <v>2.8999999999999998E-3</v>
      </c>
      <c r="N150" s="231">
        <v>32065</v>
      </c>
      <c r="O150" s="231">
        <v>32480</v>
      </c>
      <c r="P150" s="228">
        <v>-415</v>
      </c>
      <c r="Q150" s="229">
        <v>-1.2800000000000001E-2</v>
      </c>
      <c r="R150" s="231">
        <v>31675</v>
      </c>
      <c r="S150" s="231">
        <v>31785</v>
      </c>
      <c r="T150" s="228">
        <v>-110</v>
      </c>
      <c r="U150" s="229">
        <v>-3.5000000000000001E-3</v>
      </c>
      <c r="V150" s="231">
        <v>31470</v>
      </c>
      <c r="W150" s="231">
        <v>31580</v>
      </c>
      <c r="X150" s="228">
        <v>-110</v>
      </c>
      <c r="Y150" s="229">
        <v>-3.5000000000000001E-3</v>
      </c>
      <c r="Z150" s="228">
        <v>-550</v>
      </c>
      <c r="AA150" s="228">
        <v>-735</v>
      </c>
      <c r="AB150" s="228">
        <v>185</v>
      </c>
      <c r="AC150" s="229">
        <v>-1.6899999999999998E-2</v>
      </c>
      <c r="AD150" s="228">
        <v>-550</v>
      </c>
      <c r="AE150" s="228">
        <v>-40</v>
      </c>
      <c r="AF150" s="228">
        <v>-510</v>
      </c>
      <c r="AG150" s="229">
        <v>-1.6899999999999998E-2</v>
      </c>
      <c r="AH150" s="228">
        <v>-940</v>
      </c>
      <c r="AI150" s="228">
        <v>-735</v>
      </c>
      <c r="AJ150" s="228">
        <v>-205</v>
      </c>
      <c r="AK150" s="229">
        <v>-2.8799999999999999E-2</v>
      </c>
      <c r="AL150" s="231">
        <v>-1145</v>
      </c>
      <c r="AM150" s="228">
        <v>-940</v>
      </c>
      <c r="AN150" s="228">
        <v>-205</v>
      </c>
      <c r="AO150" s="229">
        <v>-3.5099999999999999E-2</v>
      </c>
      <c r="AP150" s="231">
        <v>31970.12</v>
      </c>
      <c r="AQ150" s="231">
        <v>31629.98</v>
      </c>
      <c r="AR150" s="228">
        <v>0</v>
      </c>
      <c r="AS150" s="228">
        <v>104</v>
      </c>
      <c r="AT150" s="228">
        <v>472</v>
      </c>
      <c r="AU150" s="228">
        <v>-368</v>
      </c>
      <c r="AV150" s="229">
        <v>-0.77949999999999997</v>
      </c>
      <c r="AW150" s="228">
        <v>89</v>
      </c>
      <c r="AX150" s="228">
        <v>208</v>
      </c>
      <c r="AY150" s="228">
        <v>-119</v>
      </c>
      <c r="AZ150" s="229">
        <v>-0.57240000000000002</v>
      </c>
      <c r="BA150" s="228">
        <v>14</v>
      </c>
      <c r="BB150" s="228">
        <v>244</v>
      </c>
      <c r="BC150" s="228">
        <v>-229</v>
      </c>
      <c r="BD150" s="229">
        <v>-0.94120000000000004</v>
      </c>
      <c r="BE150" s="228">
        <v>1</v>
      </c>
      <c r="BF150" s="228">
        <v>21</v>
      </c>
      <c r="BG150" s="228">
        <v>-20</v>
      </c>
      <c r="BH150" s="229">
        <v>-0.9476</v>
      </c>
      <c r="BI150" s="228">
        <v>225</v>
      </c>
      <c r="BJ150" s="228">
        <v>487</v>
      </c>
      <c r="BK150" s="228">
        <v>-262</v>
      </c>
      <c r="BL150" s="229">
        <v>-0.53779999999999994</v>
      </c>
      <c r="BM150" s="228">
        <v>57</v>
      </c>
      <c r="BN150" s="228">
        <v>198</v>
      </c>
      <c r="BO150" s="228">
        <v>-141</v>
      </c>
      <c r="BP150" s="229">
        <v>-0.71340000000000003</v>
      </c>
      <c r="BQ150" s="228">
        <v>386</v>
      </c>
      <c r="BR150" s="230">
        <v>1158</v>
      </c>
      <c r="BS150" s="228">
        <v>-772</v>
      </c>
      <c r="BT150" s="229">
        <v>-0.66639999999999999</v>
      </c>
      <c r="BU150" s="230">
        <v>13566</v>
      </c>
      <c r="BV150" s="230">
        <v>36060</v>
      </c>
      <c r="BW150" s="230">
        <v>-22494</v>
      </c>
      <c r="BX150" s="229">
        <v>-0.62380000000000002</v>
      </c>
      <c r="BY150" s="228">
        <v>915</v>
      </c>
      <c r="BZ150" s="228">
        <v>905</v>
      </c>
      <c r="CA150" s="228">
        <v>10</v>
      </c>
      <c r="CB150" s="229">
        <v>1.0800000000000001E-2</v>
      </c>
      <c r="CC150" s="228">
        <v>878</v>
      </c>
      <c r="CD150" s="228">
        <v>38</v>
      </c>
      <c r="CE150" s="228">
        <v>840</v>
      </c>
      <c r="CF150" s="229">
        <v>22.0822</v>
      </c>
      <c r="CG150" s="228">
        <v>36</v>
      </c>
      <c r="CH150" s="228">
        <v>875</v>
      </c>
      <c r="CI150" s="228">
        <v>-840</v>
      </c>
      <c r="CJ150" s="229">
        <v>-0.95920000000000005</v>
      </c>
      <c r="CK150" s="228">
        <v>1</v>
      </c>
      <c r="CL150" s="228">
        <v>30</v>
      </c>
      <c r="CM150" s="228">
        <v>-29</v>
      </c>
      <c r="CN150" s="229">
        <v>-0.97070000000000001</v>
      </c>
      <c r="CO150" s="228">
        <v>126</v>
      </c>
      <c r="CP150" s="228">
        <v>98</v>
      </c>
      <c r="CQ150" s="228">
        <v>28</v>
      </c>
      <c r="CR150" s="229">
        <v>0.28100000000000003</v>
      </c>
      <c r="CS150" s="228">
        <v>85</v>
      </c>
      <c r="CT150" s="228">
        <v>65</v>
      </c>
      <c r="CU150" s="228">
        <v>21</v>
      </c>
      <c r="CV150" s="229">
        <v>0.31869999999999998</v>
      </c>
      <c r="CW150" s="230">
        <v>1126</v>
      </c>
      <c r="CX150" s="230">
        <v>1068</v>
      </c>
      <c r="CY150" s="228">
        <v>58</v>
      </c>
      <c r="CZ150" s="229">
        <v>5.4300000000000001E-2</v>
      </c>
      <c r="DA150" s="228">
        <v>32.18</v>
      </c>
      <c r="DB150" s="228">
        <v>31.01</v>
      </c>
      <c r="DC150" s="228">
        <v>1.17</v>
      </c>
      <c r="DD150" s="228">
        <v>1.17</v>
      </c>
      <c r="DE150" s="228">
        <v>27.34</v>
      </c>
      <c r="DF150" s="228">
        <v>27.4</v>
      </c>
      <c r="DG150" s="228">
        <v>4.84</v>
      </c>
      <c r="DH150" s="228">
        <v>-0.06</v>
      </c>
      <c r="DI150" s="228">
        <v>32.31</v>
      </c>
      <c r="DJ150" s="228">
        <v>31.16</v>
      </c>
      <c r="DK150" s="228">
        <v>1.1499999999999999</v>
      </c>
      <c r="DL150" s="228">
        <v>1.1499999999999999</v>
      </c>
      <c r="DM150" s="228">
        <v>31.66</v>
      </c>
      <c r="DN150" s="228">
        <v>30.56</v>
      </c>
      <c r="DO150" s="228">
        <v>1.1000000000000001</v>
      </c>
      <c r="DP150" s="228">
        <v>1.1000000000000001</v>
      </c>
      <c r="DQ150" s="228">
        <v>0.68</v>
      </c>
      <c r="DR150" s="228">
        <v>0.66</v>
      </c>
      <c r="DS150" s="228">
        <v>0.02</v>
      </c>
      <c r="DT150" s="229">
        <v>3.0300000000000001E-2</v>
      </c>
      <c r="DU150" s="231">
        <v>34000</v>
      </c>
      <c r="DV150" s="231">
        <v>30000</v>
      </c>
      <c r="DW150" s="228">
        <v>0.25</v>
      </c>
      <c r="DX150" s="228">
        <v>0.41</v>
      </c>
      <c r="DY150" s="228">
        <v>-0.16</v>
      </c>
      <c r="DZ150" s="229">
        <v>-0.39019999999999999</v>
      </c>
      <c r="EA150" s="229">
        <v>0.04</v>
      </c>
      <c r="EB150" s="230">
        <v>282225</v>
      </c>
      <c r="EC150" s="229">
        <v>-1.2200000000000001E-2</v>
      </c>
      <c r="ED150" s="229">
        <v>0.04</v>
      </c>
      <c r="EE150" s="228">
        <v>-340.14</v>
      </c>
      <c r="EF150" s="229">
        <v>-1.06E-2</v>
      </c>
      <c r="EG150" s="230">
        <v>6713</v>
      </c>
      <c r="EH150" s="230">
        <v>16981</v>
      </c>
      <c r="EI150" s="229">
        <v>-0.60470000000000002</v>
      </c>
      <c r="EJ150" s="229">
        <v>0.49480000000000002</v>
      </c>
      <c r="EK150" s="228">
        <v>253.21</v>
      </c>
      <c r="EL150" s="228">
        <v>57.04</v>
      </c>
      <c r="EM150" s="228">
        <v>103.71</v>
      </c>
      <c r="EN150" s="228">
        <v>158.86000000000001</v>
      </c>
      <c r="EO150" s="228">
        <v>413.96</v>
      </c>
      <c r="EP150" s="231">
        <v>1207.52</v>
      </c>
      <c r="EQ150" s="228">
        <v>-793.56</v>
      </c>
      <c r="ER150" s="229">
        <v>-0.65720000000000001</v>
      </c>
      <c r="ES150" s="228">
        <v>135.94</v>
      </c>
      <c r="ET150" s="228">
        <v>87.76</v>
      </c>
      <c r="EU150" s="228">
        <v>914.27</v>
      </c>
      <c r="EV150" s="231">
        <v>955549</v>
      </c>
      <c r="EW150" s="231">
        <v>1137.96</v>
      </c>
      <c r="EX150" s="231">
        <v>1069.97</v>
      </c>
      <c r="EY150" s="228">
        <v>67.989999999999995</v>
      </c>
      <c r="EZ150" s="229">
        <v>6.3500000000000001E-2</v>
      </c>
      <c r="FA150" s="229">
        <v>0.36749999999999999</v>
      </c>
      <c r="FB150" s="227" t="s">
        <v>555</v>
      </c>
      <c r="FC150">
        <f t="shared" si="3"/>
        <v>0</v>
      </c>
    </row>
    <row r="151" spans="1:159" ht="17.25" thickBot="1" x14ac:dyDescent="0.3">
      <c r="A151" s="226">
        <v>46050</v>
      </c>
      <c r="B151" s="227" t="s">
        <v>168</v>
      </c>
      <c r="C151" s="227" t="s">
        <v>665</v>
      </c>
      <c r="D151" s="228">
        <v>900</v>
      </c>
      <c r="E151" s="228">
        <v>27</v>
      </c>
      <c r="F151" s="228">
        <v>507.45</v>
      </c>
      <c r="G151" s="228">
        <v>503.05</v>
      </c>
      <c r="H151" s="228">
        <v>4.4000000000000004</v>
      </c>
      <c r="I151" s="229">
        <v>8.6999999999999994E-3</v>
      </c>
      <c r="J151" s="228">
        <v>505.75</v>
      </c>
      <c r="K151" s="228">
        <v>503.1</v>
      </c>
      <c r="L151" s="228">
        <v>2.65</v>
      </c>
      <c r="M151" s="229">
        <v>5.3E-3</v>
      </c>
      <c r="N151" s="228">
        <v>507.45</v>
      </c>
      <c r="O151" s="228">
        <v>499.65</v>
      </c>
      <c r="P151" s="228">
        <v>7.8</v>
      </c>
      <c r="Q151" s="229">
        <v>1.5599999999999999E-2</v>
      </c>
      <c r="R151" s="228">
        <v>509.85</v>
      </c>
      <c r="S151" s="228">
        <v>503.05</v>
      </c>
      <c r="T151" s="228">
        <v>6.8</v>
      </c>
      <c r="U151" s="229">
        <v>1.35E-2</v>
      </c>
      <c r="V151" s="228">
        <v>513.1</v>
      </c>
      <c r="W151" s="228">
        <v>506.6</v>
      </c>
      <c r="X151" s="228">
        <v>6.5</v>
      </c>
      <c r="Y151" s="229">
        <v>1.2800000000000001E-2</v>
      </c>
      <c r="Z151" s="228">
        <v>1.7</v>
      </c>
      <c r="AA151" s="228">
        <v>-0.05</v>
      </c>
      <c r="AB151" s="228">
        <v>1.75</v>
      </c>
      <c r="AC151" s="229">
        <v>3.3999999999999998E-3</v>
      </c>
      <c r="AD151" s="228">
        <v>1.7</v>
      </c>
      <c r="AE151" s="228">
        <v>-3.45</v>
      </c>
      <c r="AF151" s="228">
        <v>5.15</v>
      </c>
      <c r="AG151" s="229">
        <v>3.3999999999999998E-3</v>
      </c>
      <c r="AH151" s="228">
        <v>4.0999999999999996</v>
      </c>
      <c r="AI151" s="228">
        <v>-0.05</v>
      </c>
      <c r="AJ151" s="228">
        <v>4.1500000000000004</v>
      </c>
      <c r="AK151" s="229">
        <v>8.0999999999999996E-3</v>
      </c>
      <c r="AL151" s="228">
        <v>7.35</v>
      </c>
      <c r="AM151" s="228">
        <v>3.5</v>
      </c>
      <c r="AN151" s="228">
        <v>3.85</v>
      </c>
      <c r="AO151" s="229">
        <v>1.4500000000000001E-2</v>
      </c>
      <c r="AP151" s="228">
        <v>503.17</v>
      </c>
      <c r="AQ151" s="228">
        <v>505.34</v>
      </c>
      <c r="AR151" s="228">
        <v>0</v>
      </c>
      <c r="AS151" s="228">
        <v>251</v>
      </c>
      <c r="AT151" s="228">
        <v>599</v>
      </c>
      <c r="AU151" s="228">
        <v>-348</v>
      </c>
      <c r="AV151" s="229">
        <v>-0.58069999999999999</v>
      </c>
      <c r="AW151" s="228">
        <v>244</v>
      </c>
      <c r="AX151" s="228">
        <v>263</v>
      </c>
      <c r="AY151" s="228">
        <v>-19</v>
      </c>
      <c r="AZ151" s="229">
        <v>-7.0900000000000005E-2</v>
      </c>
      <c r="BA151" s="228">
        <v>7</v>
      </c>
      <c r="BB151" s="228">
        <v>334</v>
      </c>
      <c r="BC151" s="228">
        <v>-327</v>
      </c>
      <c r="BD151" s="229">
        <v>-0.97840000000000005</v>
      </c>
      <c r="BE151" s="228">
        <v>0</v>
      </c>
      <c r="BF151" s="228">
        <v>2</v>
      </c>
      <c r="BG151" s="228">
        <v>-2</v>
      </c>
      <c r="BH151" s="229">
        <v>-0.98109999999999997</v>
      </c>
      <c r="BI151" s="228">
        <v>112</v>
      </c>
      <c r="BJ151" s="228">
        <v>114</v>
      </c>
      <c r="BK151" s="228">
        <v>-1</v>
      </c>
      <c r="BL151" s="229">
        <v>-1.24E-2</v>
      </c>
      <c r="BM151" s="228">
        <v>76</v>
      </c>
      <c r="BN151" s="228">
        <v>110</v>
      </c>
      <c r="BO151" s="228">
        <v>-33</v>
      </c>
      <c r="BP151" s="229">
        <v>-0.30270000000000002</v>
      </c>
      <c r="BQ151" s="228">
        <v>440</v>
      </c>
      <c r="BR151" s="228">
        <v>823</v>
      </c>
      <c r="BS151" s="228">
        <v>-383</v>
      </c>
      <c r="BT151" s="229">
        <v>-0.46500000000000002</v>
      </c>
      <c r="BU151" s="230">
        <v>5983335</v>
      </c>
      <c r="BV151" s="230">
        <v>5448193</v>
      </c>
      <c r="BW151" s="230">
        <v>535142</v>
      </c>
      <c r="BX151" s="229">
        <v>9.8199999999999996E-2</v>
      </c>
      <c r="BY151" s="230">
        <v>1890</v>
      </c>
      <c r="BZ151" s="230">
        <v>1892</v>
      </c>
      <c r="CA151" s="228">
        <v>-2</v>
      </c>
      <c r="CB151" s="229">
        <v>-1E-3</v>
      </c>
      <c r="CC151" s="230">
        <v>1884</v>
      </c>
      <c r="CD151" s="228">
        <v>27</v>
      </c>
      <c r="CE151" s="230">
        <v>1857</v>
      </c>
      <c r="CF151" s="229">
        <v>68.332800000000006</v>
      </c>
      <c r="CG151" s="228">
        <v>6</v>
      </c>
      <c r="CH151" s="230">
        <v>1888</v>
      </c>
      <c r="CI151" s="230">
        <v>-1882</v>
      </c>
      <c r="CJ151" s="229">
        <v>-0.99680000000000002</v>
      </c>
      <c r="CK151" s="228">
        <v>0</v>
      </c>
      <c r="CL151" s="228">
        <v>4</v>
      </c>
      <c r="CM151" s="228">
        <v>-4</v>
      </c>
      <c r="CN151" s="229">
        <v>-0.98939999999999995</v>
      </c>
      <c r="CO151" s="228">
        <v>57</v>
      </c>
      <c r="CP151" s="228">
        <v>39</v>
      </c>
      <c r="CQ151" s="228">
        <v>18</v>
      </c>
      <c r="CR151" s="229">
        <v>0.47360000000000002</v>
      </c>
      <c r="CS151" s="228">
        <v>59</v>
      </c>
      <c r="CT151" s="228">
        <v>41</v>
      </c>
      <c r="CU151" s="228">
        <v>18</v>
      </c>
      <c r="CV151" s="229">
        <v>0.43830000000000002</v>
      </c>
      <c r="CW151" s="230">
        <v>2006</v>
      </c>
      <c r="CX151" s="230">
        <v>1972</v>
      </c>
      <c r="CY151" s="228">
        <v>34</v>
      </c>
      <c r="CZ151" s="229">
        <v>1.7399999999999999E-2</v>
      </c>
      <c r="DA151" s="228">
        <v>34.11</v>
      </c>
      <c r="DB151" s="228">
        <v>37.32</v>
      </c>
      <c r="DC151" s="228">
        <v>-3.21</v>
      </c>
      <c r="DD151" s="228">
        <v>-3.21</v>
      </c>
      <c r="DE151" s="228">
        <v>33.159999999999997</v>
      </c>
      <c r="DF151" s="228">
        <v>33.22</v>
      </c>
      <c r="DG151" s="228">
        <v>0.95</v>
      </c>
      <c r="DH151" s="228">
        <v>-0.06</v>
      </c>
      <c r="DI151" s="228">
        <v>34.04</v>
      </c>
      <c r="DJ151" s="228">
        <v>37.700000000000003</v>
      </c>
      <c r="DK151" s="228">
        <v>-3.66</v>
      </c>
      <c r="DL151" s="228">
        <v>-3.66</v>
      </c>
      <c r="DM151" s="228">
        <v>34.22</v>
      </c>
      <c r="DN151" s="228">
        <v>36.99</v>
      </c>
      <c r="DO151" s="228">
        <v>-2.77</v>
      </c>
      <c r="DP151" s="228">
        <v>-2.77</v>
      </c>
      <c r="DQ151" s="228">
        <v>1.02</v>
      </c>
      <c r="DR151" s="228">
        <v>1.05</v>
      </c>
      <c r="DS151" s="228">
        <v>-0.03</v>
      </c>
      <c r="DT151" s="229">
        <v>-2.86E-2</v>
      </c>
      <c r="DU151" s="228">
        <v>500</v>
      </c>
      <c r="DV151" s="228">
        <v>500</v>
      </c>
      <c r="DW151" s="228">
        <v>0.68</v>
      </c>
      <c r="DX151" s="228">
        <v>0.96</v>
      </c>
      <c r="DY151" s="228">
        <v>-0.28000000000000003</v>
      </c>
      <c r="DZ151" s="229">
        <v>-0.29170000000000001</v>
      </c>
      <c r="EA151" s="229">
        <v>3.2000000000000002E-3</v>
      </c>
      <c r="EB151" s="230">
        <v>37284300</v>
      </c>
      <c r="EC151" s="229">
        <v>4.7000000000000002E-3</v>
      </c>
      <c r="ED151" s="229">
        <v>3.2000000000000002E-3</v>
      </c>
      <c r="EE151" s="228">
        <v>2.17</v>
      </c>
      <c r="EF151" s="229">
        <v>4.3E-3</v>
      </c>
      <c r="EG151" s="230">
        <v>3175945</v>
      </c>
      <c r="EH151" s="230">
        <v>2138425</v>
      </c>
      <c r="EI151" s="229">
        <v>0.48520000000000002</v>
      </c>
      <c r="EJ151" s="229">
        <v>0.53080000000000005</v>
      </c>
      <c r="EK151" s="228">
        <v>118.22</v>
      </c>
      <c r="EL151" s="228">
        <v>77.12</v>
      </c>
      <c r="EM151" s="228">
        <v>249.28</v>
      </c>
      <c r="EN151" s="228">
        <v>198.39</v>
      </c>
      <c r="EO151" s="228">
        <v>444.62</v>
      </c>
      <c r="EP151" s="228">
        <v>826.41</v>
      </c>
      <c r="EQ151" s="228">
        <v>-381.79</v>
      </c>
      <c r="ER151" s="229">
        <v>-0.46200000000000002</v>
      </c>
      <c r="ES151" s="228">
        <v>59.63</v>
      </c>
      <c r="ET151" s="228">
        <v>59.52</v>
      </c>
      <c r="EU151" s="231">
        <v>1890.1</v>
      </c>
      <c r="EV151" s="231">
        <v>50886533</v>
      </c>
      <c r="EW151" s="231">
        <v>2009.25</v>
      </c>
      <c r="EX151" s="231">
        <v>1958.15</v>
      </c>
      <c r="EY151" s="228">
        <v>51.1</v>
      </c>
      <c r="EZ151" s="229">
        <v>2.6100000000000002E-2</v>
      </c>
      <c r="FA151" s="229">
        <v>0.77690000000000003</v>
      </c>
      <c r="FB151" s="227" t="s">
        <v>556</v>
      </c>
      <c r="FC151">
        <f t="shared" si="3"/>
        <v>0</v>
      </c>
    </row>
    <row r="152" spans="1:159" ht="17.25" thickBot="1" x14ac:dyDescent="0.3">
      <c r="A152" s="226">
        <v>46050</v>
      </c>
      <c r="B152" s="227" t="s">
        <v>615</v>
      </c>
      <c r="C152" s="227" t="s">
        <v>575</v>
      </c>
      <c r="D152" s="228">
        <v>725</v>
      </c>
      <c r="E152" s="228">
        <v>27</v>
      </c>
      <c r="F152" s="231">
        <v>1184.7</v>
      </c>
      <c r="G152" s="231">
        <v>1154.0999999999999</v>
      </c>
      <c r="H152" s="228">
        <v>30.6</v>
      </c>
      <c r="I152" s="229">
        <v>2.6499999999999999E-2</v>
      </c>
      <c r="J152" s="231">
        <v>1177</v>
      </c>
      <c r="K152" s="231">
        <v>1144.8</v>
      </c>
      <c r="L152" s="228">
        <v>32.200000000000003</v>
      </c>
      <c r="M152" s="229">
        <v>2.81E-2</v>
      </c>
      <c r="N152" s="231">
        <v>1184.7</v>
      </c>
      <c r="O152" s="231">
        <v>1144</v>
      </c>
      <c r="P152" s="228">
        <v>40.700000000000003</v>
      </c>
      <c r="Q152" s="229">
        <v>3.56E-2</v>
      </c>
      <c r="R152" s="231">
        <v>1192.2</v>
      </c>
      <c r="S152" s="231">
        <v>1154.0999999999999</v>
      </c>
      <c r="T152" s="228">
        <v>38.1</v>
      </c>
      <c r="U152" s="229">
        <v>3.3000000000000002E-2</v>
      </c>
      <c r="V152" s="231">
        <v>1200.2</v>
      </c>
      <c r="W152" s="231">
        <v>1161.0999999999999</v>
      </c>
      <c r="X152" s="228">
        <v>39.1</v>
      </c>
      <c r="Y152" s="229">
        <v>3.3700000000000001E-2</v>
      </c>
      <c r="Z152" s="228">
        <v>7.7</v>
      </c>
      <c r="AA152" s="228">
        <v>9.3000000000000007</v>
      </c>
      <c r="AB152" s="228">
        <v>-1.6</v>
      </c>
      <c r="AC152" s="229">
        <v>6.4999999999999997E-3</v>
      </c>
      <c r="AD152" s="228">
        <v>7.7</v>
      </c>
      <c r="AE152" s="228">
        <v>-0.8</v>
      </c>
      <c r="AF152" s="228">
        <v>8.5</v>
      </c>
      <c r="AG152" s="229">
        <v>6.4999999999999997E-3</v>
      </c>
      <c r="AH152" s="228">
        <v>15.2</v>
      </c>
      <c r="AI152" s="228">
        <v>9.3000000000000007</v>
      </c>
      <c r="AJ152" s="228">
        <v>5.9</v>
      </c>
      <c r="AK152" s="229">
        <v>1.29E-2</v>
      </c>
      <c r="AL152" s="228">
        <v>23.2</v>
      </c>
      <c r="AM152" s="228">
        <v>16.3</v>
      </c>
      <c r="AN152" s="228">
        <v>6.9</v>
      </c>
      <c r="AO152" s="229">
        <v>1.9699999999999999E-2</v>
      </c>
      <c r="AP152" s="231">
        <v>1175.3399999999999</v>
      </c>
      <c r="AQ152" s="231">
        <v>1181.5</v>
      </c>
      <c r="AR152" s="228">
        <v>0</v>
      </c>
      <c r="AS152" s="228">
        <v>582</v>
      </c>
      <c r="AT152" s="230">
        <v>1839</v>
      </c>
      <c r="AU152" s="230">
        <v>-1256</v>
      </c>
      <c r="AV152" s="229">
        <v>-0.68340000000000001</v>
      </c>
      <c r="AW152" s="228">
        <v>571</v>
      </c>
      <c r="AX152" s="228">
        <v>703</v>
      </c>
      <c r="AY152" s="228">
        <v>-132</v>
      </c>
      <c r="AZ152" s="229">
        <v>-0.18759999999999999</v>
      </c>
      <c r="BA152" s="228">
        <v>11</v>
      </c>
      <c r="BB152" s="230">
        <v>1120</v>
      </c>
      <c r="BC152" s="230">
        <v>-1110</v>
      </c>
      <c r="BD152" s="229">
        <v>-0.99060000000000004</v>
      </c>
      <c r="BE152" s="228">
        <v>0</v>
      </c>
      <c r="BF152" s="228">
        <v>15</v>
      </c>
      <c r="BG152" s="228">
        <v>-15</v>
      </c>
      <c r="BH152" s="229">
        <v>-0.98299999999999998</v>
      </c>
      <c r="BI152" s="230">
        <v>1116</v>
      </c>
      <c r="BJ152" s="230">
        <v>2734</v>
      </c>
      <c r="BK152" s="230">
        <v>-1618</v>
      </c>
      <c r="BL152" s="229">
        <v>-0.5917</v>
      </c>
      <c r="BM152" s="228">
        <v>388</v>
      </c>
      <c r="BN152" s="230">
        <v>1989</v>
      </c>
      <c r="BO152" s="230">
        <v>-1602</v>
      </c>
      <c r="BP152" s="229">
        <v>-0.80520000000000003</v>
      </c>
      <c r="BQ152" s="230">
        <v>2086</v>
      </c>
      <c r="BR152" s="230">
        <v>6562</v>
      </c>
      <c r="BS152" s="230">
        <v>-4476</v>
      </c>
      <c r="BT152" s="229">
        <v>-0.68210000000000004</v>
      </c>
      <c r="BU152" s="230">
        <v>3774853</v>
      </c>
      <c r="BV152" s="230">
        <v>5477443</v>
      </c>
      <c r="BW152" s="230">
        <v>-1702590</v>
      </c>
      <c r="BX152" s="229">
        <v>-0.31080000000000002</v>
      </c>
      <c r="BY152" s="230">
        <v>2108</v>
      </c>
      <c r="BZ152" s="230">
        <v>2064</v>
      </c>
      <c r="CA152" s="228">
        <v>45</v>
      </c>
      <c r="CB152" s="229">
        <v>2.1700000000000001E-2</v>
      </c>
      <c r="CC152" s="230">
        <v>2080</v>
      </c>
      <c r="CD152" s="228">
        <v>48</v>
      </c>
      <c r="CE152" s="230">
        <v>2032</v>
      </c>
      <c r="CF152" s="229">
        <v>42.546799999999998</v>
      </c>
      <c r="CG152" s="228">
        <v>29</v>
      </c>
      <c r="CH152" s="230">
        <v>2036</v>
      </c>
      <c r="CI152" s="230">
        <v>-2007</v>
      </c>
      <c r="CJ152" s="229">
        <v>-0.98599999999999999</v>
      </c>
      <c r="CK152" s="228">
        <v>0</v>
      </c>
      <c r="CL152" s="228">
        <v>28</v>
      </c>
      <c r="CM152" s="228">
        <v>-28</v>
      </c>
      <c r="CN152" s="229">
        <v>-0.99070000000000003</v>
      </c>
      <c r="CO152" s="228">
        <v>646</v>
      </c>
      <c r="CP152" s="228">
        <v>572</v>
      </c>
      <c r="CQ152" s="228">
        <v>74</v>
      </c>
      <c r="CR152" s="229">
        <v>0.1295</v>
      </c>
      <c r="CS152" s="228">
        <v>447</v>
      </c>
      <c r="CT152" s="228">
        <v>440</v>
      </c>
      <c r="CU152" s="228">
        <v>7</v>
      </c>
      <c r="CV152" s="229">
        <v>1.66E-2</v>
      </c>
      <c r="CW152" s="230">
        <v>3202</v>
      </c>
      <c r="CX152" s="230">
        <v>3076</v>
      </c>
      <c r="CY152" s="228">
        <v>126</v>
      </c>
      <c r="CZ152" s="229">
        <v>4.1000000000000002E-2</v>
      </c>
      <c r="DA152" s="228">
        <v>43.18</v>
      </c>
      <c r="DB152" s="228">
        <v>45.33</v>
      </c>
      <c r="DC152" s="228">
        <v>-2.15</v>
      </c>
      <c r="DD152" s="228">
        <v>-2.15</v>
      </c>
      <c r="DE152" s="228">
        <v>52.48</v>
      </c>
      <c r="DF152" s="228">
        <v>52.49</v>
      </c>
      <c r="DG152" s="228">
        <v>-9.3000000000000007</v>
      </c>
      <c r="DH152" s="228">
        <v>-0.01</v>
      </c>
      <c r="DI152" s="228">
        <v>42.73</v>
      </c>
      <c r="DJ152" s="228">
        <v>44.77</v>
      </c>
      <c r="DK152" s="228">
        <v>-2.04</v>
      </c>
      <c r="DL152" s="228">
        <v>-2.04</v>
      </c>
      <c r="DM152" s="228">
        <v>44.47</v>
      </c>
      <c r="DN152" s="228">
        <v>46.01</v>
      </c>
      <c r="DO152" s="228">
        <v>-1.54</v>
      </c>
      <c r="DP152" s="228">
        <v>-1.54</v>
      </c>
      <c r="DQ152" s="228">
        <v>0.69</v>
      </c>
      <c r="DR152" s="228">
        <v>0.77</v>
      </c>
      <c r="DS152" s="228">
        <v>-0.08</v>
      </c>
      <c r="DT152" s="229">
        <v>-0.10390000000000001</v>
      </c>
      <c r="DU152" s="231">
        <v>1200</v>
      </c>
      <c r="DV152" s="231">
        <v>1020</v>
      </c>
      <c r="DW152" s="228">
        <v>0.35</v>
      </c>
      <c r="DX152" s="228">
        <v>0.73</v>
      </c>
      <c r="DY152" s="228">
        <v>-0.38</v>
      </c>
      <c r="DZ152" s="229">
        <v>-0.52049999999999996</v>
      </c>
      <c r="EA152" s="229">
        <v>1.37E-2</v>
      </c>
      <c r="EB152" s="230">
        <v>17418850</v>
      </c>
      <c r="EC152" s="229">
        <v>6.3E-3</v>
      </c>
      <c r="ED152" s="229">
        <v>1.37E-2</v>
      </c>
      <c r="EE152" s="228">
        <v>6.16</v>
      </c>
      <c r="EF152" s="229">
        <v>5.1999999999999998E-3</v>
      </c>
      <c r="EG152" s="230">
        <v>1776240</v>
      </c>
      <c r="EH152" s="230">
        <v>2407232</v>
      </c>
      <c r="EI152" s="229">
        <v>-0.2621</v>
      </c>
      <c r="EJ152" s="229">
        <v>0.47049999999999997</v>
      </c>
      <c r="EK152" s="231">
        <v>1201.03</v>
      </c>
      <c r="EL152" s="228">
        <v>378.26</v>
      </c>
      <c r="EM152" s="228">
        <v>577.63</v>
      </c>
      <c r="EN152" s="228">
        <v>305.27999999999997</v>
      </c>
      <c r="EO152" s="231">
        <v>2156.92</v>
      </c>
      <c r="EP152" s="231">
        <v>6555.93</v>
      </c>
      <c r="EQ152" s="231">
        <v>-4399.0200000000004</v>
      </c>
      <c r="ER152" s="229">
        <v>-0.67100000000000004</v>
      </c>
      <c r="ES152" s="228">
        <v>694.44</v>
      </c>
      <c r="ET152" s="228">
        <v>431.17</v>
      </c>
      <c r="EU152" s="231">
        <v>2108.63</v>
      </c>
      <c r="EV152" s="231">
        <v>95799519</v>
      </c>
      <c r="EW152" s="231">
        <v>3234.24</v>
      </c>
      <c r="EX152" s="231">
        <v>3049.6</v>
      </c>
      <c r="EY152" s="228">
        <v>184.64</v>
      </c>
      <c r="EZ152" s="229">
        <v>6.0499999999999998E-2</v>
      </c>
      <c r="FA152" s="229">
        <v>0.28220000000000001</v>
      </c>
      <c r="FB152" s="227" t="s">
        <v>555</v>
      </c>
      <c r="FC152">
        <f t="shared" si="3"/>
        <v>0</v>
      </c>
    </row>
    <row r="153" spans="1:159" ht="17.25" thickBot="1" x14ac:dyDescent="0.3">
      <c r="A153" s="226">
        <v>46050</v>
      </c>
      <c r="B153" s="227" t="s">
        <v>221</v>
      </c>
      <c r="C153" s="227" t="s">
        <v>529</v>
      </c>
      <c r="D153" s="228">
        <v>100</v>
      </c>
      <c r="E153" s="228">
        <v>27</v>
      </c>
      <c r="F153" s="231">
        <v>6235.5</v>
      </c>
      <c r="G153" s="231">
        <v>6252.5</v>
      </c>
      <c r="H153" s="228">
        <v>-17</v>
      </c>
      <c r="I153" s="229">
        <v>-2.7000000000000001E-3</v>
      </c>
      <c r="J153" s="231">
        <v>6213</v>
      </c>
      <c r="K153" s="231">
        <v>6216</v>
      </c>
      <c r="L153" s="228">
        <v>-3</v>
      </c>
      <c r="M153" s="229">
        <v>-5.0000000000000001E-4</v>
      </c>
      <c r="N153" s="231">
        <v>6235.5</v>
      </c>
      <c r="O153" s="231">
        <v>6223</v>
      </c>
      <c r="P153" s="228">
        <v>12.5</v>
      </c>
      <c r="Q153" s="229">
        <v>2E-3</v>
      </c>
      <c r="R153" s="231">
        <v>6270</v>
      </c>
      <c r="S153" s="231">
        <v>6252.5</v>
      </c>
      <c r="T153" s="228">
        <v>17.5</v>
      </c>
      <c r="U153" s="229">
        <v>2.8E-3</v>
      </c>
      <c r="V153" s="231">
        <v>6294.5</v>
      </c>
      <c r="W153" s="231">
        <v>6307.5</v>
      </c>
      <c r="X153" s="228">
        <v>-13</v>
      </c>
      <c r="Y153" s="229">
        <v>-2.0999999999999999E-3</v>
      </c>
      <c r="Z153" s="228">
        <v>22.5</v>
      </c>
      <c r="AA153" s="228">
        <v>36.5</v>
      </c>
      <c r="AB153" s="228">
        <v>-14</v>
      </c>
      <c r="AC153" s="229">
        <v>3.5999999999999999E-3</v>
      </c>
      <c r="AD153" s="228">
        <v>22.5</v>
      </c>
      <c r="AE153" s="228">
        <v>7</v>
      </c>
      <c r="AF153" s="228">
        <v>15.5</v>
      </c>
      <c r="AG153" s="229">
        <v>3.5999999999999999E-3</v>
      </c>
      <c r="AH153" s="228">
        <v>57</v>
      </c>
      <c r="AI153" s="228">
        <v>36.5</v>
      </c>
      <c r="AJ153" s="228">
        <v>20.5</v>
      </c>
      <c r="AK153" s="229">
        <v>9.1999999999999998E-3</v>
      </c>
      <c r="AL153" s="228">
        <v>81.5</v>
      </c>
      <c r="AM153" s="228">
        <v>91.5</v>
      </c>
      <c r="AN153" s="228">
        <v>-10</v>
      </c>
      <c r="AO153" s="229">
        <v>1.3100000000000001E-2</v>
      </c>
      <c r="AP153" s="231">
        <v>6246.05</v>
      </c>
      <c r="AQ153" s="231">
        <v>6278.93</v>
      </c>
      <c r="AR153" s="228">
        <v>0</v>
      </c>
      <c r="AS153" s="228">
        <v>477</v>
      </c>
      <c r="AT153" s="228">
        <v>743</v>
      </c>
      <c r="AU153" s="228">
        <v>-266</v>
      </c>
      <c r="AV153" s="229">
        <v>-0.35830000000000001</v>
      </c>
      <c r="AW153" s="228">
        <v>465</v>
      </c>
      <c r="AX153" s="228">
        <v>281</v>
      </c>
      <c r="AY153" s="228">
        <v>183</v>
      </c>
      <c r="AZ153" s="229">
        <v>0.65149999999999997</v>
      </c>
      <c r="BA153" s="228">
        <v>12</v>
      </c>
      <c r="BB153" s="228">
        <v>456</v>
      </c>
      <c r="BC153" s="228">
        <v>-445</v>
      </c>
      <c r="BD153" s="229">
        <v>-0.97440000000000004</v>
      </c>
      <c r="BE153" s="228">
        <v>0</v>
      </c>
      <c r="BF153" s="228">
        <v>5</v>
      </c>
      <c r="BG153" s="228">
        <v>-5</v>
      </c>
      <c r="BH153" s="229">
        <v>-0.95179999999999998</v>
      </c>
      <c r="BI153" s="228">
        <v>775</v>
      </c>
      <c r="BJ153" s="230">
        <v>1135</v>
      </c>
      <c r="BK153" s="228">
        <v>-361</v>
      </c>
      <c r="BL153" s="229">
        <v>-0.31769999999999998</v>
      </c>
      <c r="BM153" s="228">
        <v>360</v>
      </c>
      <c r="BN153" s="228">
        <v>715</v>
      </c>
      <c r="BO153" s="228">
        <v>-355</v>
      </c>
      <c r="BP153" s="229">
        <v>-0.49619999999999997</v>
      </c>
      <c r="BQ153" s="230">
        <v>1611</v>
      </c>
      <c r="BR153" s="230">
        <v>2593</v>
      </c>
      <c r="BS153" s="228">
        <v>-981</v>
      </c>
      <c r="BT153" s="229">
        <v>-0.3785</v>
      </c>
      <c r="BU153" s="230">
        <v>383241</v>
      </c>
      <c r="BV153" s="230">
        <v>508518</v>
      </c>
      <c r="BW153" s="230">
        <v>-125277</v>
      </c>
      <c r="BX153" s="229">
        <v>-0.24640000000000001</v>
      </c>
      <c r="BY153" s="230">
        <v>1355</v>
      </c>
      <c r="BZ153" s="230">
        <v>1301</v>
      </c>
      <c r="CA153" s="228">
        <v>54</v>
      </c>
      <c r="CB153" s="229">
        <v>4.1399999999999999E-2</v>
      </c>
      <c r="CC153" s="230">
        <v>1342</v>
      </c>
      <c r="CD153" s="228">
        <v>278</v>
      </c>
      <c r="CE153" s="230">
        <v>1064</v>
      </c>
      <c r="CF153" s="229">
        <v>3.8258000000000001</v>
      </c>
      <c r="CG153" s="228">
        <v>13</v>
      </c>
      <c r="CH153" s="230">
        <v>1291</v>
      </c>
      <c r="CI153" s="230">
        <v>-1278</v>
      </c>
      <c r="CJ153" s="229">
        <v>-0.99019999999999997</v>
      </c>
      <c r="CK153" s="228">
        <v>0</v>
      </c>
      <c r="CL153" s="228">
        <v>11</v>
      </c>
      <c r="CM153" s="228">
        <v>-10</v>
      </c>
      <c r="CN153" s="229">
        <v>-0.97629999999999995</v>
      </c>
      <c r="CO153" s="228">
        <v>246</v>
      </c>
      <c r="CP153" s="228">
        <v>158</v>
      </c>
      <c r="CQ153" s="228">
        <v>88</v>
      </c>
      <c r="CR153" s="229">
        <v>0.55600000000000005</v>
      </c>
      <c r="CS153" s="228">
        <v>184</v>
      </c>
      <c r="CT153" s="228">
        <v>151</v>
      </c>
      <c r="CU153" s="228">
        <v>33</v>
      </c>
      <c r="CV153" s="229">
        <v>0.21729999999999999</v>
      </c>
      <c r="CW153" s="230">
        <v>1785</v>
      </c>
      <c r="CX153" s="230">
        <v>1611</v>
      </c>
      <c r="CY153" s="228">
        <v>175</v>
      </c>
      <c r="CZ153" s="229">
        <v>0.1084</v>
      </c>
      <c r="DA153" s="228">
        <v>32.4</v>
      </c>
      <c r="DB153" s="228">
        <v>33.22</v>
      </c>
      <c r="DC153" s="228">
        <v>-0.82</v>
      </c>
      <c r="DD153" s="228">
        <v>-0.82</v>
      </c>
      <c r="DE153" s="228">
        <v>39.090000000000003</v>
      </c>
      <c r="DF153" s="228">
        <v>39.19</v>
      </c>
      <c r="DG153" s="228">
        <v>-6.69</v>
      </c>
      <c r="DH153" s="228">
        <v>-0.1</v>
      </c>
      <c r="DI153" s="228">
        <v>32.130000000000003</v>
      </c>
      <c r="DJ153" s="228">
        <v>32.520000000000003</v>
      </c>
      <c r="DK153" s="228">
        <v>-0.39</v>
      </c>
      <c r="DL153" s="228">
        <v>-0.39</v>
      </c>
      <c r="DM153" s="228">
        <v>32.979999999999997</v>
      </c>
      <c r="DN153" s="228">
        <v>34.17</v>
      </c>
      <c r="DO153" s="228">
        <v>-1.19</v>
      </c>
      <c r="DP153" s="228">
        <v>-1.19</v>
      </c>
      <c r="DQ153" s="228">
        <v>0.75</v>
      </c>
      <c r="DR153" s="228">
        <v>0.96</v>
      </c>
      <c r="DS153" s="228">
        <v>-0.21</v>
      </c>
      <c r="DT153" s="229">
        <v>-0.21870000000000001</v>
      </c>
      <c r="DU153" s="231">
        <v>7000</v>
      </c>
      <c r="DV153" s="231">
        <v>6200</v>
      </c>
      <c r="DW153" s="228">
        <v>0.46</v>
      </c>
      <c r="DX153" s="228">
        <v>0.63</v>
      </c>
      <c r="DY153" s="228">
        <v>-0.17</v>
      </c>
      <c r="DZ153" s="229">
        <v>-0.26979999999999998</v>
      </c>
      <c r="EA153" s="229">
        <v>9.4999999999999998E-3</v>
      </c>
      <c r="EB153" s="230">
        <v>2087100</v>
      </c>
      <c r="EC153" s="229">
        <v>5.4999999999999997E-3</v>
      </c>
      <c r="ED153" s="229">
        <v>9.4999999999999998E-3</v>
      </c>
      <c r="EE153" s="228">
        <v>32.880000000000003</v>
      </c>
      <c r="EF153" s="229">
        <v>5.3E-3</v>
      </c>
      <c r="EG153" s="230">
        <v>171219</v>
      </c>
      <c r="EH153" s="230">
        <v>251429</v>
      </c>
      <c r="EI153" s="229">
        <v>-0.31900000000000001</v>
      </c>
      <c r="EJ153" s="229">
        <v>0.44679999999999997</v>
      </c>
      <c r="EK153" s="228">
        <v>824.82</v>
      </c>
      <c r="EL153" s="228">
        <v>355.82</v>
      </c>
      <c r="EM153" s="228">
        <v>477.64</v>
      </c>
      <c r="EN153" s="228">
        <v>261.26</v>
      </c>
      <c r="EO153" s="231">
        <v>1658.28</v>
      </c>
      <c r="EP153" s="231">
        <v>2606.09</v>
      </c>
      <c r="EQ153" s="228">
        <v>-947.81</v>
      </c>
      <c r="ER153" s="229">
        <v>-0.36370000000000002</v>
      </c>
      <c r="ES153" s="228">
        <v>260.63</v>
      </c>
      <c r="ET153" s="228">
        <v>176.21</v>
      </c>
      <c r="EU153" s="231">
        <v>1355.36</v>
      </c>
      <c r="EV153" s="231">
        <v>15732422</v>
      </c>
      <c r="EW153" s="231">
        <v>1792.2</v>
      </c>
      <c r="EX153" s="231">
        <v>1617.69</v>
      </c>
      <c r="EY153" s="228">
        <v>174.51</v>
      </c>
      <c r="EZ153" s="229">
        <v>0.1079</v>
      </c>
      <c r="FA153" s="229">
        <v>0.182</v>
      </c>
      <c r="FB153" s="227" t="s">
        <v>567</v>
      </c>
      <c r="FC153">
        <f t="shared" si="3"/>
        <v>0</v>
      </c>
    </row>
    <row r="154" spans="1:159" ht="17.25" thickBot="1" x14ac:dyDescent="0.3">
      <c r="A154" s="226">
        <v>46050</v>
      </c>
      <c r="B154" s="227" t="s">
        <v>193</v>
      </c>
      <c r="C154" s="227" t="s">
        <v>272</v>
      </c>
      <c r="D154" s="228">
        <v>1900</v>
      </c>
      <c r="E154" s="228">
        <v>27</v>
      </c>
      <c r="F154" s="228">
        <v>292.64999999999998</v>
      </c>
      <c r="G154" s="228">
        <v>279.64999999999998</v>
      </c>
      <c r="H154" s="228">
        <v>13</v>
      </c>
      <c r="I154" s="229">
        <v>4.65E-2</v>
      </c>
      <c r="J154" s="228">
        <v>290.64999999999998</v>
      </c>
      <c r="K154" s="228">
        <v>277.7</v>
      </c>
      <c r="L154" s="228">
        <v>12.95</v>
      </c>
      <c r="M154" s="229">
        <v>4.6600000000000003E-2</v>
      </c>
      <c r="N154" s="228">
        <v>292.64999999999998</v>
      </c>
      <c r="O154" s="228">
        <v>278.25</v>
      </c>
      <c r="P154" s="228">
        <v>14.4</v>
      </c>
      <c r="Q154" s="229">
        <v>5.1799999999999999E-2</v>
      </c>
      <c r="R154" s="228">
        <v>294.2</v>
      </c>
      <c r="S154" s="228">
        <v>279.64999999999998</v>
      </c>
      <c r="T154" s="228">
        <v>14.55</v>
      </c>
      <c r="U154" s="229">
        <v>5.1999999999999998E-2</v>
      </c>
      <c r="V154" s="228">
        <v>295.7</v>
      </c>
      <c r="W154" s="228">
        <v>281.5</v>
      </c>
      <c r="X154" s="228">
        <v>14.2</v>
      </c>
      <c r="Y154" s="229">
        <v>5.04E-2</v>
      </c>
      <c r="Z154" s="228">
        <v>2</v>
      </c>
      <c r="AA154" s="228">
        <v>1.95</v>
      </c>
      <c r="AB154" s="228">
        <v>0.05</v>
      </c>
      <c r="AC154" s="229">
        <v>6.8999999999999999E-3</v>
      </c>
      <c r="AD154" s="228">
        <v>2</v>
      </c>
      <c r="AE154" s="228">
        <v>0.55000000000000004</v>
      </c>
      <c r="AF154" s="228">
        <v>1.45</v>
      </c>
      <c r="AG154" s="229">
        <v>6.8999999999999999E-3</v>
      </c>
      <c r="AH154" s="228">
        <v>3.55</v>
      </c>
      <c r="AI154" s="228">
        <v>1.95</v>
      </c>
      <c r="AJ154" s="228">
        <v>1.6</v>
      </c>
      <c r="AK154" s="229">
        <v>1.2200000000000001E-2</v>
      </c>
      <c r="AL154" s="228">
        <v>5.05</v>
      </c>
      <c r="AM154" s="228">
        <v>3.8</v>
      </c>
      <c r="AN154" s="228">
        <v>1.25</v>
      </c>
      <c r="AO154" s="229">
        <v>1.7399999999999999E-2</v>
      </c>
      <c r="AP154" s="228">
        <v>289.95</v>
      </c>
      <c r="AQ154" s="228">
        <v>290.79000000000002</v>
      </c>
      <c r="AR154" s="228">
        <v>0</v>
      </c>
      <c r="AS154" s="228">
        <v>169</v>
      </c>
      <c r="AT154" s="228">
        <v>714</v>
      </c>
      <c r="AU154" s="228">
        <v>-544</v>
      </c>
      <c r="AV154" s="229">
        <v>-0.76249999999999996</v>
      </c>
      <c r="AW154" s="228">
        <v>157</v>
      </c>
      <c r="AX154" s="228">
        <v>357</v>
      </c>
      <c r="AY154" s="228">
        <v>-201</v>
      </c>
      <c r="AZ154" s="229">
        <v>-0.56179999999999997</v>
      </c>
      <c r="BA154" s="228">
        <v>13</v>
      </c>
      <c r="BB154" s="228">
        <v>353</v>
      </c>
      <c r="BC154" s="228">
        <v>-340</v>
      </c>
      <c r="BD154" s="229">
        <v>-0.96419999999999995</v>
      </c>
      <c r="BE154" s="228">
        <v>0</v>
      </c>
      <c r="BF154" s="228">
        <v>3</v>
      </c>
      <c r="BG154" s="228">
        <v>-3</v>
      </c>
      <c r="BH154" s="229">
        <v>-0.94440000000000002</v>
      </c>
      <c r="BI154" s="228">
        <v>781</v>
      </c>
      <c r="BJ154" s="228">
        <v>567</v>
      </c>
      <c r="BK154" s="228">
        <v>214</v>
      </c>
      <c r="BL154" s="229">
        <v>0.37830000000000003</v>
      </c>
      <c r="BM154" s="228">
        <v>194</v>
      </c>
      <c r="BN154" s="228">
        <v>930</v>
      </c>
      <c r="BO154" s="228">
        <v>-736</v>
      </c>
      <c r="BP154" s="229">
        <v>-0.79090000000000005</v>
      </c>
      <c r="BQ154" s="230">
        <v>1145</v>
      </c>
      <c r="BR154" s="230">
        <v>2210</v>
      </c>
      <c r="BS154" s="230">
        <v>-1065</v>
      </c>
      <c r="BT154" s="229">
        <v>-0.48199999999999998</v>
      </c>
      <c r="BU154" s="230">
        <v>3246919</v>
      </c>
      <c r="BV154" s="230">
        <v>2606750</v>
      </c>
      <c r="BW154" s="230">
        <v>640169</v>
      </c>
      <c r="BX154" s="229">
        <v>0.24560000000000001</v>
      </c>
      <c r="BY154" s="230">
        <v>1184</v>
      </c>
      <c r="BZ154" s="230">
        <v>1172</v>
      </c>
      <c r="CA154" s="228">
        <v>12</v>
      </c>
      <c r="CB154" s="229">
        <v>1.0500000000000001E-2</v>
      </c>
      <c r="CC154" s="230">
        <v>1175</v>
      </c>
      <c r="CD154" s="228">
        <v>47</v>
      </c>
      <c r="CE154" s="230">
        <v>1128</v>
      </c>
      <c r="CF154" s="229">
        <v>23.925699999999999</v>
      </c>
      <c r="CG154" s="228">
        <v>9</v>
      </c>
      <c r="CH154" s="230">
        <v>1162</v>
      </c>
      <c r="CI154" s="230">
        <v>-1153</v>
      </c>
      <c r="CJ154" s="229">
        <v>-0.99229999999999996</v>
      </c>
      <c r="CK154" s="228">
        <v>0</v>
      </c>
      <c r="CL154" s="228">
        <v>11</v>
      </c>
      <c r="CM154" s="228">
        <v>-10</v>
      </c>
      <c r="CN154" s="229">
        <v>-0.98419999999999996</v>
      </c>
      <c r="CO154" s="228">
        <v>291</v>
      </c>
      <c r="CP154" s="228">
        <v>188</v>
      </c>
      <c r="CQ154" s="228">
        <v>103</v>
      </c>
      <c r="CR154" s="229">
        <v>0.54949999999999999</v>
      </c>
      <c r="CS154" s="228">
        <v>295</v>
      </c>
      <c r="CT154" s="228">
        <v>263</v>
      </c>
      <c r="CU154" s="228">
        <v>32</v>
      </c>
      <c r="CV154" s="229">
        <v>0.1226</v>
      </c>
      <c r="CW154" s="230">
        <v>1770</v>
      </c>
      <c r="CX154" s="230">
        <v>1623</v>
      </c>
      <c r="CY154" s="228">
        <v>148</v>
      </c>
      <c r="CZ154" s="229">
        <v>9.11E-2</v>
      </c>
      <c r="DA154" s="228">
        <v>30.71</v>
      </c>
      <c r="DB154" s="228">
        <v>30.67</v>
      </c>
      <c r="DC154" s="228">
        <v>0.04</v>
      </c>
      <c r="DD154" s="228">
        <v>0.04</v>
      </c>
      <c r="DE154" s="228">
        <v>31.12</v>
      </c>
      <c r="DF154" s="228">
        <v>30.59</v>
      </c>
      <c r="DG154" s="228">
        <v>-0.41</v>
      </c>
      <c r="DH154" s="228">
        <v>0.53</v>
      </c>
      <c r="DI154" s="228">
        <v>29.87</v>
      </c>
      <c r="DJ154" s="228">
        <v>29.97</v>
      </c>
      <c r="DK154" s="228">
        <v>-0.1</v>
      </c>
      <c r="DL154" s="228">
        <v>-0.1</v>
      </c>
      <c r="DM154" s="228">
        <v>34.06</v>
      </c>
      <c r="DN154" s="228">
        <v>31.36</v>
      </c>
      <c r="DO154" s="228">
        <v>2.7</v>
      </c>
      <c r="DP154" s="228">
        <v>2.7</v>
      </c>
      <c r="DQ154" s="228">
        <v>1.01</v>
      </c>
      <c r="DR154" s="228">
        <v>1.4</v>
      </c>
      <c r="DS154" s="228">
        <v>-0.39</v>
      </c>
      <c r="DT154" s="229">
        <v>-0.27860000000000001</v>
      </c>
      <c r="DU154" s="228">
        <v>300</v>
      </c>
      <c r="DV154" s="228">
        <v>300</v>
      </c>
      <c r="DW154" s="228">
        <v>0.25</v>
      </c>
      <c r="DX154" s="228">
        <v>1.64</v>
      </c>
      <c r="DY154" s="228">
        <v>-1.39</v>
      </c>
      <c r="DZ154" s="229">
        <v>-0.84760000000000002</v>
      </c>
      <c r="EA154" s="229">
        <v>7.7000000000000002E-3</v>
      </c>
      <c r="EB154" s="230">
        <v>40052000</v>
      </c>
      <c r="EC154" s="229">
        <v>5.3E-3</v>
      </c>
      <c r="ED154" s="229">
        <v>7.7000000000000002E-3</v>
      </c>
      <c r="EE154" s="228">
        <v>0.84</v>
      </c>
      <c r="EF154" s="229">
        <v>2.8999999999999998E-3</v>
      </c>
      <c r="EG154" s="230">
        <v>1216914</v>
      </c>
      <c r="EH154" s="230">
        <v>1265488</v>
      </c>
      <c r="EI154" s="229">
        <v>-3.8399999999999997E-2</v>
      </c>
      <c r="EJ154" s="229">
        <v>0.37480000000000002</v>
      </c>
      <c r="EK154" s="228">
        <v>810.37</v>
      </c>
      <c r="EL154" s="228">
        <v>186.11</v>
      </c>
      <c r="EM154" s="228">
        <v>167.9</v>
      </c>
      <c r="EN154" s="228">
        <v>133.33000000000001</v>
      </c>
      <c r="EO154" s="231">
        <v>1164.3800000000001</v>
      </c>
      <c r="EP154" s="231">
        <v>2129.54</v>
      </c>
      <c r="EQ154" s="228">
        <v>-965.16</v>
      </c>
      <c r="ER154" s="229">
        <v>-0.45319999999999999</v>
      </c>
      <c r="ES154" s="228">
        <v>292.3</v>
      </c>
      <c r="ET154" s="228">
        <v>280.33</v>
      </c>
      <c r="EU154" s="231">
        <v>1184.46</v>
      </c>
      <c r="EV154" s="231">
        <v>108255733</v>
      </c>
      <c r="EW154" s="231">
        <v>1757.09</v>
      </c>
      <c r="EX154" s="231">
        <v>1556.18</v>
      </c>
      <c r="EY154" s="228">
        <v>200.91</v>
      </c>
      <c r="EZ154" s="229">
        <v>0.12909999999999999</v>
      </c>
      <c r="FA154" s="229">
        <v>0.55879999999999996</v>
      </c>
      <c r="FB154" s="227" t="s">
        <v>555</v>
      </c>
      <c r="FC154">
        <f t="shared" si="3"/>
        <v>0</v>
      </c>
    </row>
    <row r="155" spans="1:159" ht="17.25" thickBot="1" x14ac:dyDescent="0.3">
      <c r="A155" s="226">
        <v>46050</v>
      </c>
      <c r="B155" s="227" t="s">
        <v>175</v>
      </c>
      <c r="C155" s="227" t="s">
        <v>273</v>
      </c>
      <c r="D155" s="228">
        <v>1300</v>
      </c>
      <c r="E155" s="228">
        <v>27</v>
      </c>
      <c r="F155" s="228">
        <v>382.5</v>
      </c>
      <c r="G155" s="228">
        <v>362.5</v>
      </c>
      <c r="H155" s="228">
        <v>20</v>
      </c>
      <c r="I155" s="229">
        <v>5.5199999999999999E-2</v>
      </c>
      <c r="J155" s="228">
        <v>383.05</v>
      </c>
      <c r="K155" s="228">
        <v>361.65</v>
      </c>
      <c r="L155" s="228">
        <v>21.4</v>
      </c>
      <c r="M155" s="229">
        <v>5.9200000000000003E-2</v>
      </c>
      <c r="N155" s="228">
        <v>382.5</v>
      </c>
      <c r="O155" s="228">
        <v>361.7</v>
      </c>
      <c r="P155" s="228">
        <v>20.8</v>
      </c>
      <c r="Q155" s="229">
        <v>5.7500000000000002E-2</v>
      </c>
      <c r="R155" s="228">
        <v>381.6</v>
      </c>
      <c r="S155" s="228">
        <v>362.5</v>
      </c>
      <c r="T155" s="228">
        <v>19.100000000000001</v>
      </c>
      <c r="U155" s="229">
        <v>5.2699999999999997E-2</v>
      </c>
      <c r="V155" s="228">
        <v>384.2</v>
      </c>
      <c r="W155" s="228">
        <v>361.4</v>
      </c>
      <c r="X155" s="228">
        <v>22.8</v>
      </c>
      <c r="Y155" s="229">
        <v>6.3100000000000003E-2</v>
      </c>
      <c r="Z155" s="228">
        <v>-0.55000000000000004</v>
      </c>
      <c r="AA155" s="228">
        <v>0.85</v>
      </c>
      <c r="AB155" s="228">
        <v>-1.4</v>
      </c>
      <c r="AC155" s="229">
        <v>-1.4E-3</v>
      </c>
      <c r="AD155" s="228">
        <v>-0.55000000000000004</v>
      </c>
      <c r="AE155" s="228">
        <v>0.05</v>
      </c>
      <c r="AF155" s="228">
        <v>-0.6</v>
      </c>
      <c r="AG155" s="229">
        <v>-1.4E-3</v>
      </c>
      <c r="AH155" s="228">
        <v>-1.45</v>
      </c>
      <c r="AI155" s="228">
        <v>0.85</v>
      </c>
      <c r="AJ155" s="228">
        <v>-2.2999999999999998</v>
      </c>
      <c r="AK155" s="229">
        <v>-3.8E-3</v>
      </c>
      <c r="AL155" s="228">
        <v>1.1499999999999999</v>
      </c>
      <c r="AM155" s="228">
        <v>-0.25</v>
      </c>
      <c r="AN155" s="228">
        <v>1.4</v>
      </c>
      <c r="AO155" s="229">
        <v>3.0000000000000001E-3</v>
      </c>
      <c r="AP155" s="228">
        <v>375.31</v>
      </c>
      <c r="AQ155" s="228">
        <v>374.06</v>
      </c>
      <c r="AR155" s="228">
        <v>0</v>
      </c>
      <c r="AS155" s="228">
        <v>643</v>
      </c>
      <c r="AT155" s="230">
        <v>2021</v>
      </c>
      <c r="AU155" s="230">
        <v>-1378</v>
      </c>
      <c r="AV155" s="229">
        <v>-0.68179999999999996</v>
      </c>
      <c r="AW155" s="228">
        <v>597</v>
      </c>
      <c r="AX155" s="230">
        <v>1009</v>
      </c>
      <c r="AY155" s="228">
        <v>-412</v>
      </c>
      <c r="AZ155" s="229">
        <v>-0.40849999999999997</v>
      </c>
      <c r="BA155" s="228">
        <v>44</v>
      </c>
      <c r="BB155" s="228">
        <v>968</v>
      </c>
      <c r="BC155" s="228">
        <v>-924</v>
      </c>
      <c r="BD155" s="229">
        <v>-0.95479999999999998</v>
      </c>
      <c r="BE155" s="228">
        <v>2</v>
      </c>
      <c r="BF155" s="228">
        <v>43</v>
      </c>
      <c r="BG155" s="228">
        <v>-41</v>
      </c>
      <c r="BH155" s="229">
        <v>-0.94620000000000004</v>
      </c>
      <c r="BI155" s="230">
        <v>1447</v>
      </c>
      <c r="BJ155" s="230">
        <v>1016</v>
      </c>
      <c r="BK155" s="228">
        <v>431</v>
      </c>
      <c r="BL155" s="229">
        <v>0.42370000000000002</v>
      </c>
      <c r="BM155" s="228">
        <v>507</v>
      </c>
      <c r="BN155" s="228">
        <v>857</v>
      </c>
      <c r="BO155" s="228">
        <v>-350</v>
      </c>
      <c r="BP155" s="229">
        <v>-0.4083</v>
      </c>
      <c r="BQ155" s="230">
        <v>2597</v>
      </c>
      <c r="BR155" s="230">
        <v>3894</v>
      </c>
      <c r="BS155" s="230">
        <v>-1297</v>
      </c>
      <c r="BT155" s="229">
        <v>-0.33310000000000001</v>
      </c>
      <c r="BU155" s="230">
        <v>13632130</v>
      </c>
      <c r="BV155" s="230">
        <v>6167691</v>
      </c>
      <c r="BW155" s="230">
        <v>7464439</v>
      </c>
      <c r="BX155" s="229">
        <v>1.2101999999999999</v>
      </c>
      <c r="BY155" s="230">
        <v>2402</v>
      </c>
      <c r="BZ155" s="230">
        <v>2432</v>
      </c>
      <c r="CA155" s="228">
        <v>-30</v>
      </c>
      <c r="CB155" s="229">
        <v>-1.23E-2</v>
      </c>
      <c r="CC155" s="230">
        <v>2282</v>
      </c>
      <c r="CD155" s="228">
        <v>555</v>
      </c>
      <c r="CE155" s="230">
        <v>1727</v>
      </c>
      <c r="CF155" s="229">
        <v>3.1107999999999998</v>
      </c>
      <c r="CG155" s="228">
        <v>118</v>
      </c>
      <c r="CH155" s="230">
        <v>2314</v>
      </c>
      <c r="CI155" s="230">
        <v>-2196</v>
      </c>
      <c r="CJ155" s="229">
        <v>-0.94889999999999997</v>
      </c>
      <c r="CK155" s="228">
        <v>2</v>
      </c>
      <c r="CL155" s="228">
        <v>117</v>
      </c>
      <c r="CM155" s="228">
        <v>-116</v>
      </c>
      <c r="CN155" s="229">
        <v>-0.98519999999999996</v>
      </c>
      <c r="CO155" s="228">
        <v>636</v>
      </c>
      <c r="CP155" s="228">
        <v>527</v>
      </c>
      <c r="CQ155" s="228">
        <v>109</v>
      </c>
      <c r="CR155" s="229">
        <v>0.2074</v>
      </c>
      <c r="CS155" s="228">
        <v>631</v>
      </c>
      <c r="CT155" s="228">
        <v>561</v>
      </c>
      <c r="CU155" s="228">
        <v>70</v>
      </c>
      <c r="CV155" s="229">
        <v>0.12540000000000001</v>
      </c>
      <c r="CW155" s="230">
        <v>3669</v>
      </c>
      <c r="CX155" s="230">
        <v>3519</v>
      </c>
      <c r="CY155" s="228">
        <v>150</v>
      </c>
      <c r="CZ155" s="229">
        <v>4.2599999999999999E-2</v>
      </c>
      <c r="DA155" s="228">
        <v>34.44</v>
      </c>
      <c r="DB155" s="228">
        <v>33.78</v>
      </c>
      <c r="DC155" s="228">
        <v>0.66</v>
      </c>
      <c r="DD155" s="228">
        <v>0.66</v>
      </c>
      <c r="DE155" s="228">
        <v>41.13</v>
      </c>
      <c r="DF155" s="228">
        <v>40.590000000000003</v>
      </c>
      <c r="DG155" s="228">
        <v>-6.69</v>
      </c>
      <c r="DH155" s="228">
        <v>0.54</v>
      </c>
      <c r="DI155" s="228">
        <v>33.86</v>
      </c>
      <c r="DJ155" s="228">
        <v>33.28</v>
      </c>
      <c r="DK155" s="228">
        <v>0.57999999999999996</v>
      </c>
      <c r="DL155" s="228">
        <v>0.57999999999999996</v>
      </c>
      <c r="DM155" s="228">
        <v>36.119999999999997</v>
      </c>
      <c r="DN155" s="228">
        <v>34.46</v>
      </c>
      <c r="DO155" s="228">
        <v>1.66</v>
      </c>
      <c r="DP155" s="228">
        <v>1.66</v>
      </c>
      <c r="DQ155" s="228">
        <v>0.99</v>
      </c>
      <c r="DR155" s="228">
        <v>1.06</v>
      </c>
      <c r="DS155" s="228">
        <v>-7.0000000000000007E-2</v>
      </c>
      <c r="DT155" s="229">
        <v>-6.6000000000000003E-2</v>
      </c>
      <c r="DU155" s="228">
        <v>400</v>
      </c>
      <c r="DV155" s="228">
        <v>370</v>
      </c>
      <c r="DW155" s="228">
        <v>0.35</v>
      </c>
      <c r="DX155" s="228">
        <v>0.84</v>
      </c>
      <c r="DY155" s="228">
        <v>-0.49</v>
      </c>
      <c r="DZ155" s="229">
        <v>-0.58330000000000004</v>
      </c>
      <c r="EA155" s="229">
        <v>4.99E-2</v>
      </c>
      <c r="EB155" s="230">
        <v>63571300</v>
      </c>
      <c r="EC155" s="229">
        <v>-2.3999999999999998E-3</v>
      </c>
      <c r="ED155" s="229">
        <v>4.99E-2</v>
      </c>
      <c r="EE155" s="228">
        <v>-1.25</v>
      </c>
      <c r="EF155" s="229">
        <v>-3.3E-3</v>
      </c>
      <c r="EG155" s="230">
        <v>8430341</v>
      </c>
      <c r="EH155" s="230">
        <v>3373690</v>
      </c>
      <c r="EI155" s="229">
        <v>1.4987999999999999</v>
      </c>
      <c r="EJ155" s="229">
        <v>0.61839999999999995</v>
      </c>
      <c r="EK155" s="231">
        <v>1498.27</v>
      </c>
      <c r="EL155" s="228">
        <v>492.52</v>
      </c>
      <c r="EM155" s="228">
        <v>630.9</v>
      </c>
      <c r="EN155" s="228">
        <v>335.4</v>
      </c>
      <c r="EO155" s="231">
        <v>2621.7</v>
      </c>
      <c r="EP155" s="231">
        <v>3745.68</v>
      </c>
      <c r="EQ155" s="231">
        <v>-1123.98</v>
      </c>
      <c r="ER155" s="229">
        <v>-0.30009999999999998</v>
      </c>
      <c r="ES155" s="228">
        <v>635.85</v>
      </c>
      <c r="ET155" s="228">
        <v>606.87</v>
      </c>
      <c r="EU155" s="231">
        <v>2401.5</v>
      </c>
      <c r="EV155" s="231">
        <v>217835555</v>
      </c>
      <c r="EW155" s="231">
        <v>3644.22</v>
      </c>
      <c r="EX155" s="231">
        <v>3363.19</v>
      </c>
      <c r="EY155" s="228">
        <v>281.02999999999997</v>
      </c>
      <c r="EZ155" s="229">
        <v>8.3599999999999994E-2</v>
      </c>
      <c r="FA155" s="229">
        <v>0.44040000000000001</v>
      </c>
      <c r="FB155" s="227" t="s">
        <v>556</v>
      </c>
      <c r="FC155">
        <f t="shared" si="3"/>
        <v>0</v>
      </c>
    </row>
    <row r="156" spans="1:159" ht="17.25" thickBot="1" x14ac:dyDescent="0.3">
      <c r="A156" s="226">
        <v>46050</v>
      </c>
      <c r="B156" s="227" t="s">
        <v>184</v>
      </c>
      <c r="C156" s="227" t="s">
        <v>679</v>
      </c>
      <c r="D156" s="228">
        <v>950</v>
      </c>
      <c r="E156" s="228">
        <v>27</v>
      </c>
      <c r="F156" s="228">
        <v>544.1</v>
      </c>
      <c r="G156" s="228">
        <v>521.6</v>
      </c>
      <c r="H156" s="228">
        <v>22.5</v>
      </c>
      <c r="I156" s="229">
        <v>4.3099999999999999E-2</v>
      </c>
      <c r="J156" s="228">
        <v>540.04999999999995</v>
      </c>
      <c r="K156" s="228">
        <v>518.54999999999995</v>
      </c>
      <c r="L156" s="228">
        <v>21.5</v>
      </c>
      <c r="M156" s="229">
        <v>4.1500000000000002E-2</v>
      </c>
      <c r="N156" s="228">
        <v>544.1</v>
      </c>
      <c r="O156" s="228">
        <v>517.79999999999995</v>
      </c>
      <c r="P156" s="228">
        <v>26.3</v>
      </c>
      <c r="Q156" s="229">
        <v>5.0799999999999998E-2</v>
      </c>
      <c r="R156" s="228">
        <v>546.70000000000005</v>
      </c>
      <c r="S156" s="228">
        <v>521.6</v>
      </c>
      <c r="T156" s="228">
        <v>25.1</v>
      </c>
      <c r="U156" s="229">
        <v>4.8099999999999997E-2</v>
      </c>
      <c r="V156" s="228">
        <v>0</v>
      </c>
      <c r="W156" s="228">
        <v>527.4</v>
      </c>
      <c r="X156" s="228">
        <v>0</v>
      </c>
      <c r="Y156" s="229">
        <v>0</v>
      </c>
      <c r="Z156" s="228">
        <v>4.05</v>
      </c>
      <c r="AA156" s="228">
        <v>3.05</v>
      </c>
      <c r="AB156" s="228">
        <v>1</v>
      </c>
      <c r="AC156" s="229">
        <v>7.4999999999999997E-3</v>
      </c>
      <c r="AD156" s="228">
        <v>4.05</v>
      </c>
      <c r="AE156" s="228">
        <v>-0.75</v>
      </c>
      <c r="AF156" s="228">
        <v>4.8</v>
      </c>
      <c r="AG156" s="229">
        <v>7.4999999999999997E-3</v>
      </c>
      <c r="AH156" s="228">
        <v>6.65</v>
      </c>
      <c r="AI156" s="228">
        <v>3.05</v>
      </c>
      <c r="AJ156" s="228">
        <v>3.6</v>
      </c>
      <c r="AK156" s="229">
        <v>1.23E-2</v>
      </c>
      <c r="AL156" s="228">
        <v>0</v>
      </c>
      <c r="AM156" s="228">
        <v>8.85</v>
      </c>
      <c r="AN156" s="228">
        <v>0</v>
      </c>
      <c r="AO156" s="229">
        <v>0</v>
      </c>
      <c r="AP156" s="228">
        <v>533.82000000000005</v>
      </c>
      <c r="AQ156" s="228">
        <v>533.52</v>
      </c>
      <c r="AR156" s="228">
        <v>0</v>
      </c>
      <c r="AS156" s="228">
        <v>192</v>
      </c>
      <c r="AT156" s="228">
        <v>586</v>
      </c>
      <c r="AU156" s="228">
        <v>-394</v>
      </c>
      <c r="AV156" s="229">
        <v>-0.6724</v>
      </c>
      <c r="AW156" s="228">
        <v>184</v>
      </c>
      <c r="AX156" s="228">
        <v>230</v>
      </c>
      <c r="AY156" s="228">
        <v>-47</v>
      </c>
      <c r="AZ156" s="229">
        <v>-0.20269999999999999</v>
      </c>
      <c r="BA156" s="228">
        <v>8</v>
      </c>
      <c r="BB156" s="228">
        <v>351</v>
      </c>
      <c r="BC156" s="228">
        <v>-343</v>
      </c>
      <c r="BD156" s="229">
        <v>-0.97629999999999995</v>
      </c>
      <c r="BE156" s="228">
        <v>0</v>
      </c>
      <c r="BF156" s="228">
        <v>4</v>
      </c>
      <c r="BG156" s="228">
        <v>0</v>
      </c>
      <c r="BH156" s="229">
        <v>0</v>
      </c>
      <c r="BI156" s="228">
        <v>162</v>
      </c>
      <c r="BJ156" s="228">
        <v>282</v>
      </c>
      <c r="BK156" s="228">
        <v>-119</v>
      </c>
      <c r="BL156" s="229">
        <v>-0.42349999999999999</v>
      </c>
      <c r="BM156" s="228">
        <v>99</v>
      </c>
      <c r="BN156" s="228">
        <v>220</v>
      </c>
      <c r="BO156" s="228">
        <v>-121</v>
      </c>
      <c r="BP156" s="229">
        <v>-0.55010000000000003</v>
      </c>
      <c r="BQ156" s="228">
        <v>453</v>
      </c>
      <c r="BR156" s="230">
        <v>1088</v>
      </c>
      <c r="BS156" s="228">
        <v>-634</v>
      </c>
      <c r="BT156" s="229">
        <v>-0.58320000000000005</v>
      </c>
      <c r="BU156" s="230">
        <v>1529927</v>
      </c>
      <c r="BV156" s="230">
        <v>2425834</v>
      </c>
      <c r="BW156" s="230">
        <v>-895907</v>
      </c>
      <c r="BX156" s="229">
        <v>-0.36930000000000002</v>
      </c>
      <c r="BY156" s="228">
        <v>747</v>
      </c>
      <c r="BZ156" s="228">
        <v>714</v>
      </c>
      <c r="CA156" s="228">
        <v>33</v>
      </c>
      <c r="CB156" s="229">
        <v>4.5699999999999998E-2</v>
      </c>
      <c r="CC156" s="228">
        <v>733</v>
      </c>
      <c r="CD156" s="228">
        <v>32</v>
      </c>
      <c r="CE156" s="228">
        <v>701</v>
      </c>
      <c r="CF156" s="229">
        <v>22.1387</v>
      </c>
      <c r="CG156" s="228">
        <v>14</v>
      </c>
      <c r="CH156" s="228">
        <v>702</v>
      </c>
      <c r="CI156" s="228">
        <v>-689</v>
      </c>
      <c r="CJ156" s="229">
        <v>-0.98060000000000003</v>
      </c>
      <c r="CK156" s="228">
        <v>0</v>
      </c>
      <c r="CL156" s="228">
        <v>12</v>
      </c>
      <c r="CM156" s="228">
        <v>-12</v>
      </c>
      <c r="CN156" s="229">
        <v>-1</v>
      </c>
      <c r="CO156" s="228">
        <v>94</v>
      </c>
      <c r="CP156" s="228">
        <v>86</v>
      </c>
      <c r="CQ156" s="228">
        <v>8</v>
      </c>
      <c r="CR156" s="229">
        <v>8.9599999999999999E-2</v>
      </c>
      <c r="CS156" s="228">
        <v>81</v>
      </c>
      <c r="CT156" s="228">
        <v>69</v>
      </c>
      <c r="CU156" s="228">
        <v>12</v>
      </c>
      <c r="CV156" s="229">
        <v>0.17399999999999999</v>
      </c>
      <c r="CW156" s="228">
        <v>921</v>
      </c>
      <c r="CX156" s="228">
        <v>869</v>
      </c>
      <c r="CY156" s="228">
        <v>52</v>
      </c>
      <c r="CZ156" s="229">
        <v>6.0299999999999999E-2</v>
      </c>
      <c r="DA156" s="228">
        <v>49.8</v>
      </c>
      <c r="DB156" s="228">
        <v>54.01</v>
      </c>
      <c r="DC156" s="228">
        <v>-4.21</v>
      </c>
      <c r="DD156" s="228">
        <v>-4.21</v>
      </c>
      <c r="DE156" s="228">
        <v>63.87</v>
      </c>
      <c r="DF156" s="228">
        <v>63.77</v>
      </c>
      <c r="DG156" s="228">
        <v>-14.07</v>
      </c>
      <c r="DH156" s="228">
        <v>0.1</v>
      </c>
      <c r="DI156" s="228">
        <v>49.17</v>
      </c>
      <c r="DJ156" s="228">
        <v>54.1</v>
      </c>
      <c r="DK156" s="228">
        <v>-4.93</v>
      </c>
      <c r="DL156" s="228">
        <v>-4.93</v>
      </c>
      <c r="DM156" s="228">
        <v>50.84</v>
      </c>
      <c r="DN156" s="228">
        <v>53.89</v>
      </c>
      <c r="DO156" s="228">
        <v>-3.05</v>
      </c>
      <c r="DP156" s="228">
        <v>-3.05</v>
      </c>
      <c r="DQ156" s="228">
        <v>0.86</v>
      </c>
      <c r="DR156" s="228">
        <v>0.8</v>
      </c>
      <c r="DS156" s="228">
        <v>0.06</v>
      </c>
      <c r="DT156" s="229">
        <v>7.4999999999999997E-2</v>
      </c>
      <c r="DU156" s="228">
        <v>600</v>
      </c>
      <c r="DV156" s="228">
        <v>460</v>
      </c>
      <c r="DW156" s="228">
        <v>0.61</v>
      </c>
      <c r="DX156" s="228">
        <v>0.78</v>
      </c>
      <c r="DY156" s="228">
        <v>-0.17</v>
      </c>
      <c r="DZ156" s="229">
        <v>-0.21790000000000001</v>
      </c>
      <c r="EA156" s="229">
        <v>1.8200000000000001E-2</v>
      </c>
      <c r="EB156" s="230">
        <v>13124250</v>
      </c>
      <c r="EC156" s="229">
        <v>4.7999999999999996E-3</v>
      </c>
      <c r="ED156" s="229">
        <v>1.8200000000000001E-2</v>
      </c>
      <c r="EE156" s="228">
        <v>-0.3</v>
      </c>
      <c r="EF156" s="229">
        <v>-5.9999999999999995E-4</v>
      </c>
      <c r="EG156" s="230">
        <v>542144</v>
      </c>
      <c r="EH156" s="230">
        <v>494998</v>
      </c>
      <c r="EI156" s="229">
        <v>9.5200000000000007E-2</v>
      </c>
      <c r="EJ156" s="229">
        <v>0.35439999999999999</v>
      </c>
      <c r="EK156" s="228">
        <v>173.4</v>
      </c>
      <c r="EL156" s="228">
        <v>97.46</v>
      </c>
      <c r="EM156" s="228">
        <v>188.24</v>
      </c>
      <c r="EN156" s="228">
        <v>126.19</v>
      </c>
      <c r="EO156" s="228">
        <v>459.1</v>
      </c>
      <c r="EP156" s="231">
        <v>1062.2</v>
      </c>
      <c r="EQ156" s="228">
        <v>-603.1</v>
      </c>
      <c r="ER156" s="229">
        <v>-0.56779999999999997</v>
      </c>
      <c r="ES156" s="228">
        <v>97.69</v>
      </c>
      <c r="ET156" s="228">
        <v>75.62</v>
      </c>
      <c r="EU156" s="228">
        <v>746.82</v>
      </c>
      <c r="EV156" s="231">
        <v>24030912</v>
      </c>
      <c r="EW156" s="228">
        <v>920.13</v>
      </c>
      <c r="EX156" s="228">
        <v>838.88</v>
      </c>
      <c r="EY156" s="228">
        <v>81.25</v>
      </c>
      <c r="EZ156" s="229">
        <v>9.69E-2</v>
      </c>
      <c r="FA156" s="229">
        <v>0.7046</v>
      </c>
      <c r="FB156" s="227" t="s">
        <v>555</v>
      </c>
      <c r="FC156">
        <f t="shared" si="3"/>
        <v>0</v>
      </c>
    </row>
    <row r="157" spans="1:159" ht="17.25" thickBot="1" x14ac:dyDescent="0.3">
      <c r="A157" s="226">
        <v>46050</v>
      </c>
      <c r="B157" s="227" t="s">
        <v>206</v>
      </c>
      <c r="C157" s="227" t="s">
        <v>645</v>
      </c>
      <c r="D157" s="228">
        <v>350</v>
      </c>
      <c r="E157" s="228">
        <v>27</v>
      </c>
      <c r="F157" s="231">
        <v>1735.9</v>
      </c>
      <c r="G157" s="231">
        <v>1739</v>
      </c>
      <c r="H157" s="228">
        <v>-3.1</v>
      </c>
      <c r="I157" s="229">
        <v>-1.8E-3</v>
      </c>
      <c r="J157" s="231">
        <v>1726.2</v>
      </c>
      <c r="K157" s="231">
        <v>1728.3</v>
      </c>
      <c r="L157" s="228">
        <v>-2.1</v>
      </c>
      <c r="M157" s="229">
        <v>-1.1999999999999999E-3</v>
      </c>
      <c r="N157" s="231">
        <v>1735.9</v>
      </c>
      <c r="O157" s="231">
        <v>1727.4</v>
      </c>
      <c r="P157" s="228">
        <v>8.5</v>
      </c>
      <c r="Q157" s="229">
        <v>4.8999999999999998E-3</v>
      </c>
      <c r="R157" s="231">
        <v>1744.6</v>
      </c>
      <c r="S157" s="231">
        <v>1739</v>
      </c>
      <c r="T157" s="228">
        <v>5.6</v>
      </c>
      <c r="U157" s="229">
        <v>3.2000000000000002E-3</v>
      </c>
      <c r="V157" s="231">
        <v>1780</v>
      </c>
      <c r="W157" s="231">
        <v>1735.7</v>
      </c>
      <c r="X157" s="228">
        <v>44.3</v>
      </c>
      <c r="Y157" s="229">
        <v>2.5499999999999998E-2</v>
      </c>
      <c r="Z157" s="228">
        <v>9.6999999999999993</v>
      </c>
      <c r="AA157" s="228">
        <v>10.7</v>
      </c>
      <c r="AB157" s="228">
        <v>-1</v>
      </c>
      <c r="AC157" s="229">
        <v>5.5999999999999999E-3</v>
      </c>
      <c r="AD157" s="228">
        <v>9.6999999999999993</v>
      </c>
      <c r="AE157" s="228">
        <v>-0.9</v>
      </c>
      <c r="AF157" s="228">
        <v>10.6</v>
      </c>
      <c r="AG157" s="229">
        <v>5.5999999999999999E-3</v>
      </c>
      <c r="AH157" s="228">
        <v>18.399999999999999</v>
      </c>
      <c r="AI157" s="228">
        <v>10.7</v>
      </c>
      <c r="AJ157" s="228">
        <v>7.7</v>
      </c>
      <c r="AK157" s="229">
        <v>1.0699999999999999E-2</v>
      </c>
      <c r="AL157" s="228">
        <v>53.8</v>
      </c>
      <c r="AM157" s="228">
        <v>7.4</v>
      </c>
      <c r="AN157" s="228">
        <v>46.4</v>
      </c>
      <c r="AO157" s="229">
        <v>3.1199999999999999E-2</v>
      </c>
      <c r="AP157" s="231">
        <v>1748.01</v>
      </c>
      <c r="AQ157" s="231">
        <v>1760.82</v>
      </c>
      <c r="AR157" s="228">
        <v>0</v>
      </c>
      <c r="AS157" s="228">
        <v>164</v>
      </c>
      <c r="AT157" s="228">
        <v>325</v>
      </c>
      <c r="AU157" s="228">
        <v>-160</v>
      </c>
      <c r="AV157" s="229">
        <v>-0.49340000000000001</v>
      </c>
      <c r="AW157" s="228">
        <v>161</v>
      </c>
      <c r="AX157" s="228">
        <v>146</v>
      </c>
      <c r="AY157" s="228">
        <v>15</v>
      </c>
      <c r="AZ157" s="229">
        <v>0.1048</v>
      </c>
      <c r="BA157" s="228">
        <v>3</v>
      </c>
      <c r="BB157" s="228">
        <v>178</v>
      </c>
      <c r="BC157" s="228">
        <v>-175</v>
      </c>
      <c r="BD157" s="229">
        <v>-0.98329999999999995</v>
      </c>
      <c r="BE157" s="228">
        <v>0</v>
      </c>
      <c r="BF157" s="228">
        <v>0</v>
      </c>
      <c r="BG157" s="228">
        <v>0</v>
      </c>
      <c r="BH157" s="229">
        <v>-0.5</v>
      </c>
      <c r="BI157" s="228">
        <v>154</v>
      </c>
      <c r="BJ157" s="228">
        <v>98</v>
      </c>
      <c r="BK157" s="228">
        <v>56</v>
      </c>
      <c r="BL157" s="229">
        <v>0.56779999999999997</v>
      </c>
      <c r="BM157" s="228">
        <v>136</v>
      </c>
      <c r="BN157" s="228">
        <v>211</v>
      </c>
      <c r="BO157" s="228">
        <v>-76</v>
      </c>
      <c r="BP157" s="229">
        <v>-0.35730000000000001</v>
      </c>
      <c r="BQ157" s="228">
        <v>454</v>
      </c>
      <c r="BR157" s="228">
        <v>634</v>
      </c>
      <c r="BS157" s="228">
        <v>-180</v>
      </c>
      <c r="BT157" s="229">
        <v>-0.2838</v>
      </c>
      <c r="BU157" s="230">
        <v>550720</v>
      </c>
      <c r="BV157" s="230">
        <v>668235</v>
      </c>
      <c r="BW157" s="230">
        <v>-117515</v>
      </c>
      <c r="BX157" s="229">
        <v>-0.1759</v>
      </c>
      <c r="BY157" s="228">
        <v>717</v>
      </c>
      <c r="BZ157" s="228">
        <v>680</v>
      </c>
      <c r="CA157" s="228">
        <v>37</v>
      </c>
      <c r="CB157" s="229">
        <v>5.4199999999999998E-2</v>
      </c>
      <c r="CC157" s="228">
        <v>715</v>
      </c>
      <c r="CD157" s="228">
        <v>20</v>
      </c>
      <c r="CE157" s="228">
        <v>695</v>
      </c>
      <c r="CF157" s="229">
        <v>34.8902</v>
      </c>
      <c r="CG157" s="228">
        <v>1</v>
      </c>
      <c r="CH157" s="228">
        <v>679</v>
      </c>
      <c r="CI157" s="228">
        <v>-678</v>
      </c>
      <c r="CJ157" s="229">
        <v>-0.99790000000000001</v>
      </c>
      <c r="CK157" s="228">
        <v>0</v>
      </c>
      <c r="CL157" s="228">
        <v>0</v>
      </c>
      <c r="CM157" s="228">
        <v>0</v>
      </c>
      <c r="CN157" s="229">
        <v>-0.875</v>
      </c>
      <c r="CO157" s="228">
        <v>95</v>
      </c>
      <c r="CP157" s="228">
        <v>64</v>
      </c>
      <c r="CQ157" s="228">
        <v>31</v>
      </c>
      <c r="CR157" s="229">
        <v>0.47539999999999999</v>
      </c>
      <c r="CS157" s="228">
        <v>57</v>
      </c>
      <c r="CT157" s="228">
        <v>34</v>
      </c>
      <c r="CU157" s="228">
        <v>23</v>
      </c>
      <c r="CV157" s="229">
        <v>0.65610000000000002</v>
      </c>
      <c r="CW157" s="228">
        <v>869</v>
      </c>
      <c r="CX157" s="228">
        <v>779</v>
      </c>
      <c r="CY157" s="228">
        <v>90</v>
      </c>
      <c r="CZ157" s="229">
        <v>0.11559999999999999</v>
      </c>
      <c r="DA157" s="228">
        <v>36.479999999999997</v>
      </c>
      <c r="DB157" s="228">
        <v>35.35</v>
      </c>
      <c r="DC157" s="228">
        <v>1.1299999999999999</v>
      </c>
      <c r="DD157" s="228">
        <v>1.1299999999999999</v>
      </c>
      <c r="DE157" s="228">
        <v>39.479999999999997</v>
      </c>
      <c r="DF157" s="228">
        <v>39.57</v>
      </c>
      <c r="DG157" s="228">
        <v>-3</v>
      </c>
      <c r="DH157" s="228">
        <v>-0.09</v>
      </c>
      <c r="DI157" s="228">
        <v>36.47</v>
      </c>
      <c r="DJ157" s="228">
        <v>34.61</v>
      </c>
      <c r="DK157" s="228">
        <v>1.86</v>
      </c>
      <c r="DL157" s="228">
        <v>1.86</v>
      </c>
      <c r="DM157" s="228">
        <v>36.5</v>
      </c>
      <c r="DN157" s="228">
        <v>36.11</v>
      </c>
      <c r="DO157" s="228">
        <v>0.39</v>
      </c>
      <c r="DP157" s="228">
        <v>0.39</v>
      </c>
      <c r="DQ157" s="228">
        <v>0.6</v>
      </c>
      <c r="DR157" s="228">
        <v>0.54</v>
      </c>
      <c r="DS157" s="228">
        <v>0.06</v>
      </c>
      <c r="DT157" s="229">
        <v>0.1111</v>
      </c>
      <c r="DU157" s="231">
        <v>1900</v>
      </c>
      <c r="DV157" s="231">
        <v>1740</v>
      </c>
      <c r="DW157" s="228">
        <v>0.88</v>
      </c>
      <c r="DX157" s="228">
        <v>2.15</v>
      </c>
      <c r="DY157" s="228">
        <v>-1.27</v>
      </c>
      <c r="DZ157" s="229">
        <v>-0.5907</v>
      </c>
      <c r="EA157" s="229">
        <v>2E-3</v>
      </c>
      <c r="EB157" s="230">
        <v>3916500</v>
      </c>
      <c r="EC157" s="229">
        <v>5.0000000000000001E-3</v>
      </c>
      <c r="ED157" s="229">
        <v>2E-3</v>
      </c>
      <c r="EE157" s="228">
        <v>12.81</v>
      </c>
      <c r="EF157" s="229">
        <v>7.3000000000000001E-3</v>
      </c>
      <c r="EG157" s="230">
        <v>278713</v>
      </c>
      <c r="EH157" s="230">
        <v>351351</v>
      </c>
      <c r="EI157" s="229">
        <v>-0.20669999999999999</v>
      </c>
      <c r="EJ157" s="229">
        <v>0.50609999999999999</v>
      </c>
      <c r="EK157" s="228">
        <v>166.21</v>
      </c>
      <c r="EL157" s="228">
        <v>137.59</v>
      </c>
      <c r="EM157" s="228">
        <v>165.58</v>
      </c>
      <c r="EN157" s="228">
        <v>85.02</v>
      </c>
      <c r="EO157" s="228">
        <v>469.38</v>
      </c>
      <c r="EP157" s="228">
        <v>631.70000000000005</v>
      </c>
      <c r="EQ157" s="228">
        <v>-162.32</v>
      </c>
      <c r="ER157" s="229">
        <v>-0.25700000000000001</v>
      </c>
      <c r="ES157" s="228">
        <v>105.45</v>
      </c>
      <c r="ET157" s="228">
        <v>56.57</v>
      </c>
      <c r="EU157" s="228">
        <v>716.69</v>
      </c>
      <c r="EV157" s="231">
        <v>19533471</v>
      </c>
      <c r="EW157" s="228">
        <v>878.7</v>
      </c>
      <c r="EX157" s="228">
        <v>788.48</v>
      </c>
      <c r="EY157" s="228">
        <v>90.22</v>
      </c>
      <c r="EZ157" s="229">
        <v>0.1144</v>
      </c>
      <c r="FA157" s="229">
        <v>0.25619999999999998</v>
      </c>
      <c r="FB157" s="227" t="s">
        <v>567</v>
      </c>
      <c r="FC157">
        <f t="shared" si="3"/>
        <v>0</v>
      </c>
    </row>
    <row r="158" spans="1:159" ht="17.25" thickBot="1" x14ac:dyDescent="0.3">
      <c r="A158" s="226">
        <v>46050</v>
      </c>
      <c r="B158" s="227" t="s">
        <v>168</v>
      </c>
      <c r="C158" s="227" t="s">
        <v>274</v>
      </c>
      <c r="D158" s="228">
        <v>500</v>
      </c>
      <c r="E158" s="228">
        <v>27</v>
      </c>
      <c r="F158" s="231">
        <v>1469.4</v>
      </c>
      <c r="G158" s="231">
        <v>1454.4</v>
      </c>
      <c r="H158" s="228">
        <v>15</v>
      </c>
      <c r="I158" s="229">
        <v>1.03E-2</v>
      </c>
      <c r="J158" s="231">
        <v>1460.7</v>
      </c>
      <c r="K158" s="231">
        <v>1447.2</v>
      </c>
      <c r="L158" s="228">
        <v>13.5</v>
      </c>
      <c r="M158" s="229">
        <v>9.2999999999999992E-3</v>
      </c>
      <c r="N158" s="231">
        <v>1469.4</v>
      </c>
      <c r="O158" s="231">
        <v>1444.5</v>
      </c>
      <c r="P158" s="228">
        <v>24.9</v>
      </c>
      <c r="Q158" s="229">
        <v>1.72E-2</v>
      </c>
      <c r="R158" s="231">
        <v>1477.3</v>
      </c>
      <c r="S158" s="231">
        <v>1454.4</v>
      </c>
      <c r="T158" s="228">
        <v>22.9</v>
      </c>
      <c r="U158" s="229">
        <v>1.5699999999999999E-2</v>
      </c>
      <c r="V158" s="231">
        <v>1484.7</v>
      </c>
      <c r="W158" s="231">
        <v>1463.3</v>
      </c>
      <c r="X158" s="228">
        <v>21.4</v>
      </c>
      <c r="Y158" s="229">
        <v>1.46E-2</v>
      </c>
      <c r="Z158" s="228">
        <v>8.6999999999999993</v>
      </c>
      <c r="AA158" s="228">
        <v>7.2</v>
      </c>
      <c r="AB158" s="228">
        <v>1.5</v>
      </c>
      <c r="AC158" s="229">
        <v>6.0000000000000001E-3</v>
      </c>
      <c r="AD158" s="228">
        <v>8.6999999999999993</v>
      </c>
      <c r="AE158" s="228">
        <v>-2.7</v>
      </c>
      <c r="AF158" s="228">
        <v>11.4</v>
      </c>
      <c r="AG158" s="229">
        <v>6.0000000000000001E-3</v>
      </c>
      <c r="AH158" s="228">
        <v>16.600000000000001</v>
      </c>
      <c r="AI158" s="228">
        <v>7.2</v>
      </c>
      <c r="AJ158" s="228">
        <v>9.4</v>
      </c>
      <c r="AK158" s="229">
        <v>1.14E-2</v>
      </c>
      <c r="AL158" s="228">
        <v>24</v>
      </c>
      <c r="AM158" s="228">
        <v>16.100000000000001</v>
      </c>
      <c r="AN158" s="228">
        <v>7.9</v>
      </c>
      <c r="AO158" s="229">
        <v>1.6400000000000001E-2</v>
      </c>
      <c r="AP158" s="231">
        <v>1457.59</v>
      </c>
      <c r="AQ158" s="231">
        <v>1466.03</v>
      </c>
      <c r="AR158" s="228">
        <v>0</v>
      </c>
      <c r="AS158" s="228">
        <v>400</v>
      </c>
      <c r="AT158" s="228">
        <v>432</v>
      </c>
      <c r="AU158" s="228">
        <v>-32</v>
      </c>
      <c r="AV158" s="229">
        <v>-7.3999999999999996E-2</v>
      </c>
      <c r="AW158" s="228">
        <v>390</v>
      </c>
      <c r="AX158" s="228">
        <v>178</v>
      </c>
      <c r="AY158" s="228">
        <v>212</v>
      </c>
      <c r="AZ158" s="229">
        <v>1.1891</v>
      </c>
      <c r="BA158" s="228">
        <v>10</v>
      </c>
      <c r="BB158" s="228">
        <v>251</v>
      </c>
      <c r="BC158" s="228">
        <v>-241</v>
      </c>
      <c r="BD158" s="229">
        <v>-0.96079999999999999</v>
      </c>
      <c r="BE158" s="228">
        <v>1</v>
      </c>
      <c r="BF158" s="228">
        <v>3</v>
      </c>
      <c r="BG158" s="228">
        <v>-2</v>
      </c>
      <c r="BH158" s="229">
        <v>-0.77780000000000005</v>
      </c>
      <c r="BI158" s="228">
        <v>365</v>
      </c>
      <c r="BJ158" s="228">
        <v>170</v>
      </c>
      <c r="BK158" s="228">
        <v>194</v>
      </c>
      <c r="BL158" s="229">
        <v>1.1415</v>
      </c>
      <c r="BM158" s="228">
        <v>205</v>
      </c>
      <c r="BN158" s="228">
        <v>152</v>
      </c>
      <c r="BO158" s="228">
        <v>53</v>
      </c>
      <c r="BP158" s="229">
        <v>0.35</v>
      </c>
      <c r="BQ158" s="228">
        <v>969</v>
      </c>
      <c r="BR158" s="228">
        <v>754</v>
      </c>
      <c r="BS158" s="228">
        <v>215</v>
      </c>
      <c r="BT158" s="229">
        <v>0.28589999999999999</v>
      </c>
      <c r="BU158" s="230">
        <v>841311</v>
      </c>
      <c r="BV158" s="230">
        <v>416697</v>
      </c>
      <c r="BW158" s="230">
        <v>424614</v>
      </c>
      <c r="BX158" s="229">
        <v>1.0189999999999999</v>
      </c>
      <c r="BY158" s="230">
        <v>1281</v>
      </c>
      <c r="BZ158" s="230">
        <v>1220</v>
      </c>
      <c r="CA158" s="228">
        <v>61</v>
      </c>
      <c r="CB158" s="229">
        <v>4.99E-2</v>
      </c>
      <c r="CC158" s="230">
        <v>1274</v>
      </c>
      <c r="CD158" s="228">
        <v>22</v>
      </c>
      <c r="CE158" s="230">
        <v>1252</v>
      </c>
      <c r="CF158" s="229">
        <v>57.581099999999999</v>
      </c>
      <c r="CG158" s="228">
        <v>6</v>
      </c>
      <c r="CH158" s="230">
        <v>1215</v>
      </c>
      <c r="CI158" s="230">
        <v>-1209</v>
      </c>
      <c r="CJ158" s="229">
        <v>-0.99470000000000003</v>
      </c>
      <c r="CK158" s="228">
        <v>0</v>
      </c>
      <c r="CL158" s="228">
        <v>4</v>
      </c>
      <c r="CM158" s="228">
        <v>-4</v>
      </c>
      <c r="CN158" s="229">
        <v>-0.95079999999999998</v>
      </c>
      <c r="CO158" s="228">
        <v>103</v>
      </c>
      <c r="CP158" s="228">
        <v>61</v>
      </c>
      <c r="CQ158" s="228">
        <v>42</v>
      </c>
      <c r="CR158" s="229">
        <v>0.69520000000000004</v>
      </c>
      <c r="CS158" s="228">
        <v>88</v>
      </c>
      <c r="CT158" s="228">
        <v>72</v>
      </c>
      <c r="CU158" s="228">
        <v>16</v>
      </c>
      <c r="CV158" s="229">
        <v>0.2208</v>
      </c>
      <c r="CW158" s="230">
        <v>1472</v>
      </c>
      <c r="CX158" s="230">
        <v>1353</v>
      </c>
      <c r="CY158" s="228">
        <v>119</v>
      </c>
      <c r="CZ158" s="229">
        <v>8.8099999999999998E-2</v>
      </c>
      <c r="DA158" s="228">
        <v>24.8</v>
      </c>
      <c r="DB158" s="228">
        <v>24.79</v>
      </c>
      <c r="DC158" s="228">
        <v>0.01</v>
      </c>
      <c r="DD158" s="228">
        <v>0.01</v>
      </c>
      <c r="DE158" s="228">
        <v>21.26</v>
      </c>
      <c r="DF158" s="228">
        <v>21.28</v>
      </c>
      <c r="DG158" s="228">
        <v>3.54</v>
      </c>
      <c r="DH158" s="228">
        <v>-0.02</v>
      </c>
      <c r="DI158" s="228">
        <v>24.4</v>
      </c>
      <c r="DJ158" s="228">
        <v>24.2</v>
      </c>
      <c r="DK158" s="228">
        <v>0.2</v>
      </c>
      <c r="DL158" s="228">
        <v>0.2</v>
      </c>
      <c r="DM158" s="228">
        <v>25.53</v>
      </c>
      <c r="DN158" s="228">
        <v>25.3</v>
      </c>
      <c r="DO158" s="228">
        <v>0.23</v>
      </c>
      <c r="DP158" s="228">
        <v>0.23</v>
      </c>
      <c r="DQ158" s="228">
        <v>0.85</v>
      </c>
      <c r="DR158" s="228">
        <v>1.18</v>
      </c>
      <c r="DS158" s="228">
        <v>-0.33</v>
      </c>
      <c r="DT158" s="229">
        <v>-0.2797</v>
      </c>
      <c r="DU158" s="231">
        <v>1500</v>
      </c>
      <c r="DV158" s="231">
        <v>1400</v>
      </c>
      <c r="DW158" s="228">
        <v>0.56000000000000005</v>
      </c>
      <c r="DX158" s="228">
        <v>0.89</v>
      </c>
      <c r="DY158" s="228">
        <v>-0.33</v>
      </c>
      <c r="DZ158" s="229">
        <v>-0.37080000000000002</v>
      </c>
      <c r="EA158" s="229">
        <v>5.1999999999999998E-3</v>
      </c>
      <c r="EB158" s="230">
        <v>8301000</v>
      </c>
      <c r="EC158" s="229">
        <v>5.4000000000000003E-3</v>
      </c>
      <c r="ED158" s="229">
        <v>5.1999999999999998E-3</v>
      </c>
      <c r="EE158" s="228">
        <v>8.44</v>
      </c>
      <c r="EF158" s="229">
        <v>5.7999999999999996E-3</v>
      </c>
      <c r="EG158" s="230">
        <v>392417</v>
      </c>
      <c r="EH158" s="230">
        <v>225433</v>
      </c>
      <c r="EI158" s="229">
        <v>0.74070000000000003</v>
      </c>
      <c r="EJ158" s="229">
        <v>0.46639999999999998</v>
      </c>
      <c r="EK158" s="228">
        <v>376.15</v>
      </c>
      <c r="EL158" s="228">
        <v>200.58</v>
      </c>
      <c r="EM158" s="228">
        <v>396.82</v>
      </c>
      <c r="EN158" s="228">
        <v>112.97</v>
      </c>
      <c r="EO158" s="228">
        <v>973.55</v>
      </c>
      <c r="EP158" s="228">
        <v>750.83</v>
      </c>
      <c r="EQ158" s="228">
        <v>222.72</v>
      </c>
      <c r="ER158" s="229">
        <v>0.29659999999999997</v>
      </c>
      <c r="ES158" s="228">
        <v>104.94</v>
      </c>
      <c r="ET158" s="228">
        <v>84.97</v>
      </c>
      <c r="EU158" s="231">
        <v>1280.6199999999999</v>
      </c>
      <c r="EV158" s="231">
        <v>31214205</v>
      </c>
      <c r="EW158" s="231">
        <v>1470.53</v>
      </c>
      <c r="EX158" s="231">
        <v>1339.68</v>
      </c>
      <c r="EY158" s="228">
        <v>130.85</v>
      </c>
      <c r="EZ158" s="229">
        <v>9.7699999999999995E-2</v>
      </c>
      <c r="FA158" s="229">
        <v>0.32100000000000001</v>
      </c>
      <c r="FB158" s="227" t="s">
        <v>555</v>
      </c>
      <c r="FC158">
        <f t="shared" si="3"/>
        <v>0</v>
      </c>
    </row>
    <row r="159" spans="1:159" ht="17.25" thickBot="1" x14ac:dyDescent="0.3">
      <c r="A159" s="226">
        <v>46050</v>
      </c>
      <c r="B159" s="227" t="s">
        <v>498</v>
      </c>
      <c r="C159" s="227" t="s">
        <v>483</v>
      </c>
      <c r="D159" s="228">
        <v>175</v>
      </c>
      <c r="E159" s="228">
        <v>27</v>
      </c>
      <c r="F159" s="231">
        <v>3217.5</v>
      </c>
      <c r="G159" s="231">
        <v>3159.1</v>
      </c>
      <c r="H159" s="228">
        <v>58.4</v>
      </c>
      <c r="I159" s="229">
        <v>1.8499999999999999E-2</v>
      </c>
      <c r="J159" s="231">
        <v>3220.8</v>
      </c>
      <c r="K159" s="231">
        <v>3157.2</v>
      </c>
      <c r="L159" s="228">
        <v>63.6</v>
      </c>
      <c r="M159" s="229">
        <v>2.01E-2</v>
      </c>
      <c r="N159" s="231">
        <v>3217.5</v>
      </c>
      <c r="O159" s="231">
        <v>3150.8</v>
      </c>
      <c r="P159" s="228">
        <v>66.7</v>
      </c>
      <c r="Q159" s="229">
        <v>2.12E-2</v>
      </c>
      <c r="R159" s="231">
        <v>3209.2</v>
      </c>
      <c r="S159" s="231">
        <v>3159.1</v>
      </c>
      <c r="T159" s="228">
        <v>50.1</v>
      </c>
      <c r="U159" s="229">
        <v>1.5900000000000001E-2</v>
      </c>
      <c r="V159" s="231">
        <v>3215.2</v>
      </c>
      <c r="W159" s="231">
        <v>3161.2</v>
      </c>
      <c r="X159" s="228">
        <v>54</v>
      </c>
      <c r="Y159" s="229">
        <v>1.7100000000000001E-2</v>
      </c>
      <c r="Z159" s="228">
        <v>-3.3</v>
      </c>
      <c r="AA159" s="228">
        <v>1.9</v>
      </c>
      <c r="AB159" s="228">
        <v>-5.2</v>
      </c>
      <c r="AC159" s="229">
        <v>-1E-3</v>
      </c>
      <c r="AD159" s="228">
        <v>-3.3</v>
      </c>
      <c r="AE159" s="228">
        <v>-6.4</v>
      </c>
      <c r="AF159" s="228">
        <v>3.1</v>
      </c>
      <c r="AG159" s="229">
        <v>-1E-3</v>
      </c>
      <c r="AH159" s="228">
        <v>-11.6</v>
      </c>
      <c r="AI159" s="228">
        <v>1.9</v>
      </c>
      <c r="AJ159" s="228">
        <v>-13.5</v>
      </c>
      <c r="AK159" s="229">
        <v>-3.5999999999999999E-3</v>
      </c>
      <c r="AL159" s="228">
        <v>-5.6</v>
      </c>
      <c r="AM159" s="228">
        <v>4</v>
      </c>
      <c r="AN159" s="228">
        <v>-9.6</v>
      </c>
      <c r="AO159" s="229">
        <v>-1.6999999999999999E-3</v>
      </c>
      <c r="AP159" s="231">
        <v>3201.49</v>
      </c>
      <c r="AQ159" s="231">
        <v>3199.05</v>
      </c>
      <c r="AR159" s="228">
        <v>0</v>
      </c>
      <c r="AS159" s="228">
        <v>93</v>
      </c>
      <c r="AT159" s="228">
        <v>357</v>
      </c>
      <c r="AU159" s="228">
        <v>-263</v>
      </c>
      <c r="AV159" s="229">
        <v>-0.7389</v>
      </c>
      <c r="AW159" s="228">
        <v>81</v>
      </c>
      <c r="AX159" s="228">
        <v>155</v>
      </c>
      <c r="AY159" s="228">
        <v>-74</v>
      </c>
      <c r="AZ159" s="229">
        <v>-0.47639999999999999</v>
      </c>
      <c r="BA159" s="228">
        <v>9</v>
      </c>
      <c r="BB159" s="228">
        <v>181</v>
      </c>
      <c r="BC159" s="228">
        <v>-172</v>
      </c>
      <c r="BD159" s="229">
        <v>-0.94779999999999998</v>
      </c>
      <c r="BE159" s="228">
        <v>2</v>
      </c>
      <c r="BF159" s="228">
        <v>20</v>
      </c>
      <c r="BG159" s="228">
        <v>-18</v>
      </c>
      <c r="BH159" s="229">
        <v>-0.88270000000000004</v>
      </c>
      <c r="BI159" s="228">
        <v>132</v>
      </c>
      <c r="BJ159" s="228">
        <v>140</v>
      </c>
      <c r="BK159" s="228">
        <v>-8</v>
      </c>
      <c r="BL159" s="229">
        <v>-5.5199999999999999E-2</v>
      </c>
      <c r="BM159" s="228">
        <v>51</v>
      </c>
      <c r="BN159" s="228">
        <v>68</v>
      </c>
      <c r="BO159" s="228">
        <v>-17</v>
      </c>
      <c r="BP159" s="229">
        <v>-0.25290000000000001</v>
      </c>
      <c r="BQ159" s="228">
        <v>276</v>
      </c>
      <c r="BR159" s="228">
        <v>564</v>
      </c>
      <c r="BS159" s="228">
        <v>-288</v>
      </c>
      <c r="BT159" s="229">
        <v>-0.5111</v>
      </c>
      <c r="BU159" s="230">
        <v>89769</v>
      </c>
      <c r="BV159" s="230">
        <v>220333</v>
      </c>
      <c r="BW159" s="230">
        <v>-130564</v>
      </c>
      <c r="BX159" s="229">
        <v>-0.59260000000000002</v>
      </c>
      <c r="BY159" s="228">
        <v>887</v>
      </c>
      <c r="BZ159" s="228">
        <v>870</v>
      </c>
      <c r="CA159" s="228">
        <v>16</v>
      </c>
      <c r="CB159" s="229">
        <v>1.8700000000000001E-2</v>
      </c>
      <c r="CC159" s="228">
        <v>851</v>
      </c>
      <c r="CD159" s="228">
        <v>35</v>
      </c>
      <c r="CE159" s="228">
        <v>816</v>
      </c>
      <c r="CF159" s="229">
        <v>23.5227</v>
      </c>
      <c r="CG159" s="228">
        <v>34</v>
      </c>
      <c r="CH159" s="228">
        <v>834</v>
      </c>
      <c r="CI159" s="228">
        <v>-801</v>
      </c>
      <c r="CJ159" s="229">
        <v>-0.95940000000000003</v>
      </c>
      <c r="CK159" s="228">
        <v>2</v>
      </c>
      <c r="CL159" s="228">
        <v>36</v>
      </c>
      <c r="CM159" s="228">
        <v>-34</v>
      </c>
      <c r="CN159" s="229">
        <v>-0.93730000000000002</v>
      </c>
      <c r="CO159" s="228">
        <v>83</v>
      </c>
      <c r="CP159" s="228">
        <v>46</v>
      </c>
      <c r="CQ159" s="228">
        <v>37</v>
      </c>
      <c r="CR159" s="229">
        <v>0.81620000000000004</v>
      </c>
      <c r="CS159" s="228">
        <v>74</v>
      </c>
      <c r="CT159" s="228">
        <v>51</v>
      </c>
      <c r="CU159" s="228">
        <v>23</v>
      </c>
      <c r="CV159" s="229">
        <v>0.45079999999999998</v>
      </c>
      <c r="CW159" s="230">
        <v>1044</v>
      </c>
      <c r="CX159" s="228">
        <v>967</v>
      </c>
      <c r="CY159" s="228">
        <v>77</v>
      </c>
      <c r="CZ159" s="229">
        <v>7.9299999999999995E-2</v>
      </c>
      <c r="DA159" s="228">
        <v>32.04</v>
      </c>
      <c r="DB159" s="228">
        <v>32.92</v>
      </c>
      <c r="DC159" s="228">
        <v>-0.88</v>
      </c>
      <c r="DD159" s="228">
        <v>-0.88</v>
      </c>
      <c r="DE159" s="228">
        <v>28.47</v>
      </c>
      <c r="DF159" s="228">
        <v>28.43</v>
      </c>
      <c r="DG159" s="228">
        <v>3.57</v>
      </c>
      <c r="DH159" s="228">
        <v>0.04</v>
      </c>
      <c r="DI159" s="228">
        <v>31.92</v>
      </c>
      <c r="DJ159" s="228">
        <v>32.409999999999997</v>
      </c>
      <c r="DK159" s="228">
        <v>-0.49</v>
      </c>
      <c r="DL159" s="228">
        <v>-0.49</v>
      </c>
      <c r="DM159" s="228">
        <v>32.33</v>
      </c>
      <c r="DN159" s="228">
        <v>33.53</v>
      </c>
      <c r="DO159" s="228">
        <v>-1.2</v>
      </c>
      <c r="DP159" s="228">
        <v>-1.2</v>
      </c>
      <c r="DQ159" s="228">
        <v>0.89</v>
      </c>
      <c r="DR159" s="228">
        <v>1.1100000000000001</v>
      </c>
      <c r="DS159" s="228">
        <v>-0.22</v>
      </c>
      <c r="DT159" s="229">
        <v>-0.19819999999999999</v>
      </c>
      <c r="DU159" s="231">
        <v>3500</v>
      </c>
      <c r="DV159" s="231">
        <v>3200</v>
      </c>
      <c r="DW159" s="228">
        <v>0.38</v>
      </c>
      <c r="DX159" s="228">
        <v>0.48</v>
      </c>
      <c r="DY159" s="228">
        <v>-0.1</v>
      </c>
      <c r="DZ159" s="229">
        <v>-0.20830000000000001</v>
      </c>
      <c r="EA159" s="229">
        <v>4.07E-2</v>
      </c>
      <c r="EB159" s="230">
        <v>2705150</v>
      </c>
      <c r="EC159" s="229">
        <v>-2.5999999999999999E-3</v>
      </c>
      <c r="ED159" s="229">
        <v>4.07E-2</v>
      </c>
      <c r="EE159" s="228">
        <v>-2.44</v>
      </c>
      <c r="EF159" s="229">
        <v>-8.0000000000000004E-4</v>
      </c>
      <c r="EG159" s="230">
        <v>39950</v>
      </c>
      <c r="EH159" s="230">
        <v>123441</v>
      </c>
      <c r="EI159" s="229">
        <v>-0.6764</v>
      </c>
      <c r="EJ159" s="229">
        <v>0.44500000000000001</v>
      </c>
      <c r="EK159" s="228">
        <v>139.56</v>
      </c>
      <c r="EL159" s="228">
        <v>49.94</v>
      </c>
      <c r="EM159" s="228">
        <v>92.62</v>
      </c>
      <c r="EN159" s="228">
        <v>123.5</v>
      </c>
      <c r="EO159" s="228">
        <v>282.12</v>
      </c>
      <c r="EP159" s="228">
        <v>564.51</v>
      </c>
      <c r="EQ159" s="228">
        <v>-282.39999999999998</v>
      </c>
      <c r="ER159" s="229">
        <v>-0.50019999999999998</v>
      </c>
      <c r="ES159" s="228">
        <v>87.18</v>
      </c>
      <c r="ET159" s="228">
        <v>73.12</v>
      </c>
      <c r="EU159" s="228">
        <v>886.57</v>
      </c>
      <c r="EV159" s="231">
        <v>10712372</v>
      </c>
      <c r="EW159" s="231">
        <v>1046.8699999999999</v>
      </c>
      <c r="EX159" s="228">
        <v>953.28</v>
      </c>
      <c r="EY159" s="228">
        <v>93.59</v>
      </c>
      <c r="EZ159" s="229">
        <v>9.8199999999999996E-2</v>
      </c>
      <c r="FA159" s="229">
        <v>0.3029</v>
      </c>
      <c r="FB159" s="227" t="s">
        <v>555</v>
      </c>
      <c r="FC159">
        <f t="shared" si="3"/>
        <v>0</v>
      </c>
    </row>
    <row r="160" spans="1:159" ht="17.25" thickBot="1" x14ac:dyDescent="0.3">
      <c r="A160" s="226">
        <v>46050</v>
      </c>
      <c r="B160" s="227" t="s">
        <v>172</v>
      </c>
      <c r="C160" s="227" t="s">
        <v>275</v>
      </c>
      <c r="D160" s="228">
        <v>8000</v>
      </c>
      <c r="E160" s="228">
        <v>27</v>
      </c>
      <c r="F160" s="228">
        <v>125.3</v>
      </c>
      <c r="G160" s="228">
        <v>123.55</v>
      </c>
      <c r="H160" s="228">
        <v>1.75</v>
      </c>
      <c r="I160" s="229">
        <v>1.4200000000000001E-2</v>
      </c>
      <c r="J160" s="228">
        <v>124.5</v>
      </c>
      <c r="K160" s="228">
        <v>122.95</v>
      </c>
      <c r="L160" s="228">
        <v>1.55</v>
      </c>
      <c r="M160" s="229">
        <v>1.26E-2</v>
      </c>
      <c r="N160" s="228">
        <v>125.3</v>
      </c>
      <c r="O160" s="228">
        <v>122.7</v>
      </c>
      <c r="P160" s="228">
        <v>2.6</v>
      </c>
      <c r="Q160" s="229">
        <v>2.12E-2</v>
      </c>
      <c r="R160" s="228">
        <v>126.13</v>
      </c>
      <c r="S160" s="228">
        <v>123.55</v>
      </c>
      <c r="T160" s="228">
        <v>2.58</v>
      </c>
      <c r="U160" s="229">
        <v>2.0899999999999998E-2</v>
      </c>
      <c r="V160" s="228">
        <v>126.96</v>
      </c>
      <c r="W160" s="228">
        <v>124.43</v>
      </c>
      <c r="X160" s="228">
        <v>2.5299999999999998</v>
      </c>
      <c r="Y160" s="229">
        <v>2.0299999999999999E-2</v>
      </c>
      <c r="Z160" s="228">
        <v>0.8</v>
      </c>
      <c r="AA160" s="228">
        <v>0.6</v>
      </c>
      <c r="AB160" s="228">
        <v>0.2</v>
      </c>
      <c r="AC160" s="229">
        <v>6.4000000000000003E-3</v>
      </c>
      <c r="AD160" s="228">
        <v>0.8</v>
      </c>
      <c r="AE160" s="228">
        <v>-0.25</v>
      </c>
      <c r="AF160" s="228">
        <v>1.05</v>
      </c>
      <c r="AG160" s="229">
        <v>6.4000000000000003E-3</v>
      </c>
      <c r="AH160" s="228">
        <v>1.63</v>
      </c>
      <c r="AI160" s="228">
        <v>0.6</v>
      </c>
      <c r="AJ160" s="228">
        <v>1.03</v>
      </c>
      <c r="AK160" s="229">
        <v>1.3100000000000001E-2</v>
      </c>
      <c r="AL160" s="228">
        <v>2.46</v>
      </c>
      <c r="AM160" s="228">
        <v>1.48</v>
      </c>
      <c r="AN160" s="228">
        <v>0.98</v>
      </c>
      <c r="AO160" s="229">
        <v>1.9800000000000002E-2</v>
      </c>
      <c r="AP160" s="228">
        <v>123.93</v>
      </c>
      <c r="AQ160" s="228">
        <v>124.83</v>
      </c>
      <c r="AR160" s="228">
        <v>0</v>
      </c>
      <c r="AS160" s="228">
        <v>537</v>
      </c>
      <c r="AT160" s="230">
        <v>2500</v>
      </c>
      <c r="AU160" s="230">
        <v>-1963</v>
      </c>
      <c r="AV160" s="229">
        <v>-0.78520000000000001</v>
      </c>
      <c r="AW160" s="228">
        <v>506</v>
      </c>
      <c r="AX160" s="230">
        <v>1094</v>
      </c>
      <c r="AY160" s="228">
        <v>-588</v>
      </c>
      <c r="AZ160" s="229">
        <v>-0.53749999999999998</v>
      </c>
      <c r="BA160" s="228">
        <v>28</v>
      </c>
      <c r="BB160" s="230">
        <v>1378</v>
      </c>
      <c r="BC160" s="230">
        <v>-1350</v>
      </c>
      <c r="BD160" s="229">
        <v>-0.97989999999999999</v>
      </c>
      <c r="BE160" s="228">
        <v>3</v>
      </c>
      <c r="BF160" s="228">
        <v>28</v>
      </c>
      <c r="BG160" s="228">
        <v>-24</v>
      </c>
      <c r="BH160" s="229">
        <v>-0.88039999999999996</v>
      </c>
      <c r="BI160" s="230">
        <v>1083</v>
      </c>
      <c r="BJ160" s="230">
        <v>1808</v>
      </c>
      <c r="BK160" s="228">
        <v>-725</v>
      </c>
      <c r="BL160" s="229">
        <v>-0.40110000000000001</v>
      </c>
      <c r="BM160" s="228">
        <v>424</v>
      </c>
      <c r="BN160" s="230">
        <v>1067</v>
      </c>
      <c r="BO160" s="228">
        <v>-643</v>
      </c>
      <c r="BP160" s="229">
        <v>-0.60289999999999999</v>
      </c>
      <c r="BQ160" s="230">
        <v>2043</v>
      </c>
      <c r="BR160" s="230">
        <v>5374</v>
      </c>
      <c r="BS160" s="230">
        <v>-3331</v>
      </c>
      <c r="BT160" s="229">
        <v>-0.61980000000000002</v>
      </c>
      <c r="BU160" s="230">
        <v>15035567</v>
      </c>
      <c r="BV160" s="230">
        <v>17033098</v>
      </c>
      <c r="BW160" s="230">
        <v>-1997531</v>
      </c>
      <c r="BX160" s="229">
        <v>-0.1173</v>
      </c>
      <c r="BY160" s="230">
        <v>2931</v>
      </c>
      <c r="BZ160" s="230">
        <v>2914</v>
      </c>
      <c r="CA160" s="228">
        <v>17</v>
      </c>
      <c r="CB160" s="229">
        <v>5.7000000000000002E-3</v>
      </c>
      <c r="CC160" s="230">
        <v>2844</v>
      </c>
      <c r="CD160" s="228">
        <v>106</v>
      </c>
      <c r="CE160" s="230">
        <v>2738</v>
      </c>
      <c r="CF160" s="229">
        <v>25.844799999999999</v>
      </c>
      <c r="CG160" s="228">
        <v>84</v>
      </c>
      <c r="CH160" s="230">
        <v>2834</v>
      </c>
      <c r="CI160" s="230">
        <v>-2749</v>
      </c>
      <c r="CJ160" s="229">
        <v>-0.97030000000000005</v>
      </c>
      <c r="CK160" s="228">
        <v>3</v>
      </c>
      <c r="CL160" s="228">
        <v>81</v>
      </c>
      <c r="CM160" s="228">
        <v>-78</v>
      </c>
      <c r="CN160" s="229">
        <v>-0.9677</v>
      </c>
      <c r="CO160" s="228">
        <v>906</v>
      </c>
      <c r="CP160" s="228">
        <v>855</v>
      </c>
      <c r="CQ160" s="228">
        <v>51</v>
      </c>
      <c r="CR160" s="229">
        <v>5.9900000000000002E-2</v>
      </c>
      <c r="CS160" s="228">
        <v>591</v>
      </c>
      <c r="CT160" s="228">
        <v>510</v>
      </c>
      <c r="CU160" s="228">
        <v>81</v>
      </c>
      <c r="CV160" s="229">
        <v>0.1595</v>
      </c>
      <c r="CW160" s="230">
        <v>4429</v>
      </c>
      <c r="CX160" s="230">
        <v>4279</v>
      </c>
      <c r="CY160" s="228">
        <v>149</v>
      </c>
      <c r="CZ160" s="229">
        <v>3.49E-2</v>
      </c>
      <c r="DA160" s="228">
        <v>32.35</v>
      </c>
      <c r="DB160" s="228">
        <v>32.49</v>
      </c>
      <c r="DC160" s="228">
        <v>-0.14000000000000001</v>
      </c>
      <c r="DD160" s="228">
        <v>-0.14000000000000001</v>
      </c>
      <c r="DE160" s="228">
        <v>35.57</v>
      </c>
      <c r="DF160" s="228">
        <v>35.61</v>
      </c>
      <c r="DG160" s="228">
        <v>-3.22</v>
      </c>
      <c r="DH160" s="228">
        <v>-0.04</v>
      </c>
      <c r="DI160" s="228">
        <v>31.76</v>
      </c>
      <c r="DJ160" s="228">
        <v>31.94</v>
      </c>
      <c r="DK160" s="228">
        <v>-0.18</v>
      </c>
      <c r="DL160" s="228">
        <v>-0.18</v>
      </c>
      <c r="DM160" s="228">
        <v>33.840000000000003</v>
      </c>
      <c r="DN160" s="228">
        <v>33.54</v>
      </c>
      <c r="DO160" s="228">
        <v>0.3</v>
      </c>
      <c r="DP160" s="228">
        <v>0.3</v>
      </c>
      <c r="DQ160" s="228">
        <v>0.65</v>
      </c>
      <c r="DR160" s="228">
        <v>0.6</v>
      </c>
      <c r="DS160" s="228">
        <v>0.05</v>
      </c>
      <c r="DT160" s="229">
        <v>8.3299999999999999E-2</v>
      </c>
      <c r="DU160" s="228">
        <v>130</v>
      </c>
      <c r="DV160" s="228">
        <v>120</v>
      </c>
      <c r="DW160" s="228">
        <v>0.39</v>
      </c>
      <c r="DX160" s="228">
        <v>0.59</v>
      </c>
      <c r="DY160" s="228">
        <v>-0.2</v>
      </c>
      <c r="DZ160" s="229">
        <v>-0.33900000000000002</v>
      </c>
      <c r="EA160" s="229">
        <v>2.9600000000000001E-2</v>
      </c>
      <c r="EB160" s="230">
        <v>232600000</v>
      </c>
      <c r="EC160" s="229">
        <v>6.6E-3</v>
      </c>
      <c r="ED160" s="229">
        <v>2.9600000000000001E-2</v>
      </c>
      <c r="EE160" s="228">
        <v>0.9</v>
      </c>
      <c r="EF160" s="229">
        <v>7.3000000000000001E-3</v>
      </c>
      <c r="EG160" s="230">
        <v>5152240</v>
      </c>
      <c r="EH160" s="230">
        <v>6683268</v>
      </c>
      <c r="EI160" s="229">
        <v>-0.2291</v>
      </c>
      <c r="EJ160" s="229">
        <v>0.3427</v>
      </c>
      <c r="EK160" s="231">
        <v>1141.58</v>
      </c>
      <c r="EL160" s="228">
        <v>408.53</v>
      </c>
      <c r="EM160" s="228">
        <v>531.25</v>
      </c>
      <c r="EN160" s="228">
        <v>192.02</v>
      </c>
      <c r="EO160" s="231">
        <v>2081.36</v>
      </c>
      <c r="EP160" s="231">
        <v>5323.35</v>
      </c>
      <c r="EQ160" s="231">
        <v>-3241.99</v>
      </c>
      <c r="ER160" s="229">
        <v>-0.60899999999999999</v>
      </c>
      <c r="ES160" s="228">
        <v>955.4</v>
      </c>
      <c r="ET160" s="228">
        <v>570.91</v>
      </c>
      <c r="EU160" s="231">
        <v>2931.81</v>
      </c>
      <c r="EV160" s="231">
        <v>515822637</v>
      </c>
      <c r="EW160" s="231">
        <v>4458.12</v>
      </c>
      <c r="EX160" s="231">
        <v>4268.96</v>
      </c>
      <c r="EY160" s="228">
        <v>189.16</v>
      </c>
      <c r="EZ160" s="229">
        <v>4.4299999999999999E-2</v>
      </c>
      <c r="FA160" s="229">
        <v>0.68520000000000003</v>
      </c>
      <c r="FB160" s="227" t="s">
        <v>555</v>
      </c>
      <c r="FC160">
        <f t="shared" si="3"/>
        <v>0</v>
      </c>
    </row>
    <row r="161" spans="1:159" ht="17.25" thickBot="1" x14ac:dyDescent="0.3">
      <c r="A161" s="226">
        <v>46050</v>
      </c>
      <c r="B161" s="227" t="s">
        <v>175</v>
      </c>
      <c r="C161" s="227" t="s">
        <v>669</v>
      </c>
      <c r="D161" s="228">
        <v>650</v>
      </c>
      <c r="E161" s="228">
        <v>27</v>
      </c>
      <c r="F161" s="228">
        <v>849</v>
      </c>
      <c r="G161" s="228">
        <v>832.1</v>
      </c>
      <c r="H161" s="228">
        <v>16.899999999999999</v>
      </c>
      <c r="I161" s="229">
        <v>2.0299999999999999E-2</v>
      </c>
      <c r="J161" s="228">
        <v>845.55</v>
      </c>
      <c r="K161" s="228">
        <v>825.4</v>
      </c>
      <c r="L161" s="228">
        <v>20.149999999999999</v>
      </c>
      <c r="M161" s="229">
        <v>2.4400000000000002E-2</v>
      </c>
      <c r="N161" s="228">
        <v>849</v>
      </c>
      <c r="O161" s="228">
        <v>826.15</v>
      </c>
      <c r="P161" s="228">
        <v>22.85</v>
      </c>
      <c r="Q161" s="229">
        <v>2.7699999999999999E-2</v>
      </c>
      <c r="R161" s="228">
        <v>853.5</v>
      </c>
      <c r="S161" s="228">
        <v>832.1</v>
      </c>
      <c r="T161" s="228">
        <v>21.4</v>
      </c>
      <c r="U161" s="229">
        <v>2.5700000000000001E-2</v>
      </c>
      <c r="V161" s="228">
        <v>853</v>
      </c>
      <c r="W161" s="228">
        <v>839.45</v>
      </c>
      <c r="X161" s="228">
        <v>13.55</v>
      </c>
      <c r="Y161" s="229">
        <v>1.61E-2</v>
      </c>
      <c r="Z161" s="228">
        <v>3.45</v>
      </c>
      <c r="AA161" s="228">
        <v>6.7</v>
      </c>
      <c r="AB161" s="228">
        <v>-3.25</v>
      </c>
      <c r="AC161" s="229">
        <v>4.1000000000000003E-3</v>
      </c>
      <c r="AD161" s="228">
        <v>3.45</v>
      </c>
      <c r="AE161" s="228">
        <v>0.75</v>
      </c>
      <c r="AF161" s="228">
        <v>2.7</v>
      </c>
      <c r="AG161" s="229">
        <v>4.1000000000000003E-3</v>
      </c>
      <c r="AH161" s="228">
        <v>7.95</v>
      </c>
      <c r="AI161" s="228">
        <v>6.7</v>
      </c>
      <c r="AJ161" s="228">
        <v>1.25</v>
      </c>
      <c r="AK161" s="229">
        <v>9.4000000000000004E-3</v>
      </c>
      <c r="AL161" s="228">
        <v>7.45</v>
      </c>
      <c r="AM161" s="228">
        <v>14.05</v>
      </c>
      <c r="AN161" s="228">
        <v>-6.6</v>
      </c>
      <c r="AO161" s="229">
        <v>8.8000000000000005E-3</v>
      </c>
      <c r="AP161" s="228">
        <v>839.92</v>
      </c>
      <c r="AQ161" s="228">
        <v>843.16</v>
      </c>
      <c r="AR161" s="228">
        <v>0</v>
      </c>
      <c r="AS161" s="228">
        <v>170</v>
      </c>
      <c r="AT161" s="228">
        <v>823</v>
      </c>
      <c r="AU161" s="228">
        <v>-653</v>
      </c>
      <c r="AV161" s="229">
        <v>-0.79379999999999995</v>
      </c>
      <c r="AW161" s="228">
        <v>163</v>
      </c>
      <c r="AX161" s="228">
        <v>304</v>
      </c>
      <c r="AY161" s="228">
        <v>-141</v>
      </c>
      <c r="AZ161" s="229">
        <v>-0.46329999999999999</v>
      </c>
      <c r="BA161" s="228">
        <v>6</v>
      </c>
      <c r="BB161" s="228">
        <v>512</v>
      </c>
      <c r="BC161" s="228">
        <v>-506</v>
      </c>
      <c r="BD161" s="229">
        <v>-0.98780000000000001</v>
      </c>
      <c r="BE161" s="228">
        <v>1</v>
      </c>
      <c r="BF161" s="228">
        <v>7</v>
      </c>
      <c r="BG161" s="228">
        <v>-7</v>
      </c>
      <c r="BH161" s="229">
        <v>-0.91849999999999998</v>
      </c>
      <c r="BI161" s="228">
        <v>356</v>
      </c>
      <c r="BJ161" s="228">
        <v>613</v>
      </c>
      <c r="BK161" s="228">
        <v>-257</v>
      </c>
      <c r="BL161" s="229">
        <v>-0.4199</v>
      </c>
      <c r="BM161" s="228">
        <v>199</v>
      </c>
      <c r="BN161" s="228">
        <v>419</v>
      </c>
      <c r="BO161" s="228">
        <v>-220</v>
      </c>
      <c r="BP161" s="229">
        <v>-0.52500000000000002</v>
      </c>
      <c r="BQ161" s="228">
        <v>724</v>
      </c>
      <c r="BR161" s="230">
        <v>1855</v>
      </c>
      <c r="BS161" s="230">
        <v>-1130</v>
      </c>
      <c r="BT161" s="229">
        <v>-0.60960000000000003</v>
      </c>
      <c r="BU161" s="230">
        <v>935488</v>
      </c>
      <c r="BV161" s="230">
        <v>1523040</v>
      </c>
      <c r="BW161" s="230">
        <v>-587552</v>
      </c>
      <c r="BX161" s="229">
        <v>-0.38579999999999998</v>
      </c>
      <c r="BY161" s="230">
        <v>1302</v>
      </c>
      <c r="BZ161" s="230">
        <v>1298</v>
      </c>
      <c r="CA161" s="228">
        <v>4</v>
      </c>
      <c r="CB161" s="229">
        <v>2.8E-3</v>
      </c>
      <c r="CC161" s="230">
        <v>1290</v>
      </c>
      <c r="CD161" s="228">
        <v>36</v>
      </c>
      <c r="CE161" s="230">
        <v>1254</v>
      </c>
      <c r="CF161" s="229">
        <v>34.482500000000002</v>
      </c>
      <c r="CG161" s="228">
        <v>11</v>
      </c>
      <c r="CH161" s="230">
        <v>1288</v>
      </c>
      <c r="CI161" s="230">
        <v>-1277</v>
      </c>
      <c r="CJ161" s="229">
        <v>-0.99139999999999995</v>
      </c>
      <c r="CK161" s="228">
        <v>1</v>
      </c>
      <c r="CL161" s="228">
        <v>10</v>
      </c>
      <c r="CM161" s="228">
        <v>-10</v>
      </c>
      <c r="CN161" s="229">
        <v>-0.94650000000000001</v>
      </c>
      <c r="CO161" s="228">
        <v>218</v>
      </c>
      <c r="CP161" s="228">
        <v>183</v>
      </c>
      <c r="CQ161" s="228">
        <v>35</v>
      </c>
      <c r="CR161" s="229">
        <v>0.1893</v>
      </c>
      <c r="CS161" s="228">
        <v>181</v>
      </c>
      <c r="CT161" s="228">
        <v>171</v>
      </c>
      <c r="CU161" s="228">
        <v>10</v>
      </c>
      <c r="CV161" s="229">
        <v>5.8900000000000001E-2</v>
      </c>
      <c r="CW161" s="230">
        <v>1701</v>
      </c>
      <c r="CX161" s="230">
        <v>1652</v>
      </c>
      <c r="CY161" s="228">
        <v>48</v>
      </c>
      <c r="CZ161" s="229">
        <v>2.93E-2</v>
      </c>
      <c r="DA161" s="228">
        <v>35.5</v>
      </c>
      <c r="DB161" s="228">
        <v>38.72</v>
      </c>
      <c r="DC161" s="228">
        <v>-3.22</v>
      </c>
      <c r="DD161" s="228">
        <v>-3.22</v>
      </c>
      <c r="DE161" s="228">
        <v>46.61</v>
      </c>
      <c r="DF161" s="228">
        <v>46.64</v>
      </c>
      <c r="DG161" s="228">
        <v>-11.11</v>
      </c>
      <c r="DH161" s="228">
        <v>-0.03</v>
      </c>
      <c r="DI161" s="228">
        <v>34.520000000000003</v>
      </c>
      <c r="DJ161" s="228">
        <v>37.979999999999997</v>
      </c>
      <c r="DK161" s="228">
        <v>-3.46</v>
      </c>
      <c r="DL161" s="228">
        <v>-3.46</v>
      </c>
      <c r="DM161" s="228">
        <v>37.25</v>
      </c>
      <c r="DN161" s="228">
        <v>39.85</v>
      </c>
      <c r="DO161" s="228">
        <v>-2.6</v>
      </c>
      <c r="DP161" s="228">
        <v>-2.6</v>
      </c>
      <c r="DQ161" s="228">
        <v>0.83</v>
      </c>
      <c r="DR161" s="228">
        <v>0.93</v>
      </c>
      <c r="DS161" s="228">
        <v>-0.1</v>
      </c>
      <c r="DT161" s="229">
        <v>-0.1075</v>
      </c>
      <c r="DU161" s="231">
        <v>1000</v>
      </c>
      <c r="DV161" s="228">
        <v>800</v>
      </c>
      <c r="DW161" s="228">
        <v>0.56000000000000005</v>
      </c>
      <c r="DX161" s="228">
        <v>0.68</v>
      </c>
      <c r="DY161" s="228">
        <v>-0.12</v>
      </c>
      <c r="DZ161" s="229">
        <v>-0.17649999999999999</v>
      </c>
      <c r="EA161" s="229">
        <v>8.8999999999999999E-3</v>
      </c>
      <c r="EB161" s="230">
        <v>15292550</v>
      </c>
      <c r="EC161" s="229">
        <v>5.3E-3</v>
      </c>
      <c r="ED161" s="229">
        <v>8.8999999999999999E-3</v>
      </c>
      <c r="EE161" s="228">
        <v>3.24</v>
      </c>
      <c r="EF161" s="229">
        <v>3.8999999999999998E-3</v>
      </c>
      <c r="EG161" s="230">
        <v>358011</v>
      </c>
      <c r="EH161" s="230">
        <v>565861</v>
      </c>
      <c r="EI161" s="229">
        <v>-0.36730000000000002</v>
      </c>
      <c r="EJ161" s="229">
        <v>0.38269999999999998</v>
      </c>
      <c r="EK161" s="228">
        <v>376.69</v>
      </c>
      <c r="EL161" s="228">
        <v>193.2</v>
      </c>
      <c r="EM161" s="228">
        <v>167.97</v>
      </c>
      <c r="EN161" s="228">
        <v>222.33</v>
      </c>
      <c r="EO161" s="228">
        <v>737.85</v>
      </c>
      <c r="EP161" s="231">
        <v>1848.16</v>
      </c>
      <c r="EQ161" s="231">
        <v>-1110.31</v>
      </c>
      <c r="ER161" s="229">
        <v>-0.6008</v>
      </c>
      <c r="ES161" s="228">
        <v>234.66</v>
      </c>
      <c r="ET161" s="228">
        <v>174.37</v>
      </c>
      <c r="EU161" s="231">
        <v>1302.0999999999999</v>
      </c>
      <c r="EV161" s="231">
        <v>28118603</v>
      </c>
      <c r="EW161" s="231">
        <v>1711.13</v>
      </c>
      <c r="EX161" s="231">
        <v>1634.61</v>
      </c>
      <c r="EY161" s="228">
        <v>76.52</v>
      </c>
      <c r="EZ161" s="229">
        <v>4.6800000000000001E-2</v>
      </c>
      <c r="FA161" s="229">
        <v>0.71240000000000003</v>
      </c>
      <c r="FB161" s="227" t="s">
        <v>555</v>
      </c>
      <c r="FC161">
        <f t="shared" si="3"/>
        <v>0</v>
      </c>
    </row>
    <row r="162" spans="1:159" ht="17.25" thickBot="1" x14ac:dyDescent="0.3">
      <c r="A162" s="226">
        <v>46050</v>
      </c>
      <c r="B162" s="227" t="s">
        <v>615</v>
      </c>
      <c r="C162" s="227" t="s">
        <v>573</v>
      </c>
      <c r="D162" s="228">
        <v>350</v>
      </c>
      <c r="E162" s="228">
        <v>27</v>
      </c>
      <c r="F162" s="231">
        <v>1658</v>
      </c>
      <c r="G162" s="231">
        <v>1630.8</v>
      </c>
      <c r="H162" s="228">
        <v>27.2</v>
      </c>
      <c r="I162" s="229">
        <v>1.67E-2</v>
      </c>
      <c r="J162" s="231">
        <v>1653.1</v>
      </c>
      <c r="K162" s="231">
        <v>1629.8</v>
      </c>
      <c r="L162" s="228">
        <v>23.3</v>
      </c>
      <c r="M162" s="229">
        <v>1.43E-2</v>
      </c>
      <c r="N162" s="231">
        <v>1658</v>
      </c>
      <c r="O162" s="231">
        <v>1625.8</v>
      </c>
      <c r="P162" s="228">
        <v>32.200000000000003</v>
      </c>
      <c r="Q162" s="229">
        <v>1.9800000000000002E-2</v>
      </c>
      <c r="R162" s="231">
        <v>1667.3</v>
      </c>
      <c r="S162" s="231">
        <v>1630.8</v>
      </c>
      <c r="T162" s="228">
        <v>36.5</v>
      </c>
      <c r="U162" s="229">
        <v>2.24E-2</v>
      </c>
      <c r="V162" s="228">
        <v>0</v>
      </c>
      <c r="W162" s="231">
        <v>1637.2</v>
      </c>
      <c r="X162" s="228">
        <v>0</v>
      </c>
      <c r="Y162" s="229">
        <v>0</v>
      </c>
      <c r="Z162" s="228">
        <v>4.9000000000000004</v>
      </c>
      <c r="AA162" s="228">
        <v>1</v>
      </c>
      <c r="AB162" s="228">
        <v>3.9</v>
      </c>
      <c r="AC162" s="229">
        <v>3.0000000000000001E-3</v>
      </c>
      <c r="AD162" s="228">
        <v>4.9000000000000004</v>
      </c>
      <c r="AE162" s="228">
        <v>-4</v>
      </c>
      <c r="AF162" s="228">
        <v>8.9</v>
      </c>
      <c r="AG162" s="229">
        <v>3.0000000000000001E-3</v>
      </c>
      <c r="AH162" s="228">
        <v>14.2</v>
      </c>
      <c r="AI162" s="228">
        <v>1</v>
      </c>
      <c r="AJ162" s="228">
        <v>13.2</v>
      </c>
      <c r="AK162" s="229">
        <v>8.6E-3</v>
      </c>
      <c r="AL162" s="228">
        <v>0</v>
      </c>
      <c r="AM162" s="228">
        <v>7.4</v>
      </c>
      <c r="AN162" s="228">
        <v>0</v>
      </c>
      <c r="AO162" s="229">
        <v>0</v>
      </c>
      <c r="AP162" s="231">
        <v>1641.66</v>
      </c>
      <c r="AQ162" s="231">
        <v>1647.65</v>
      </c>
      <c r="AR162" s="228">
        <v>0</v>
      </c>
      <c r="AS162" s="228">
        <v>213</v>
      </c>
      <c r="AT162" s="228">
        <v>917</v>
      </c>
      <c r="AU162" s="228">
        <v>-703</v>
      </c>
      <c r="AV162" s="229">
        <v>-0.76739999999999997</v>
      </c>
      <c r="AW162" s="228">
        <v>211</v>
      </c>
      <c r="AX162" s="228">
        <v>382</v>
      </c>
      <c r="AY162" s="228">
        <v>-171</v>
      </c>
      <c r="AZ162" s="229">
        <v>-0.44719999999999999</v>
      </c>
      <c r="BA162" s="228">
        <v>2</v>
      </c>
      <c r="BB162" s="228">
        <v>530</v>
      </c>
      <c r="BC162" s="228">
        <v>-528</v>
      </c>
      <c r="BD162" s="229">
        <v>-0.99629999999999996</v>
      </c>
      <c r="BE162" s="228">
        <v>0</v>
      </c>
      <c r="BF162" s="228">
        <v>4</v>
      </c>
      <c r="BG162" s="228">
        <v>0</v>
      </c>
      <c r="BH162" s="229">
        <v>0</v>
      </c>
      <c r="BI162" s="228">
        <v>176</v>
      </c>
      <c r="BJ162" s="228">
        <v>312</v>
      </c>
      <c r="BK162" s="228">
        <v>-135</v>
      </c>
      <c r="BL162" s="229">
        <v>-0.43369999999999997</v>
      </c>
      <c r="BM162" s="228">
        <v>121</v>
      </c>
      <c r="BN162" s="228">
        <v>420</v>
      </c>
      <c r="BO162" s="228">
        <v>-299</v>
      </c>
      <c r="BP162" s="229">
        <v>-0.71179999999999999</v>
      </c>
      <c r="BQ162" s="228">
        <v>511</v>
      </c>
      <c r="BR162" s="230">
        <v>1649</v>
      </c>
      <c r="BS162" s="230">
        <v>-1138</v>
      </c>
      <c r="BT162" s="229">
        <v>-0.69010000000000005</v>
      </c>
      <c r="BU162" s="230">
        <v>1631444</v>
      </c>
      <c r="BV162" s="230">
        <v>1796275</v>
      </c>
      <c r="BW162" s="230">
        <v>-164831</v>
      </c>
      <c r="BX162" s="229">
        <v>-9.1800000000000007E-2</v>
      </c>
      <c r="BY162" s="230">
        <v>1123</v>
      </c>
      <c r="BZ162" s="230">
        <v>1124</v>
      </c>
      <c r="CA162" s="228">
        <v>-2</v>
      </c>
      <c r="CB162" s="229">
        <v>-1.4E-3</v>
      </c>
      <c r="CC162" s="230">
        <v>1114</v>
      </c>
      <c r="CD162" s="228">
        <v>64</v>
      </c>
      <c r="CE162" s="230">
        <v>1050</v>
      </c>
      <c r="CF162" s="229">
        <v>16.495899999999999</v>
      </c>
      <c r="CG162" s="228">
        <v>9</v>
      </c>
      <c r="CH162" s="230">
        <v>1116</v>
      </c>
      <c r="CI162" s="230">
        <v>-1107</v>
      </c>
      <c r="CJ162" s="229">
        <v>-0.99199999999999999</v>
      </c>
      <c r="CK162" s="228">
        <v>0</v>
      </c>
      <c r="CL162" s="228">
        <v>8</v>
      </c>
      <c r="CM162" s="228">
        <v>-8</v>
      </c>
      <c r="CN162" s="229">
        <v>-1</v>
      </c>
      <c r="CO162" s="228">
        <v>115</v>
      </c>
      <c r="CP162" s="228">
        <v>93</v>
      </c>
      <c r="CQ162" s="228">
        <v>22</v>
      </c>
      <c r="CR162" s="229">
        <v>0.24229999999999999</v>
      </c>
      <c r="CS162" s="228">
        <v>117</v>
      </c>
      <c r="CT162" s="228">
        <v>107</v>
      </c>
      <c r="CU162" s="228">
        <v>10</v>
      </c>
      <c r="CV162" s="229">
        <v>9.0200000000000002E-2</v>
      </c>
      <c r="CW162" s="230">
        <v>1355</v>
      </c>
      <c r="CX162" s="230">
        <v>1324</v>
      </c>
      <c r="CY162" s="228">
        <v>31</v>
      </c>
      <c r="CZ162" s="229">
        <v>2.3E-2</v>
      </c>
      <c r="DA162" s="228">
        <v>42.47</v>
      </c>
      <c r="DB162" s="228">
        <v>43.06</v>
      </c>
      <c r="DC162" s="228">
        <v>-0.59</v>
      </c>
      <c r="DD162" s="228">
        <v>-0.59</v>
      </c>
      <c r="DE162" s="228">
        <v>45.64</v>
      </c>
      <c r="DF162" s="228">
        <v>45.71</v>
      </c>
      <c r="DG162" s="228">
        <v>-3.17</v>
      </c>
      <c r="DH162" s="228">
        <v>-7.0000000000000007E-2</v>
      </c>
      <c r="DI162" s="228">
        <v>41.9</v>
      </c>
      <c r="DJ162" s="228">
        <v>42.84</v>
      </c>
      <c r="DK162" s="228">
        <v>-0.94</v>
      </c>
      <c r="DL162" s="228">
        <v>-0.94</v>
      </c>
      <c r="DM162" s="228">
        <v>43.3</v>
      </c>
      <c r="DN162" s="228">
        <v>43.23</v>
      </c>
      <c r="DO162" s="228">
        <v>7.0000000000000007E-2</v>
      </c>
      <c r="DP162" s="228">
        <v>7.0000000000000007E-2</v>
      </c>
      <c r="DQ162" s="228">
        <v>1.02</v>
      </c>
      <c r="DR162" s="228">
        <v>1.1599999999999999</v>
      </c>
      <c r="DS162" s="228">
        <v>-0.14000000000000001</v>
      </c>
      <c r="DT162" s="229">
        <v>-0.1207</v>
      </c>
      <c r="DU162" s="231">
        <v>1700</v>
      </c>
      <c r="DV162" s="231">
        <v>1740</v>
      </c>
      <c r="DW162" s="228">
        <v>0.69</v>
      </c>
      <c r="DX162" s="228">
        <v>1.35</v>
      </c>
      <c r="DY162" s="228">
        <v>-0.66</v>
      </c>
      <c r="DZ162" s="229">
        <v>-0.4889</v>
      </c>
      <c r="EA162" s="229">
        <v>7.9000000000000008E-3</v>
      </c>
      <c r="EB162" s="230">
        <v>6780900</v>
      </c>
      <c r="EC162" s="229">
        <v>5.5999999999999999E-3</v>
      </c>
      <c r="ED162" s="229">
        <v>7.9000000000000008E-3</v>
      </c>
      <c r="EE162" s="228">
        <v>5.99</v>
      </c>
      <c r="EF162" s="229">
        <v>3.5999999999999999E-3</v>
      </c>
      <c r="EG162" s="230">
        <v>880339</v>
      </c>
      <c r="EH162" s="230">
        <v>896683</v>
      </c>
      <c r="EI162" s="229">
        <v>-1.8200000000000001E-2</v>
      </c>
      <c r="EJ162" s="229">
        <v>0.53959999999999997</v>
      </c>
      <c r="EK162" s="228">
        <v>187.05</v>
      </c>
      <c r="EL162" s="228">
        <v>119.62</v>
      </c>
      <c r="EM162" s="228">
        <v>211.17</v>
      </c>
      <c r="EN162" s="228">
        <v>178.77</v>
      </c>
      <c r="EO162" s="228">
        <v>517.83000000000004</v>
      </c>
      <c r="EP162" s="231">
        <v>1647.19</v>
      </c>
      <c r="EQ162" s="231">
        <v>-1129.3599999999999</v>
      </c>
      <c r="ER162" s="229">
        <v>-0.68559999999999999</v>
      </c>
      <c r="ES162" s="228">
        <v>119.75</v>
      </c>
      <c r="ET162" s="228">
        <v>116.6</v>
      </c>
      <c r="EU162" s="231">
        <v>1122.7</v>
      </c>
      <c r="EV162" s="231">
        <v>60642005</v>
      </c>
      <c r="EW162" s="231">
        <v>1359.05</v>
      </c>
      <c r="EX162" s="231">
        <v>1309.9100000000001</v>
      </c>
      <c r="EY162" s="228">
        <v>49.14</v>
      </c>
      <c r="EZ162" s="229">
        <v>3.7499999999999999E-2</v>
      </c>
      <c r="FA162" s="229">
        <v>0.1348</v>
      </c>
      <c r="FB162" s="227" t="s">
        <v>556</v>
      </c>
      <c r="FC162">
        <f t="shared" si="3"/>
        <v>0</v>
      </c>
    </row>
    <row r="163" spans="1:159" ht="17.25" thickBot="1" x14ac:dyDescent="0.3">
      <c r="A163" s="226">
        <v>46050</v>
      </c>
      <c r="B163" s="227" t="s">
        <v>184</v>
      </c>
      <c r="C163" s="227" t="s">
        <v>519</v>
      </c>
      <c r="D163" s="228">
        <v>125</v>
      </c>
      <c r="E163" s="228">
        <v>27</v>
      </c>
      <c r="F163" s="231">
        <v>6952.5</v>
      </c>
      <c r="G163" s="231">
        <v>6803.5</v>
      </c>
      <c r="H163" s="228">
        <v>149</v>
      </c>
      <c r="I163" s="229">
        <v>2.1899999999999999E-2</v>
      </c>
      <c r="J163" s="231">
        <v>6928</v>
      </c>
      <c r="K163" s="231">
        <v>6766</v>
      </c>
      <c r="L163" s="228">
        <v>162</v>
      </c>
      <c r="M163" s="229">
        <v>2.3900000000000001E-2</v>
      </c>
      <c r="N163" s="231">
        <v>6952.5</v>
      </c>
      <c r="O163" s="231">
        <v>6750</v>
      </c>
      <c r="P163" s="228">
        <v>202.5</v>
      </c>
      <c r="Q163" s="229">
        <v>0.03</v>
      </c>
      <c r="R163" s="231">
        <v>6991.5</v>
      </c>
      <c r="S163" s="231">
        <v>6803.5</v>
      </c>
      <c r="T163" s="228">
        <v>188</v>
      </c>
      <c r="U163" s="229">
        <v>2.76E-2</v>
      </c>
      <c r="V163" s="231">
        <v>7025</v>
      </c>
      <c r="W163" s="231">
        <v>6855</v>
      </c>
      <c r="X163" s="228">
        <v>170</v>
      </c>
      <c r="Y163" s="229">
        <v>2.4799999999999999E-2</v>
      </c>
      <c r="Z163" s="228">
        <v>24.5</v>
      </c>
      <c r="AA163" s="228">
        <v>37.5</v>
      </c>
      <c r="AB163" s="228">
        <v>-13</v>
      </c>
      <c r="AC163" s="229">
        <v>3.5000000000000001E-3</v>
      </c>
      <c r="AD163" s="228">
        <v>24.5</v>
      </c>
      <c r="AE163" s="228">
        <v>-16</v>
      </c>
      <c r="AF163" s="228">
        <v>40.5</v>
      </c>
      <c r="AG163" s="229">
        <v>3.5000000000000001E-3</v>
      </c>
      <c r="AH163" s="228">
        <v>63.5</v>
      </c>
      <c r="AI163" s="228">
        <v>37.5</v>
      </c>
      <c r="AJ163" s="228">
        <v>26</v>
      </c>
      <c r="AK163" s="229">
        <v>9.1999999999999998E-3</v>
      </c>
      <c r="AL163" s="228">
        <v>97</v>
      </c>
      <c r="AM163" s="228">
        <v>89</v>
      </c>
      <c r="AN163" s="228">
        <v>8</v>
      </c>
      <c r="AO163" s="229">
        <v>1.4E-2</v>
      </c>
      <c r="AP163" s="231">
        <v>6898.25</v>
      </c>
      <c r="AQ163" s="231">
        <v>6935.25</v>
      </c>
      <c r="AR163" s="228">
        <v>0</v>
      </c>
      <c r="AS163" s="228">
        <v>358</v>
      </c>
      <c r="AT163" s="230">
        <v>1272</v>
      </c>
      <c r="AU163" s="228">
        <v>-914</v>
      </c>
      <c r="AV163" s="229">
        <v>-0.71870000000000001</v>
      </c>
      <c r="AW163" s="228">
        <v>344</v>
      </c>
      <c r="AX163" s="228">
        <v>584</v>
      </c>
      <c r="AY163" s="228">
        <v>-241</v>
      </c>
      <c r="AZ163" s="229">
        <v>-0.41199999999999998</v>
      </c>
      <c r="BA163" s="228">
        <v>14</v>
      </c>
      <c r="BB163" s="228">
        <v>674</v>
      </c>
      <c r="BC163" s="228">
        <v>-660</v>
      </c>
      <c r="BD163" s="229">
        <v>-0.97950000000000004</v>
      </c>
      <c r="BE163" s="228">
        <v>0</v>
      </c>
      <c r="BF163" s="228">
        <v>14</v>
      </c>
      <c r="BG163" s="228">
        <v>-14</v>
      </c>
      <c r="BH163" s="229">
        <v>-0.96930000000000005</v>
      </c>
      <c r="BI163" s="228">
        <v>630</v>
      </c>
      <c r="BJ163" s="230">
        <v>1450</v>
      </c>
      <c r="BK163" s="228">
        <v>-820</v>
      </c>
      <c r="BL163" s="229">
        <v>-0.56559999999999999</v>
      </c>
      <c r="BM163" s="228">
        <v>268</v>
      </c>
      <c r="BN163" s="228">
        <v>806</v>
      </c>
      <c r="BO163" s="228">
        <v>-538</v>
      </c>
      <c r="BP163" s="229">
        <v>-0.66769999999999996</v>
      </c>
      <c r="BQ163" s="230">
        <v>1256</v>
      </c>
      <c r="BR163" s="230">
        <v>3528</v>
      </c>
      <c r="BS163" s="230">
        <v>-2273</v>
      </c>
      <c r="BT163" s="229">
        <v>-0.64410000000000001</v>
      </c>
      <c r="BU163" s="230">
        <v>375499</v>
      </c>
      <c r="BV163" s="230">
        <v>489518</v>
      </c>
      <c r="BW163" s="230">
        <v>-114019</v>
      </c>
      <c r="BX163" s="229">
        <v>-0.2329</v>
      </c>
      <c r="BY163" s="230">
        <v>2372</v>
      </c>
      <c r="BZ163" s="230">
        <v>2437</v>
      </c>
      <c r="CA163" s="228">
        <v>-65</v>
      </c>
      <c r="CB163" s="229">
        <v>-2.6700000000000002E-2</v>
      </c>
      <c r="CC163" s="230">
        <v>2339</v>
      </c>
      <c r="CD163" s="228">
        <v>213</v>
      </c>
      <c r="CE163" s="230">
        <v>2127</v>
      </c>
      <c r="CF163" s="229">
        <v>10.0008</v>
      </c>
      <c r="CG163" s="228">
        <v>33</v>
      </c>
      <c r="CH163" s="230">
        <v>2407</v>
      </c>
      <c r="CI163" s="230">
        <v>-2374</v>
      </c>
      <c r="CJ163" s="229">
        <v>-0.98640000000000005</v>
      </c>
      <c r="CK163" s="228">
        <v>0</v>
      </c>
      <c r="CL163" s="228">
        <v>30</v>
      </c>
      <c r="CM163" s="228">
        <v>-30</v>
      </c>
      <c r="CN163" s="229">
        <v>-0.98850000000000005</v>
      </c>
      <c r="CO163" s="228">
        <v>571</v>
      </c>
      <c r="CP163" s="228">
        <v>507</v>
      </c>
      <c r="CQ163" s="228">
        <v>64</v>
      </c>
      <c r="CR163" s="229">
        <v>0.126</v>
      </c>
      <c r="CS163" s="228">
        <v>308</v>
      </c>
      <c r="CT163" s="228">
        <v>290</v>
      </c>
      <c r="CU163" s="228">
        <v>18</v>
      </c>
      <c r="CV163" s="229">
        <v>6.0999999999999999E-2</v>
      </c>
      <c r="CW163" s="230">
        <v>3252</v>
      </c>
      <c r="CX163" s="230">
        <v>3235</v>
      </c>
      <c r="CY163" s="228">
        <v>17</v>
      </c>
      <c r="CZ163" s="229">
        <v>5.1000000000000004E-3</v>
      </c>
      <c r="DA163" s="228">
        <v>28.43</v>
      </c>
      <c r="DB163" s="228">
        <v>31.85</v>
      </c>
      <c r="DC163" s="228">
        <v>-3.42</v>
      </c>
      <c r="DD163" s="228">
        <v>-3.42</v>
      </c>
      <c r="DE163" s="228">
        <v>39.08</v>
      </c>
      <c r="DF163" s="228">
        <v>39.049999999999997</v>
      </c>
      <c r="DG163" s="228">
        <v>-10.65</v>
      </c>
      <c r="DH163" s="228">
        <v>0.03</v>
      </c>
      <c r="DI163" s="228">
        <v>27.89</v>
      </c>
      <c r="DJ163" s="228">
        <v>31.91</v>
      </c>
      <c r="DK163" s="228">
        <v>-4.0199999999999996</v>
      </c>
      <c r="DL163" s="228">
        <v>-4.0199999999999996</v>
      </c>
      <c r="DM163" s="228">
        <v>29.7</v>
      </c>
      <c r="DN163" s="228">
        <v>31.75</v>
      </c>
      <c r="DO163" s="228">
        <v>-2.0499999999999998</v>
      </c>
      <c r="DP163" s="228">
        <v>-2.0499999999999998</v>
      </c>
      <c r="DQ163" s="228">
        <v>0.54</v>
      </c>
      <c r="DR163" s="228">
        <v>0.56999999999999995</v>
      </c>
      <c r="DS163" s="228">
        <v>-0.03</v>
      </c>
      <c r="DT163" s="229">
        <v>-5.2600000000000001E-2</v>
      </c>
      <c r="DU163" s="231">
        <v>8000</v>
      </c>
      <c r="DV163" s="231">
        <v>6700</v>
      </c>
      <c r="DW163" s="228">
        <v>0.43</v>
      </c>
      <c r="DX163" s="228">
        <v>0.56000000000000005</v>
      </c>
      <c r="DY163" s="228">
        <v>-0.13</v>
      </c>
      <c r="DZ163" s="229">
        <v>-0.2321</v>
      </c>
      <c r="EA163" s="229">
        <v>1.3899999999999999E-2</v>
      </c>
      <c r="EB163" s="230">
        <v>3505875</v>
      </c>
      <c r="EC163" s="229">
        <v>5.5999999999999999E-3</v>
      </c>
      <c r="ED163" s="229">
        <v>1.3899999999999999E-2</v>
      </c>
      <c r="EE163" s="228">
        <v>37</v>
      </c>
      <c r="EF163" s="229">
        <v>5.4000000000000003E-3</v>
      </c>
      <c r="EG163" s="230">
        <v>221868</v>
      </c>
      <c r="EH163" s="230">
        <v>256112</v>
      </c>
      <c r="EI163" s="229">
        <v>-0.13370000000000001</v>
      </c>
      <c r="EJ163" s="229">
        <v>0.59089999999999998</v>
      </c>
      <c r="EK163" s="228">
        <v>664.8</v>
      </c>
      <c r="EL163" s="228">
        <v>257.19</v>
      </c>
      <c r="EM163" s="228">
        <v>355.08</v>
      </c>
      <c r="EN163" s="228">
        <v>221.93</v>
      </c>
      <c r="EO163" s="231">
        <v>1277.07</v>
      </c>
      <c r="EP163" s="231">
        <v>3542.08</v>
      </c>
      <c r="EQ163" s="231">
        <v>-2265.0100000000002</v>
      </c>
      <c r="ER163" s="229">
        <v>-0.63949999999999996</v>
      </c>
      <c r="ES163" s="228">
        <v>611.95000000000005</v>
      </c>
      <c r="ET163" s="228">
        <v>302.58</v>
      </c>
      <c r="EU163" s="231">
        <v>2372.64</v>
      </c>
      <c r="EV163" s="231">
        <v>8688405</v>
      </c>
      <c r="EW163" s="231">
        <v>3287.17</v>
      </c>
      <c r="EX163" s="231">
        <v>3213.34</v>
      </c>
      <c r="EY163" s="228">
        <v>73.83</v>
      </c>
      <c r="EZ163" s="229">
        <v>2.3E-2</v>
      </c>
      <c r="FA163" s="229">
        <v>0.5383</v>
      </c>
      <c r="FB163" s="227" t="s">
        <v>556</v>
      </c>
      <c r="FC163">
        <f t="shared" si="3"/>
        <v>0</v>
      </c>
    </row>
    <row r="164" spans="1:159" ht="17.25" thickBot="1" x14ac:dyDescent="0.3">
      <c r="A164" s="226">
        <v>46050</v>
      </c>
      <c r="B164" s="227" t="s">
        <v>161</v>
      </c>
      <c r="C164" s="227" t="s">
        <v>276</v>
      </c>
      <c r="D164" s="228">
        <v>1900</v>
      </c>
      <c r="E164" s="228">
        <v>27</v>
      </c>
      <c r="F164" s="228">
        <v>257.89999999999998</v>
      </c>
      <c r="G164" s="228">
        <v>252.65</v>
      </c>
      <c r="H164" s="228">
        <v>5.25</v>
      </c>
      <c r="I164" s="229">
        <v>2.0799999999999999E-2</v>
      </c>
      <c r="J164" s="228">
        <v>259.8</v>
      </c>
      <c r="K164" s="228">
        <v>254.35</v>
      </c>
      <c r="L164" s="228">
        <v>5.45</v>
      </c>
      <c r="M164" s="229">
        <v>2.1399999999999999E-2</v>
      </c>
      <c r="N164" s="228">
        <v>257.89999999999998</v>
      </c>
      <c r="O164" s="228">
        <v>254.6</v>
      </c>
      <c r="P164" s="228">
        <v>3.3</v>
      </c>
      <c r="Q164" s="229">
        <v>1.2999999999999999E-2</v>
      </c>
      <c r="R164" s="228">
        <v>259.5</v>
      </c>
      <c r="S164" s="228">
        <v>252.65</v>
      </c>
      <c r="T164" s="228">
        <v>6.85</v>
      </c>
      <c r="U164" s="229">
        <v>2.7099999999999999E-2</v>
      </c>
      <c r="V164" s="228">
        <v>260.5</v>
      </c>
      <c r="W164" s="228">
        <v>254.5</v>
      </c>
      <c r="X164" s="228">
        <v>6</v>
      </c>
      <c r="Y164" s="229">
        <v>2.3599999999999999E-2</v>
      </c>
      <c r="Z164" s="228">
        <v>-1.9</v>
      </c>
      <c r="AA164" s="228">
        <v>-1.7</v>
      </c>
      <c r="AB164" s="228">
        <v>-0.2</v>
      </c>
      <c r="AC164" s="229">
        <v>-7.3000000000000001E-3</v>
      </c>
      <c r="AD164" s="228">
        <v>-1.9</v>
      </c>
      <c r="AE164" s="228">
        <v>0.25</v>
      </c>
      <c r="AF164" s="228">
        <v>-2.15</v>
      </c>
      <c r="AG164" s="229">
        <v>-7.3000000000000001E-3</v>
      </c>
      <c r="AH164" s="228">
        <v>-0.3</v>
      </c>
      <c r="AI164" s="228">
        <v>-1.7</v>
      </c>
      <c r="AJ164" s="228">
        <v>1.4</v>
      </c>
      <c r="AK164" s="229">
        <v>-1.1999999999999999E-3</v>
      </c>
      <c r="AL164" s="228">
        <v>0.7</v>
      </c>
      <c r="AM164" s="228">
        <v>0.15</v>
      </c>
      <c r="AN164" s="228">
        <v>0.55000000000000004</v>
      </c>
      <c r="AO164" s="229">
        <v>2.7000000000000001E-3</v>
      </c>
      <c r="AP164" s="228">
        <v>256.70999999999998</v>
      </c>
      <c r="AQ164" s="228">
        <v>258.02999999999997</v>
      </c>
      <c r="AR164" s="228">
        <v>0</v>
      </c>
      <c r="AS164" s="228">
        <v>333</v>
      </c>
      <c r="AT164" s="230">
        <v>1922</v>
      </c>
      <c r="AU164" s="230">
        <v>-1589</v>
      </c>
      <c r="AV164" s="229">
        <v>-0.82669999999999999</v>
      </c>
      <c r="AW164" s="228">
        <v>318</v>
      </c>
      <c r="AX164" s="228">
        <v>851</v>
      </c>
      <c r="AY164" s="228">
        <v>-533</v>
      </c>
      <c r="AZ164" s="229">
        <v>-0.62649999999999995</v>
      </c>
      <c r="BA164" s="228">
        <v>14</v>
      </c>
      <c r="BB164" s="230">
        <v>1055</v>
      </c>
      <c r="BC164" s="230">
        <v>-1041</v>
      </c>
      <c r="BD164" s="229">
        <v>-0.98629999999999995</v>
      </c>
      <c r="BE164" s="228">
        <v>1</v>
      </c>
      <c r="BF164" s="228">
        <v>16</v>
      </c>
      <c r="BG164" s="228">
        <v>-15</v>
      </c>
      <c r="BH164" s="229">
        <v>-0.93899999999999995</v>
      </c>
      <c r="BI164" s="228">
        <v>628</v>
      </c>
      <c r="BJ164" s="228">
        <v>533</v>
      </c>
      <c r="BK164" s="228">
        <v>95</v>
      </c>
      <c r="BL164" s="229">
        <v>0.17849999999999999</v>
      </c>
      <c r="BM164" s="228">
        <v>235</v>
      </c>
      <c r="BN164" s="228">
        <v>517</v>
      </c>
      <c r="BO164" s="228">
        <v>-282</v>
      </c>
      <c r="BP164" s="229">
        <v>-0.54520000000000002</v>
      </c>
      <c r="BQ164" s="230">
        <v>1197</v>
      </c>
      <c r="BR164" s="230">
        <v>2972</v>
      </c>
      <c r="BS164" s="230">
        <v>-1775</v>
      </c>
      <c r="BT164" s="229">
        <v>-0.59740000000000004</v>
      </c>
      <c r="BU164" s="230">
        <v>16744218</v>
      </c>
      <c r="BV164" s="230">
        <v>17759553</v>
      </c>
      <c r="BW164" s="230">
        <v>-1015335</v>
      </c>
      <c r="BX164" s="229">
        <v>-5.7200000000000001E-2</v>
      </c>
      <c r="BY164" s="230">
        <v>2555</v>
      </c>
      <c r="BZ164" s="230">
        <v>2490</v>
      </c>
      <c r="CA164" s="228">
        <v>65</v>
      </c>
      <c r="CB164" s="229">
        <v>2.5999999999999999E-2</v>
      </c>
      <c r="CC164" s="230">
        <v>2501</v>
      </c>
      <c r="CD164" s="228">
        <v>227</v>
      </c>
      <c r="CE164" s="230">
        <v>2274</v>
      </c>
      <c r="CF164" s="229">
        <v>10.0138</v>
      </c>
      <c r="CG164" s="228">
        <v>53</v>
      </c>
      <c r="CH164" s="230">
        <v>2439</v>
      </c>
      <c r="CI164" s="230">
        <v>-2386</v>
      </c>
      <c r="CJ164" s="229">
        <v>-0.97829999999999995</v>
      </c>
      <c r="CK164" s="228">
        <v>1</v>
      </c>
      <c r="CL164" s="228">
        <v>51</v>
      </c>
      <c r="CM164" s="228">
        <v>-50</v>
      </c>
      <c r="CN164" s="229">
        <v>-0.98160000000000003</v>
      </c>
      <c r="CO164" s="228">
        <v>420</v>
      </c>
      <c r="CP164" s="228">
        <v>317</v>
      </c>
      <c r="CQ164" s="228">
        <v>102</v>
      </c>
      <c r="CR164" s="229">
        <v>0.32269999999999999</v>
      </c>
      <c r="CS164" s="228">
        <v>466</v>
      </c>
      <c r="CT164" s="228">
        <v>421</v>
      </c>
      <c r="CU164" s="228">
        <v>45</v>
      </c>
      <c r="CV164" s="229">
        <v>0.1065</v>
      </c>
      <c r="CW164" s="230">
        <v>3441</v>
      </c>
      <c r="CX164" s="230">
        <v>3228</v>
      </c>
      <c r="CY164" s="228">
        <v>212</v>
      </c>
      <c r="CZ164" s="229">
        <v>6.5699999999999995E-2</v>
      </c>
      <c r="DA164" s="228">
        <v>29.55</v>
      </c>
      <c r="DB164" s="228">
        <v>28.72</v>
      </c>
      <c r="DC164" s="228">
        <v>0.83</v>
      </c>
      <c r="DD164" s="228">
        <v>0.83</v>
      </c>
      <c r="DE164" s="228">
        <v>27.17</v>
      </c>
      <c r="DF164" s="228">
        <v>27.08</v>
      </c>
      <c r="DG164" s="228">
        <v>2.38</v>
      </c>
      <c r="DH164" s="228">
        <v>0.09</v>
      </c>
      <c r="DI164" s="228">
        <v>29.1</v>
      </c>
      <c r="DJ164" s="228">
        <v>28.05</v>
      </c>
      <c r="DK164" s="228">
        <v>1.05</v>
      </c>
      <c r="DL164" s="228">
        <v>1.05</v>
      </c>
      <c r="DM164" s="228">
        <v>30.76</v>
      </c>
      <c r="DN164" s="228">
        <v>29.41</v>
      </c>
      <c r="DO164" s="228">
        <v>1.35</v>
      </c>
      <c r="DP164" s="228">
        <v>1.35</v>
      </c>
      <c r="DQ164" s="228">
        <v>1.1100000000000001</v>
      </c>
      <c r="DR164" s="228">
        <v>1.33</v>
      </c>
      <c r="DS164" s="228">
        <v>-0.22</v>
      </c>
      <c r="DT164" s="229">
        <v>-0.16539999999999999</v>
      </c>
      <c r="DU164" s="228">
        <v>260</v>
      </c>
      <c r="DV164" s="228">
        <v>240</v>
      </c>
      <c r="DW164" s="228">
        <v>0.37</v>
      </c>
      <c r="DX164" s="228">
        <v>0.97</v>
      </c>
      <c r="DY164" s="228">
        <v>-0.6</v>
      </c>
      <c r="DZ164" s="229">
        <v>-0.61860000000000004</v>
      </c>
      <c r="EA164" s="229">
        <v>2.1100000000000001E-2</v>
      </c>
      <c r="EB164" s="230">
        <v>96550400</v>
      </c>
      <c r="EC164" s="229">
        <v>6.1999999999999998E-3</v>
      </c>
      <c r="ED164" s="229">
        <v>2.1100000000000001E-2</v>
      </c>
      <c r="EE164" s="228">
        <v>1.32</v>
      </c>
      <c r="EF164" s="229">
        <v>5.1000000000000004E-3</v>
      </c>
      <c r="EG164" s="230">
        <v>11648039</v>
      </c>
      <c r="EH164" s="230">
        <v>11320056</v>
      </c>
      <c r="EI164" s="229">
        <v>2.9000000000000001E-2</v>
      </c>
      <c r="EJ164" s="229">
        <v>0.6956</v>
      </c>
      <c r="EK164" s="228">
        <v>670.09</v>
      </c>
      <c r="EL164" s="228">
        <v>228.83</v>
      </c>
      <c r="EM164" s="228">
        <v>331.61</v>
      </c>
      <c r="EN164" s="228">
        <v>299</v>
      </c>
      <c r="EO164" s="231">
        <v>1230.53</v>
      </c>
      <c r="EP164" s="231">
        <v>2959.56</v>
      </c>
      <c r="EQ164" s="231">
        <v>-1729.03</v>
      </c>
      <c r="ER164" s="229">
        <v>-0.58420000000000005</v>
      </c>
      <c r="ES164" s="228">
        <v>440.59</v>
      </c>
      <c r="ET164" s="228">
        <v>464.01</v>
      </c>
      <c r="EU164" s="231">
        <v>2555.1999999999998</v>
      </c>
      <c r="EV164" s="231">
        <v>678857930</v>
      </c>
      <c r="EW164" s="231">
        <v>3459.8</v>
      </c>
      <c r="EX164" s="231">
        <v>3190.3</v>
      </c>
      <c r="EY164" s="228">
        <v>269.5</v>
      </c>
      <c r="EZ164" s="229">
        <v>8.4500000000000006E-2</v>
      </c>
      <c r="FA164" s="229">
        <v>0.19650000000000001</v>
      </c>
      <c r="FB164" s="227" t="s">
        <v>555</v>
      </c>
      <c r="FC164">
        <f t="shared" si="3"/>
        <v>0</v>
      </c>
    </row>
    <row r="165" spans="1:159" ht="17.25" thickBot="1" x14ac:dyDescent="0.3">
      <c r="A165" s="226">
        <v>46050</v>
      </c>
      <c r="B165" s="227" t="s">
        <v>184</v>
      </c>
      <c r="C165" s="227" t="s">
        <v>686</v>
      </c>
      <c r="D165" s="228">
        <v>50</v>
      </c>
      <c r="E165" s="228">
        <v>27</v>
      </c>
      <c r="F165" s="231">
        <v>17803</v>
      </c>
      <c r="G165" s="231">
        <v>16812</v>
      </c>
      <c r="H165" s="228">
        <v>991</v>
      </c>
      <c r="I165" s="229">
        <v>5.8900000000000001E-2</v>
      </c>
      <c r="J165" s="231">
        <v>17683</v>
      </c>
      <c r="K165" s="231">
        <v>16709</v>
      </c>
      <c r="L165" s="228">
        <v>974</v>
      </c>
      <c r="M165" s="229">
        <v>5.8299999999999998E-2</v>
      </c>
      <c r="N165" s="231">
        <v>17803</v>
      </c>
      <c r="O165" s="231">
        <v>16716</v>
      </c>
      <c r="P165" s="231">
        <v>1087</v>
      </c>
      <c r="Q165" s="229">
        <v>6.5000000000000002E-2</v>
      </c>
      <c r="R165" s="231">
        <v>17881</v>
      </c>
      <c r="S165" s="231">
        <v>16812</v>
      </c>
      <c r="T165" s="231">
        <v>1069</v>
      </c>
      <c r="U165" s="229">
        <v>6.3600000000000004E-2</v>
      </c>
      <c r="V165" s="231">
        <v>17753</v>
      </c>
      <c r="W165" s="231">
        <v>16967</v>
      </c>
      <c r="X165" s="228">
        <v>786</v>
      </c>
      <c r="Y165" s="229">
        <v>4.6300000000000001E-2</v>
      </c>
      <c r="Z165" s="228">
        <v>120</v>
      </c>
      <c r="AA165" s="228">
        <v>103</v>
      </c>
      <c r="AB165" s="228">
        <v>17</v>
      </c>
      <c r="AC165" s="229">
        <v>6.7999999999999996E-3</v>
      </c>
      <c r="AD165" s="228">
        <v>120</v>
      </c>
      <c r="AE165" s="228">
        <v>7</v>
      </c>
      <c r="AF165" s="228">
        <v>113</v>
      </c>
      <c r="AG165" s="229">
        <v>6.7999999999999996E-3</v>
      </c>
      <c r="AH165" s="228">
        <v>198</v>
      </c>
      <c r="AI165" s="228">
        <v>103</v>
      </c>
      <c r="AJ165" s="228">
        <v>95</v>
      </c>
      <c r="AK165" s="229">
        <v>1.12E-2</v>
      </c>
      <c r="AL165" s="228">
        <v>70</v>
      </c>
      <c r="AM165" s="228">
        <v>258</v>
      </c>
      <c r="AN165" s="228">
        <v>-188</v>
      </c>
      <c r="AO165" s="229">
        <v>4.0000000000000001E-3</v>
      </c>
      <c r="AP165" s="231">
        <v>17501.11</v>
      </c>
      <c r="AQ165" s="231">
        <v>17560</v>
      </c>
      <c r="AR165" s="228">
        <v>0</v>
      </c>
      <c r="AS165" s="228">
        <v>229</v>
      </c>
      <c r="AT165" s="228">
        <v>434</v>
      </c>
      <c r="AU165" s="228">
        <v>-205</v>
      </c>
      <c r="AV165" s="229">
        <v>-0.47320000000000001</v>
      </c>
      <c r="AW165" s="228">
        <v>218</v>
      </c>
      <c r="AX165" s="228">
        <v>210</v>
      </c>
      <c r="AY165" s="228">
        <v>8</v>
      </c>
      <c r="AZ165" s="229">
        <v>3.7699999999999997E-2</v>
      </c>
      <c r="BA165" s="228">
        <v>10</v>
      </c>
      <c r="BB165" s="228">
        <v>218</v>
      </c>
      <c r="BC165" s="228">
        <v>-208</v>
      </c>
      <c r="BD165" s="229">
        <v>-0.95350000000000001</v>
      </c>
      <c r="BE165" s="228">
        <v>0</v>
      </c>
      <c r="BF165" s="228">
        <v>5</v>
      </c>
      <c r="BG165" s="228">
        <v>-5</v>
      </c>
      <c r="BH165" s="229">
        <v>-0.96609999999999996</v>
      </c>
      <c r="BI165" s="228">
        <v>374</v>
      </c>
      <c r="BJ165" s="228">
        <v>378</v>
      </c>
      <c r="BK165" s="228">
        <v>-4</v>
      </c>
      <c r="BL165" s="229">
        <v>-1.15E-2</v>
      </c>
      <c r="BM165" s="228">
        <v>99</v>
      </c>
      <c r="BN165" s="228">
        <v>561</v>
      </c>
      <c r="BO165" s="228">
        <v>-461</v>
      </c>
      <c r="BP165" s="229">
        <v>-0.82320000000000004</v>
      </c>
      <c r="BQ165" s="228">
        <v>702</v>
      </c>
      <c r="BR165" s="230">
        <v>1373</v>
      </c>
      <c r="BS165" s="228">
        <v>-671</v>
      </c>
      <c r="BT165" s="229">
        <v>-0.48880000000000001</v>
      </c>
      <c r="BU165" s="230">
        <v>155069</v>
      </c>
      <c r="BV165" s="230">
        <v>103170</v>
      </c>
      <c r="BW165" s="230">
        <v>51899</v>
      </c>
      <c r="BX165" s="229">
        <v>0.503</v>
      </c>
      <c r="BY165" s="228">
        <v>525</v>
      </c>
      <c r="BZ165" s="228">
        <v>480</v>
      </c>
      <c r="CA165" s="228">
        <v>45</v>
      </c>
      <c r="CB165" s="229">
        <v>9.4600000000000004E-2</v>
      </c>
      <c r="CC165" s="228">
        <v>514</v>
      </c>
      <c r="CD165" s="228">
        <v>71</v>
      </c>
      <c r="CE165" s="228">
        <v>443</v>
      </c>
      <c r="CF165" s="229">
        <v>6.2096999999999998</v>
      </c>
      <c r="CG165" s="228">
        <v>11</v>
      </c>
      <c r="CH165" s="228">
        <v>470</v>
      </c>
      <c r="CI165" s="228">
        <v>-459</v>
      </c>
      <c r="CJ165" s="229">
        <v>-0.97609999999999997</v>
      </c>
      <c r="CK165" s="228">
        <v>0</v>
      </c>
      <c r="CL165" s="228">
        <v>10</v>
      </c>
      <c r="CM165" s="228">
        <v>-10</v>
      </c>
      <c r="CN165" s="229">
        <v>-0.99099999999999999</v>
      </c>
      <c r="CO165" s="228">
        <v>107</v>
      </c>
      <c r="CP165" s="228">
        <v>73</v>
      </c>
      <c r="CQ165" s="228">
        <v>34</v>
      </c>
      <c r="CR165" s="229">
        <v>0.46289999999999998</v>
      </c>
      <c r="CS165" s="228">
        <v>63</v>
      </c>
      <c r="CT165" s="228">
        <v>46</v>
      </c>
      <c r="CU165" s="228">
        <v>17</v>
      </c>
      <c r="CV165" s="229">
        <v>0.35630000000000001</v>
      </c>
      <c r="CW165" s="228">
        <v>696</v>
      </c>
      <c r="CX165" s="228">
        <v>600</v>
      </c>
      <c r="CY165" s="228">
        <v>96</v>
      </c>
      <c r="CZ165" s="229">
        <v>0.15989999999999999</v>
      </c>
      <c r="DA165" s="228">
        <v>44.33</v>
      </c>
      <c r="DB165" s="228">
        <v>47.23</v>
      </c>
      <c r="DC165" s="228">
        <v>-2.9</v>
      </c>
      <c r="DD165" s="228">
        <v>-2.9</v>
      </c>
      <c r="DE165" s="228">
        <v>57.47</v>
      </c>
      <c r="DF165" s="228">
        <v>57.1</v>
      </c>
      <c r="DG165" s="228">
        <v>-13.14</v>
      </c>
      <c r="DH165" s="228">
        <v>0.37</v>
      </c>
      <c r="DI165" s="228">
        <v>43.81</v>
      </c>
      <c r="DJ165" s="228">
        <v>47.25</v>
      </c>
      <c r="DK165" s="228">
        <v>-3.44</v>
      </c>
      <c r="DL165" s="228">
        <v>-3.44</v>
      </c>
      <c r="DM165" s="228">
        <v>46.29</v>
      </c>
      <c r="DN165" s="228">
        <v>47.21</v>
      </c>
      <c r="DO165" s="228">
        <v>-0.92</v>
      </c>
      <c r="DP165" s="228">
        <v>-0.92</v>
      </c>
      <c r="DQ165" s="228">
        <v>0.59</v>
      </c>
      <c r="DR165" s="228">
        <v>0.63</v>
      </c>
      <c r="DS165" s="228">
        <v>-0.04</v>
      </c>
      <c r="DT165" s="229">
        <v>-6.3500000000000001E-2</v>
      </c>
      <c r="DU165" s="231">
        <v>18000</v>
      </c>
      <c r="DV165" s="231">
        <v>16000</v>
      </c>
      <c r="DW165" s="228">
        <v>0.26</v>
      </c>
      <c r="DX165" s="228">
        <v>1.48</v>
      </c>
      <c r="DY165" s="228">
        <v>-1.22</v>
      </c>
      <c r="DZ165" s="229">
        <v>-0.82430000000000003</v>
      </c>
      <c r="EA165" s="229">
        <v>2.1499999999999998E-2</v>
      </c>
      <c r="EB165" s="230">
        <v>269600</v>
      </c>
      <c r="EC165" s="229">
        <v>4.4000000000000003E-3</v>
      </c>
      <c r="ED165" s="229">
        <v>2.1499999999999998E-2</v>
      </c>
      <c r="EE165" s="228">
        <v>58.89</v>
      </c>
      <c r="EF165" s="229">
        <v>3.3999999999999998E-3</v>
      </c>
      <c r="EG165" s="230">
        <v>62643</v>
      </c>
      <c r="EH165" s="230">
        <v>32006</v>
      </c>
      <c r="EI165" s="229">
        <v>0.95720000000000005</v>
      </c>
      <c r="EJ165" s="229">
        <v>0.40400000000000003</v>
      </c>
      <c r="EK165" s="228">
        <v>400.8</v>
      </c>
      <c r="EL165" s="228">
        <v>94.77</v>
      </c>
      <c r="EM165" s="228">
        <v>224.75</v>
      </c>
      <c r="EN165" s="228">
        <v>55.97</v>
      </c>
      <c r="EO165" s="228">
        <v>720.32</v>
      </c>
      <c r="EP165" s="231">
        <v>1280.44</v>
      </c>
      <c r="EQ165" s="228">
        <v>-560.12</v>
      </c>
      <c r="ER165" s="229">
        <v>-0.43740000000000001</v>
      </c>
      <c r="ES165" s="228">
        <v>111.27</v>
      </c>
      <c r="ET165" s="228">
        <v>58.6</v>
      </c>
      <c r="EU165" s="228">
        <v>525.41999999999996</v>
      </c>
      <c r="EV165" s="231">
        <v>1917916</v>
      </c>
      <c r="EW165" s="228">
        <v>695.28</v>
      </c>
      <c r="EX165" s="228">
        <v>571.71</v>
      </c>
      <c r="EY165" s="228">
        <v>123.57</v>
      </c>
      <c r="EZ165" s="229">
        <v>0.21609999999999999</v>
      </c>
      <c r="FA165" s="229">
        <v>0.20369999999999999</v>
      </c>
      <c r="FB165" s="227" t="s">
        <v>555</v>
      </c>
      <c r="FC165">
        <f t="shared" si="3"/>
        <v>0</v>
      </c>
    </row>
    <row r="166" spans="1:159" ht="17.25" thickBot="1" x14ac:dyDescent="0.3">
      <c r="A166" s="226">
        <v>46050</v>
      </c>
      <c r="B166" s="227" t="s">
        <v>170</v>
      </c>
      <c r="C166" s="227" t="s">
        <v>677</v>
      </c>
      <c r="D166" s="228">
        <v>2625</v>
      </c>
      <c r="E166" s="228">
        <v>27</v>
      </c>
      <c r="F166" s="228">
        <v>154.24</v>
      </c>
      <c r="G166" s="228">
        <v>152.69999999999999</v>
      </c>
      <c r="H166" s="228">
        <v>1.54</v>
      </c>
      <c r="I166" s="229">
        <v>1.01E-2</v>
      </c>
      <c r="J166" s="228">
        <v>153.96</v>
      </c>
      <c r="K166" s="228">
        <v>152.44999999999999</v>
      </c>
      <c r="L166" s="228">
        <v>1.51</v>
      </c>
      <c r="M166" s="229">
        <v>9.9000000000000008E-3</v>
      </c>
      <c r="N166" s="228">
        <v>154.24</v>
      </c>
      <c r="O166" s="228">
        <v>151.87</v>
      </c>
      <c r="P166" s="228">
        <v>2.37</v>
      </c>
      <c r="Q166" s="229">
        <v>1.5599999999999999E-2</v>
      </c>
      <c r="R166" s="228">
        <v>155.02000000000001</v>
      </c>
      <c r="S166" s="228">
        <v>152.69999999999999</v>
      </c>
      <c r="T166" s="228">
        <v>2.3199999999999998</v>
      </c>
      <c r="U166" s="229">
        <v>1.52E-2</v>
      </c>
      <c r="V166" s="228">
        <v>152.97999999999999</v>
      </c>
      <c r="W166" s="228">
        <v>153.52000000000001</v>
      </c>
      <c r="X166" s="228">
        <v>-0.54</v>
      </c>
      <c r="Y166" s="229">
        <v>-3.5000000000000001E-3</v>
      </c>
      <c r="Z166" s="228">
        <v>0.28000000000000003</v>
      </c>
      <c r="AA166" s="228">
        <v>0.25</v>
      </c>
      <c r="AB166" s="228">
        <v>0.03</v>
      </c>
      <c r="AC166" s="229">
        <v>1.8E-3</v>
      </c>
      <c r="AD166" s="228">
        <v>0.28000000000000003</v>
      </c>
      <c r="AE166" s="228">
        <v>-0.57999999999999996</v>
      </c>
      <c r="AF166" s="228">
        <v>0.86</v>
      </c>
      <c r="AG166" s="229">
        <v>1.8E-3</v>
      </c>
      <c r="AH166" s="228">
        <v>1.06</v>
      </c>
      <c r="AI166" s="228">
        <v>0.25</v>
      </c>
      <c r="AJ166" s="228">
        <v>0.81</v>
      </c>
      <c r="AK166" s="229">
        <v>6.8999999999999999E-3</v>
      </c>
      <c r="AL166" s="228">
        <v>-0.98</v>
      </c>
      <c r="AM166" s="228">
        <v>1.07</v>
      </c>
      <c r="AN166" s="228">
        <v>-2.0499999999999998</v>
      </c>
      <c r="AO166" s="229">
        <v>-6.4000000000000003E-3</v>
      </c>
      <c r="AP166" s="228">
        <v>153.30000000000001</v>
      </c>
      <c r="AQ166" s="228">
        <v>153.65</v>
      </c>
      <c r="AR166" s="228">
        <v>0</v>
      </c>
      <c r="AS166" s="228">
        <v>140</v>
      </c>
      <c r="AT166" s="228">
        <v>378</v>
      </c>
      <c r="AU166" s="228">
        <v>-239</v>
      </c>
      <c r="AV166" s="229">
        <v>-0.63109999999999999</v>
      </c>
      <c r="AW166" s="228">
        <v>127</v>
      </c>
      <c r="AX166" s="228">
        <v>178</v>
      </c>
      <c r="AY166" s="228">
        <v>-50</v>
      </c>
      <c r="AZ166" s="229">
        <v>-0.28260000000000002</v>
      </c>
      <c r="BA166" s="228">
        <v>12</v>
      </c>
      <c r="BB166" s="228">
        <v>191</v>
      </c>
      <c r="BC166" s="228">
        <v>-179</v>
      </c>
      <c r="BD166" s="229">
        <v>-0.93730000000000002</v>
      </c>
      <c r="BE166" s="228">
        <v>0</v>
      </c>
      <c r="BF166" s="228">
        <v>10</v>
      </c>
      <c r="BG166" s="228">
        <v>-9</v>
      </c>
      <c r="BH166" s="229">
        <v>-0.98719999999999997</v>
      </c>
      <c r="BI166" s="228">
        <v>193</v>
      </c>
      <c r="BJ166" s="228">
        <v>104</v>
      </c>
      <c r="BK166" s="228">
        <v>90</v>
      </c>
      <c r="BL166" s="229">
        <v>0.86639999999999995</v>
      </c>
      <c r="BM166" s="228">
        <v>149</v>
      </c>
      <c r="BN166" s="228">
        <v>89</v>
      </c>
      <c r="BO166" s="228">
        <v>59</v>
      </c>
      <c r="BP166" s="229">
        <v>0.66259999999999997</v>
      </c>
      <c r="BQ166" s="228">
        <v>482</v>
      </c>
      <c r="BR166" s="228">
        <v>571</v>
      </c>
      <c r="BS166" s="228">
        <v>-90</v>
      </c>
      <c r="BT166" s="229">
        <v>-0.157</v>
      </c>
      <c r="BU166" s="230">
        <v>3649953</v>
      </c>
      <c r="BV166" s="230">
        <v>4778957</v>
      </c>
      <c r="BW166" s="230">
        <v>-1129004</v>
      </c>
      <c r="BX166" s="229">
        <v>-0.23619999999999999</v>
      </c>
      <c r="BY166" s="228">
        <v>359</v>
      </c>
      <c r="BZ166" s="228">
        <v>345</v>
      </c>
      <c r="CA166" s="228">
        <v>14</v>
      </c>
      <c r="CB166" s="229">
        <v>4.07E-2</v>
      </c>
      <c r="CC166" s="228">
        <v>337</v>
      </c>
      <c r="CD166" s="228">
        <v>22</v>
      </c>
      <c r="CE166" s="228">
        <v>315</v>
      </c>
      <c r="CF166" s="229">
        <v>14.5655</v>
      </c>
      <c r="CG166" s="228">
        <v>23</v>
      </c>
      <c r="CH166" s="228">
        <v>324</v>
      </c>
      <c r="CI166" s="228">
        <v>-302</v>
      </c>
      <c r="CJ166" s="229">
        <v>-0.93020000000000003</v>
      </c>
      <c r="CK166" s="228">
        <v>0</v>
      </c>
      <c r="CL166" s="228">
        <v>21</v>
      </c>
      <c r="CM166" s="228">
        <v>-21</v>
      </c>
      <c r="CN166" s="229">
        <v>-0.99419999999999997</v>
      </c>
      <c r="CO166" s="228">
        <v>101</v>
      </c>
      <c r="CP166" s="228">
        <v>39</v>
      </c>
      <c r="CQ166" s="228">
        <v>62</v>
      </c>
      <c r="CR166" s="229">
        <v>1.59</v>
      </c>
      <c r="CS166" s="228">
        <v>108</v>
      </c>
      <c r="CT166" s="228">
        <v>46</v>
      </c>
      <c r="CU166" s="228">
        <v>62</v>
      </c>
      <c r="CV166" s="229">
        <v>1.3383</v>
      </c>
      <c r="CW166" s="228">
        <v>568</v>
      </c>
      <c r="CX166" s="228">
        <v>430</v>
      </c>
      <c r="CY166" s="228">
        <v>138</v>
      </c>
      <c r="CZ166" s="229">
        <v>0.32040000000000002</v>
      </c>
      <c r="DA166" s="228">
        <v>42.59</v>
      </c>
      <c r="DB166" s="228">
        <v>43.4</v>
      </c>
      <c r="DC166" s="228">
        <v>-0.81</v>
      </c>
      <c r="DD166" s="228">
        <v>-0.81</v>
      </c>
      <c r="DE166" s="228">
        <v>43.26</v>
      </c>
      <c r="DF166" s="228">
        <v>43.35</v>
      </c>
      <c r="DG166" s="228">
        <v>-0.67</v>
      </c>
      <c r="DH166" s="228">
        <v>-0.09</v>
      </c>
      <c r="DI166" s="228">
        <v>42.88</v>
      </c>
      <c r="DJ166" s="228">
        <v>44.34</v>
      </c>
      <c r="DK166" s="228">
        <v>-1.46</v>
      </c>
      <c r="DL166" s="228">
        <v>-1.46</v>
      </c>
      <c r="DM166" s="228">
        <v>42.22</v>
      </c>
      <c r="DN166" s="228">
        <v>42.13</v>
      </c>
      <c r="DO166" s="228">
        <v>0.09</v>
      </c>
      <c r="DP166" s="228">
        <v>0.09</v>
      </c>
      <c r="DQ166" s="228">
        <v>1.07</v>
      </c>
      <c r="DR166" s="228">
        <v>1.19</v>
      </c>
      <c r="DS166" s="228">
        <v>-0.12</v>
      </c>
      <c r="DT166" s="229">
        <v>-0.1008</v>
      </c>
      <c r="DU166" s="228">
        <v>160</v>
      </c>
      <c r="DV166" s="228">
        <v>155</v>
      </c>
      <c r="DW166" s="228">
        <v>0.77</v>
      </c>
      <c r="DX166" s="228">
        <v>0.86</v>
      </c>
      <c r="DY166" s="228">
        <v>-0.09</v>
      </c>
      <c r="DZ166" s="229">
        <v>-0.1047</v>
      </c>
      <c r="EA166" s="229">
        <v>6.3299999999999995E-2</v>
      </c>
      <c r="EB166" s="230">
        <v>22383375</v>
      </c>
      <c r="EC166" s="229">
        <v>5.1000000000000004E-3</v>
      </c>
      <c r="ED166" s="229">
        <v>6.3299999999999995E-2</v>
      </c>
      <c r="EE166" s="228">
        <v>0.35</v>
      </c>
      <c r="EF166" s="229">
        <v>2.3E-3</v>
      </c>
      <c r="EG166" s="230">
        <v>1257519</v>
      </c>
      <c r="EH166" s="230">
        <v>2151828</v>
      </c>
      <c r="EI166" s="229">
        <v>-0.41560000000000002</v>
      </c>
      <c r="EJ166" s="229">
        <v>0.34449999999999997</v>
      </c>
      <c r="EK166" s="228">
        <v>208.68</v>
      </c>
      <c r="EL166" s="228">
        <v>146.75</v>
      </c>
      <c r="EM166" s="228">
        <v>138.74</v>
      </c>
      <c r="EN166" s="228">
        <v>86.82</v>
      </c>
      <c r="EO166" s="228">
        <v>494.17</v>
      </c>
      <c r="EP166" s="228">
        <v>583.33000000000004</v>
      </c>
      <c r="EQ166" s="228">
        <v>-89.16</v>
      </c>
      <c r="ER166" s="229">
        <v>-0.15279999999999999</v>
      </c>
      <c r="ES166" s="228">
        <v>106.48</v>
      </c>
      <c r="ET166" s="228">
        <v>107.76</v>
      </c>
      <c r="EU166" s="228">
        <v>359.4</v>
      </c>
      <c r="EV166" s="231">
        <v>107697729</v>
      </c>
      <c r="EW166" s="228">
        <v>573.64</v>
      </c>
      <c r="EX166" s="228">
        <v>431.98</v>
      </c>
      <c r="EY166" s="228">
        <v>141.66</v>
      </c>
      <c r="EZ166" s="229">
        <v>0.32790000000000002</v>
      </c>
      <c r="FA166" s="229">
        <v>0.3422</v>
      </c>
      <c r="FB166" s="227" t="s">
        <v>555</v>
      </c>
      <c r="FC166">
        <f t="shared" si="3"/>
        <v>0</v>
      </c>
    </row>
    <row r="167" spans="1:159" ht="17.25" thickBot="1" x14ac:dyDescent="0.3">
      <c r="A167" s="226">
        <v>46050</v>
      </c>
      <c r="B167" s="227" t="s">
        <v>184</v>
      </c>
      <c r="C167" s="227" t="s">
        <v>689</v>
      </c>
      <c r="D167" s="228">
        <v>575</v>
      </c>
      <c r="E167" s="228">
        <v>27</v>
      </c>
      <c r="F167" s="228">
        <v>719.2</v>
      </c>
      <c r="G167" s="228">
        <v>710.7</v>
      </c>
      <c r="H167" s="228">
        <v>8.5</v>
      </c>
      <c r="I167" s="229">
        <v>1.2E-2</v>
      </c>
      <c r="J167" s="228">
        <v>715.05</v>
      </c>
      <c r="K167" s="228">
        <v>707.6</v>
      </c>
      <c r="L167" s="228">
        <v>7.45</v>
      </c>
      <c r="M167" s="229">
        <v>1.0500000000000001E-2</v>
      </c>
      <c r="N167" s="228">
        <v>719.2</v>
      </c>
      <c r="O167" s="228">
        <v>706.8</v>
      </c>
      <c r="P167" s="228">
        <v>12.4</v>
      </c>
      <c r="Q167" s="229">
        <v>1.7500000000000002E-2</v>
      </c>
      <c r="R167" s="228">
        <v>720.15</v>
      </c>
      <c r="S167" s="228">
        <v>710.7</v>
      </c>
      <c r="T167" s="228">
        <v>9.4499999999999993</v>
      </c>
      <c r="U167" s="229">
        <v>1.3299999999999999E-2</v>
      </c>
      <c r="V167" s="228">
        <v>710</v>
      </c>
      <c r="W167" s="228">
        <v>711.85</v>
      </c>
      <c r="X167" s="228">
        <v>-1.85</v>
      </c>
      <c r="Y167" s="229">
        <v>-2.5999999999999999E-3</v>
      </c>
      <c r="Z167" s="228">
        <v>4.1500000000000004</v>
      </c>
      <c r="AA167" s="228">
        <v>3.1</v>
      </c>
      <c r="AB167" s="228">
        <v>1.05</v>
      </c>
      <c r="AC167" s="229">
        <v>5.7999999999999996E-3</v>
      </c>
      <c r="AD167" s="228">
        <v>4.1500000000000004</v>
      </c>
      <c r="AE167" s="228">
        <v>-0.8</v>
      </c>
      <c r="AF167" s="228">
        <v>4.95</v>
      </c>
      <c r="AG167" s="229">
        <v>5.7999999999999996E-3</v>
      </c>
      <c r="AH167" s="228">
        <v>5.0999999999999996</v>
      </c>
      <c r="AI167" s="228">
        <v>3.1</v>
      </c>
      <c r="AJ167" s="228">
        <v>2</v>
      </c>
      <c r="AK167" s="229">
        <v>7.1000000000000004E-3</v>
      </c>
      <c r="AL167" s="228">
        <v>-5.05</v>
      </c>
      <c r="AM167" s="228">
        <v>4.25</v>
      </c>
      <c r="AN167" s="228">
        <v>-9.3000000000000007</v>
      </c>
      <c r="AO167" s="229">
        <v>-7.1000000000000004E-3</v>
      </c>
      <c r="AP167" s="228">
        <v>712.28</v>
      </c>
      <c r="AQ167" s="228">
        <v>712.11</v>
      </c>
      <c r="AR167" s="228">
        <v>0</v>
      </c>
      <c r="AS167" s="228">
        <v>125</v>
      </c>
      <c r="AT167" s="228">
        <v>487</v>
      </c>
      <c r="AU167" s="228">
        <v>-362</v>
      </c>
      <c r="AV167" s="229">
        <v>-0.74380000000000002</v>
      </c>
      <c r="AW167" s="228">
        <v>120</v>
      </c>
      <c r="AX167" s="228">
        <v>197</v>
      </c>
      <c r="AY167" s="228">
        <v>-77</v>
      </c>
      <c r="AZ167" s="229">
        <v>-0.3896</v>
      </c>
      <c r="BA167" s="228">
        <v>4</v>
      </c>
      <c r="BB167" s="228">
        <v>286</v>
      </c>
      <c r="BC167" s="228">
        <v>-282</v>
      </c>
      <c r="BD167" s="229">
        <v>-0.98470000000000002</v>
      </c>
      <c r="BE167" s="228">
        <v>0</v>
      </c>
      <c r="BF167" s="228">
        <v>4</v>
      </c>
      <c r="BG167" s="228">
        <v>-3</v>
      </c>
      <c r="BH167" s="229">
        <v>-0.94120000000000004</v>
      </c>
      <c r="BI167" s="228">
        <v>98</v>
      </c>
      <c r="BJ167" s="228">
        <v>684</v>
      </c>
      <c r="BK167" s="228">
        <v>-586</v>
      </c>
      <c r="BL167" s="229">
        <v>-0.85719999999999996</v>
      </c>
      <c r="BM167" s="228">
        <v>33</v>
      </c>
      <c r="BN167" s="228">
        <v>257</v>
      </c>
      <c r="BO167" s="228">
        <v>-223</v>
      </c>
      <c r="BP167" s="229">
        <v>-0.86960000000000004</v>
      </c>
      <c r="BQ167" s="228">
        <v>256</v>
      </c>
      <c r="BR167" s="230">
        <v>1427</v>
      </c>
      <c r="BS167" s="230">
        <v>-1171</v>
      </c>
      <c r="BT167" s="229">
        <v>-0.82079999999999997</v>
      </c>
      <c r="BU167" s="230">
        <v>1492524</v>
      </c>
      <c r="BV167" s="230">
        <v>4371219</v>
      </c>
      <c r="BW167" s="230">
        <v>-2878695</v>
      </c>
      <c r="BX167" s="229">
        <v>-0.65859999999999996</v>
      </c>
      <c r="BY167" s="228">
        <v>392</v>
      </c>
      <c r="BZ167" s="228">
        <v>393</v>
      </c>
      <c r="CA167" s="228">
        <v>-1</v>
      </c>
      <c r="CB167" s="229">
        <v>-3.5000000000000001E-3</v>
      </c>
      <c r="CC167" s="228">
        <v>378</v>
      </c>
      <c r="CD167" s="228">
        <v>17</v>
      </c>
      <c r="CE167" s="228">
        <v>361</v>
      </c>
      <c r="CF167" s="229">
        <v>21.5457</v>
      </c>
      <c r="CG167" s="228">
        <v>14</v>
      </c>
      <c r="CH167" s="228">
        <v>380</v>
      </c>
      <c r="CI167" s="228">
        <v>-366</v>
      </c>
      <c r="CJ167" s="229">
        <v>-0.9637</v>
      </c>
      <c r="CK167" s="228">
        <v>0</v>
      </c>
      <c r="CL167" s="228">
        <v>13</v>
      </c>
      <c r="CM167" s="228">
        <v>-13</v>
      </c>
      <c r="CN167" s="229">
        <v>-0.9839</v>
      </c>
      <c r="CO167" s="228">
        <v>93</v>
      </c>
      <c r="CP167" s="228">
        <v>88</v>
      </c>
      <c r="CQ167" s="228">
        <v>5</v>
      </c>
      <c r="CR167" s="229">
        <v>5.4399999999999997E-2</v>
      </c>
      <c r="CS167" s="228">
        <v>56</v>
      </c>
      <c r="CT167" s="228">
        <v>50</v>
      </c>
      <c r="CU167" s="228">
        <v>6</v>
      </c>
      <c r="CV167" s="229">
        <v>0.114</v>
      </c>
      <c r="CW167" s="228">
        <v>540</v>
      </c>
      <c r="CX167" s="228">
        <v>531</v>
      </c>
      <c r="CY167" s="228">
        <v>9</v>
      </c>
      <c r="CZ167" s="229">
        <v>1.72E-2</v>
      </c>
      <c r="DA167" s="228">
        <v>45.19</v>
      </c>
      <c r="DB167" s="228">
        <v>46.07</v>
      </c>
      <c r="DC167" s="228">
        <v>-0.88</v>
      </c>
      <c r="DD167" s="228">
        <v>-0.88</v>
      </c>
      <c r="DE167" s="228">
        <v>47.25</v>
      </c>
      <c r="DF167" s="228">
        <v>47.34</v>
      </c>
      <c r="DG167" s="228">
        <v>-2.06</v>
      </c>
      <c r="DH167" s="228">
        <v>-0.09</v>
      </c>
      <c r="DI167" s="228">
        <v>44.43</v>
      </c>
      <c r="DJ167" s="228">
        <v>45.92</v>
      </c>
      <c r="DK167" s="228">
        <v>-1.49</v>
      </c>
      <c r="DL167" s="228">
        <v>-1.49</v>
      </c>
      <c r="DM167" s="228">
        <v>47.38</v>
      </c>
      <c r="DN167" s="228">
        <v>46.42</v>
      </c>
      <c r="DO167" s="228">
        <v>0.96</v>
      </c>
      <c r="DP167" s="228">
        <v>0.96</v>
      </c>
      <c r="DQ167" s="228">
        <v>0.6</v>
      </c>
      <c r="DR167" s="228">
        <v>0.56999999999999995</v>
      </c>
      <c r="DS167" s="228">
        <v>0.03</v>
      </c>
      <c r="DT167" s="229">
        <v>5.2600000000000001E-2</v>
      </c>
      <c r="DU167" s="228">
        <v>750</v>
      </c>
      <c r="DV167" s="228">
        <v>700</v>
      </c>
      <c r="DW167" s="228">
        <v>0.34</v>
      </c>
      <c r="DX167" s="228">
        <v>0.38</v>
      </c>
      <c r="DY167" s="228">
        <v>-0.04</v>
      </c>
      <c r="DZ167" s="229">
        <v>-0.1053</v>
      </c>
      <c r="EA167" s="229">
        <v>3.5799999999999998E-2</v>
      </c>
      <c r="EB167" s="230">
        <v>5464225</v>
      </c>
      <c r="EC167" s="229">
        <v>1.2999999999999999E-3</v>
      </c>
      <c r="ED167" s="229">
        <v>3.5799999999999998E-2</v>
      </c>
      <c r="EE167" s="228">
        <v>-0.17</v>
      </c>
      <c r="EF167" s="229">
        <v>-2.0000000000000001E-4</v>
      </c>
      <c r="EG167" s="230">
        <v>565933</v>
      </c>
      <c r="EH167" s="230">
        <v>1063815</v>
      </c>
      <c r="EI167" s="229">
        <v>-0.46800000000000003</v>
      </c>
      <c r="EJ167" s="229">
        <v>0.37919999999999998</v>
      </c>
      <c r="EK167" s="228">
        <v>105.1</v>
      </c>
      <c r="EL167" s="228">
        <v>32.65</v>
      </c>
      <c r="EM167" s="228">
        <v>123.44</v>
      </c>
      <c r="EN167" s="228">
        <v>134.65</v>
      </c>
      <c r="EO167" s="228">
        <v>261.19</v>
      </c>
      <c r="EP167" s="231">
        <v>1450.08</v>
      </c>
      <c r="EQ167" s="231">
        <v>-1188.8900000000001</v>
      </c>
      <c r="ER167" s="229">
        <v>-0.81989999999999996</v>
      </c>
      <c r="ES167" s="228">
        <v>98.53</v>
      </c>
      <c r="ET167" s="228">
        <v>53.87</v>
      </c>
      <c r="EU167" s="228">
        <v>391.64</v>
      </c>
      <c r="EV167" s="231">
        <v>23923093</v>
      </c>
      <c r="EW167" s="228">
        <v>544.03</v>
      </c>
      <c r="EX167" s="228">
        <v>530.26</v>
      </c>
      <c r="EY167" s="228">
        <v>13.77</v>
      </c>
      <c r="EZ167" s="229">
        <v>2.5999999999999999E-2</v>
      </c>
      <c r="FA167" s="229">
        <v>0.31409999999999999</v>
      </c>
      <c r="FB167" s="227" t="s">
        <v>556</v>
      </c>
      <c r="FC167">
        <f t="shared" si="3"/>
        <v>0</v>
      </c>
    </row>
    <row r="168" spans="1:159" ht="17.25" thickBot="1" x14ac:dyDescent="0.3">
      <c r="A168" s="226">
        <v>46050</v>
      </c>
      <c r="B168" s="227" t="s">
        <v>206</v>
      </c>
      <c r="C168" s="227" t="s">
        <v>605</v>
      </c>
      <c r="D168" s="228">
        <v>450</v>
      </c>
      <c r="E168" s="228">
        <v>27</v>
      </c>
      <c r="F168" s="231">
        <v>1430.4</v>
      </c>
      <c r="G168" s="231">
        <v>1400</v>
      </c>
      <c r="H168" s="228">
        <v>30.4</v>
      </c>
      <c r="I168" s="229">
        <v>2.1700000000000001E-2</v>
      </c>
      <c r="J168" s="231">
        <v>1422</v>
      </c>
      <c r="K168" s="231">
        <v>1392</v>
      </c>
      <c r="L168" s="228">
        <v>30</v>
      </c>
      <c r="M168" s="229">
        <v>2.1600000000000001E-2</v>
      </c>
      <c r="N168" s="231">
        <v>1430.4</v>
      </c>
      <c r="O168" s="231">
        <v>1392.2</v>
      </c>
      <c r="P168" s="228">
        <v>38.200000000000003</v>
      </c>
      <c r="Q168" s="229">
        <v>2.7400000000000001E-2</v>
      </c>
      <c r="R168" s="231">
        <v>1442</v>
      </c>
      <c r="S168" s="231">
        <v>1400</v>
      </c>
      <c r="T168" s="228">
        <v>42</v>
      </c>
      <c r="U168" s="229">
        <v>0.03</v>
      </c>
      <c r="V168" s="231">
        <v>1457.4</v>
      </c>
      <c r="W168" s="231">
        <v>1409.1</v>
      </c>
      <c r="X168" s="228">
        <v>48.3</v>
      </c>
      <c r="Y168" s="229">
        <v>3.4299999999999997E-2</v>
      </c>
      <c r="Z168" s="228">
        <v>8.4</v>
      </c>
      <c r="AA168" s="228">
        <v>8</v>
      </c>
      <c r="AB168" s="228">
        <v>0.4</v>
      </c>
      <c r="AC168" s="229">
        <v>5.8999999999999999E-3</v>
      </c>
      <c r="AD168" s="228">
        <v>8.4</v>
      </c>
      <c r="AE168" s="228">
        <v>0.2</v>
      </c>
      <c r="AF168" s="228">
        <v>8.1999999999999993</v>
      </c>
      <c r="AG168" s="229">
        <v>5.8999999999999999E-3</v>
      </c>
      <c r="AH168" s="228">
        <v>20</v>
      </c>
      <c r="AI168" s="228">
        <v>8</v>
      </c>
      <c r="AJ168" s="228">
        <v>12</v>
      </c>
      <c r="AK168" s="229">
        <v>1.41E-2</v>
      </c>
      <c r="AL168" s="228">
        <v>35.4</v>
      </c>
      <c r="AM168" s="228">
        <v>17.100000000000001</v>
      </c>
      <c r="AN168" s="228">
        <v>18.3</v>
      </c>
      <c r="AO168" s="229">
        <v>2.4899999999999999E-2</v>
      </c>
      <c r="AP168" s="231">
        <v>1427.85</v>
      </c>
      <c r="AQ168" s="231">
        <v>1437.82</v>
      </c>
      <c r="AR168" s="228">
        <v>0</v>
      </c>
      <c r="AS168" s="228">
        <v>153</v>
      </c>
      <c r="AT168" s="228">
        <v>507</v>
      </c>
      <c r="AU168" s="228">
        <v>-354</v>
      </c>
      <c r="AV168" s="229">
        <v>-0.69850000000000001</v>
      </c>
      <c r="AW168" s="228">
        <v>150</v>
      </c>
      <c r="AX168" s="228">
        <v>204</v>
      </c>
      <c r="AY168" s="228">
        <v>-55</v>
      </c>
      <c r="AZ168" s="229">
        <v>-0.26790000000000003</v>
      </c>
      <c r="BA168" s="228">
        <v>3</v>
      </c>
      <c r="BB168" s="228">
        <v>301</v>
      </c>
      <c r="BC168" s="228">
        <v>-298</v>
      </c>
      <c r="BD168" s="229">
        <v>-0.98909999999999998</v>
      </c>
      <c r="BE168" s="228">
        <v>0</v>
      </c>
      <c r="BF168" s="228">
        <v>2</v>
      </c>
      <c r="BG168" s="228">
        <v>-2</v>
      </c>
      <c r="BH168" s="229">
        <v>-0.96150000000000002</v>
      </c>
      <c r="BI168" s="228">
        <v>128</v>
      </c>
      <c r="BJ168" s="228">
        <v>266</v>
      </c>
      <c r="BK168" s="228">
        <v>-138</v>
      </c>
      <c r="BL168" s="229">
        <v>-0.51790000000000003</v>
      </c>
      <c r="BM168" s="228">
        <v>63</v>
      </c>
      <c r="BN168" s="228">
        <v>352</v>
      </c>
      <c r="BO168" s="228">
        <v>-289</v>
      </c>
      <c r="BP168" s="229">
        <v>-0.82110000000000005</v>
      </c>
      <c r="BQ168" s="228">
        <v>344</v>
      </c>
      <c r="BR168" s="230">
        <v>1125</v>
      </c>
      <c r="BS168" s="228">
        <v>-781</v>
      </c>
      <c r="BT168" s="229">
        <v>-0.69410000000000005</v>
      </c>
      <c r="BU168" s="230">
        <v>779888</v>
      </c>
      <c r="BV168" s="230">
        <v>2087378</v>
      </c>
      <c r="BW168" s="230">
        <v>-1307490</v>
      </c>
      <c r="BX168" s="229">
        <v>-0.62639999999999996</v>
      </c>
      <c r="BY168" s="228">
        <v>596</v>
      </c>
      <c r="BZ168" s="228">
        <v>604</v>
      </c>
      <c r="CA168" s="228">
        <v>-7</v>
      </c>
      <c r="CB168" s="229">
        <v>-1.18E-2</v>
      </c>
      <c r="CC168" s="228">
        <v>591</v>
      </c>
      <c r="CD168" s="228">
        <v>22</v>
      </c>
      <c r="CE168" s="228">
        <v>568</v>
      </c>
      <c r="CF168" s="229">
        <v>25.523099999999999</v>
      </c>
      <c r="CG168" s="228">
        <v>6</v>
      </c>
      <c r="CH168" s="228">
        <v>599</v>
      </c>
      <c r="CI168" s="228">
        <v>-593</v>
      </c>
      <c r="CJ168" s="229">
        <v>-0.99039999999999995</v>
      </c>
      <c r="CK168" s="228">
        <v>0</v>
      </c>
      <c r="CL168" s="228">
        <v>5</v>
      </c>
      <c r="CM168" s="228">
        <v>-5</v>
      </c>
      <c r="CN168" s="229">
        <v>-0.98650000000000004</v>
      </c>
      <c r="CO168" s="228">
        <v>65</v>
      </c>
      <c r="CP168" s="228">
        <v>41</v>
      </c>
      <c r="CQ168" s="228">
        <v>24</v>
      </c>
      <c r="CR168" s="229">
        <v>0.58430000000000004</v>
      </c>
      <c r="CS168" s="228">
        <v>51</v>
      </c>
      <c r="CT168" s="228">
        <v>46</v>
      </c>
      <c r="CU168" s="228">
        <v>5</v>
      </c>
      <c r="CV168" s="229">
        <v>0.11799999999999999</v>
      </c>
      <c r="CW168" s="228">
        <v>712</v>
      </c>
      <c r="CX168" s="228">
        <v>690</v>
      </c>
      <c r="CY168" s="228">
        <v>22</v>
      </c>
      <c r="CZ168" s="229">
        <v>3.2099999999999997E-2</v>
      </c>
      <c r="DA168" s="228">
        <v>39.049999999999997</v>
      </c>
      <c r="DB168" s="228">
        <v>45.03</v>
      </c>
      <c r="DC168" s="228">
        <v>-5.98</v>
      </c>
      <c r="DD168" s="228">
        <v>-5.98</v>
      </c>
      <c r="DE168" s="228">
        <v>43.79</v>
      </c>
      <c r="DF168" s="228">
        <v>43.81</v>
      </c>
      <c r="DG168" s="228">
        <v>-4.74</v>
      </c>
      <c r="DH168" s="228">
        <v>-0.02</v>
      </c>
      <c r="DI168" s="228">
        <v>38.35</v>
      </c>
      <c r="DJ168" s="228">
        <v>39.74</v>
      </c>
      <c r="DK168" s="228">
        <v>-1.39</v>
      </c>
      <c r="DL168" s="228">
        <v>-1.39</v>
      </c>
      <c r="DM168" s="228">
        <v>40.46</v>
      </c>
      <c r="DN168" s="228">
        <v>47.98</v>
      </c>
      <c r="DO168" s="228">
        <v>-7.52</v>
      </c>
      <c r="DP168" s="228">
        <v>-7.52</v>
      </c>
      <c r="DQ168" s="228">
        <v>0.79</v>
      </c>
      <c r="DR168" s="228">
        <v>1.1200000000000001</v>
      </c>
      <c r="DS168" s="228">
        <v>-0.33</v>
      </c>
      <c r="DT168" s="229">
        <v>-0.29459999999999997</v>
      </c>
      <c r="DU168" s="231">
        <v>1500</v>
      </c>
      <c r="DV168" s="231">
        <v>1360</v>
      </c>
      <c r="DW168" s="228">
        <v>0.49</v>
      </c>
      <c r="DX168" s="228">
        <v>1.32</v>
      </c>
      <c r="DY168" s="228">
        <v>-0.83</v>
      </c>
      <c r="DZ168" s="229">
        <v>-0.62880000000000003</v>
      </c>
      <c r="EA168" s="229">
        <v>9.7000000000000003E-3</v>
      </c>
      <c r="EB168" s="230">
        <v>4220100</v>
      </c>
      <c r="EC168" s="229">
        <v>8.0999999999999996E-3</v>
      </c>
      <c r="ED168" s="229">
        <v>9.7000000000000003E-3</v>
      </c>
      <c r="EE168" s="228">
        <v>9.9700000000000006</v>
      </c>
      <c r="EF168" s="229">
        <v>7.0000000000000001E-3</v>
      </c>
      <c r="EG168" s="230">
        <v>374872</v>
      </c>
      <c r="EH168" s="230">
        <v>1153502</v>
      </c>
      <c r="EI168" s="229">
        <v>-0.67500000000000004</v>
      </c>
      <c r="EJ168" s="229">
        <v>0.48070000000000002</v>
      </c>
      <c r="EK168" s="228">
        <v>137.1</v>
      </c>
      <c r="EL168" s="228">
        <v>60.5</v>
      </c>
      <c r="EM168" s="228">
        <v>152.75</v>
      </c>
      <c r="EN168" s="228">
        <v>85.44</v>
      </c>
      <c r="EO168" s="228">
        <v>350.36</v>
      </c>
      <c r="EP168" s="231">
        <v>1106.81</v>
      </c>
      <c r="EQ168" s="228">
        <v>-756.45</v>
      </c>
      <c r="ER168" s="229">
        <v>-0.6835</v>
      </c>
      <c r="ES168" s="228">
        <v>69.959999999999994</v>
      </c>
      <c r="ET168" s="228">
        <v>50.11</v>
      </c>
      <c r="EU168" s="228">
        <v>596.54999999999995</v>
      </c>
      <c r="EV168" s="231">
        <v>22697169</v>
      </c>
      <c r="EW168" s="228">
        <v>716.62</v>
      </c>
      <c r="EX168" s="228">
        <v>679.95</v>
      </c>
      <c r="EY168" s="228">
        <v>36.67</v>
      </c>
      <c r="EZ168" s="229">
        <v>5.3900000000000003E-2</v>
      </c>
      <c r="FA168" s="229">
        <v>0.2195</v>
      </c>
      <c r="FB168" s="227" t="s">
        <v>556</v>
      </c>
      <c r="FC168">
        <f t="shared" si="3"/>
        <v>0</v>
      </c>
    </row>
    <row r="169" spans="1:159" ht="17.25" thickBot="1" x14ac:dyDescent="0.3">
      <c r="A169" s="226">
        <v>46050</v>
      </c>
      <c r="B169" s="227" t="s">
        <v>172</v>
      </c>
      <c r="C169" s="227" t="s">
        <v>279</v>
      </c>
      <c r="D169" s="228">
        <v>3175</v>
      </c>
      <c r="E169" s="228">
        <v>27</v>
      </c>
      <c r="F169" s="228">
        <v>298.89999999999998</v>
      </c>
      <c r="G169" s="228">
        <v>297.2</v>
      </c>
      <c r="H169" s="228">
        <v>1.7</v>
      </c>
      <c r="I169" s="229">
        <v>5.7000000000000002E-3</v>
      </c>
      <c r="J169" s="228">
        <v>297.35000000000002</v>
      </c>
      <c r="K169" s="228">
        <v>295.35000000000002</v>
      </c>
      <c r="L169" s="228">
        <v>2</v>
      </c>
      <c r="M169" s="229">
        <v>6.7999999999999996E-3</v>
      </c>
      <c r="N169" s="228">
        <v>298.89999999999998</v>
      </c>
      <c r="O169" s="228">
        <v>295.89999999999998</v>
      </c>
      <c r="P169" s="228">
        <v>3</v>
      </c>
      <c r="Q169" s="229">
        <v>1.01E-2</v>
      </c>
      <c r="R169" s="228">
        <v>300.5</v>
      </c>
      <c r="S169" s="228">
        <v>297.2</v>
      </c>
      <c r="T169" s="228">
        <v>3.3</v>
      </c>
      <c r="U169" s="229">
        <v>1.11E-2</v>
      </c>
      <c r="V169" s="228">
        <v>301.7</v>
      </c>
      <c r="W169" s="228">
        <v>300.39999999999998</v>
      </c>
      <c r="X169" s="228">
        <v>1.3</v>
      </c>
      <c r="Y169" s="229">
        <v>4.3E-3</v>
      </c>
      <c r="Z169" s="228">
        <v>1.55</v>
      </c>
      <c r="AA169" s="228">
        <v>1.85</v>
      </c>
      <c r="AB169" s="228">
        <v>-0.3</v>
      </c>
      <c r="AC169" s="229">
        <v>5.1999999999999998E-3</v>
      </c>
      <c r="AD169" s="228">
        <v>1.55</v>
      </c>
      <c r="AE169" s="228">
        <v>0.55000000000000004</v>
      </c>
      <c r="AF169" s="228">
        <v>1</v>
      </c>
      <c r="AG169" s="229">
        <v>5.1999999999999998E-3</v>
      </c>
      <c r="AH169" s="228">
        <v>3.15</v>
      </c>
      <c r="AI169" s="228">
        <v>1.85</v>
      </c>
      <c r="AJ169" s="228">
        <v>1.3</v>
      </c>
      <c r="AK169" s="229">
        <v>1.06E-2</v>
      </c>
      <c r="AL169" s="228">
        <v>4.3499999999999996</v>
      </c>
      <c r="AM169" s="228">
        <v>5.05</v>
      </c>
      <c r="AN169" s="228">
        <v>-0.7</v>
      </c>
      <c r="AO169" s="229">
        <v>1.46E-2</v>
      </c>
      <c r="AP169" s="228">
        <v>297.77999999999997</v>
      </c>
      <c r="AQ169" s="228">
        <v>299.61</v>
      </c>
      <c r="AR169" s="228">
        <v>0</v>
      </c>
      <c r="AS169" s="228">
        <v>205</v>
      </c>
      <c r="AT169" s="230">
        <v>1731</v>
      </c>
      <c r="AU169" s="230">
        <v>-1526</v>
      </c>
      <c r="AV169" s="229">
        <v>-0.88160000000000005</v>
      </c>
      <c r="AW169" s="228">
        <v>198</v>
      </c>
      <c r="AX169" s="228">
        <v>723</v>
      </c>
      <c r="AY169" s="228">
        <v>-525</v>
      </c>
      <c r="AZ169" s="229">
        <v>-0.72589999999999999</v>
      </c>
      <c r="BA169" s="228">
        <v>5</v>
      </c>
      <c r="BB169" s="230">
        <v>1001</v>
      </c>
      <c r="BC169" s="228">
        <v>-997</v>
      </c>
      <c r="BD169" s="229">
        <v>-0.99550000000000005</v>
      </c>
      <c r="BE169" s="228">
        <v>2</v>
      </c>
      <c r="BF169" s="228">
        <v>6</v>
      </c>
      <c r="BG169" s="228">
        <v>-4</v>
      </c>
      <c r="BH169" s="229">
        <v>-0.6462</v>
      </c>
      <c r="BI169" s="228">
        <v>442</v>
      </c>
      <c r="BJ169" s="228">
        <v>792</v>
      </c>
      <c r="BK169" s="228">
        <v>-350</v>
      </c>
      <c r="BL169" s="229">
        <v>-0.44159999999999999</v>
      </c>
      <c r="BM169" s="228">
        <v>204</v>
      </c>
      <c r="BN169" s="228">
        <v>634</v>
      </c>
      <c r="BO169" s="228">
        <v>-431</v>
      </c>
      <c r="BP169" s="229">
        <v>-0.67869999999999997</v>
      </c>
      <c r="BQ169" s="228">
        <v>851</v>
      </c>
      <c r="BR169" s="230">
        <v>3157</v>
      </c>
      <c r="BS169" s="230">
        <v>-2306</v>
      </c>
      <c r="BT169" s="229">
        <v>-0.73040000000000005</v>
      </c>
      <c r="BU169" s="230">
        <v>3551175</v>
      </c>
      <c r="BV169" s="230">
        <v>5256935</v>
      </c>
      <c r="BW169" s="230">
        <v>-1705760</v>
      </c>
      <c r="BX169" s="229">
        <v>-0.32450000000000001</v>
      </c>
      <c r="BY169" s="230">
        <v>2327</v>
      </c>
      <c r="BZ169" s="230">
        <v>2342</v>
      </c>
      <c r="CA169" s="228">
        <v>-15</v>
      </c>
      <c r="CB169" s="229">
        <v>-6.1999999999999998E-3</v>
      </c>
      <c r="CC169" s="230">
        <v>2314</v>
      </c>
      <c r="CD169" s="228">
        <v>104</v>
      </c>
      <c r="CE169" s="230">
        <v>2209</v>
      </c>
      <c r="CF169" s="229">
        <v>21.165500000000002</v>
      </c>
      <c r="CG169" s="228">
        <v>12</v>
      </c>
      <c r="CH169" s="230">
        <v>2331</v>
      </c>
      <c r="CI169" s="230">
        <v>-2319</v>
      </c>
      <c r="CJ169" s="229">
        <v>-0.995</v>
      </c>
      <c r="CK169" s="228">
        <v>2</v>
      </c>
      <c r="CL169" s="228">
        <v>11</v>
      </c>
      <c r="CM169" s="228">
        <v>-9</v>
      </c>
      <c r="CN169" s="229">
        <v>-0.83189999999999997</v>
      </c>
      <c r="CO169" s="228">
        <v>611</v>
      </c>
      <c r="CP169" s="228">
        <v>504</v>
      </c>
      <c r="CQ169" s="228">
        <v>108</v>
      </c>
      <c r="CR169" s="229">
        <v>0.21360000000000001</v>
      </c>
      <c r="CS169" s="228">
        <v>405</v>
      </c>
      <c r="CT169" s="228">
        <v>373</v>
      </c>
      <c r="CU169" s="228">
        <v>32</v>
      </c>
      <c r="CV169" s="229">
        <v>8.5900000000000004E-2</v>
      </c>
      <c r="CW169" s="230">
        <v>3344</v>
      </c>
      <c r="CX169" s="230">
        <v>3219</v>
      </c>
      <c r="CY169" s="228">
        <v>125</v>
      </c>
      <c r="CZ169" s="229">
        <v>3.8899999999999997E-2</v>
      </c>
      <c r="DA169" s="228">
        <v>24.11</v>
      </c>
      <c r="DB169" s="228">
        <v>24.66</v>
      </c>
      <c r="DC169" s="228">
        <v>-0.55000000000000004</v>
      </c>
      <c r="DD169" s="228">
        <v>-0.55000000000000004</v>
      </c>
      <c r="DE169" s="228">
        <v>44.24</v>
      </c>
      <c r="DF169" s="228">
        <v>44.34</v>
      </c>
      <c r="DG169" s="228">
        <v>-20.13</v>
      </c>
      <c r="DH169" s="228">
        <v>-0.1</v>
      </c>
      <c r="DI169" s="228">
        <v>23.76</v>
      </c>
      <c r="DJ169" s="228">
        <v>23.75</v>
      </c>
      <c r="DK169" s="228">
        <v>0.01</v>
      </c>
      <c r="DL169" s="228">
        <v>0.01</v>
      </c>
      <c r="DM169" s="228">
        <v>24.85</v>
      </c>
      <c r="DN169" s="228">
        <v>25.99</v>
      </c>
      <c r="DO169" s="228">
        <v>-1.1399999999999999</v>
      </c>
      <c r="DP169" s="228">
        <v>-1.1399999999999999</v>
      </c>
      <c r="DQ169" s="228">
        <v>0.66</v>
      </c>
      <c r="DR169" s="228">
        <v>0.74</v>
      </c>
      <c r="DS169" s="228">
        <v>-0.08</v>
      </c>
      <c r="DT169" s="229">
        <v>-0.1081</v>
      </c>
      <c r="DU169" s="228">
        <v>300</v>
      </c>
      <c r="DV169" s="228">
        <v>280</v>
      </c>
      <c r="DW169" s="228">
        <v>0.46</v>
      </c>
      <c r="DX169" s="228">
        <v>0.8</v>
      </c>
      <c r="DY169" s="228">
        <v>-0.34</v>
      </c>
      <c r="DZ169" s="229">
        <v>-0.42499999999999999</v>
      </c>
      <c r="EA169" s="229">
        <v>5.7999999999999996E-3</v>
      </c>
      <c r="EB169" s="230">
        <v>78349475</v>
      </c>
      <c r="EC169" s="229">
        <v>5.4000000000000003E-3</v>
      </c>
      <c r="ED169" s="229">
        <v>5.7999999999999996E-3</v>
      </c>
      <c r="EE169" s="228">
        <v>1.83</v>
      </c>
      <c r="EF169" s="229">
        <v>6.1000000000000004E-3</v>
      </c>
      <c r="EG169" s="230">
        <v>1656672</v>
      </c>
      <c r="EH169" s="230">
        <v>1667966</v>
      </c>
      <c r="EI169" s="229">
        <v>-6.7999999999999996E-3</v>
      </c>
      <c r="EJ169" s="229">
        <v>0.46650000000000003</v>
      </c>
      <c r="EK169" s="228">
        <v>460.59</v>
      </c>
      <c r="EL169" s="228">
        <v>198.53</v>
      </c>
      <c r="EM169" s="228">
        <v>204.27</v>
      </c>
      <c r="EN169" s="228">
        <v>175.68</v>
      </c>
      <c r="EO169" s="228">
        <v>863.4</v>
      </c>
      <c r="EP169" s="231">
        <v>3140.06</v>
      </c>
      <c r="EQ169" s="231">
        <v>-2276.66</v>
      </c>
      <c r="ER169" s="229">
        <v>-0.72499999999999998</v>
      </c>
      <c r="ES169" s="228">
        <v>633.73</v>
      </c>
      <c r="ET169" s="228">
        <v>390.1</v>
      </c>
      <c r="EU169" s="231">
        <v>2327.4299999999998</v>
      </c>
      <c r="EV169" s="231">
        <v>91953095</v>
      </c>
      <c r="EW169" s="231">
        <v>3351.25</v>
      </c>
      <c r="EX169" s="231">
        <v>3211.7</v>
      </c>
      <c r="EY169" s="228">
        <v>139.55000000000001</v>
      </c>
      <c r="EZ169" s="229">
        <v>4.3499999999999997E-2</v>
      </c>
      <c r="FA169" s="229">
        <v>1.2166999999999999</v>
      </c>
      <c r="FB169" s="227" t="s">
        <v>556</v>
      </c>
      <c r="FC169">
        <f t="shared" si="3"/>
        <v>0</v>
      </c>
    </row>
    <row r="170" spans="1:159" ht="17.25" thickBot="1" x14ac:dyDescent="0.3">
      <c r="A170" s="226">
        <v>46050</v>
      </c>
      <c r="B170" s="227" t="s">
        <v>175</v>
      </c>
      <c r="C170" s="227" t="s">
        <v>280</v>
      </c>
      <c r="D170" s="228">
        <v>1400</v>
      </c>
      <c r="E170" s="228">
        <v>27</v>
      </c>
      <c r="F170" s="228">
        <v>375.95</v>
      </c>
      <c r="G170" s="228">
        <v>361.75</v>
      </c>
      <c r="H170" s="228">
        <v>14.2</v>
      </c>
      <c r="I170" s="229">
        <v>3.9300000000000002E-2</v>
      </c>
      <c r="J170" s="228">
        <v>377.5</v>
      </c>
      <c r="K170" s="228">
        <v>363.95</v>
      </c>
      <c r="L170" s="228">
        <v>13.55</v>
      </c>
      <c r="M170" s="229">
        <v>3.7199999999999997E-2</v>
      </c>
      <c r="N170" s="228">
        <v>375.95</v>
      </c>
      <c r="O170" s="228">
        <v>363.55</v>
      </c>
      <c r="P170" s="228">
        <v>12.4</v>
      </c>
      <c r="Q170" s="229">
        <v>3.4099999999999998E-2</v>
      </c>
      <c r="R170" s="228">
        <v>376.8</v>
      </c>
      <c r="S170" s="228">
        <v>361.75</v>
      </c>
      <c r="T170" s="228">
        <v>15.05</v>
      </c>
      <c r="U170" s="229">
        <v>4.1599999999999998E-2</v>
      </c>
      <c r="V170" s="228">
        <v>378.85</v>
      </c>
      <c r="W170" s="228">
        <v>363.65</v>
      </c>
      <c r="X170" s="228">
        <v>15.2</v>
      </c>
      <c r="Y170" s="229">
        <v>4.1799999999999997E-2</v>
      </c>
      <c r="Z170" s="228">
        <v>-1.55</v>
      </c>
      <c r="AA170" s="228">
        <v>-2.2000000000000002</v>
      </c>
      <c r="AB170" s="228">
        <v>0.65</v>
      </c>
      <c r="AC170" s="229">
        <v>-4.1000000000000003E-3</v>
      </c>
      <c r="AD170" s="228">
        <v>-1.55</v>
      </c>
      <c r="AE170" s="228">
        <v>-0.4</v>
      </c>
      <c r="AF170" s="228">
        <v>-1.1499999999999999</v>
      </c>
      <c r="AG170" s="229">
        <v>-4.1000000000000003E-3</v>
      </c>
      <c r="AH170" s="228">
        <v>-0.7</v>
      </c>
      <c r="AI170" s="228">
        <v>-2.2000000000000002</v>
      </c>
      <c r="AJ170" s="228">
        <v>1.5</v>
      </c>
      <c r="AK170" s="229">
        <v>-1.9E-3</v>
      </c>
      <c r="AL170" s="228">
        <v>1.35</v>
      </c>
      <c r="AM170" s="228">
        <v>-0.3</v>
      </c>
      <c r="AN170" s="228">
        <v>1.65</v>
      </c>
      <c r="AO170" s="229">
        <v>3.5999999999999999E-3</v>
      </c>
      <c r="AP170" s="228">
        <v>370.31</v>
      </c>
      <c r="AQ170" s="228">
        <v>371.12</v>
      </c>
      <c r="AR170" s="228">
        <v>0</v>
      </c>
      <c r="AS170" s="228">
        <v>591</v>
      </c>
      <c r="AT170" s="230">
        <v>2190</v>
      </c>
      <c r="AU170" s="230">
        <v>-1600</v>
      </c>
      <c r="AV170" s="229">
        <v>-0.73029999999999995</v>
      </c>
      <c r="AW170" s="228">
        <v>554</v>
      </c>
      <c r="AX170" s="230">
        <v>1012</v>
      </c>
      <c r="AY170" s="228">
        <v>-457</v>
      </c>
      <c r="AZ170" s="229">
        <v>-0.4521</v>
      </c>
      <c r="BA170" s="228">
        <v>33</v>
      </c>
      <c r="BB170" s="230">
        <v>1126</v>
      </c>
      <c r="BC170" s="230">
        <v>-1093</v>
      </c>
      <c r="BD170" s="229">
        <v>-0.97030000000000005</v>
      </c>
      <c r="BE170" s="228">
        <v>3</v>
      </c>
      <c r="BF170" s="228">
        <v>53</v>
      </c>
      <c r="BG170" s="228">
        <v>-50</v>
      </c>
      <c r="BH170" s="229">
        <v>-0.94399999999999995</v>
      </c>
      <c r="BI170" s="230">
        <v>1542</v>
      </c>
      <c r="BJ170" s="230">
        <v>1214</v>
      </c>
      <c r="BK170" s="228">
        <v>327</v>
      </c>
      <c r="BL170" s="229">
        <v>0.2697</v>
      </c>
      <c r="BM170" s="228">
        <v>604</v>
      </c>
      <c r="BN170" s="230">
        <v>1310</v>
      </c>
      <c r="BO170" s="228">
        <v>-706</v>
      </c>
      <c r="BP170" s="229">
        <v>-0.53910000000000002</v>
      </c>
      <c r="BQ170" s="230">
        <v>2736</v>
      </c>
      <c r="BR170" s="230">
        <v>4714</v>
      </c>
      <c r="BS170" s="230">
        <v>-1978</v>
      </c>
      <c r="BT170" s="229">
        <v>-0.41959999999999997</v>
      </c>
      <c r="BU170" s="230">
        <v>7792436</v>
      </c>
      <c r="BV170" s="230">
        <v>8404441</v>
      </c>
      <c r="BW170" s="230">
        <v>-612005</v>
      </c>
      <c r="BX170" s="229">
        <v>-7.2800000000000004E-2</v>
      </c>
      <c r="BY170" s="230">
        <v>2928</v>
      </c>
      <c r="BZ170" s="230">
        <v>2906</v>
      </c>
      <c r="CA170" s="228">
        <v>23</v>
      </c>
      <c r="CB170" s="229">
        <v>7.7999999999999996E-3</v>
      </c>
      <c r="CC170" s="230">
        <v>2789</v>
      </c>
      <c r="CD170" s="228">
        <v>217</v>
      </c>
      <c r="CE170" s="230">
        <v>2571</v>
      </c>
      <c r="CF170" s="229">
        <v>11.8231</v>
      </c>
      <c r="CG170" s="228">
        <v>138</v>
      </c>
      <c r="CH170" s="230">
        <v>2765</v>
      </c>
      <c r="CI170" s="230">
        <v>-2627</v>
      </c>
      <c r="CJ170" s="229">
        <v>-0.95020000000000004</v>
      </c>
      <c r="CK170" s="228">
        <v>2</v>
      </c>
      <c r="CL170" s="228">
        <v>140</v>
      </c>
      <c r="CM170" s="228">
        <v>-138</v>
      </c>
      <c r="CN170" s="229">
        <v>-0.98760000000000003</v>
      </c>
      <c r="CO170" s="228">
        <v>814</v>
      </c>
      <c r="CP170" s="228">
        <v>691</v>
      </c>
      <c r="CQ170" s="228">
        <v>123</v>
      </c>
      <c r="CR170" s="229">
        <v>0.1777</v>
      </c>
      <c r="CS170" s="228">
        <v>702</v>
      </c>
      <c r="CT170" s="228">
        <v>690</v>
      </c>
      <c r="CU170" s="228">
        <v>12</v>
      </c>
      <c r="CV170" s="229">
        <v>1.8100000000000002E-2</v>
      </c>
      <c r="CW170" s="230">
        <v>4445</v>
      </c>
      <c r="CX170" s="230">
        <v>4286</v>
      </c>
      <c r="CY170" s="228">
        <v>158</v>
      </c>
      <c r="CZ170" s="229">
        <v>3.6900000000000002E-2</v>
      </c>
      <c r="DA170" s="228">
        <v>36.99</v>
      </c>
      <c r="DB170" s="228">
        <v>36.6</v>
      </c>
      <c r="DC170" s="228">
        <v>0.39</v>
      </c>
      <c r="DD170" s="228">
        <v>0.39</v>
      </c>
      <c r="DE170" s="228">
        <v>41.43</v>
      </c>
      <c r="DF170" s="228">
        <v>41.21</v>
      </c>
      <c r="DG170" s="228">
        <v>-4.4400000000000004</v>
      </c>
      <c r="DH170" s="228">
        <v>0.22</v>
      </c>
      <c r="DI170" s="228">
        <v>36.4</v>
      </c>
      <c r="DJ170" s="228">
        <v>36.020000000000003</v>
      </c>
      <c r="DK170" s="228">
        <v>0.38</v>
      </c>
      <c r="DL170" s="228">
        <v>0.38</v>
      </c>
      <c r="DM170" s="228">
        <v>38.479999999999997</v>
      </c>
      <c r="DN170" s="228">
        <v>37.19</v>
      </c>
      <c r="DO170" s="228">
        <v>1.29</v>
      </c>
      <c r="DP170" s="228">
        <v>1.29</v>
      </c>
      <c r="DQ170" s="228">
        <v>0.86</v>
      </c>
      <c r="DR170" s="228">
        <v>1</v>
      </c>
      <c r="DS170" s="228">
        <v>-0.14000000000000001</v>
      </c>
      <c r="DT170" s="229">
        <v>-0.14000000000000001</v>
      </c>
      <c r="DU170" s="228">
        <v>400</v>
      </c>
      <c r="DV170" s="228">
        <v>350</v>
      </c>
      <c r="DW170" s="228">
        <v>0.39</v>
      </c>
      <c r="DX170" s="228">
        <v>1.08</v>
      </c>
      <c r="DY170" s="228">
        <v>-0.69</v>
      </c>
      <c r="DZ170" s="229">
        <v>-0.63890000000000002</v>
      </c>
      <c r="EA170" s="229">
        <v>4.7699999999999999E-2</v>
      </c>
      <c r="EB170" s="230">
        <v>77285600</v>
      </c>
      <c r="EC170" s="229">
        <v>2.3E-3</v>
      </c>
      <c r="ED170" s="229">
        <v>4.7699999999999999E-2</v>
      </c>
      <c r="EE170" s="228">
        <v>0.81</v>
      </c>
      <c r="EF170" s="229">
        <v>2.2000000000000001E-3</v>
      </c>
      <c r="EG170" s="230">
        <v>3655319</v>
      </c>
      <c r="EH170" s="230">
        <v>4173368</v>
      </c>
      <c r="EI170" s="229">
        <v>-0.1241</v>
      </c>
      <c r="EJ170" s="229">
        <v>0.46910000000000002</v>
      </c>
      <c r="EK170" s="231">
        <v>1609.53</v>
      </c>
      <c r="EL170" s="228">
        <v>590.45000000000005</v>
      </c>
      <c r="EM170" s="228">
        <v>581.92999999999995</v>
      </c>
      <c r="EN170" s="228">
        <v>379.14</v>
      </c>
      <c r="EO170" s="231">
        <v>2781.91</v>
      </c>
      <c r="EP170" s="231">
        <v>4607.1499999999996</v>
      </c>
      <c r="EQ170" s="231">
        <v>-1825.25</v>
      </c>
      <c r="ER170" s="229">
        <v>-0.3962</v>
      </c>
      <c r="ES170" s="228">
        <v>832.27</v>
      </c>
      <c r="ET170" s="228">
        <v>674.61</v>
      </c>
      <c r="EU170" s="231">
        <v>2928.67</v>
      </c>
      <c r="EV170" s="231">
        <v>187084550</v>
      </c>
      <c r="EW170" s="231">
        <v>4435.55</v>
      </c>
      <c r="EX170" s="231">
        <v>4156.83</v>
      </c>
      <c r="EY170" s="228">
        <v>278.72000000000003</v>
      </c>
      <c r="EZ170" s="229">
        <v>6.7100000000000007E-2</v>
      </c>
      <c r="FA170" s="229">
        <v>0.63190000000000002</v>
      </c>
      <c r="FB170" s="227" t="s">
        <v>555</v>
      </c>
      <c r="FC170">
        <f t="shared" si="3"/>
        <v>0</v>
      </c>
    </row>
    <row r="171" spans="1:159" ht="17.25" thickBot="1" x14ac:dyDescent="0.3">
      <c r="A171" s="226">
        <v>46050</v>
      </c>
      <c r="B171" s="227" t="s">
        <v>193</v>
      </c>
      <c r="C171" s="227" t="s">
        <v>281</v>
      </c>
      <c r="D171" s="228">
        <v>500</v>
      </c>
      <c r="E171" s="228">
        <v>27</v>
      </c>
      <c r="F171" s="231">
        <v>1402.7</v>
      </c>
      <c r="G171" s="231">
        <v>1390.5</v>
      </c>
      <c r="H171" s="228">
        <v>12.2</v>
      </c>
      <c r="I171" s="229">
        <v>8.8000000000000005E-3</v>
      </c>
      <c r="J171" s="231">
        <v>1396.7</v>
      </c>
      <c r="K171" s="231">
        <v>1380.5</v>
      </c>
      <c r="L171" s="228">
        <v>16.2</v>
      </c>
      <c r="M171" s="229">
        <v>1.17E-2</v>
      </c>
      <c r="N171" s="231">
        <v>1402.7</v>
      </c>
      <c r="O171" s="231">
        <v>1380.5</v>
      </c>
      <c r="P171" s="228">
        <v>22.2</v>
      </c>
      <c r="Q171" s="229">
        <v>1.61E-2</v>
      </c>
      <c r="R171" s="231">
        <v>1412</v>
      </c>
      <c r="S171" s="231">
        <v>1390.5</v>
      </c>
      <c r="T171" s="228">
        <v>21.5</v>
      </c>
      <c r="U171" s="229">
        <v>1.55E-2</v>
      </c>
      <c r="V171" s="231">
        <v>1421</v>
      </c>
      <c r="W171" s="231">
        <v>1399.3</v>
      </c>
      <c r="X171" s="228">
        <v>21.7</v>
      </c>
      <c r="Y171" s="229">
        <v>1.55E-2</v>
      </c>
      <c r="Z171" s="228">
        <v>6</v>
      </c>
      <c r="AA171" s="228">
        <v>10</v>
      </c>
      <c r="AB171" s="228">
        <v>-4</v>
      </c>
      <c r="AC171" s="229">
        <v>4.3E-3</v>
      </c>
      <c r="AD171" s="228">
        <v>6</v>
      </c>
      <c r="AE171" s="228">
        <v>0</v>
      </c>
      <c r="AF171" s="228">
        <v>6</v>
      </c>
      <c r="AG171" s="229">
        <v>4.3E-3</v>
      </c>
      <c r="AH171" s="228">
        <v>15.3</v>
      </c>
      <c r="AI171" s="228">
        <v>10</v>
      </c>
      <c r="AJ171" s="228">
        <v>5.3</v>
      </c>
      <c r="AK171" s="229">
        <v>1.0999999999999999E-2</v>
      </c>
      <c r="AL171" s="228">
        <v>24.3</v>
      </c>
      <c r="AM171" s="228">
        <v>18.8</v>
      </c>
      <c r="AN171" s="228">
        <v>5.5</v>
      </c>
      <c r="AO171" s="229">
        <v>1.7399999999999999E-2</v>
      </c>
      <c r="AP171" s="231">
        <v>1404.03</v>
      </c>
      <c r="AQ171" s="231">
        <v>1414.12</v>
      </c>
      <c r="AR171" s="228">
        <v>0</v>
      </c>
      <c r="AS171" s="230">
        <v>1715</v>
      </c>
      <c r="AT171" s="230">
        <v>10271</v>
      </c>
      <c r="AU171" s="230">
        <v>-8556</v>
      </c>
      <c r="AV171" s="229">
        <v>-0.83299999999999996</v>
      </c>
      <c r="AW171" s="230">
        <v>1598</v>
      </c>
      <c r="AX171" s="230">
        <v>4326</v>
      </c>
      <c r="AY171" s="230">
        <v>-2728</v>
      </c>
      <c r="AZ171" s="229">
        <v>-0.63060000000000005</v>
      </c>
      <c r="BA171" s="228">
        <v>80</v>
      </c>
      <c r="BB171" s="230">
        <v>5758</v>
      </c>
      <c r="BC171" s="230">
        <v>-5678</v>
      </c>
      <c r="BD171" s="229">
        <v>-0.98609999999999998</v>
      </c>
      <c r="BE171" s="228">
        <v>37</v>
      </c>
      <c r="BF171" s="228">
        <v>187</v>
      </c>
      <c r="BG171" s="228">
        <v>-150</v>
      </c>
      <c r="BH171" s="229">
        <v>-0.80059999999999998</v>
      </c>
      <c r="BI171" s="230">
        <v>7489</v>
      </c>
      <c r="BJ171" s="230">
        <v>13560</v>
      </c>
      <c r="BK171" s="230">
        <v>-6072</v>
      </c>
      <c r="BL171" s="229">
        <v>-0.44779999999999998</v>
      </c>
      <c r="BM171" s="230">
        <v>3500</v>
      </c>
      <c r="BN171" s="230">
        <v>8032</v>
      </c>
      <c r="BO171" s="230">
        <v>-4531</v>
      </c>
      <c r="BP171" s="229">
        <v>-0.56420000000000003</v>
      </c>
      <c r="BQ171" s="230">
        <v>12704</v>
      </c>
      <c r="BR171" s="230">
        <v>31863</v>
      </c>
      <c r="BS171" s="230">
        <v>-19159</v>
      </c>
      <c r="BT171" s="229">
        <v>-0.60129999999999995</v>
      </c>
      <c r="BU171" s="230">
        <v>11907511</v>
      </c>
      <c r="BV171" s="230">
        <v>29839245</v>
      </c>
      <c r="BW171" s="230">
        <v>-17931734</v>
      </c>
      <c r="BX171" s="229">
        <v>-0.60089999999999999</v>
      </c>
      <c r="BY171" s="230">
        <v>16534</v>
      </c>
      <c r="BZ171" s="230">
        <v>16832</v>
      </c>
      <c r="CA171" s="228">
        <v>-297</v>
      </c>
      <c r="CB171" s="229">
        <v>-1.77E-2</v>
      </c>
      <c r="CC171" s="230">
        <v>14941</v>
      </c>
      <c r="CD171" s="230">
        <v>1994</v>
      </c>
      <c r="CE171" s="230">
        <v>12947</v>
      </c>
      <c r="CF171" s="229">
        <v>6.4912999999999998</v>
      </c>
      <c r="CG171" s="230">
        <v>1568</v>
      </c>
      <c r="CH171" s="230">
        <v>15267</v>
      </c>
      <c r="CI171" s="230">
        <v>-13698</v>
      </c>
      <c r="CJ171" s="229">
        <v>-0.89729999999999999</v>
      </c>
      <c r="CK171" s="228">
        <v>25</v>
      </c>
      <c r="CL171" s="230">
        <v>1565</v>
      </c>
      <c r="CM171" s="230">
        <v>-1540</v>
      </c>
      <c r="CN171" s="229">
        <v>-0.98399999999999999</v>
      </c>
      <c r="CO171" s="230">
        <v>5769</v>
      </c>
      <c r="CP171" s="230">
        <v>5099</v>
      </c>
      <c r="CQ171" s="228">
        <v>669</v>
      </c>
      <c r="CR171" s="229">
        <v>0.1313</v>
      </c>
      <c r="CS171" s="230">
        <v>3741</v>
      </c>
      <c r="CT171" s="230">
        <v>3477</v>
      </c>
      <c r="CU171" s="228">
        <v>265</v>
      </c>
      <c r="CV171" s="229">
        <v>7.6200000000000004E-2</v>
      </c>
      <c r="CW171" s="230">
        <v>26045</v>
      </c>
      <c r="CX171" s="230">
        <v>25408</v>
      </c>
      <c r="CY171" s="228">
        <v>637</v>
      </c>
      <c r="CZ171" s="229">
        <v>2.5100000000000001E-2</v>
      </c>
      <c r="DA171" s="228">
        <v>23.59</v>
      </c>
      <c r="DB171" s="228">
        <v>24.69</v>
      </c>
      <c r="DC171" s="228">
        <v>-1.1000000000000001</v>
      </c>
      <c r="DD171" s="228">
        <v>-1.1000000000000001</v>
      </c>
      <c r="DE171" s="228">
        <v>23.9</v>
      </c>
      <c r="DF171" s="228">
        <v>23.91</v>
      </c>
      <c r="DG171" s="228">
        <v>-0.31</v>
      </c>
      <c r="DH171" s="228">
        <v>-0.01</v>
      </c>
      <c r="DI171" s="228">
        <v>23.29</v>
      </c>
      <c r="DJ171" s="228">
        <v>24.58</v>
      </c>
      <c r="DK171" s="228">
        <v>-1.29</v>
      </c>
      <c r="DL171" s="228">
        <v>-1.29</v>
      </c>
      <c r="DM171" s="228">
        <v>24.22</v>
      </c>
      <c r="DN171" s="228">
        <v>24.86</v>
      </c>
      <c r="DO171" s="228">
        <v>-0.64</v>
      </c>
      <c r="DP171" s="228">
        <v>-0.64</v>
      </c>
      <c r="DQ171" s="228">
        <v>0.65</v>
      </c>
      <c r="DR171" s="228">
        <v>0.68</v>
      </c>
      <c r="DS171" s="228">
        <v>-0.03</v>
      </c>
      <c r="DT171" s="229">
        <v>-4.41E-2</v>
      </c>
      <c r="DU171" s="231">
        <v>1500</v>
      </c>
      <c r="DV171" s="231">
        <v>1400</v>
      </c>
      <c r="DW171" s="228">
        <v>0.47</v>
      </c>
      <c r="DX171" s="228">
        <v>0.59</v>
      </c>
      <c r="DY171" s="228">
        <v>-0.12</v>
      </c>
      <c r="DZ171" s="229">
        <v>-0.2034</v>
      </c>
      <c r="EA171" s="229">
        <v>9.64E-2</v>
      </c>
      <c r="EB171" s="230">
        <v>119994500</v>
      </c>
      <c r="EC171" s="229">
        <v>6.6E-3</v>
      </c>
      <c r="ED171" s="229">
        <v>9.64E-2</v>
      </c>
      <c r="EE171" s="228">
        <v>10.09</v>
      </c>
      <c r="EF171" s="229">
        <v>7.1999999999999998E-3</v>
      </c>
      <c r="EG171" s="230">
        <v>6889529</v>
      </c>
      <c r="EH171" s="230">
        <v>19936250</v>
      </c>
      <c r="EI171" s="229">
        <v>-0.65439999999999998</v>
      </c>
      <c r="EJ171" s="229">
        <v>0.5786</v>
      </c>
      <c r="EK171" s="231">
        <v>7921.48</v>
      </c>
      <c r="EL171" s="231">
        <v>3466.55</v>
      </c>
      <c r="EM171" s="231">
        <v>1718</v>
      </c>
      <c r="EN171" s="231">
        <v>1262.6099999999999</v>
      </c>
      <c r="EO171" s="231">
        <v>13106.03</v>
      </c>
      <c r="EP171" s="231">
        <v>32369.9</v>
      </c>
      <c r="EQ171" s="231">
        <v>-19263.88</v>
      </c>
      <c r="ER171" s="229">
        <v>-0.59509999999999996</v>
      </c>
      <c r="ES171" s="231">
        <v>6102.6</v>
      </c>
      <c r="ET171" s="231">
        <v>3765.21</v>
      </c>
      <c r="EU171" s="231">
        <v>16545.05</v>
      </c>
      <c r="EV171" s="231">
        <v>664266681</v>
      </c>
      <c r="EW171" s="231">
        <v>26412.87</v>
      </c>
      <c r="EX171" s="231">
        <v>25597.99</v>
      </c>
      <c r="EY171" s="228">
        <v>814.88</v>
      </c>
      <c r="EZ171" s="229">
        <v>3.1800000000000002E-2</v>
      </c>
      <c r="FA171" s="229">
        <v>0.27950000000000003</v>
      </c>
      <c r="FB171" s="227" t="s">
        <v>556</v>
      </c>
      <c r="FC171">
        <f t="shared" si="3"/>
        <v>0</v>
      </c>
    </row>
    <row r="172" spans="1:159" ht="17.25" thickBot="1" x14ac:dyDescent="0.3">
      <c r="A172" s="226">
        <v>46050</v>
      </c>
      <c r="B172" s="227" t="s">
        <v>215</v>
      </c>
      <c r="C172" s="227" t="s">
        <v>674</v>
      </c>
      <c r="D172" s="228">
        <v>1525</v>
      </c>
      <c r="E172" s="228">
        <v>27</v>
      </c>
      <c r="F172" s="228">
        <v>336.15</v>
      </c>
      <c r="G172" s="228">
        <v>315.64999999999998</v>
      </c>
      <c r="H172" s="228">
        <v>20.5</v>
      </c>
      <c r="I172" s="229">
        <v>6.4899999999999999E-2</v>
      </c>
      <c r="J172" s="228">
        <v>342.5</v>
      </c>
      <c r="K172" s="228">
        <v>323.89999999999998</v>
      </c>
      <c r="L172" s="228">
        <v>18.600000000000001</v>
      </c>
      <c r="M172" s="229">
        <v>5.74E-2</v>
      </c>
      <c r="N172" s="228">
        <v>336.15</v>
      </c>
      <c r="O172" s="228">
        <v>322.95</v>
      </c>
      <c r="P172" s="228">
        <v>13.2</v>
      </c>
      <c r="Q172" s="229">
        <v>4.0899999999999999E-2</v>
      </c>
      <c r="R172" s="228">
        <v>327.25</v>
      </c>
      <c r="S172" s="228">
        <v>315.64999999999998</v>
      </c>
      <c r="T172" s="228">
        <v>11.6</v>
      </c>
      <c r="U172" s="229">
        <v>3.6700000000000003E-2</v>
      </c>
      <c r="V172" s="228">
        <v>320.14999999999998</v>
      </c>
      <c r="W172" s="228">
        <v>308.95</v>
      </c>
      <c r="X172" s="228">
        <v>11.2</v>
      </c>
      <c r="Y172" s="229">
        <v>3.6299999999999999E-2</v>
      </c>
      <c r="Z172" s="228">
        <v>-6.35</v>
      </c>
      <c r="AA172" s="228">
        <v>-8.25</v>
      </c>
      <c r="AB172" s="228">
        <v>1.9</v>
      </c>
      <c r="AC172" s="229">
        <v>-1.8499999999999999E-2</v>
      </c>
      <c r="AD172" s="228">
        <v>-6.35</v>
      </c>
      <c r="AE172" s="228">
        <v>-0.95</v>
      </c>
      <c r="AF172" s="228">
        <v>-5.4</v>
      </c>
      <c r="AG172" s="229">
        <v>-1.8499999999999999E-2</v>
      </c>
      <c r="AH172" s="228">
        <v>-15.25</v>
      </c>
      <c r="AI172" s="228">
        <v>-8.25</v>
      </c>
      <c r="AJ172" s="228">
        <v>-7</v>
      </c>
      <c r="AK172" s="229">
        <v>-4.4499999999999998E-2</v>
      </c>
      <c r="AL172" s="228">
        <v>-22.35</v>
      </c>
      <c r="AM172" s="228">
        <v>-14.95</v>
      </c>
      <c r="AN172" s="228">
        <v>-7.4</v>
      </c>
      <c r="AO172" s="229">
        <v>-6.5299999999999997E-2</v>
      </c>
      <c r="AP172" s="228">
        <v>328.4</v>
      </c>
      <c r="AQ172" s="228">
        <v>318.20999999999998</v>
      </c>
      <c r="AR172" s="228">
        <v>0</v>
      </c>
      <c r="AS172" s="228">
        <v>555</v>
      </c>
      <c r="AT172" s="228">
        <v>879</v>
      </c>
      <c r="AU172" s="228">
        <v>-324</v>
      </c>
      <c r="AV172" s="229">
        <v>-0.36830000000000002</v>
      </c>
      <c r="AW172" s="228">
        <v>479</v>
      </c>
      <c r="AX172" s="228">
        <v>366</v>
      </c>
      <c r="AY172" s="228">
        <v>113</v>
      </c>
      <c r="AZ172" s="229">
        <v>0.30909999999999999</v>
      </c>
      <c r="BA172" s="228">
        <v>67</v>
      </c>
      <c r="BB172" s="228">
        <v>475</v>
      </c>
      <c r="BC172" s="228">
        <v>-408</v>
      </c>
      <c r="BD172" s="229">
        <v>-0.85870000000000002</v>
      </c>
      <c r="BE172" s="228">
        <v>9</v>
      </c>
      <c r="BF172" s="228">
        <v>38</v>
      </c>
      <c r="BG172" s="228">
        <v>-29</v>
      </c>
      <c r="BH172" s="229">
        <v>-0.75239999999999996</v>
      </c>
      <c r="BI172" s="230">
        <v>2151</v>
      </c>
      <c r="BJ172" s="230">
        <v>1369</v>
      </c>
      <c r="BK172" s="228">
        <v>782</v>
      </c>
      <c r="BL172" s="229">
        <v>0.57130000000000003</v>
      </c>
      <c r="BM172" s="228">
        <v>494</v>
      </c>
      <c r="BN172" s="228">
        <v>413</v>
      </c>
      <c r="BO172" s="228">
        <v>81</v>
      </c>
      <c r="BP172" s="229">
        <v>0.19539999999999999</v>
      </c>
      <c r="BQ172" s="230">
        <v>3201</v>
      </c>
      <c r="BR172" s="230">
        <v>2662</v>
      </c>
      <c r="BS172" s="228">
        <v>539</v>
      </c>
      <c r="BT172" s="229">
        <v>0.2026</v>
      </c>
      <c r="BU172" s="230">
        <v>13656073</v>
      </c>
      <c r="BV172" s="230">
        <v>7620905</v>
      </c>
      <c r="BW172" s="230">
        <v>6035168</v>
      </c>
      <c r="BX172" s="229">
        <v>0.79190000000000005</v>
      </c>
      <c r="BY172" s="230">
        <v>1603</v>
      </c>
      <c r="BZ172" s="230">
        <v>1563</v>
      </c>
      <c r="CA172" s="228">
        <v>40</v>
      </c>
      <c r="CB172" s="229">
        <v>2.53E-2</v>
      </c>
      <c r="CC172" s="230">
        <v>1501</v>
      </c>
      <c r="CD172" s="228">
        <v>101</v>
      </c>
      <c r="CE172" s="230">
        <v>1400</v>
      </c>
      <c r="CF172" s="229">
        <v>13.9306</v>
      </c>
      <c r="CG172" s="228">
        <v>96</v>
      </c>
      <c r="CH172" s="230">
        <v>1473</v>
      </c>
      <c r="CI172" s="230">
        <v>-1377</v>
      </c>
      <c r="CJ172" s="229">
        <v>-0.93489999999999995</v>
      </c>
      <c r="CK172" s="228">
        <v>6</v>
      </c>
      <c r="CL172" s="228">
        <v>91</v>
      </c>
      <c r="CM172" s="228">
        <v>-84</v>
      </c>
      <c r="CN172" s="229">
        <v>-0.93100000000000005</v>
      </c>
      <c r="CO172" s="228">
        <v>677</v>
      </c>
      <c r="CP172" s="228">
        <v>531</v>
      </c>
      <c r="CQ172" s="228">
        <v>145</v>
      </c>
      <c r="CR172" s="229">
        <v>0.27350000000000002</v>
      </c>
      <c r="CS172" s="228">
        <v>375</v>
      </c>
      <c r="CT172" s="228">
        <v>256</v>
      </c>
      <c r="CU172" s="228">
        <v>119</v>
      </c>
      <c r="CV172" s="229">
        <v>0.46439999999999998</v>
      </c>
      <c r="CW172" s="230">
        <v>2655</v>
      </c>
      <c r="CX172" s="230">
        <v>2351</v>
      </c>
      <c r="CY172" s="228">
        <v>304</v>
      </c>
      <c r="CZ172" s="229">
        <v>0.1293</v>
      </c>
      <c r="DA172" s="228">
        <v>56.44</v>
      </c>
      <c r="DB172" s="228">
        <v>58.6</v>
      </c>
      <c r="DC172" s="228">
        <v>-2.16</v>
      </c>
      <c r="DD172" s="228">
        <v>-2.16</v>
      </c>
      <c r="DE172" s="228">
        <v>56.01</v>
      </c>
      <c r="DF172" s="228">
        <v>55.5</v>
      </c>
      <c r="DG172" s="228">
        <v>0.43</v>
      </c>
      <c r="DH172" s="228">
        <v>0.51</v>
      </c>
      <c r="DI172" s="228">
        <v>56.52</v>
      </c>
      <c r="DJ172" s="228">
        <v>58.9</v>
      </c>
      <c r="DK172" s="228">
        <v>-2.38</v>
      </c>
      <c r="DL172" s="228">
        <v>-2.38</v>
      </c>
      <c r="DM172" s="228">
        <v>56.08</v>
      </c>
      <c r="DN172" s="228">
        <v>57.62</v>
      </c>
      <c r="DO172" s="228">
        <v>-1.54</v>
      </c>
      <c r="DP172" s="228">
        <v>-1.54</v>
      </c>
      <c r="DQ172" s="228">
        <v>0.55000000000000004</v>
      </c>
      <c r="DR172" s="228">
        <v>0.48</v>
      </c>
      <c r="DS172" s="228">
        <v>7.0000000000000007E-2</v>
      </c>
      <c r="DT172" s="229">
        <v>0.14580000000000001</v>
      </c>
      <c r="DU172" s="228">
        <v>350</v>
      </c>
      <c r="DV172" s="228">
        <v>330</v>
      </c>
      <c r="DW172" s="228">
        <v>0.23</v>
      </c>
      <c r="DX172" s="228">
        <v>0.3</v>
      </c>
      <c r="DY172" s="228">
        <v>-7.0000000000000007E-2</v>
      </c>
      <c r="DZ172" s="229">
        <v>-0.23330000000000001</v>
      </c>
      <c r="EA172" s="229">
        <v>6.3700000000000007E-2</v>
      </c>
      <c r="EB172" s="230">
        <v>46507925</v>
      </c>
      <c r="EC172" s="229">
        <v>-2.6499999999999999E-2</v>
      </c>
      <c r="ED172" s="229">
        <v>6.3700000000000007E-2</v>
      </c>
      <c r="EE172" s="228">
        <v>-10.19</v>
      </c>
      <c r="EF172" s="229">
        <v>-3.1E-2</v>
      </c>
      <c r="EG172" s="230">
        <v>3405095</v>
      </c>
      <c r="EH172" s="230">
        <v>1873950</v>
      </c>
      <c r="EI172" s="229">
        <v>0.81710000000000005</v>
      </c>
      <c r="EJ172" s="229">
        <v>0.24929999999999999</v>
      </c>
      <c r="EK172" s="231">
        <v>2330.65</v>
      </c>
      <c r="EL172" s="228">
        <v>476.67</v>
      </c>
      <c r="EM172" s="228">
        <v>539.96</v>
      </c>
      <c r="EN172" s="228">
        <v>256.33999999999997</v>
      </c>
      <c r="EO172" s="231">
        <v>3347.29</v>
      </c>
      <c r="EP172" s="231">
        <v>2661.45</v>
      </c>
      <c r="EQ172" s="228">
        <v>685.84</v>
      </c>
      <c r="ER172" s="229">
        <v>0.25769999999999998</v>
      </c>
      <c r="ES172" s="228">
        <v>723.25</v>
      </c>
      <c r="ET172" s="228">
        <v>351.99</v>
      </c>
      <c r="EU172" s="231">
        <v>1600.16</v>
      </c>
      <c r="EV172" s="231">
        <v>84941460</v>
      </c>
      <c r="EW172" s="231">
        <v>2675.39</v>
      </c>
      <c r="EX172" s="231">
        <v>2264.0700000000002</v>
      </c>
      <c r="EY172" s="228">
        <v>411.32</v>
      </c>
      <c r="EZ172" s="229">
        <v>0.1817</v>
      </c>
      <c r="FA172" s="229">
        <v>0.92989999999999995</v>
      </c>
      <c r="FB172" s="227" t="s">
        <v>555</v>
      </c>
      <c r="FC172">
        <f t="shared" si="3"/>
        <v>0</v>
      </c>
    </row>
    <row r="173" spans="1:159" ht="17.25" thickBot="1" x14ac:dyDescent="0.3">
      <c r="A173" s="226">
        <v>46050</v>
      </c>
      <c r="B173" s="227" t="s">
        <v>227</v>
      </c>
      <c r="C173" s="227" t="s">
        <v>282</v>
      </c>
      <c r="D173" s="228">
        <v>4700</v>
      </c>
      <c r="E173" s="228">
        <v>27</v>
      </c>
      <c r="F173" s="228">
        <v>156.82</v>
      </c>
      <c r="G173" s="228">
        <v>156.80000000000001</v>
      </c>
      <c r="H173" s="228">
        <v>0.02</v>
      </c>
      <c r="I173" s="229">
        <v>1E-4</v>
      </c>
      <c r="J173" s="228">
        <v>155.74</v>
      </c>
      <c r="K173" s="228">
        <v>155.56</v>
      </c>
      <c r="L173" s="228">
        <v>0.18</v>
      </c>
      <c r="M173" s="229">
        <v>1.1999999999999999E-3</v>
      </c>
      <c r="N173" s="228">
        <v>156.82</v>
      </c>
      <c r="O173" s="228">
        <v>156.01</v>
      </c>
      <c r="P173" s="228">
        <v>0.81</v>
      </c>
      <c r="Q173" s="229">
        <v>5.1999999999999998E-3</v>
      </c>
      <c r="R173" s="228">
        <v>157.54</v>
      </c>
      <c r="S173" s="228">
        <v>156.80000000000001</v>
      </c>
      <c r="T173" s="228">
        <v>0.74</v>
      </c>
      <c r="U173" s="229">
        <v>4.7000000000000002E-3</v>
      </c>
      <c r="V173" s="228">
        <v>158.66999999999999</v>
      </c>
      <c r="W173" s="228">
        <v>157.75</v>
      </c>
      <c r="X173" s="228">
        <v>0.92</v>
      </c>
      <c r="Y173" s="229">
        <v>5.7999999999999996E-3</v>
      </c>
      <c r="Z173" s="228">
        <v>1.08</v>
      </c>
      <c r="AA173" s="228">
        <v>1.24</v>
      </c>
      <c r="AB173" s="228">
        <v>-0.16</v>
      </c>
      <c r="AC173" s="229">
        <v>6.8999999999999999E-3</v>
      </c>
      <c r="AD173" s="228">
        <v>1.08</v>
      </c>
      <c r="AE173" s="228">
        <v>0.45</v>
      </c>
      <c r="AF173" s="228">
        <v>0.63</v>
      </c>
      <c r="AG173" s="229">
        <v>6.8999999999999999E-3</v>
      </c>
      <c r="AH173" s="228">
        <v>1.8</v>
      </c>
      <c r="AI173" s="228">
        <v>1.24</v>
      </c>
      <c r="AJ173" s="228">
        <v>0.56000000000000005</v>
      </c>
      <c r="AK173" s="229">
        <v>1.1599999999999999E-2</v>
      </c>
      <c r="AL173" s="228">
        <v>2.93</v>
      </c>
      <c r="AM173" s="228">
        <v>2.19</v>
      </c>
      <c r="AN173" s="228">
        <v>0.74</v>
      </c>
      <c r="AO173" s="229">
        <v>1.8800000000000001E-2</v>
      </c>
      <c r="AP173" s="228">
        <v>156.49</v>
      </c>
      <c r="AQ173" s="228">
        <v>157.13</v>
      </c>
      <c r="AR173" s="228">
        <v>0</v>
      </c>
      <c r="AS173" s="228">
        <v>558</v>
      </c>
      <c r="AT173" s="230">
        <v>2065</v>
      </c>
      <c r="AU173" s="230">
        <v>-1507</v>
      </c>
      <c r="AV173" s="229">
        <v>-0.72960000000000003</v>
      </c>
      <c r="AW173" s="228">
        <v>520</v>
      </c>
      <c r="AX173" s="228">
        <v>878</v>
      </c>
      <c r="AY173" s="228">
        <v>-357</v>
      </c>
      <c r="AZ173" s="229">
        <v>-0.40689999999999998</v>
      </c>
      <c r="BA173" s="228">
        <v>34</v>
      </c>
      <c r="BB173" s="230">
        <v>1155</v>
      </c>
      <c r="BC173" s="230">
        <v>-1121</v>
      </c>
      <c r="BD173" s="229">
        <v>-0.97060000000000002</v>
      </c>
      <c r="BE173" s="228">
        <v>4</v>
      </c>
      <c r="BF173" s="228">
        <v>32</v>
      </c>
      <c r="BG173" s="228">
        <v>-28</v>
      </c>
      <c r="BH173" s="229">
        <v>-0.87790000000000001</v>
      </c>
      <c r="BI173" s="228">
        <v>827</v>
      </c>
      <c r="BJ173" s="228">
        <v>926</v>
      </c>
      <c r="BK173" s="228">
        <v>-99</v>
      </c>
      <c r="BL173" s="229">
        <v>-0.1069</v>
      </c>
      <c r="BM173" s="228">
        <v>239</v>
      </c>
      <c r="BN173" s="228">
        <v>488</v>
      </c>
      <c r="BO173" s="228">
        <v>-249</v>
      </c>
      <c r="BP173" s="229">
        <v>-0.50980000000000003</v>
      </c>
      <c r="BQ173" s="230">
        <v>1624</v>
      </c>
      <c r="BR173" s="230">
        <v>3479</v>
      </c>
      <c r="BS173" s="230">
        <v>-1854</v>
      </c>
      <c r="BT173" s="229">
        <v>-0.53310000000000002</v>
      </c>
      <c r="BU173" s="230">
        <v>34047346</v>
      </c>
      <c r="BV173" s="230">
        <v>42284670</v>
      </c>
      <c r="BW173" s="230">
        <v>-8237324</v>
      </c>
      <c r="BX173" s="229">
        <v>-0.1948</v>
      </c>
      <c r="BY173" s="230">
        <v>3098</v>
      </c>
      <c r="BZ173" s="230">
        <v>3014</v>
      </c>
      <c r="CA173" s="228">
        <v>83</v>
      </c>
      <c r="CB173" s="229">
        <v>2.76E-2</v>
      </c>
      <c r="CC173" s="230">
        <v>3050</v>
      </c>
      <c r="CD173" s="228">
        <v>233</v>
      </c>
      <c r="CE173" s="230">
        <v>2818</v>
      </c>
      <c r="CF173" s="229">
        <v>12.117000000000001</v>
      </c>
      <c r="CG173" s="228">
        <v>44</v>
      </c>
      <c r="CH173" s="230">
        <v>2978</v>
      </c>
      <c r="CI173" s="230">
        <v>-2934</v>
      </c>
      <c r="CJ173" s="229">
        <v>-0.98519999999999996</v>
      </c>
      <c r="CK173" s="228">
        <v>3</v>
      </c>
      <c r="CL173" s="228">
        <v>37</v>
      </c>
      <c r="CM173" s="228">
        <v>-33</v>
      </c>
      <c r="CN173" s="229">
        <v>-0.9113</v>
      </c>
      <c r="CO173" s="228">
        <v>401</v>
      </c>
      <c r="CP173" s="228">
        <v>309</v>
      </c>
      <c r="CQ173" s="228">
        <v>92</v>
      </c>
      <c r="CR173" s="229">
        <v>0.29670000000000002</v>
      </c>
      <c r="CS173" s="228">
        <v>254</v>
      </c>
      <c r="CT173" s="228">
        <v>202</v>
      </c>
      <c r="CU173" s="228">
        <v>52</v>
      </c>
      <c r="CV173" s="229">
        <v>0.25600000000000001</v>
      </c>
      <c r="CW173" s="230">
        <v>3753</v>
      </c>
      <c r="CX173" s="230">
        <v>3526</v>
      </c>
      <c r="CY173" s="228">
        <v>227</v>
      </c>
      <c r="CZ173" s="229">
        <v>6.4299999999999996E-2</v>
      </c>
      <c r="DA173" s="228">
        <v>44.26</v>
      </c>
      <c r="DB173" s="228">
        <v>44.67</v>
      </c>
      <c r="DC173" s="228">
        <v>-0.41</v>
      </c>
      <c r="DD173" s="228">
        <v>-0.41</v>
      </c>
      <c r="DE173" s="228">
        <v>43.67</v>
      </c>
      <c r="DF173" s="228">
        <v>43.78</v>
      </c>
      <c r="DG173" s="228">
        <v>0.59</v>
      </c>
      <c r="DH173" s="228">
        <v>-0.11</v>
      </c>
      <c r="DI173" s="228">
        <v>44.43</v>
      </c>
      <c r="DJ173" s="228">
        <v>43.85</v>
      </c>
      <c r="DK173" s="228">
        <v>0.57999999999999996</v>
      </c>
      <c r="DL173" s="228">
        <v>0.57999999999999996</v>
      </c>
      <c r="DM173" s="228">
        <v>43.67</v>
      </c>
      <c r="DN173" s="228">
        <v>46.28</v>
      </c>
      <c r="DO173" s="228">
        <v>-2.61</v>
      </c>
      <c r="DP173" s="228">
        <v>-2.61</v>
      </c>
      <c r="DQ173" s="228">
        <v>0.63</v>
      </c>
      <c r="DR173" s="228">
        <v>0.65</v>
      </c>
      <c r="DS173" s="228">
        <v>-0.02</v>
      </c>
      <c r="DT173" s="229">
        <v>-3.0800000000000001E-2</v>
      </c>
      <c r="DU173" s="228">
        <v>160</v>
      </c>
      <c r="DV173" s="228">
        <v>140</v>
      </c>
      <c r="DW173" s="228">
        <v>0.28999999999999998</v>
      </c>
      <c r="DX173" s="228">
        <v>0.53</v>
      </c>
      <c r="DY173" s="228">
        <v>-0.24</v>
      </c>
      <c r="DZ173" s="229">
        <v>-0.45279999999999998</v>
      </c>
      <c r="EA173" s="229">
        <v>1.5299999999999999E-2</v>
      </c>
      <c r="EB173" s="230">
        <v>192220600</v>
      </c>
      <c r="EC173" s="229">
        <v>4.5999999999999999E-3</v>
      </c>
      <c r="ED173" s="229">
        <v>1.5299999999999999E-2</v>
      </c>
      <c r="EE173" s="228">
        <v>0.64</v>
      </c>
      <c r="EF173" s="229">
        <v>4.1000000000000003E-3</v>
      </c>
      <c r="EG173" s="230">
        <v>14833037</v>
      </c>
      <c r="EH173" s="230">
        <v>19728318</v>
      </c>
      <c r="EI173" s="229">
        <v>-0.24809999999999999</v>
      </c>
      <c r="EJ173" s="229">
        <v>0.43569999999999998</v>
      </c>
      <c r="EK173" s="228">
        <v>883.27</v>
      </c>
      <c r="EL173" s="228">
        <v>234.41</v>
      </c>
      <c r="EM173" s="228">
        <v>557.33000000000004</v>
      </c>
      <c r="EN173" s="228">
        <v>292.56</v>
      </c>
      <c r="EO173" s="231">
        <v>1675</v>
      </c>
      <c r="EP173" s="231">
        <v>3423.45</v>
      </c>
      <c r="EQ173" s="231">
        <v>-1748.45</v>
      </c>
      <c r="ER173" s="229">
        <v>-0.51070000000000004</v>
      </c>
      <c r="ES173" s="228">
        <v>408.51</v>
      </c>
      <c r="ET173" s="228">
        <v>236.08</v>
      </c>
      <c r="EU173" s="231">
        <v>3097.86</v>
      </c>
      <c r="EV173" s="231">
        <v>216861410</v>
      </c>
      <c r="EW173" s="231">
        <v>3742.44</v>
      </c>
      <c r="EX173" s="231">
        <v>3512.08</v>
      </c>
      <c r="EY173" s="228">
        <v>230.36</v>
      </c>
      <c r="EZ173" s="229">
        <v>6.5600000000000006E-2</v>
      </c>
      <c r="FA173" s="229">
        <v>1.1034999999999999</v>
      </c>
      <c r="FB173" s="227" t="s">
        <v>555</v>
      </c>
      <c r="FC173">
        <f t="shared" si="3"/>
        <v>0</v>
      </c>
    </row>
    <row r="174" spans="1:159" ht="17.25" thickBot="1" x14ac:dyDescent="0.3">
      <c r="A174" s="226">
        <v>46050</v>
      </c>
      <c r="B174" s="227" t="s">
        <v>175</v>
      </c>
      <c r="C174" s="227" t="s">
        <v>685</v>
      </c>
      <c r="D174" s="228">
        <v>4300</v>
      </c>
      <c r="E174" s="228">
        <v>27</v>
      </c>
      <c r="F174" s="228">
        <v>142.86000000000001</v>
      </c>
      <c r="G174" s="228">
        <v>139.16999999999999</v>
      </c>
      <c r="H174" s="228">
        <v>3.69</v>
      </c>
      <c r="I174" s="229">
        <v>2.6499999999999999E-2</v>
      </c>
      <c r="J174" s="228">
        <v>141.83000000000001</v>
      </c>
      <c r="K174" s="228">
        <v>138.76</v>
      </c>
      <c r="L174" s="228">
        <v>3.07</v>
      </c>
      <c r="M174" s="229">
        <v>2.2100000000000002E-2</v>
      </c>
      <c r="N174" s="228">
        <v>142.86000000000001</v>
      </c>
      <c r="O174" s="228">
        <v>138.43</v>
      </c>
      <c r="P174" s="228">
        <v>4.43</v>
      </c>
      <c r="Q174" s="229">
        <v>3.2000000000000001E-2</v>
      </c>
      <c r="R174" s="228">
        <v>143.77000000000001</v>
      </c>
      <c r="S174" s="228">
        <v>139.16999999999999</v>
      </c>
      <c r="T174" s="228">
        <v>4.5999999999999996</v>
      </c>
      <c r="U174" s="229">
        <v>3.3099999999999997E-2</v>
      </c>
      <c r="V174" s="228">
        <v>144.86000000000001</v>
      </c>
      <c r="W174" s="228">
        <v>140.44999999999999</v>
      </c>
      <c r="X174" s="228">
        <v>4.41</v>
      </c>
      <c r="Y174" s="229">
        <v>3.1399999999999997E-2</v>
      </c>
      <c r="Z174" s="228">
        <v>1.03</v>
      </c>
      <c r="AA174" s="228">
        <v>0.41</v>
      </c>
      <c r="AB174" s="228">
        <v>0.62</v>
      </c>
      <c r="AC174" s="229">
        <v>7.3000000000000001E-3</v>
      </c>
      <c r="AD174" s="228">
        <v>1.03</v>
      </c>
      <c r="AE174" s="228">
        <v>-0.33</v>
      </c>
      <c r="AF174" s="228">
        <v>1.36</v>
      </c>
      <c r="AG174" s="229">
        <v>7.3000000000000001E-3</v>
      </c>
      <c r="AH174" s="228">
        <v>1.94</v>
      </c>
      <c r="AI174" s="228">
        <v>0.41</v>
      </c>
      <c r="AJ174" s="228">
        <v>1.53</v>
      </c>
      <c r="AK174" s="229">
        <v>1.37E-2</v>
      </c>
      <c r="AL174" s="228">
        <v>3.03</v>
      </c>
      <c r="AM174" s="228">
        <v>1.69</v>
      </c>
      <c r="AN174" s="228">
        <v>1.34</v>
      </c>
      <c r="AO174" s="229">
        <v>2.1399999999999999E-2</v>
      </c>
      <c r="AP174" s="228">
        <v>142.96</v>
      </c>
      <c r="AQ174" s="228">
        <v>143.77000000000001</v>
      </c>
      <c r="AR174" s="228">
        <v>0</v>
      </c>
      <c r="AS174" s="228">
        <v>529</v>
      </c>
      <c r="AT174" s="230">
        <v>2451</v>
      </c>
      <c r="AU174" s="230">
        <v>-1922</v>
      </c>
      <c r="AV174" s="229">
        <v>-0.7843</v>
      </c>
      <c r="AW174" s="228">
        <v>458</v>
      </c>
      <c r="AX174" s="230">
        <v>1369</v>
      </c>
      <c r="AY174" s="228">
        <v>-911</v>
      </c>
      <c r="AZ174" s="229">
        <v>-0.66559999999999997</v>
      </c>
      <c r="BA174" s="228">
        <v>65</v>
      </c>
      <c r="BB174" s="230">
        <v>1080</v>
      </c>
      <c r="BC174" s="230">
        <v>-1015</v>
      </c>
      <c r="BD174" s="229">
        <v>-0.93979999999999997</v>
      </c>
      <c r="BE174" s="228">
        <v>6</v>
      </c>
      <c r="BF174" s="228">
        <v>2</v>
      </c>
      <c r="BG174" s="228">
        <v>4</v>
      </c>
      <c r="BH174" s="229">
        <v>1.9688000000000001</v>
      </c>
      <c r="BI174" s="228">
        <v>624</v>
      </c>
      <c r="BJ174" s="228">
        <v>182</v>
      </c>
      <c r="BK174" s="228">
        <v>443</v>
      </c>
      <c r="BL174" s="229">
        <v>2.4388000000000001</v>
      </c>
      <c r="BM174" s="228">
        <v>432</v>
      </c>
      <c r="BN174" s="228">
        <v>139</v>
      </c>
      <c r="BO174" s="228">
        <v>293</v>
      </c>
      <c r="BP174" s="229">
        <v>2.1055999999999999</v>
      </c>
      <c r="BQ174" s="230">
        <v>1585</v>
      </c>
      <c r="BR174" s="230">
        <v>2772</v>
      </c>
      <c r="BS174" s="230">
        <v>-1187</v>
      </c>
      <c r="BT174" s="229">
        <v>-0.42820000000000003</v>
      </c>
      <c r="BU174" s="230">
        <v>22683778</v>
      </c>
      <c r="BV174" s="230">
        <v>27345172</v>
      </c>
      <c r="BW174" s="230">
        <v>-4661394</v>
      </c>
      <c r="BX174" s="229">
        <v>-0.17050000000000001</v>
      </c>
      <c r="BY174" s="230">
        <v>1375</v>
      </c>
      <c r="BZ174" s="230">
        <v>1149</v>
      </c>
      <c r="CA174" s="228">
        <v>226</v>
      </c>
      <c r="CB174" s="229">
        <v>0.19670000000000001</v>
      </c>
      <c r="CC174" s="230">
        <v>1321</v>
      </c>
      <c r="CD174" s="228">
        <v>179</v>
      </c>
      <c r="CE174" s="230">
        <v>1142</v>
      </c>
      <c r="CF174" s="229">
        <v>6.3914999999999997</v>
      </c>
      <c r="CG174" s="228">
        <v>49</v>
      </c>
      <c r="CH174" s="230">
        <v>1143</v>
      </c>
      <c r="CI174" s="230">
        <v>-1094</v>
      </c>
      <c r="CJ174" s="229">
        <v>-0.95730000000000004</v>
      </c>
      <c r="CK174" s="228">
        <v>5</v>
      </c>
      <c r="CL174" s="228">
        <v>6</v>
      </c>
      <c r="CM174" s="228">
        <v>-1</v>
      </c>
      <c r="CN174" s="229">
        <v>-0.17</v>
      </c>
      <c r="CO174" s="228">
        <v>273</v>
      </c>
      <c r="CP174" s="228">
        <v>7</v>
      </c>
      <c r="CQ174" s="228">
        <v>267</v>
      </c>
      <c r="CR174" s="229">
        <v>40.222200000000001</v>
      </c>
      <c r="CS174" s="228">
        <v>212</v>
      </c>
      <c r="CT174" s="228">
        <v>1</v>
      </c>
      <c r="CU174" s="228">
        <v>211</v>
      </c>
      <c r="CV174" s="229">
        <v>245.78569999999999</v>
      </c>
      <c r="CW174" s="230">
        <v>1860</v>
      </c>
      <c r="CX174" s="230">
        <v>1156</v>
      </c>
      <c r="CY174" s="228">
        <v>704</v>
      </c>
      <c r="CZ174" s="229">
        <v>0.60899999999999999</v>
      </c>
      <c r="DA174" s="228">
        <v>37.28</v>
      </c>
      <c r="DB174" s="228">
        <v>42.32</v>
      </c>
      <c r="DC174" s="228">
        <v>-5.04</v>
      </c>
      <c r="DD174" s="228">
        <v>-5.04</v>
      </c>
      <c r="DE174" s="228">
        <v>54.86</v>
      </c>
      <c r="DF174" s="228">
        <v>54.88</v>
      </c>
      <c r="DG174" s="228">
        <v>-17.579999999999998</v>
      </c>
      <c r="DH174" s="228">
        <v>-0.02</v>
      </c>
      <c r="DI174" s="228">
        <v>38.44</v>
      </c>
      <c r="DJ174" s="228">
        <v>41.3</v>
      </c>
      <c r="DK174" s="228">
        <v>-2.86</v>
      </c>
      <c r="DL174" s="228">
        <v>-2.86</v>
      </c>
      <c r="DM174" s="228">
        <v>35.6</v>
      </c>
      <c r="DN174" s="228">
        <v>54.9</v>
      </c>
      <c r="DO174" s="228">
        <v>-19.3</v>
      </c>
      <c r="DP174" s="228">
        <v>-19.3</v>
      </c>
      <c r="DQ174" s="228">
        <v>0.78</v>
      </c>
      <c r="DR174" s="228">
        <v>0.13</v>
      </c>
      <c r="DS174" s="228">
        <v>0.65</v>
      </c>
      <c r="DT174" s="229">
        <v>5</v>
      </c>
      <c r="DU174" s="228">
        <v>140</v>
      </c>
      <c r="DV174" s="228">
        <v>135</v>
      </c>
      <c r="DW174" s="228">
        <v>0.69</v>
      </c>
      <c r="DX174" s="228">
        <v>0.77</v>
      </c>
      <c r="DY174" s="228">
        <v>-0.08</v>
      </c>
      <c r="DZ174" s="229">
        <v>-0.10390000000000001</v>
      </c>
      <c r="EA174" s="229">
        <v>3.9199999999999999E-2</v>
      </c>
      <c r="EB174" s="230">
        <v>80414300</v>
      </c>
      <c r="EC174" s="229">
        <v>6.4000000000000003E-3</v>
      </c>
      <c r="ED174" s="229">
        <v>3.9199999999999999E-2</v>
      </c>
      <c r="EE174" s="228">
        <v>0.81</v>
      </c>
      <c r="EF174" s="229">
        <v>5.7000000000000002E-3</v>
      </c>
      <c r="EG174" s="230">
        <v>11548904</v>
      </c>
      <c r="EH174" s="230">
        <v>14945284</v>
      </c>
      <c r="EI174" s="229">
        <v>-0.2273</v>
      </c>
      <c r="EJ174" s="229">
        <v>0.5091</v>
      </c>
      <c r="EK174" s="228">
        <v>669.82</v>
      </c>
      <c r="EL174" s="228">
        <v>423.74</v>
      </c>
      <c r="EM174" s="228">
        <v>529.59</v>
      </c>
      <c r="EN174" s="228">
        <v>115.89</v>
      </c>
      <c r="EO174" s="231">
        <v>1623.15</v>
      </c>
      <c r="EP174" s="231">
        <v>2710.47</v>
      </c>
      <c r="EQ174" s="231">
        <v>-1087.32</v>
      </c>
      <c r="ER174" s="229">
        <v>-0.4012</v>
      </c>
      <c r="ES174" s="228">
        <v>285.36</v>
      </c>
      <c r="ET174" s="228">
        <v>203.58</v>
      </c>
      <c r="EU174" s="231">
        <v>1375.12</v>
      </c>
      <c r="EV174" s="231">
        <v>122326971</v>
      </c>
      <c r="EW174" s="231">
        <v>1864.06</v>
      </c>
      <c r="EX174" s="231">
        <v>1127.3</v>
      </c>
      <c r="EY174" s="228">
        <v>736.76</v>
      </c>
      <c r="EZ174" s="229">
        <v>0.65359999999999996</v>
      </c>
      <c r="FA174" s="229">
        <v>1.0646</v>
      </c>
      <c r="FB174" s="227" t="s">
        <v>555</v>
      </c>
      <c r="FC174">
        <f t="shared" si="3"/>
        <v>0</v>
      </c>
    </row>
    <row r="175" spans="1:159" ht="17.25" thickBot="1" x14ac:dyDescent="0.3">
      <c r="A175" s="226">
        <v>46050</v>
      </c>
      <c r="B175" s="227" t="s">
        <v>175</v>
      </c>
      <c r="C175" s="227" t="s">
        <v>536</v>
      </c>
      <c r="D175" s="228">
        <v>800</v>
      </c>
      <c r="E175" s="228">
        <v>27</v>
      </c>
      <c r="F175" s="228">
        <v>783.65</v>
      </c>
      <c r="G175" s="228">
        <v>774.7</v>
      </c>
      <c r="H175" s="228">
        <v>8.9499999999999993</v>
      </c>
      <c r="I175" s="229">
        <v>1.1599999999999999E-2</v>
      </c>
      <c r="J175" s="228">
        <v>782.4</v>
      </c>
      <c r="K175" s="228">
        <v>771</v>
      </c>
      <c r="L175" s="228">
        <v>11.4</v>
      </c>
      <c r="M175" s="229">
        <v>1.4800000000000001E-2</v>
      </c>
      <c r="N175" s="228">
        <v>783.65</v>
      </c>
      <c r="O175" s="228">
        <v>771.4</v>
      </c>
      <c r="P175" s="228">
        <v>12.25</v>
      </c>
      <c r="Q175" s="229">
        <v>1.5900000000000001E-2</v>
      </c>
      <c r="R175" s="228">
        <v>779.95</v>
      </c>
      <c r="S175" s="228">
        <v>774.7</v>
      </c>
      <c r="T175" s="228">
        <v>5.25</v>
      </c>
      <c r="U175" s="229">
        <v>6.7999999999999996E-3</v>
      </c>
      <c r="V175" s="228">
        <v>780.55</v>
      </c>
      <c r="W175" s="228">
        <v>774.15</v>
      </c>
      <c r="X175" s="228">
        <v>6.4</v>
      </c>
      <c r="Y175" s="229">
        <v>8.3000000000000001E-3</v>
      </c>
      <c r="Z175" s="228">
        <v>1.25</v>
      </c>
      <c r="AA175" s="228">
        <v>3.7</v>
      </c>
      <c r="AB175" s="228">
        <v>-2.4500000000000002</v>
      </c>
      <c r="AC175" s="229">
        <v>1.6000000000000001E-3</v>
      </c>
      <c r="AD175" s="228">
        <v>1.25</v>
      </c>
      <c r="AE175" s="228">
        <v>0.4</v>
      </c>
      <c r="AF175" s="228">
        <v>0.85</v>
      </c>
      <c r="AG175" s="229">
        <v>1.6000000000000001E-3</v>
      </c>
      <c r="AH175" s="228">
        <v>-2.4500000000000002</v>
      </c>
      <c r="AI175" s="228">
        <v>3.7</v>
      </c>
      <c r="AJ175" s="228">
        <v>-6.15</v>
      </c>
      <c r="AK175" s="229">
        <v>-3.0999999999999999E-3</v>
      </c>
      <c r="AL175" s="228">
        <v>-1.85</v>
      </c>
      <c r="AM175" s="228">
        <v>3.15</v>
      </c>
      <c r="AN175" s="228">
        <v>-5</v>
      </c>
      <c r="AO175" s="229">
        <v>-2.3999999999999998E-3</v>
      </c>
      <c r="AP175" s="228">
        <v>785.02</v>
      </c>
      <c r="AQ175" s="228">
        <v>782.18</v>
      </c>
      <c r="AR175" s="228">
        <v>0</v>
      </c>
      <c r="AS175" s="228">
        <v>610</v>
      </c>
      <c r="AT175" s="230">
        <v>1120</v>
      </c>
      <c r="AU175" s="228">
        <v>-509</v>
      </c>
      <c r="AV175" s="229">
        <v>-0.45490000000000003</v>
      </c>
      <c r="AW175" s="228">
        <v>575</v>
      </c>
      <c r="AX175" s="228">
        <v>476</v>
      </c>
      <c r="AY175" s="228">
        <v>99</v>
      </c>
      <c r="AZ175" s="229">
        <v>0.2074</v>
      </c>
      <c r="BA175" s="228">
        <v>33</v>
      </c>
      <c r="BB175" s="228">
        <v>633</v>
      </c>
      <c r="BC175" s="228">
        <v>-601</v>
      </c>
      <c r="BD175" s="229">
        <v>-0.94810000000000005</v>
      </c>
      <c r="BE175" s="228">
        <v>3</v>
      </c>
      <c r="BF175" s="228">
        <v>10</v>
      </c>
      <c r="BG175" s="228">
        <v>-7</v>
      </c>
      <c r="BH175" s="229">
        <v>-0.74380000000000002</v>
      </c>
      <c r="BI175" s="228">
        <v>992</v>
      </c>
      <c r="BJ175" s="228">
        <v>368</v>
      </c>
      <c r="BK175" s="228">
        <v>625</v>
      </c>
      <c r="BL175" s="229">
        <v>1.6993</v>
      </c>
      <c r="BM175" s="228">
        <v>447</v>
      </c>
      <c r="BN175" s="228">
        <v>393</v>
      </c>
      <c r="BO175" s="228">
        <v>54</v>
      </c>
      <c r="BP175" s="229">
        <v>0.13739999999999999</v>
      </c>
      <c r="BQ175" s="230">
        <v>2050</v>
      </c>
      <c r="BR175" s="230">
        <v>1880</v>
      </c>
      <c r="BS175" s="228">
        <v>169</v>
      </c>
      <c r="BT175" s="229">
        <v>9.01E-2</v>
      </c>
      <c r="BU175" s="230">
        <v>1530944</v>
      </c>
      <c r="BV175" s="230">
        <v>969246</v>
      </c>
      <c r="BW175" s="230">
        <v>561698</v>
      </c>
      <c r="BX175" s="229">
        <v>0.57950000000000002</v>
      </c>
      <c r="BY175" s="230">
        <v>1277</v>
      </c>
      <c r="BZ175" s="230">
        <v>1230</v>
      </c>
      <c r="CA175" s="228">
        <v>46</v>
      </c>
      <c r="CB175" s="229">
        <v>3.78E-2</v>
      </c>
      <c r="CC175" s="230">
        <v>1243</v>
      </c>
      <c r="CD175" s="228">
        <v>103</v>
      </c>
      <c r="CE175" s="230">
        <v>1140</v>
      </c>
      <c r="CF175" s="229">
        <v>11.0663</v>
      </c>
      <c r="CG175" s="228">
        <v>32</v>
      </c>
      <c r="CH175" s="230">
        <v>1204</v>
      </c>
      <c r="CI175" s="230">
        <v>-1172</v>
      </c>
      <c r="CJ175" s="229">
        <v>-0.97330000000000005</v>
      </c>
      <c r="CK175" s="228">
        <v>2</v>
      </c>
      <c r="CL175" s="228">
        <v>26</v>
      </c>
      <c r="CM175" s="228">
        <v>-24</v>
      </c>
      <c r="CN175" s="229">
        <v>-0.93200000000000005</v>
      </c>
      <c r="CO175" s="228">
        <v>386</v>
      </c>
      <c r="CP175" s="228">
        <v>202</v>
      </c>
      <c r="CQ175" s="228">
        <v>184</v>
      </c>
      <c r="CR175" s="229">
        <v>0.90769999999999995</v>
      </c>
      <c r="CS175" s="228">
        <v>249</v>
      </c>
      <c r="CT175" s="228">
        <v>154</v>
      </c>
      <c r="CU175" s="228">
        <v>95</v>
      </c>
      <c r="CV175" s="229">
        <v>0.61699999999999999</v>
      </c>
      <c r="CW175" s="230">
        <v>1912</v>
      </c>
      <c r="CX175" s="230">
        <v>1587</v>
      </c>
      <c r="CY175" s="228">
        <v>325</v>
      </c>
      <c r="CZ175" s="229">
        <v>0.2049</v>
      </c>
      <c r="DA175" s="228">
        <v>34.67</v>
      </c>
      <c r="DB175" s="228">
        <v>32.11</v>
      </c>
      <c r="DC175" s="228">
        <v>2.56</v>
      </c>
      <c r="DD175" s="228">
        <v>2.56</v>
      </c>
      <c r="DE175" s="228">
        <v>29.58</v>
      </c>
      <c r="DF175" s="228">
        <v>29.59</v>
      </c>
      <c r="DG175" s="228">
        <v>5.09</v>
      </c>
      <c r="DH175" s="228">
        <v>-0.01</v>
      </c>
      <c r="DI175" s="228">
        <v>34.590000000000003</v>
      </c>
      <c r="DJ175" s="228">
        <v>32.35</v>
      </c>
      <c r="DK175" s="228">
        <v>2.2400000000000002</v>
      </c>
      <c r="DL175" s="228">
        <v>2.2400000000000002</v>
      </c>
      <c r="DM175" s="228">
        <v>34.840000000000003</v>
      </c>
      <c r="DN175" s="228">
        <v>31.76</v>
      </c>
      <c r="DO175" s="228">
        <v>3.08</v>
      </c>
      <c r="DP175" s="228">
        <v>3.08</v>
      </c>
      <c r="DQ175" s="228">
        <v>0.64</v>
      </c>
      <c r="DR175" s="228">
        <v>0.76</v>
      </c>
      <c r="DS175" s="228">
        <v>-0.12</v>
      </c>
      <c r="DT175" s="229">
        <v>-0.15790000000000001</v>
      </c>
      <c r="DU175" s="228">
        <v>800</v>
      </c>
      <c r="DV175" s="228">
        <v>800</v>
      </c>
      <c r="DW175" s="228">
        <v>0.45</v>
      </c>
      <c r="DX175" s="228">
        <v>1.07</v>
      </c>
      <c r="DY175" s="228">
        <v>-0.62</v>
      </c>
      <c r="DZ175" s="229">
        <v>-0.57940000000000003</v>
      </c>
      <c r="EA175" s="229">
        <v>2.6499999999999999E-2</v>
      </c>
      <c r="EB175" s="230">
        <v>15699200</v>
      </c>
      <c r="EC175" s="229">
        <v>-4.7000000000000002E-3</v>
      </c>
      <c r="ED175" s="229">
        <v>2.6499999999999999E-2</v>
      </c>
      <c r="EE175" s="228">
        <v>-2.84</v>
      </c>
      <c r="EF175" s="229">
        <v>-3.5999999999999999E-3</v>
      </c>
      <c r="EG175" s="230">
        <v>642696</v>
      </c>
      <c r="EH175" s="230">
        <v>331673</v>
      </c>
      <c r="EI175" s="229">
        <v>0.93769999999999998</v>
      </c>
      <c r="EJ175" s="229">
        <v>0.41980000000000001</v>
      </c>
      <c r="EK175" s="231">
        <v>1070.5999999999999</v>
      </c>
      <c r="EL175" s="228">
        <v>443.19</v>
      </c>
      <c r="EM175" s="228">
        <v>611.24</v>
      </c>
      <c r="EN175" s="228">
        <v>197.82</v>
      </c>
      <c r="EO175" s="231">
        <v>2125.0300000000002</v>
      </c>
      <c r="EP175" s="231">
        <v>1889.22</v>
      </c>
      <c r="EQ175" s="228">
        <v>235.81</v>
      </c>
      <c r="ER175" s="229">
        <v>0.12479999999999999</v>
      </c>
      <c r="ES175" s="228">
        <v>423.5</v>
      </c>
      <c r="ET175" s="228">
        <v>245.58</v>
      </c>
      <c r="EU175" s="231">
        <v>1276.56</v>
      </c>
      <c r="EV175" s="231">
        <v>44836888</v>
      </c>
      <c r="EW175" s="231">
        <v>1945.64</v>
      </c>
      <c r="EX175" s="231">
        <v>1596.46</v>
      </c>
      <c r="EY175" s="228">
        <v>349.18</v>
      </c>
      <c r="EZ175" s="229">
        <v>0.21870000000000001</v>
      </c>
      <c r="FA175" s="229">
        <v>0.54410000000000003</v>
      </c>
      <c r="FB175" s="227" t="s">
        <v>555</v>
      </c>
      <c r="FC175">
        <f t="shared" si="3"/>
        <v>0</v>
      </c>
    </row>
    <row r="176" spans="1:159" ht="17.25" thickBot="1" x14ac:dyDescent="0.3">
      <c r="A176" s="226">
        <v>46050</v>
      </c>
      <c r="B176" s="227" t="s">
        <v>175</v>
      </c>
      <c r="C176" s="227" t="s">
        <v>462</v>
      </c>
      <c r="D176" s="228">
        <v>375</v>
      </c>
      <c r="E176" s="228">
        <v>27</v>
      </c>
      <c r="F176" s="231">
        <v>2060.6999999999998</v>
      </c>
      <c r="G176" s="231">
        <v>2052.6</v>
      </c>
      <c r="H176" s="228">
        <v>8.1</v>
      </c>
      <c r="I176" s="229">
        <v>3.8999999999999998E-3</v>
      </c>
      <c r="J176" s="231">
        <v>2053.1999999999998</v>
      </c>
      <c r="K176" s="231">
        <v>2038.2</v>
      </c>
      <c r="L176" s="228">
        <v>15</v>
      </c>
      <c r="M176" s="229">
        <v>7.4000000000000003E-3</v>
      </c>
      <c r="N176" s="231">
        <v>2060.6999999999998</v>
      </c>
      <c r="O176" s="231">
        <v>2041.3</v>
      </c>
      <c r="P176" s="228">
        <v>19.399999999999999</v>
      </c>
      <c r="Q176" s="229">
        <v>9.4999999999999998E-3</v>
      </c>
      <c r="R176" s="231">
        <v>2073.1999999999998</v>
      </c>
      <c r="S176" s="231">
        <v>2052.6</v>
      </c>
      <c r="T176" s="228">
        <v>20.6</v>
      </c>
      <c r="U176" s="229">
        <v>0.01</v>
      </c>
      <c r="V176" s="231">
        <v>2084.6999999999998</v>
      </c>
      <c r="W176" s="231">
        <v>2065.8000000000002</v>
      </c>
      <c r="X176" s="228">
        <v>18.899999999999999</v>
      </c>
      <c r="Y176" s="229">
        <v>9.1000000000000004E-3</v>
      </c>
      <c r="Z176" s="228">
        <v>7.5</v>
      </c>
      <c r="AA176" s="228">
        <v>14.4</v>
      </c>
      <c r="AB176" s="228">
        <v>-6.9</v>
      </c>
      <c r="AC176" s="229">
        <v>3.7000000000000002E-3</v>
      </c>
      <c r="AD176" s="228">
        <v>7.5</v>
      </c>
      <c r="AE176" s="228">
        <v>3.1</v>
      </c>
      <c r="AF176" s="228">
        <v>4.4000000000000004</v>
      </c>
      <c r="AG176" s="229">
        <v>3.7000000000000002E-3</v>
      </c>
      <c r="AH176" s="228">
        <v>20</v>
      </c>
      <c r="AI176" s="228">
        <v>14.4</v>
      </c>
      <c r="AJ176" s="228">
        <v>5.6</v>
      </c>
      <c r="AK176" s="229">
        <v>9.7000000000000003E-3</v>
      </c>
      <c r="AL176" s="228">
        <v>31.5</v>
      </c>
      <c r="AM176" s="228">
        <v>27.6</v>
      </c>
      <c r="AN176" s="228">
        <v>3.9</v>
      </c>
      <c r="AO176" s="229">
        <v>1.5299999999999999E-2</v>
      </c>
      <c r="AP176" s="231">
        <v>2063.42</v>
      </c>
      <c r="AQ176" s="231">
        <v>2076.66</v>
      </c>
      <c r="AR176" s="228">
        <v>0</v>
      </c>
      <c r="AS176" s="228">
        <v>646</v>
      </c>
      <c r="AT176" s="230">
        <v>1064</v>
      </c>
      <c r="AU176" s="228">
        <v>-418</v>
      </c>
      <c r="AV176" s="229">
        <v>-0.39250000000000002</v>
      </c>
      <c r="AW176" s="228">
        <v>622</v>
      </c>
      <c r="AX176" s="228">
        <v>433</v>
      </c>
      <c r="AY176" s="228">
        <v>189</v>
      </c>
      <c r="AZ176" s="229">
        <v>0.436</v>
      </c>
      <c r="BA176" s="228">
        <v>21</v>
      </c>
      <c r="BB176" s="228">
        <v>621</v>
      </c>
      <c r="BC176" s="228">
        <v>-600</v>
      </c>
      <c r="BD176" s="229">
        <v>-0.96589999999999998</v>
      </c>
      <c r="BE176" s="228">
        <v>3</v>
      </c>
      <c r="BF176" s="228">
        <v>9</v>
      </c>
      <c r="BG176" s="228">
        <v>-6</v>
      </c>
      <c r="BH176" s="229">
        <v>-0.63929999999999998</v>
      </c>
      <c r="BI176" s="230">
        <v>2014</v>
      </c>
      <c r="BJ176" s="228">
        <v>462</v>
      </c>
      <c r="BK176" s="230">
        <v>1552</v>
      </c>
      <c r="BL176" s="229">
        <v>3.3612000000000002</v>
      </c>
      <c r="BM176" s="230">
        <v>1038</v>
      </c>
      <c r="BN176" s="228">
        <v>241</v>
      </c>
      <c r="BO176" s="228">
        <v>797</v>
      </c>
      <c r="BP176" s="229">
        <v>3.3109000000000002</v>
      </c>
      <c r="BQ176" s="230">
        <v>3699</v>
      </c>
      <c r="BR176" s="230">
        <v>1767</v>
      </c>
      <c r="BS176" s="230">
        <v>1932</v>
      </c>
      <c r="BT176" s="229">
        <v>1.0939000000000001</v>
      </c>
      <c r="BU176" s="230">
        <v>1492010</v>
      </c>
      <c r="BV176" s="230">
        <v>1412781</v>
      </c>
      <c r="BW176" s="230">
        <v>79229</v>
      </c>
      <c r="BX176" s="229">
        <v>5.6099999999999997E-2</v>
      </c>
      <c r="BY176" s="230">
        <v>2039</v>
      </c>
      <c r="BZ176" s="230">
        <v>2008</v>
      </c>
      <c r="CA176" s="228">
        <v>31</v>
      </c>
      <c r="CB176" s="229">
        <v>1.5599999999999999E-2</v>
      </c>
      <c r="CC176" s="230">
        <v>2008</v>
      </c>
      <c r="CD176" s="228">
        <v>266</v>
      </c>
      <c r="CE176" s="230">
        <v>1743</v>
      </c>
      <c r="CF176" s="229">
        <v>6.5606999999999998</v>
      </c>
      <c r="CG176" s="228">
        <v>29</v>
      </c>
      <c r="CH176" s="230">
        <v>1982</v>
      </c>
      <c r="CI176" s="230">
        <v>-1953</v>
      </c>
      <c r="CJ176" s="229">
        <v>-0.98519999999999996</v>
      </c>
      <c r="CK176" s="228">
        <v>2</v>
      </c>
      <c r="CL176" s="228">
        <v>25</v>
      </c>
      <c r="CM176" s="228">
        <v>-24</v>
      </c>
      <c r="CN176" s="229">
        <v>-0.93620000000000003</v>
      </c>
      <c r="CO176" s="228">
        <v>348</v>
      </c>
      <c r="CP176" s="228">
        <v>128</v>
      </c>
      <c r="CQ176" s="228">
        <v>220</v>
      </c>
      <c r="CR176" s="229">
        <v>1.7112000000000001</v>
      </c>
      <c r="CS176" s="228">
        <v>303</v>
      </c>
      <c r="CT176" s="228">
        <v>114</v>
      </c>
      <c r="CU176" s="228">
        <v>189</v>
      </c>
      <c r="CV176" s="229">
        <v>1.6617</v>
      </c>
      <c r="CW176" s="230">
        <v>2690</v>
      </c>
      <c r="CX176" s="230">
        <v>2250</v>
      </c>
      <c r="CY176" s="228">
        <v>440</v>
      </c>
      <c r="CZ176" s="229">
        <v>0.1956</v>
      </c>
      <c r="DA176" s="228">
        <v>25.11</v>
      </c>
      <c r="DB176" s="228">
        <v>25.31</v>
      </c>
      <c r="DC176" s="228">
        <v>-0.2</v>
      </c>
      <c r="DD176" s="228">
        <v>-0.2</v>
      </c>
      <c r="DE176" s="228">
        <v>23.62</v>
      </c>
      <c r="DF176" s="228">
        <v>23.66</v>
      </c>
      <c r="DG176" s="228">
        <v>1.49</v>
      </c>
      <c r="DH176" s="228">
        <v>-0.04</v>
      </c>
      <c r="DI176" s="228">
        <v>24.84</v>
      </c>
      <c r="DJ176" s="228">
        <v>24.98</v>
      </c>
      <c r="DK176" s="228">
        <v>-0.14000000000000001</v>
      </c>
      <c r="DL176" s="228">
        <v>-0.14000000000000001</v>
      </c>
      <c r="DM176" s="228">
        <v>25.64</v>
      </c>
      <c r="DN176" s="228">
        <v>26.07</v>
      </c>
      <c r="DO176" s="228">
        <v>-0.43</v>
      </c>
      <c r="DP176" s="228">
        <v>-0.43</v>
      </c>
      <c r="DQ176" s="228">
        <v>0.87</v>
      </c>
      <c r="DR176" s="228">
        <v>0.89</v>
      </c>
      <c r="DS176" s="228">
        <v>-0.02</v>
      </c>
      <c r="DT176" s="229">
        <v>-2.2499999999999999E-2</v>
      </c>
      <c r="DU176" s="231">
        <v>2100</v>
      </c>
      <c r="DV176" s="231">
        <v>2060</v>
      </c>
      <c r="DW176" s="228">
        <v>0.52</v>
      </c>
      <c r="DX176" s="228">
        <v>0.52</v>
      </c>
      <c r="DY176" s="228">
        <v>0</v>
      </c>
      <c r="DZ176" s="229">
        <v>0</v>
      </c>
      <c r="EA176" s="229">
        <v>1.52E-2</v>
      </c>
      <c r="EB176" s="230">
        <v>9742875</v>
      </c>
      <c r="EC176" s="229">
        <v>6.1000000000000004E-3</v>
      </c>
      <c r="ED176" s="229">
        <v>1.52E-2</v>
      </c>
      <c r="EE176" s="228">
        <v>13.24</v>
      </c>
      <c r="EF176" s="229">
        <v>6.4000000000000003E-3</v>
      </c>
      <c r="EG176" s="230">
        <v>733562</v>
      </c>
      <c r="EH176" s="230">
        <v>892119</v>
      </c>
      <c r="EI176" s="229">
        <v>-0.1777</v>
      </c>
      <c r="EJ176" s="229">
        <v>0.49170000000000003</v>
      </c>
      <c r="EK176" s="231">
        <v>2116.87</v>
      </c>
      <c r="EL176" s="231">
        <v>1025.72</v>
      </c>
      <c r="EM176" s="228">
        <v>647.37</v>
      </c>
      <c r="EN176" s="228">
        <v>182.37</v>
      </c>
      <c r="EO176" s="231">
        <v>3789.96</v>
      </c>
      <c r="EP176" s="231">
        <v>1758.01</v>
      </c>
      <c r="EQ176" s="231">
        <v>2031.95</v>
      </c>
      <c r="ER176" s="229">
        <v>1.1557999999999999</v>
      </c>
      <c r="ES176" s="228">
        <v>364.01</v>
      </c>
      <c r="ET176" s="228">
        <v>290.38</v>
      </c>
      <c r="EU176" s="231">
        <v>2039.29</v>
      </c>
      <c r="EV176" s="231">
        <v>44756800</v>
      </c>
      <c r="EW176" s="231">
        <v>2693.67</v>
      </c>
      <c r="EX176" s="231">
        <v>2240.2199999999998</v>
      </c>
      <c r="EY176" s="228">
        <v>453.45</v>
      </c>
      <c r="EZ176" s="229">
        <v>0.2024</v>
      </c>
      <c r="FA176" s="229">
        <v>0.29170000000000001</v>
      </c>
      <c r="FB176" s="227" t="s">
        <v>555</v>
      </c>
      <c r="FC176">
        <f t="shared" si="3"/>
        <v>0</v>
      </c>
    </row>
    <row r="177" spans="1:159" ht="17.25" thickBot="1" x14ac:dyDescent="0.3">
      <c r="A177" s="226">
        <v>46050</v>
      </c>
      <c r="B177" s="227" t="s">
        <v>172</v>
      </c>
      <c r="C177" s="227" t="s">
        <v>283</v>
      </c>
      <c r="D177" s="228">
        <v>750</v>
      </c>
      <c r="E177" s="228">
        <v>27</v>
      </c>
      <c r="F177" s="231">
        <v>1067.3</v>
      </c>
      <c r="G177" s="231">
        <v>1058.4000000000001</v>
      </c>
      <c r="H177" s="228">
        <v>8.9</v>
      </c>
      <c r="I177" s="229">
        <v>8.3999999999999995E-3</v>
      </c>
      <c r="J177" s="231">
        <v>1063.5</v>
      </c>
      <c r="K177" s="231">
        <v>1053.1500000000001</v>
      </c>
      <c r="L177" s="228">
        <v>10.35</v>
      </c>
      <c r="M177" s="229">
        <v>9.7999999999999997E-3</v>
      </c>
      <c r="N177" s="231">
        <v>1067.3</v>
      </c>
      <c r="O177" s="231">
        <v>1051.05</v>
      </c>
      <c r="P177" s="228">
        <v>16.25</v>
      </c>
      <c r="Q177" s="229">
        <v>1.55E-2</v>
      </c>
      <c r="R177" s="231">
        <v>1074.05</v>
      </c>
      <c r="S177" s="231">
        <v>1058.4000000000001</v>
      </c>
      <c r="T177" s="228">
        <v>15.65</v>
      </c>
      <c r="U177" s="229">
        <v>1.4800000000000001E-2</v>
      </c>
      <c r="V177" s="231">
        <v>1080.55</v>
      </c>
      <c r="W177" s="231">
        <v>1065.2</v>
      </c>
      <c r="X177" s="228">
        <v>15.35</v>
      </c>
      <c r="Y177" s="229">
        <v>1.44E-2</v>
      </c>
      <c r="Z177" s="228">
        <v>3.8</v>
      </c>
      <c r="AA177" s="228">
        <v>5.25</v>
      </c>
      <c r="AB177" s="228">
        <v>-1.45</v>
      </c>
      <c r="AC177" s="229">
        <v>3.5999999999999999E-3</v>
      </c>
      <c r="AD177" s="228">
        <v>3.8</v>
      </c>
      <c r="AE177" s="228">
        <v>-2.1</v>
      </c>
      <c r="AF177" s="228">
        <v>5.9</v>
      </c>
      <c r="AG177" s="229">
        <v>3.5999999999999999E-3</v>
      </c>
      <c r="AH177" s="228">
        <v>10.55</v>
      </c>
      <c r="AI177" s="228">
        <v>5.25</v>
      </c>
      <c r="AJ177" s="228">
        <v>5.3</v>
      </c>
      <c r="AK177" s="229">
        <v>9.9000000000000008E-3</v>
      </c>
      <c r="AL177" s="228">
        <v>17.05</v>
      </c>
      <c r="AM177" s="228">
        <v>12.05</v>
      </c>
      <c r="AN177" s="228">
        <v>5</v>
      </c>
      <c r="AO177" s="229">
        <v>1.6E-2</v>
      </c>
      <c r="AP177" s="231">
        <v>1060.6099999999999</v>
      </c>
      <c r="AQ177" s="231">
        <v>1068.0899999999999</v>
      </c>
      <c r="AR177" s="228">
        <v>0</v>
      </c>
      <c r="AS177" s="230">
        <v>1607</v>
      </c>
      <c r="AT177" s="230">
        <v>4264</v>
      </c>
      <c r="AU177" s="230">
        <v>-2657</v>
      </c>
      <c r="AV177" s="229">
        <v>-0.62309999999999999</v>
      </c>
      <c r="AW177" s="230">
        <v>1510</v>
      </c>
      <c r="AX177" s="230">
        <v>1913</v>
      </c>
      <c r="AY177" s="228">
        <v>-403</v>
      </c>
      <c r="AZ177" s="229">
        <v>-0.2107</v>
      </c>
      <c r="BA177" s="228">
        <v>70</v>
      </c>
      <c r="BB177" s="230">
        <v>2289</v>
      </c>
      <c r="BC177" s="230">
        <v>-2220</v>
      </c>
      <c r="BD177" s="229">
        <v>-0.96950000000000003</v>
      </c>
      <c r="BE177" s="228">
        <v>27</v>
      </c>
      <c r="BF177" s="228">
        <v>61</v>
      </c>
      <c r="BG177" s="228">
        <v>-34</v>
      </c>
      <c r="BH177" s="229">
        <v>-0.56130000000000002</v>
      </c>
      <c r="BI177" s="230">
        <v>4796</v>
      </c>
      <c r="BJ177" s="230">
        <v>7476</v>
      </c>
      <c r="BK177" s="230">
        <v>-2680</v>
      </c>
      <c r="BL177" s="229">
        <v>-0.35849999999999999</v>
      </c>
      <c r="BM177" s="230">
        <v>3328</v>
      </c>
      <c r="BN177" s="230">
        <v>5507</v>
      </c>
      <c r="BO177" s="230">
        <v>-2179</v>
      </c>
      <c r="BP177" s="229">
        <v>-0.3957</v>
      </c>
      <c r="BQ177" s="230">
        <v>9731</v>
      </c>
      <c r="BR177" s="230">
        <v>17247</v>
      </c>
      <c r="BS177" s="230">
        <v>-7516</v>
      </c>
      <c r="BT177" s="229">
        <v>-0.43580000000000002</v>
      </c>
      <c r="BU177" s="230">
        <v>12987443</v>
      </c>
      <c r="BV177" s="230">
        <v>15235180</v>
      </c>
      <c r="BW177" s="230">
        <v>-2247737</v>
      </c>
      <c r="BX177" s="229">
        <v>-0.14749999999999999</v>
      </c>
      <c r="BY177" s="230">
        <v>7464</v>
      </c>
      <c r="BZ177" s="230">
        <v>7573</v>
      </c>
      <c r="CA177" s="228">
        <v>-109</v>
      </c>
      <c r="CB177" s="229">
        <v>-1.44E-2</v>
      </c>
      <c r="CC177" s="230">
        <v>7174</v>
      </c>
      <c r="CD177" s="230">
        <v>1405</v>
      </c>
      <c r="CE177" s="230">
        <v>5769</v>
      </c>
      <c r="CF177" s="229">
        <v>4.1060999999999996</v>
      </c>
      <c r="CG177" s="228">
        <v>271</v>
      </c>
      <c r="CH177" s="230">
        <v>7302</v>
      </c>
      <c r="CI177" s="230">
        <v>-7031</v>
      </c>
      <c r="CJ177" s="229">
        <v>-0.96289999999999998</v>
      </c>
      <c r="CK177" s="228">
        <v>19</v>
      </c>
      <c r="CL177" s="228">
        <v>271</v>
      </c>
      <c r="CM177" s="228">
        <v>-252</v>
      </c>
      <c r="CN177" s="229">
        <v>-0.93059999999999998</v>
      </c>
      <c r="CO177" s="230">
        <v>1776</v>
      </c>
      <c r="CP177" s="230">
        <v>1384</v>
      </c>
      <c r="CQ177" s="228">
        <v>392</v>
      </c>
      <c r="CR177" s="229">
        <v>0.28339999999999999</v>
      </c>
      <c r="CS177" s="230">
        <v>2034</v>
      </c>
      <c r="CT177" s="230">
        <v>1681</v>
      </c>
      <c r="CU177" s="228">
        <v>353</v>
      </c>
      <c r="CV177" s="229">
        <v>0.21</v>
      </c>
      <c r="CW177" s="230">
        <v>11273</v>
      </c>
      <c r="CX177" s="230">
        <v>10638</v>
      </c>
      <c r="CY177" s="228">
        <v>636</v>
      </c>
      <c r="CZ177" s="229">
        <v>5.9799999999999999E-2</v>
      </c>
      <c r="DA177" s="228">
        <v>26.03</v>
      </c>
      <c r="DB177" s="228">
        <v>26.83</v>
      </c>
      <c r="DC177" s="228">
        <v>-0.8</v>
      </c>
      <c r="DD177" s="228">
        <v>-0.8</v>
      </c>
      <c r="DE177" s="228">
        <v>24.25</v>
      </c>
      <c r="DF177" s="228">
        <v>24.27</v>
      </c>
      <c r="DG177" s="228">
        <v>1.78</v>
      </c>
      <c r="DH177" s="228">
        <v>-0.02</v>
      </c>
      <c r="DI177" s="228">
        <v>25.56</v>
      </c>
      <c r="DJ177" s="228">
        <v>26.3</v>
      </c>
      <c r="DK177" s="228">
        <v>-0.74</v>
      </c>
      <c r="DL177" s="228">
        <v>-0.74</v>
      </c>
      <c r="DM177" s="228">
        <v>26.71</v>
      </c>
      <c r="DN177" s="228">
        <v>27.41</v>
      </c>
      <c r="DO177" s="228">
        <v>-0.7</v>
      </c>
      <c r="DP177" s="228">
        <v>-0.7</v>
      </c>
      <c r="DQ177" s="228">
        <v>1.1399999999999999</v>
      </c>
      <c r="DR177" s="228">
        <v>1.21</v>
      </c>
      <c r="DS177" s="228">
        <v>-7.0000000000000007E-2</v>
      </c>
      <c r="DT177" s="229">
        <v>-5.79E-2</v>
      </c>
      <c r="DU177" s="231">
        <v>1100</v>
      </c>
      <c r="DV177" s="231">
        <v>1020</v>
      </c>
      <c r="DW177" s="228">
        <v>0.69</v>
      </c>
      <c r="DX177" s="228">
        <v>0.74</v>
      </c>
      <c r="DY177" s="228">
        <v>-0.05</v>
      </c>
      <c r="DZ177" s="229">
        <v>-6.7599999999999993E-2</v>
      </c>
      <c r="EA177" s="229">
        <v>3.8800000000000001E-2</v>
      </c>
      <c r="EB177" s="230">
        <v>70955250</v>
      </c>
      <c r="EC177" s="229">
        <v>6.3E-3</v>
      </c>
      <c r="ED177" s="229">
        <v>3.8800000000000001E-2</v>
      </c>
      <c r="EE177" s="228">
        <v>7.48</v>
      </c>
      <c r="EF177" s="229">
        <v>7.1000000000000004E-3</v>
      </c>
      <c r="EG177" s="230">
        <v>8036236</v>
      </c>
      <c r="EH177" s="230">
        <v>7902062</v>
      </c>
      <c r="EI177" s="229">
        <v>1.7000000000000001E-2</v>
      </c>
      <c r="EJ177" s="229">
        <v>0.61880000000000002</v>
      </c>
      <c r="EK177" s="231">
        <v>4965.8999999999996</v>
      </c>
      <c r="EL177" s="231">
        <v>3257.9</v>
      </c>
      <c r="EM177" s="231">
        <v>1597.61</v>
      </c>
      <c r="EN177" s="228">
        <v>645.70000000000005</v>
      </c>
      <c r="EO177" s="231">
        <v>9821.41</v>
      </c>
      <c r="EP177" s="231">
        <v>16981.37</v>
      </c>
      <c r="EQ177" s="231">
        <v>-7159.96</v>
      </c>
      <c r="ER177" s="229">
        <v>-0.42159999999999997</v>
      </c>
      <c r="ES177" s="231">
        <v>1787.72</v>
      </c>
      <c r="ET177" s="231">
        <v>1919.2</v>
      </c>
      <c r="EU177" s="231">
        <v>7465.66</v>
      </c>
      <c r="EV177" s="231">
        <v>436949195</v>
      </c>
      <c r="EW177" s="231">
        <v>11172.58</v>
      </c>
      <c r="EX177" s="231">
        <v>10479.040000000001</v>
      </c>
      <c r="EY177" s="228">
        <v>693.54</v>
      </c>
      <c r="EZ177" s="229">
        <v>6.6199999999999995E-2</v>
      </c>
      <c r="FA177" s="229">
        <v>0.2417</v>
      </c>
      <c r="FB177" s="227" t="s">
        <v>556</v>
      </c>
      <c r="FC177">
        <f t="shared" si="3"/>
        <v>0</v>
      </c>
    </row>
    <row r="178" spans="1:159" ht="17.25" thickBot="1" x14ac:dyDescent="0.3">
      <c r="A178" s="226">
        <v>46050</v>
      </c>
      <c r="B178" s="227" t="s">
        <v>157</v>
      </c>
      <c r="C178" s="227" t="s">
        <v>284</v>
      </c>
      <c r="D178" s="228">
        <v>25</v>
      </c>
      <c r="E178" s="228">
        <v>27</v>
      </c>
      <c r="F178" s="231">
        <v>27500</v>
      </c>
      <c r="G178" s="231">
        <v>27300</v>
      </c>
      <c r="H178" s="228">
        <v>200</v>
      </c>
      <c r="I178" s="229">
        <v>7.3000000000000001E-3</v>
      </c>
      <c r="J178" s="231">
        <v>27480</v>
      </c>
      <c r="K178" s="231">
        <v>27220</v>
      </c>
      <c r="L178" s="228">
        <v>260</v>
      </c>
      <c r="M178" s="229">
        <v>9.5999999999999992E-3</v>
      </c>
      <c r="N178" s="231">
        <v>27500</v>
      </c>
      <c r="O178" s="231">
        <v>27210</v>
      </c>
      <c r="P178" s="228">
        <v>290</v>
      </c>
      <c r="Q178" s="229">
        <v>1.0699999999999999E-2</v>
      </c>
      <c r="R178" s="231">
        <v>27600</v>
      </c>
      <c r="S178" s="231">
        <v>27300</v>
      </c>
      <c r="T178" s="228">
        <v>300</v>
      </c>
      <c r="U178" s="229">
        <v>1.0999999999999999E-2</v>
      </c>
      <c r="V178" s="228">
        <v>0</v>
      </c>
      <c r="W178" s="231">
        <v>27550</v>
      </c>
      <c r="X178" s="228">
        <v>0</v>
      </c>
      <c r="Y178" s="229">
        <v>0</v>
      </c>
      <c r="Z178" s="228">
        <v>20</v>
      </c>
      <c r="AA178" s="228">
        <v>80</v>
      </c>
      <c r="AB178" s="228">
        <v>-60</v>
      </c>
      <c r="AC178" s="229">
        <v>6.9999999999999999E-4</v>
      </c>
      <c r="AD178" s="228">
        <v>20</v>
      </c>
      <c r="AE178" s="228">
        <v>-10</v>
      </c>
      <c r="AF178" s="228">
        <v>30</v>
      </c>
      <c r="AG178" s="229">
        <v>6.9999999999999999E-4</v>
      </c>
      <c r="AH178" s="228">
        <v>120</v>
      </c>
      <c r="AI178" s="228">
        <v>80</v>
      </c>
      <c r="AJ178" s="228">
        <v>40</v>
      </c>
      <c r="AK178" s="229">
        <v>4.4000000000000003E-3</v>
      </c>
      <c r="AL178" s="228">
        <v>0</v>
      </c>
      <c r="AM178" s="228">
        <v>330</v>
      </c>
      <c r="AN178" s="228">
        <v>0</v>
      </c>
      <c r="AO178" s="229">
        <v>0</v>
      </c>
      <c r="AP178" s="231">
        <v>27340.46</v>
      </c>
      <c r="AQ178" s="231">
        <v>27444.44</v>
      </c>
      <c r="AR178" s="228">
        <v>0</v>
      </c>
      <c r="AS178" s="228">
        <v>149</v>
      </c>
      <c r="AT178" s="228">
        <v>420</v>
      </c>
      <c r="AU178" s="228">
        <v>-270</v>
      </c>
      <c r="AV178" s="229">
        <v>-0.64429999999999998</v>
      </c>
      <c r="AW178" s="228">
        <v>148</v>
      </c>
      <c r="AX178" s="228">
        <v>169</v>
      </c>
      <c r="AY178" s="228">
        <v>-21</v>
      </c>
      <c r="AZ178" s="229">
        <v>-0.12230000000000001</v>
      </c>
      <c r="BA178" s="228">
        <v>1</v>
      </c>
      <c r="BB178" s="228">
        <v>248</v>
      </c>
      <c r="BC178" s="228">
        <v>-247</v>
      </c>
      <c r="BD178" s="229">
        <v>-0.995</v>
      </c>
      <c r="BE178" s="228">
        <v>0</v>
      </c>
      <c r="BF178" s="228">
        <v>3</v>
      </c>
      <c r="BG178" s="228">
        <v>0</v>
      </c>
      <c r="BH178" s="229">
        <v>0</v>
      </c>
      <c r="BI178" s="228">
        <v>43</v>
      </c>
      <c r="BJ178" s="228">
        <v>306</v>
      </c>
      <c r="BK178" s="228">
        <v>-263</v>
      </c>
      <c r="BL178" s="229">
        <v>-0.85899999999999999</v>
      </c>
      <c r="BM178" s="228">
        <v>41</v>
      </c>
      <c r="BN178" s="228">
        <v>238</v>
      </c>
      <c r="BO178" s="228">
        <v>-197</v>
      </c>
      <c r="BP178" s="229">
        <v>-0.82909999999999995</v>
      </c>
      <c r="BQ178" s="228">
        <v>233</v>
      </c>
      <c r="BR178" s="228">
        <v>963</v>
      </c>
      <c r="BS178" s="228">
        <v>-730</v>
      </c>
      <c r="BT178" s="229">
        <v>-0.7581</v>
      </c>
      <c r="BU178" s="230">
        <v>18624</v>
      </c>
      <c r="BV178" s="230">
        <v>32702</v>
      </c>
      <c r="BW178" s="230">
        <v>-14078</v>
      </c>
      <c r="BX178" s="229">
        <v>-0.43049999999999999</v>
      </c>
      <c r="BY178" s="228">
        <v>742</v>
      </c>
      <c r="BZ178" s="228">
        <v>690</v>
      </c>
      <c r="CA178" s="228">
        <v>51</v>
      </c>
      <c r="CB178" s="229">
        <v>7.4300000000000005E-2</v>
      </c>
      <c r="CC178" s="228">
        <v>737</v>
      </c>
      <c r="CD178" s="228">
        <v>35</v>
      </c>
      <c r="CE178" s="228">
        <v>702</v>
      </c>
      <c r="CF178" s="229">
        <v>20.066800000000001</v>
      </c>
      <c r="CG178" s="228">
        <v>4</v>
      </c>
      <c r="CH178" s="228">
        <v>686</v>
      </c>
      <c r="CI178" s="228">
        <v>-682</v>
      </c>
      <c r="CJ178" s="229">
        <v>-0.99370000000000003</v>
      </c>
      <c r="CK178" s="228">
        <v>0</v>
      </c>
      <c r="CL178" s="228">
        <v>4</v>
      </c>
      <c r="CM178" s="228">
        <v>-4</v>
      </c>
      <c r="CN178" s="229">
        <v>-1</v>
      </c>
      <c r="CO178" s="228">
        <v>44</v>
      </c>
      <c r="CP178" s="228">
        <v>35</v>
      </c>
      <c r="CQ178" s="228">
        <v>10</v>
      </c>
      <c r="CR178" s="229">
        <v>0.27579999999999999</v>
      </c>
      <c r="CS178" s="228">
        <v>40</v>
      </c>
      <c r="CT178" s="228">
        <v>33</v>
      </c>
      <c r="CU178" s="228">
        <v>7</v>
      </c>
      <c r="CV178" s="229">
        <v>0.2079</v>
      </c>
      <c r="CW178" s="228">
        <v>826</v>
      </c>
      <c r="CX178" s="228">
        <v>758</v>
      </c>
      <c r="CY178" s="228">
        <v>68</v>
      </c>
      <c r="CZ178" s="229">
        <v>8.9300000000000004E-2</v>
      </c>
      <c r="DA178" s="228">
        <v>26.56</v>
      </c>
      <c r="DB178" s="228">
        <v>27.72</v>
      </c>
      <c r="DC178" s="228">
        <v>-1.1599999999999999</v>
      </c>
      <c r="DD178" s="228">
        <v>-1.1599999999999999</v>
      </c>
      <c r="DE178" s="228">
        <v>24.07</v>
      </c>
      <c r="DF178" s="228">
        <v>24.11</v>
      </c>
      <c r="DG178" s="228">
        <v>2.4900000000000002</v>
      </c>
      <c r="DH178" s="228">
        <v>-0.04</v>
      </c>
      <c r="DI178" s="228">
        <v>25.94</v>
      </c>
      <c r="DJ178" s="228">
        <v>27.61</v>
      </c>
      <c r="DK178" s="228">
        <v>-1.67</v>
      </c>
      <c r="DL178" s="228">
        <v>-1.67</v>
      </c>
      <c r="DM178" s="228">
        <v>27.22</v>
      </c>
      <c r="DN178" s="228">
        <v>27.84</v>
      </c>
      <c r="DO178" s="228">
        <v>-0.62</v>
      </c>
      <c r="DP178" s="228">
        <v>-0.62</v>
      </c>
      <c r="DQ178" s="228">
        <v>0.9</v>
      </c>
      <c r="DR178" s="228">
        <v>0.95</v>
      </c>
      <c r="DS178" s="228">
        <v>-0.05</v>
      </c>
      <c r="DT178" s="229">
        <v>-5.2600000000000001E-2</v>
      </c>
      <c r="DU178" s="231">
        <v>27500</v>
      </c>
      <c r="DV178" s="231">
        <v>27500</v>
      </c>
      <c r="DW178" s="228">
        <v>0.94</v>
      </c>
      <c r="DX178" s="228">
        <v>0.78</v>
      </c>
      <c r="DY178" s="228">
        <v>0.16</v>
      </c>
      <c r="DZ178" s="229">
        <v>0.2051</v>
      </c>
      <c r="EA178" s="229">
        <v>5.7999999999999996E-3</v>
      </c>
      <c r="EB178" s="230">
        <v>251000</v>
      </c>
      <c r="EC178" s="229">
        <v>3.5999999999999999E-3</v>
      </c>
      <c r="ED178" s="229">
        <v>5.7999999999999996E-3</v>
      </c>
      <c r="EE178" s="228">
        <v>103.98</v>
      </c>
      <c r="EF178" s="229">
        <v>3.8E-3</v>
      </c>
      <c r="EG178" s="230">
        <v>11631</v>
      </c>
      <c r="EH178" s="230">
        <v>12762</v>
      </c>
      <c r="EI178" s="229">
        <v>-8.8599999999999998E-2</v>
      </c>
      <c r="EJ178" s="229">
        <v>0.62450000000000006</v>
      </c>
      <c r="EK178" s="228">
        <v>45.04</v>
      </c>
      <c r="EL178" s="228">
        <v>40.28</v>
      </c>
      <c r="EM178" s="228">
        <v>148.4</v>
      </c>
      <c r="EN178" s="228">
        <v>80.45</v>
      </c>
      <c r="EO178" s="228">
        <v>233.72</v>
      </c>
      <c r="EP178" s="228">
        <v>968.67</v>
      </c>
      <c r="EQ178" s="228">
        <v>-734.95</v>
      </c>
      <c r="ER178" s="229">
        <v>-0.75870000000000004</v>
      </c>
      <c r="ES178" s="228">
        <v>45.92</v>
      </c>
      <c r="ET178" s="228">
        <v>39</v>
      </c>
      <c r="EU178" s="228">
        <v>741.55</v>
      </c>
      <c r="EV178" s="231">
        <v>1568093</v>
      </c>
      <c r="EW178" s="228">
        <v>826.48</v>
      </c>
      <c r="EX178" s="228">
        <v>753.6</v>
      </c>
      <c r="EY178" s="228">
        <v>72.88</v>
      </c>
      <c r="EZ178" s="229">
        <v>9.6699999999999994E-2</v>
      </c>
      <c r="FA178" s="229">
        <v>0.1915</v>
      </c>
      <c r="FB178" s="227" t="s">
        <v>555</v>
      </c>
      <c r="FC178">
        <f t="shared" si="3"/>
        <v>0</v>
      </c>
    </row>
    <row r="179" spans="1:159" ht="17.25" thickBot="1" x14ac:dyDescent="0.3">
      <c r="A179" s="226">
        <v>46050</v>
      </c>
      <c r="B179" s="227" t="s">
        <v>175</v>
      </c>
      <c r="C179" s="227" t="s">
        <v>562</v>
      </c>
      <c r="D179" s="228">
        <v>825</v>
      </c>
      <c r="E179" s="228">
        <v>27</v>
      </c>
      <c r="F179" s="231">
        <v>1022.55</v>
      </c>
      <c r="G179" s="231">
        <v>1006.3</v>
      </c>
      <c r="H179" s="228">
        <v>16.25</v>
      </c>
      <c r="I179" s="229">
        <v>1.61E-2</v>
      </c>
      <c r="J179" s="231">
        <v>1018.8</v>
      </c>
      <c r="K179" s="231">
        <v>1001.05</v>
      </c>
      <c r="L179" s="228">
        <v>17.75</v>
      </c>
      <c r="M179" s="229">
        <v>1.77E-2</v>
      </c>
      <c r="N179" s="231">
        <v>1022.55</v>
      </c>
      <c r="O179" s="231">
        <v>1001.1</v>
      </c>
      <c r="P179" s="228">
        <v>21.45</v>
      </c>
      <c r="Q179" s="229">
        <v>2.1399999999999999E-2</v>
      </c>
      <c r="R179" s="231">
        <v>1029.55</v>
      </c>
      <c r="S179" s="231">
        <v>1006.3</v>
      </c>
      <c r="T179" s="228">
        <v>23.25</v>
      </c>
      <c r="U179" s="229">
        <v>2.3099999999999999E-2</v>
      </c>
      <c r="V179" s="231">
        <v>1034.25</v>
      </c>
      <c r="W179" s="231">
        <v>1012.75</v>
      </c>
      <c r="X179" s="228">
        <v>21.5</v>
      </c>
      <c r="Y179" s="229">
        <v>2.12E-2</v>
      </c>
      <c r="Z179" s="228">
        <v>3.75</v>
      </c>
      <c r="AA179" s="228">
        <v>5.25</v>
      </c>
      <c r="AB179" s="228">
        <v>-1.5</v>
      </c>
      <c r="AC179" s="229">
        <v>3.7000000000000002E-3</v>
      </c>
      <c r="AD179" s="228">
        <v>3.75</v>
      </c>
      <c r="AE179" s="228">
        <v>0.05</v>
      </c>
      <c r="AF179" s="228">
        <v>3.7</v>
      </c>
      <c r="AG179" s="229">
        <v>3.7000000000000002E-3</v>
      </c>
      <c r="AH179" s="228">
        <v>10.75</v>
      </c>
      <c r="AI179" s="228">
        <v>5.25</v>
      </c>
      <c r="AJ179" s="228">
        <v>5.5</v>
      </c>
      <c r="AK179" s="229">
        <v>1.06E-2</v>
      </c>
      <c r="AL179" s="228">
        <v>15.45</v>
      </c>
      <c r="AM179" s="228">
        <v>11.7</v>
      </c>
      <c r="AN179" s="228">
        <v>3.75</v>
      </c>
      <c r="AO179" s="229">
        <v>1.52E-2</v>
      </c>
      <c r="AP179" s="231">
        <v>1015.34</v>
      </c>
      <c r="AQ179" s="231">
        <v>1020.6</v>
      </c>
      <c r="AR179" s="228">
        <v>0</v>
      </c>
      <c r="AS179" s="228">
        <v>677</v>
      </c>
      <c r="AT179" s="230">
        <v>2731</v>
      </c>
      <c r="AU179" s="230">
        <v>-2054</v>
      </c>
      <c r="AV179" s="229">
        <v>-0.75209999999999999</v>
      </c>
      <c r="AW179" s="228">
        <v>654</v>
      </c>
      <c r="AX179" s="230">
        <v>1090</v>
      </c>
      <c r="AY179" s="228">
        <v>-436</v>
      </c>
      <c r="AZ179" s="229">
        <v>-0.39989999999999998</v>
      </c>
      <c r="BA179" s="228">
        <v>19</v>
      </c>
      <c r="BB179" s="230">
        <v>1610</v>
      </c>
      <c r="BC179" s="230">
        <v>-1590</v>
      </c>
      <c r="BD179" s="229">
        <v>-0.9879</v>
      </c>
      <c r="BE179" s="228">
        <v>3</v>
      </c>
      <c r="BF179" s="228">
        <v>31</v>
      </c>
      <c r="BG179" s="228">
        <v>-28</v>
      </c>
      <c r="BH179" s="229">
        <v>-0.89190000000000003</v>
      </c>
      <c r="BI179" s="230">
        <v>1373</v>
      </c>
      <c r="BJ179" s="230">
        <v>3102</v>
      </c>
      <c r="BK179" s="230">
        <v>-1729</v>
      </c>
      <c r="BL179" s="229">
        <v>-0.55740000000000001</v>
      </c>
      <c r="BM179" s="228">
        <v>866</v>
      </c>
      <c r="BN179" s="230">
        <v>2214</v>
      </c>
      <c r="BO179" s="230">
        <v>-1348</v>
      </c>
      <c r="BP179" s="229">
        <v>-0.60880000000000001</v>
      </c>
      <c r="BQ179" s="230">
        <v>2916</v>
      </c>
      <c r="BR179" s="230">
        <v>8047</v>
      </c>
      <c r="BS179" s="230">
        <v>-5131</v>
      </c>
      <c r="BT179" s="229">
        <v>-0.63759999999999994</v>
      </c>
      <c r="BU179" s="230">
        <v>5732451</v>
      </c>
      <c r="BV179" s="230">
        <v>8168682</v>
      </c>
      <c r="BW179" s="230">
        <v>-2436231</v>
      </c>
      <c r="BX179" s="229">
        <v>-0.29820000000000002</v>
      </c>
      <c r="BY179" s="230">
        <v>4466</v>
      </c>
      <c r="BZ179" s="230">
        <v>4553</v>
      </c>
      <c r="CA179" s="228">
        <v>-87</v>
      </c>
      <c r="CB179" s="229">
        <v>-1.9199999999999998E-2</v>
      </c>
      <c r="CC179" s="230">
        <v>4400</v>
      </c>
      <c r="CD179" s="228">
        <v>92</v>
      </c>
      <c r="CE179" s="230">
        <v>4308</v>
      </c>
      <c r="CF179" s="229">
        <v>46.8093</v>
      </c>
      <c r="CG179" s="228">
        <v>63</v>
      </c>
      <c r="CH179" s="230">
        <v>4493</v>
      </c>
      <c r="CI179" s="230">
        <v>-4430</v>
      </c>
      <c r="CJ179" s="229">
        <v>-0.98609999999999998</v>
      </c>
      <c r="CK179" s="228">
        <v>3</v>
      </c>
      <c r="CL179" s="228">
        <v>60</v>
      </c>
      <c r="CM179" s="228">
        <v>-57</v>
      </c>
      <c r="CN179" s="229">
        <v>-0.95369999999999999</v>
      </c>
      <c r="CO179" s="228">
        <v>802</v>
      </c>
      <c r="CP179" s="228">
        <v>651</v>
      </c>
      <c r="CQ179" s="228">
        <v>151</v>
      </c>
      <c r="CR179" s="229">
        <v>0.23130000000000001</v>
      </c>
      <c r="CS179" s="228">
        <v>480</v>
      </c>
      <c r="CT179" s="228">
        <v>398</v>
      </c>
      <c r="CU179" s="228">
        <v>82</v>
      </c>
      <c r="CV179" s="229">
        <v>0.20569999999999999</v>
      </c>
      <c r="CW179" s="230">
        <v>5748</v>
      </c>
      <c r="CX179" s="230">
        <v>5603</v>
      </c>
      <c r="CY179" s="228">
        <v>145</v>
      </c>
      <c r="CZ179" s="229">
        <v>2.5899999999999999E-2</v>
      </c>
      <c r="DA179" s="228">
        <v>32.07</v>
      </c>
      <c r="DB179" s="228">
        <v>34.409999999999997</v>
      </c>
      <c r="DC179" s="228">
        <v>-2.34</v>
      </c>
      <c r="DD179" s="228">
        <v>-2.34</v>
      </c>
      <c r="DE179" s="228">
        <v>38.229999999999997</v>
      </c>
      <c r="DF179" s="228">
        <v>38.25</v>
      </c>
      <c r="DG179" s="228">
        <v>-6.16</v>
      </c>
      <c r="DH179" s="228">
        <v>-0.02</v>
      </c>
      <c r="DI179" s="228">
        <v>31.47</v>
      </c>
      <c r="DJ179" s="228">
        <v>33.979999999999997</v>
      </c>
      <c r="DK179" s="228">
        <v>-2.5099999999999998</v>
      </c>
      <c r="DL179" s="228">
        <v>-2.5099999999999998</v>
      </c>
      <c r="DM179" s="228">
        <v>33.020000000000003</v>
      </c>
      <c r="DN179" s="228">
        <v>35.19</v>
      </c>
      <c r="DO179" s="228">
        <v>-2.17</v>
      </c>
      <c r="DP179" s="228">
        <v>-2.17</v>
      </c>
      <c r="DQ179" s="228">
        <v>0.6</v>
      </c>
      <c r="DR179" s="228">
        <v>0.61</v>
      </c>
      <c r="DS179" s="228">
        <v>-0.01</v>
      </c>
      <c r="DT179" s="229">
        <v>-1.6400000000000001E-2</v>
      </c>
      <c r="DU179" s="231">
        <v>1000</v>
      </c>
      <c r="DV179" s="231">
        <v>1000</v>
      </c>
      <c r="DW179" s="228">
        <v>0.63</v>
      </c>
      <c r="DX179" s="228">
        <v>0.71</v>
      </c>
      <c r="DY179" s="228">
        <v>-0.08</v>
      </c>
      <c r="DZ179" s="229">
        <v>-0.11269999999999999</v>
      </c>
      <c r="EA179" s="229">
        <v>1.46E-2</v>
      </c>
      <c r="EB179" s="230">
        <v>44526075</v>
      </c>
      <c r="EC179" s="229">
        <v>6.7999999999999996E-3</v>
      </c>
      <c r="ED179" s="229">
        <v>1.46E-2</v>
      </c>
      <c r="EE179" s="228">
        <v>5.26</v>
      </c>
      <c r="EF179" s="229">
        <v>5.1999999999999998E-3</v>
      </c>
      <c r="EG179" s="230">
        <v>3360988</v>
      </c>
      <c r="EH179" s="230">
        <v>4294633</v>
      </c>
      <c r="EI179" s="229">
        <v>-0.21740000000000001</v>
      </c>
      <c r="EJ179" s="229">
        <v>0.58630000000000004</v>
      </c>
      <c r="EK179" s="231">
        <v>1434.49</v>
      </c>
      <c r="EL179" s="228">
        <v>841.25</v>
      </c>
      <c r="EM179" s="228">
        <v>672.37</v>
      </c>
      <c r="EN179" s="228">
        <v>391.42</v>
      </c>
      <c r="EO179" s="231">
        <v>2948.12</v>
      </c>
      <c r="EP179" s="231">
        <v>7952.95</v>
      </c>
      <c r="EQ179" s="231">
        <v>-5004.83</v>
      </c>
      <c r="ER179" s="229">
        <v>-0.62929999999999997</v>
      </c>
      <c r="ES179" s="228">
        <v>817.23</v>
      </c>
      <c r="ET179" s="228">
        <v>450.63</v>
      </c>
      <c r="EU179" s="231">
        <v>4465.99</v>
      </c>
      <c r="EV179" s="231">
        <v>210513975</v>
      </c>
      <c r="EW179" s="231">
        <v>5733.85</v>
      </c>
      <c r="EX179" s="231">
        <v>5514.52</v>
      </c>
      <c r="EY179" s="228">
        <v>219.33</v>
      </c>
      <c r="EZ179" s="229">
        <v>3.9800000000000002E-2</v>
      </c>
      <c r="FA179" s="229">
        <v>0.26700000000000002</v>
      </c>
      <c r="FB179" s="227" t="s">
        <v>556</v>
      </c>
      <c r="FC179">
        <f t="shared" si="3"/>
        <v>0</v>
      </c>
    </row>
    <row r="180" spans="1:159" ht="17.25" thickBot="1" x14ac:dyDescent="0.3">
      <c r="A180" s="226">
        <v>46050</v>
      </c>
      <c r="B180" s="227" t="s">
        <v>184</v>
      </c>
      <c r="C180" s="227" t="s">
        <v>285</v>
      </c>
      <c r="D180" s="228">
        <v>175</v>
      </c>
      <c r="E180" s="228">
        <v>27</v>
      </c>
      <c r="F180" s="231">
        <v>2996.2</v>
      </c>
      <c r="G180" s="231">
        <v>2908</v>
      </c>
      <c r="H180" s="228">
        <v>88.2</v>
      </c>
      <c r="I180" s="229">
        <v>3.0300000000000001E-2</v>
      </c>
      <c r="J180" s="231">
        <v>2980.8</v>
      </c>
      <c r="K180" s="231">
        <v>2894</v>
      </c>
      <c r="L180" s="228">
        <v>86.8</v>
      </c>
      <c r="M180" s="229">
        <v>0.03</v>
      </c>
      <c r="N180" s="231">
        <v>2996.2</v>
      </c>
      <c r="O180" s="231">
        <v>2887.4</v>
      </c>
      <c r="P180" s="228">
        <v>108.8</v>
      </c>
      <c r="Q180" s="229">
        <v>3.7699999999999997E-2</v>
      </c>
      <c r="R180" s="231">
        <v>3010.1</v>
      </c>
      <c r="S180" s="231">
        <v>2908</v>
      </c>
      <c r="T180" s="228">
        <v>102.1</v>
      </c>
      <c r="U180" s="229">
        <v>3.5099999999999999E-2</v>
      </c>
      <c r="V180" s="231">
        <v>3025</v>
      </c>
      <c r="W180" s="231">
        <v>2923.7</v>
      </c>
      <c r="X180" s="228">
        <v>101.3</v>
      </c>
      <c r="Y180" s="229">
        <v>3.4599999999999999E-2</v>
      </c>
      <c r="Z180" s="228">
        <v>15.4</v>
      </c>
      <c r="AA180" s="228">
        <v>14</v>
      </c>
      <c r="AB180" s="228">
        <v>1.4</v>
      </c>
      <c r="AC180" s="229">
        <v>5.1999999999999998E-3</v>
      </c>
      <c r="AD180" s="228">
        <v>15.4</v>
      </c>
      <c r="AE180" s="228">
        <v>-6.6</v>
      </c>
      <c r="AF180" s="228">
        <v>22</v>
      </c>
      <c r="AG180" s="229">
        <v>5.1999999999999998E-3</v>
      </c>
      <c r="AH180" s="228">
        <v>29.3</v>
      </c>
      <c r="AI180" s="228">
        <v>14</v>
      </c>
      <c r="AJ180" s="228">
        <v>15.3</v>
      </c>
      <c r="AK180" s="229">
        <v>9.7999999999999997E-3</v>
      </c>
      <c r="AL180" s="228">
        <v>44.2</v>
      </c>
      <c r="AM180" s="228">
        <v>29.7</v>
      </c>
      <c r="AN180" s="228">
        <v>14.5</v>
      </c>
      <c r="AO180" s="229">
        <v>1.4800000000000001E-2</v>
      </c>
      <c r="AP180" s="231">
        <v>2967.77</v>
      </c>
      <c r="AQ180" s="231">
        <v>2974.81</v>
      </c>
      <c r="AR180" s="228">
        <v>0</v>
      </c>
      <c r="AS180" s="228">
        <v>176</v>
      </c>
      <c r="AT180" s="228">
        <v>490</v>
      </c>
      <c r="AU180" s="228">
        <v>-313</v>
      </c>
      <c r="AV180" s="229">
        <v>-0.63980000000000004</v>
      </c>
      <c r="AW180" s="228">
        <v>171</v>
      </c>
      <c r="AX180" s="228">
        <v>237</v>
      </c>
      <c r="AY180" s="228">
        <v>-66</v>
      </c>
      <c r="AZ180" s="229">
        <v>-0.27810000000000001</v>
      </c>
      <c r="BA180" s="228">
        <v>5</v>
      </c>
      <c r="BB180" s="228">
        <v>243</v>
      </c>
      <c r="BC180" s="228">
        <v>-238</v>
      </c>
      <c r="BD180" s="229">
        <v>-0.9778</v>
      </c>
      <c r="BE180" s="228">
        <v>0</v>
      </c>
      <c r="BF180" s="228">
        <v>10</v>
      </c>
      <c r="BG180" s="228">
        <v>-10</v>
      </c>
      <c r="BH180" s="229">
        <v>-0.99450000000000005</v>
      </c>
      <c r="BI180" s="228">
        <v>500</v>
      </c>
      <c r="BJ180" s="228">
        <v>259</v>
      </c>
      <c r="BK180" s="228">
        <v>240</v>
      </c>
      <c r="BL180" s="229">
        <v>0.92600000000000005</v>
      </c>
      <c r="BM180" s="228">
        <v>139</v>
      </c>
      <c r="BN180" s="228">
        <v>152</v>
      </c>
      <c r="BO180" s="228">
        <v>-13</v>
      </c>
      <c r="BP180" s="229">
        <v>-8.5699999999999998E-2</v>
      </c>
      <c r="BQ180" s="228">
        <v>815</v>
      </c>
      <c r="BR180" s="228">
        <v>901</v>
      </c>
      <c r="BS180" s="228">
        <v>-86</v>
      </c>
      <c r="BT180" s="229">
        <v>-9.5500000000000002E-2</v>
      </c>
      <c r="BU180" s="230">
        <v>258730</v>
      </c>
      <c r="BV180" s="230">
        <v>235539</v>
      </c>
      <c r="BW180" s="230">
        <v>23191</v>
      </c>
      <c r="BX180" s="229">
        <v>9.8500000000000004E-2</v>
      </c>
      <c r="BY180" s="228">
        <v>713</v>
      </c>
      <c r="BZ180" s="228">
        <v>716</v>
      </c>
      <c r="CA180" s="228">
        <v>-3</v>
      </c>
      <c r="CB180" s="229">
        <v>-3.5999999999999999E-3</v>
      </c>
      <c r="CC180" s="228">
        <v>699</v>
      </c>
      <c r="CD180" s="228">
        <v>62</v>
      </c>
      <c r="CE180" s="228">
        <v>637</v>
      </c>
      <c r="CF180" s="229">
        <v>10.2447</v>
      </c>
      <c r="CG180" s="228">
        <v>15</v>
      </c>
      <c r="CH180" s="228">
        <v>702</v>
      </c>
      <c r="CI180" s="228">
        <v>-687</v>
      </c>
      <c r="CJ180" s="229">
        <v>-0.97899999999999998</v>
      </c>
      <c r="CK180" s="228">
        <v>0</v>
      </c>
      <c r="CL180" s="228">
        <v>14</v>
      </c>
      <c r="CM180" s="228">
        <v>-14</v>
      </c>
      <c r="CN180" s="229">
        <v>-0.99619999999999997</v>
      </c>
      <c r="CO180" s="228">
        <v>118</v>
      </c>
      <c r="CP180" s="228">
        <v>82</v>
      </c>
      <c r="CQ180" s="228">
        <v>36</v>
      </c>
      <c r="CR180" s="229">
        <v>0.43790000000000001</v>
      </c>
      <c r="CS180" s="228">
        <v>79</v>
      </c>
      <c r="CT180" s="228">
        <v>57</v>
      </c>
      <c r="CU180" s="228">
        <v>23</v>
      </c>
      <c r="CV180" s="229">
        <v>0.39910000000000001</v>
      </c>
      <c r="CW180" s="228">
        <v>910</v>
      </c>
      <c r="CX180" s="228">
        <v>855</v>
      </c>
      <c r="CY180" s="228">
        <v>56</v>
      </c>
      <c r="CZ180" s="229">
        <v>6.54E-2</v>
      </c>
      <c r="DA180" s="228">
        <v>33.659999999999997</v>
      </c>
      <c r="DB180" s="228">
        <v>33.07</v>
      </c>
      <c r="DC180" s="228">
        <v>0.59</v>
      </c>
      <c r="DD180" s="228">
        <v>0.59</v>
      </c>
      <c r="DE180" s="228">
        <v>37</v>
      </c>
      <c r="DF180" s="228">
        <v>36.880000000000003</v>
      </c>
      <c r="DG180" s="228">
        <v>-3.34</v>
      </c>
      <c r="DH180" s="228">
        <v>0.12</v>
      </c>
      <c r="DI180" s="228">
        <v>32.96</v>
      </c>
      <c r="DJ180" s="228">
        <v>33</v>
      </c>
      <c r="DK180" s="228">
        <v>-0.04</v>
      </c>
      <c r="DL180" s="228">
        <v>-0.04</v>
      </c>
      <c r="DM180" s="228">
        <v>36.159999999999997</v>
      </c>
      <c r="DN180" s="228">
        <v>33.17</v>
      </c>
      <c r="DO180" s="228">
        <v>2.99</v>
      </c>
      <c r="DP180" s="228">
        <v>2.99</v>
      </c>
      <c r="DQ180" s="228">
        <v>0.67</v>
      </c>
      <c r="DR180" s="228">
        <v>0.69</v>
      </c>
      <c r="DS180" s="228">
        <v>-0.02</v>
      </c>
      <c r="DT180" s="229">
        <v>-2.9000000000000001E-2</v>
      </c>
      <c r="DU180" s="231">
        <v>3200</v>
      </c>
      <c r="DV180" s="231">
        <v>3000</v>
      </c>
      <c r="DW180" s="228">
        <v>0.28000000000000003</v>
      </c>
      <c r="DX180" s="228">
        <v>0.59</v>
      </c>
      <c r="DY180" s="228">
        <v>-0.31</v>
      </c>
      <c r="DZ180" s="229">
        <v>-0.52539999999999998</v>
      </c>
      <c r="EA180" s="229">
        <v>2.07E-2</v>
      </c>
      <c r="EB180" s="230">
        <v>2389800</v>
      </c>
      <c r="EC180" s="229">
        <v>4.5999999999999999E-3</v>
      </c>
      <c r="ED180" s="229">
        <v>2.07E-2</v>
      </c>
      <c r="EE180" s="228">
        <v>7.04</v>
      </c>
      <c r="EF180" s="229">
        <v>2.3999999999999998E-3</v>
      </c>
      <c r="EG180" s="230">
        <v>113275</v>
      </c>
      <c r="EH180" s="230">
        <v>100284</v>
      </c>
      <c r="EI180" s="229">
        <v>0.1295</v>
      </c>
      <c r="EJ180" s="229">
        <v>0.43780000000000002</v>
      </c>
      <c r="EK180" s="228">
        <v>523.49</v>
      </c>
      <c r="EL180" s="228">
        <v>132.21</v>
      </c>
      <c r="EM180" s="228">
        <v>174.73</v>
      </c>
      <c r="EN180" s="228">
        <v>112.97</v>
      </c>
      <c r="EO180" s="228">
        <v>830.43</v>
      </c>
      <c r="EP180" s="228">
        <v>888.02</v>
      </c>
      <c r="EQ180" s="228">
        <v>-57.59</v>
      </c>
      <c r="ER180" s="229">
        <v>-6.4799999999999996E-2</v>
      </c>
      <c r="ES180" s="228">
        <v>122.81</v>
      </c>
      <c r="ET180" s="228">
        <v>74.89</v>
      </c>
      <c r="EU180" s="228">
        <v>713.53</v>
      </c>
      <c r="EV180" s="231">
        <v>13354588</v>
      </c>
      <c r="EW180" s="228">
        <v>911.23</v>
      </c>
      <c r="EX180" s="228">
        <v>834.71</v>
      </c>
      <c r="EY180" s="228">
        <v>76.52</v>
      </c>
      <c r="EZ180" s="229">
        <v>9.1700000000000004E-2</v>
      </c>
      <c r="FA180" s="229">
        <v>0.22750000000000001</v>
      </c>
      <c r="FB180" s="227" t="s">
        <v>556</v>
      </c>
      <c r="FC180">
        <f t="shared" si="3"/>
        <v>0</v>
      </c>
    </row>
    <row r="181" spans="1:159" ht="17.25" thickBot="1" x14ac:dyDescent="0.3">
      <c r="A181" s="226">
        <v>46050</v>
      </c>
      <c r="B181" s="227" t="s">
        <v>498</v>
      </c>
      <c r="C181" s="227" t="s">
        <v>646</v>
      </c>
      <c r="D181" s="228">
        <v>50</v>
      </c>
      <c r="E181" s="228">
        <v>27</v>
      </c>
      <c r="F181" s="231">
        <v>13975</v>
      </c>
      <c r="G181" s="231">
        <v>12813</v>
      </c>
      <c r="H181" s="231">
        <v>1162</v>
      </c>
      <c r="I181" s="229">
        <v>9.0700000000000003E-2</v>
      </c>
      <c r="J181" s="231">
        <v>13916</v>
      </c>
      <c r="K181" s="231">
        <v>12766</v>
      </c>
      <c r="L181" s="231">
        <v>1150</v>
      </c>
      <c r="M181" s="229">
        <v>9.01E-2</v>
      </c>
      <c r="N181" s="231">
        <v>13975</v>
      </c>
      <c r="O181" s="231">
        <v>12745</v>
      </c>
      <c r="P181" s="231">
        <v>1230</v>
      </c>
      <c r="Q181" s="229">
        <v>9.6500000000000002E-2</v>
      </c>
      <c r="R181" s="231">
        <v>14070</v>
      </c>
      <c r="S181" s="231">
        <v>12813</v>
      </c>
      <c r="T181" s="231">
        <v>1257</v>
      </c>
      <c r="U181" s="229">
        <v>9.8100000000000007E-2</v>
      </c>
      <c r="V181" s="231">
        <v>14184</v>
      </c>
      <c r="W181" s="231">
        <v>12970</v>
      </c>
      <c r="X181" s="231">
        <v>1214</v>
      </c>
      <c r="Y181" s="229">
        <v>9.3600000000000003E-2</v>
      </c>
      <c r="Z181" s="228">
        <v>59</v>
      </c>
      <c r="AA181" s="228">
        <v>47</v>
      </c>
      <c r="AB181" s="228">
        <v>12</v>
      </c>
      <c r="AC181" s="229">
        <v>4.1999999999999997E-3</v>
      </c>
      <c r="AD181" s="228">
        <v>59</v>
      </c>
      <c r="AE181" s="228">
        <v>-21</v>
      </c>
      <c r="AF181" s="228">
        <v>80</v>
      </c>
      <c r="AG181" s="229">
        <v>4.1999999999999997E-3</v>
      </c>
      <c r="AH181" s="228">
        <v>154</v>
      </c>
      <c r="AI181" s="228">
        <v>47</v>
      </c>
      <c r="AJ181" s="228">
        <v>107</v>
      </c>
      <c r="AK181" s="229">
        <v>1.11E-2</v>
      </c>
      <c r="AL181" s="228">
        <v>268</v>
      </c>
      <c r="AM181" s="228">
        <v>204</v>
      </c>
      <c r="AN181" s="228">
        <v>64</v>
      </c>
      <c r="AO181" s="229">
        <v>1.9300000000000001E-2</v>
      </c>
      <c r="AP181" s="231">
        <v>13611.67</v>
      </c>
      <c r="AQ181" s="231">
        <v>13628.7</v>
      </c>
      <c r="AR181" s="228">
        <v>0</v>
      </c>
      <c r="AS181" s="228">
        <v>538</v>
      </c>
      <c r="AT181" s="230">
        <v>1093</v>
      </c>
      <c r="AU181" s="228">
        <v>-555</v>
      </c>
      <c r="AV181" s="229">
        <v>-0.50749999999999995</v>
      </c>
      <c r="AW181" s="228">
        <v>494</v>
      </c>
      <c r="AX181" s="228">
        <v>543</v>
      </c>
      <c r="AY181" s="228">
        <v>-49</v>
      </c>
      <c r="AZ181" s="229">
        <v>-9.0899999999999995E-2</v>
      </c>
      <c r="BA181" s="228">
        <v>40</v>
      </c>
      <c r="BB181" s="228">
        <v>531</v>
      </c>
      <c r="BC181" s="228">
        <v>-491</v>
      </c>
      <c r="BD181" s="229">
        <v>-0.92379999999999995</v>
      </c>
      <c r="BE181" s="228">
        <v>4</v>
      </c>
      <c r="BF181" s="228">
        <v>19</v>
      </c>
      <c r="BG181" s="228">
        <v>-15</v>
      </c>
      <c r="BH181" s="229">
        <v>-0.77900000000000003</v>
      </c>
      <c r="BI181" s="230">
        <v>1912</v>
      </c>
      <c r="BJ181" s="228">
        <v>549</v>
      </c>
      <c r="BK181" s="230">
        <v>1363</v>
      </c>
      <c r="BL181" s="229">
        <v>2.4836</v>
      </c>
      <c r="BM181" s="228">
        <v>335</v>
      </c>
      <c r="BN181" s="228">
        <v>316</v>
      </c>
      <c r="BO181" s="228">
        <v>19</v>
      </c>
      <c r="BP181" s="229">
        <v>5.9499999999999997E-2</v>
      </c>
      <c r="BQ181" s="230">
        <v>2785</v>
      </c>
      <c r="BR181" s="230">
        <v>1958</v>
      </c>
      <c r="BS181" s="228">
        <v>827</v>
      </c>
      <c r="BT181" s="229">
        <v>0.42259999999999998</v>
      </c>
      <c r="BU181" s="230">
        <v>314335</v>
      </c>
      <c r="BV181" s="230">
        <v>107551</v>
      </c>
      <c r="BW181" s="230">
        <v>206784</v>
      </c>
      <c r="BX181" s="229">
        <v>1.9227000000000001</v>
      </c>
      <c r="BY181" s="230">
        <v>1277</v>
      </c>
      <c r="BZ181" s="230">
        <v>1272</v>
      </c>
      <c r="CA181" s="228">
        <v>4</v>
      </c>
      <c r="CB181" s="229">
        <v>3.3E-3</v>
      </c>
      <c r="CC181" s="230">
        <v>1202</v>
      </c>
      <c r="CD181" s="228">
        <v>137</v>
      </c>
      <c r="CE181" s="230">
        <v>1065</v>
      </c>
      <c r="CF181" s="229">
        <v>7.7591999999999999</v>
      </c>
      <c r="CG181" s="228">
        <v>73</v>
      </c>
      <c r="CH181" s="230">
        <v>1211</v>
      </c>
      <c r="CI181" s="230">
        <v>-1138</v>
      </c>
      <c r="CJ181" s="229">
        <v>-0.94</v>
      </c>
      <c r="CK181" s="228">
        <v>2</v>
      </c>
      <c r="CL181" s="228">
        <v>62</v>
      </c>
      <c r="CM181" s="228">
        <v>-60</v>
      </c>
      <c r="CN181" s="229">
        <v>-0.96940000000000004</v>
      </c>
      <c r="CO181" s="228">
        <v>260</v>
      </c>
      <c r="CP181" s="228">
        <v>94</v>
      </c>
      <c r="CQ181" s="228">
        <v>166</v>
      </c>
      <c r="CR181" s="229">
        <v>1.7588999999999999</v>
      </c>
      <c r="CS181" s="228">
        <v>193</v>
      </c>
      <c r="CT181" s="228">
        <v>115</v>
      </c>
      <c r="CU181" s="228">
        <v>78</v>
      </c>
      <c r="CV181" s="229">
        <v>0.67420000000000002</v>
      </c>
      <c r="CW181" s="230">
        <v>1729</v>
      </c>
      <c r="CX181" s="230">
        <v>1482</v>
      </c>
      <c r="CY181" s="228">
        <v>247</v>
      </c>
      <c r="CZ181" s="229">
        <v>0.16700000000000001</v>
      </c>
      <c r="DA181" s="228">
        <v>41.85</v>
      </c>
      <c r="DB181" s="228">
        <v>37.54</v>
      </c>
      <c r="DC181" s="228">
        <v>4.3099999999999996</v>
      </c>
      <c r="DD181" s="228">
        <v>4.3099999999999996</v>
      </c>
      <c r="DE181" s="228">
        <v>40.86</v>
      </c>
      <c r="DF181" s="228">
        <v>39.24</v>
      </c>
      <c r="DG181" s="228">
        <v>0.99</v>
      </c>
      <c r="DH181" s="228">
        <v>1.62</v>
      </c>
      <c r="DI181" s="228">
        <v>41.66</v>
      </c>
      <c r="DJ181" s="228">
        <v>37.659999999999997</v>
      </c>
      <c r="DK181" s="228">
        <v>4</v>
      </c>
      <c r="DL181" s="228">
        <v>4</v>
      </c>
      <c r="DM181" s="228">
        <v>42.93</v>
      </c>
      <c r="DN181" s="228">
        <v>37.44</v>
      </c>
      <c r="DO181" s="228">
        <v>5.49</v>
      </c>
      <c r="DP181" s="228">
        <v>5.49</v>
      </c>
      <c r="DQ181" s="228">
        <v>0.74</v>
      </c>
      <c r="DR181" s="228">
        <v>1.22</v>
      </c>
      <c r="DS181" s="228">
        <v>-0.48</v>
      </c>
      <c r="DT181" s="229">
        <v>-0.39340000000000003</v>
      </c>
      <c r="DU181" s="231">
        <v>14000</v>
      </c>
      <c r="DV181" s="231">
        <v>12500</v>
      </c>
      <c r="DW181" s="228">
        <v>0.18</v>
      </c>
      <c r="DX181" s="228">
        <v>0.57999999999999996</v>
      </c>
      <c r="DY181" s="228">
        <v>-0.4</v>
      </c>
      <c r="DZ181" s="229">
        <v>-0.68969999999999998</v>
      </c>
      <c r="EA181" s="229">
        <v>5.8400000000000001E-2</v>
      </c>
      <c r="EB181" s="230">
        <v>910450</v>
      </c>
      <c r="EC181" s="229">
        <v>6.7999999999999996E-3</v>
      </c>
      <c r="ED181" s="229">
        <v>5.8400000000000001E-2</v>
      </c>
      <c r="EE181" s="228">
        <v>17.03</v>
      </c>
      <c r="EF181" s="229">
        <v>1.2999999999999999E-3</v>
      </c>
      <c r="EG181" s="230">
        <v>104699</v>
      </c>
      <c r="EH181" s="230">
        <v>52072</v>
      </c>
      <c r="EI181" s="229">
        <v>1.0106999999999999</v>
      </c>
      <c r="EJ181" s="229">
        <v>0.33310000000000001</v>
      </c>
      <c r="EK181" s="231">
        <v>2000.52</v>
      </c>
      <c r="EL181" s="228">
        <v>318.41000000000003</v>
      </c>
      <c r="EM181" s="228">
        <v>524.15</v>
      </c>
      <c r="EN181" s="228">
        <v>120.21</v>
      </c>
      <c r="EO181" s="231">
        <v>2843.08</v>
      </c>
      <c r="EP181" s="231">
        <v>1812.3</v>
      </c>
      <c r="EQ181" s="231">
        <v>1030.78</v>
      </c>
      <c r="ER181" s="229">
        <v>0.56879999999999997</v>
      </c>
      <c r="ES181" s="228">
        <v>261.83999999999997</v>
      </c>
      <c r="ET181" s="228">
        <v>177.94</v>
      </c>
      <c r="EU181" s="231">
        <v>1277.07</v>
      </c>
      <c r="EV181" s="231">
        <v>3644817</v>
      </c>
      <c r="EW181" s="231">
        <v>1716.85</v>
      </c>
      <c r="EX181" s="231">
        <v>1364.53</v>
      </c>
      <c r="EY181" s="228">
        <v>352.32</v>
      </c>
      <c r="EZ181" s="229">
        <v>0.25819999999999999</v>
      </c>
      <c r="FA181" s="229">
        <v>0.33950000000000002</v>
      </c>
      <c r="FB181" s="227" t="s">
        <v>555</v>
      </c>
      <c r="FC181">
        <f t="shared" si="3"/>
        <v>0</v>
      </c>
    </row>
    <row r="182" spans="1:159" ht="17.25" thickBot="1" x14ac:dyDescent="0.3">
      <c r="A182" s="226">
        <v>46050</v>
      </c>
      <c r="B182" s="227" t="s">
        <v>162</v>
      </c>
      <c r="C182" s="227" t="s">
        <v>614</v>
      </c>
      <c r="D182" s="228">
        <v>1225</v>
      </c>
      <c r="E182" s="228">
        <v>27</v>
      </c>
      <c r="F182" s="228">
        <v>494.4</v>
      </c>
      <c r="G182" s="228">
        <v>489.15</v>
      </c>
      <c r="H182" s="228">
        <v>5.25</v>
      </c>
      <c r="I182" s="229">
        <v>1.0699999999999999E-2</v>
      </c>
      <c r="J182" s="228">
        <v>494.1</v>
      </c>
      <c r="K182" s="228">
        <v>487.8</v>
      </c>
      <c r="L182" s="228">
        <v>6.3</v>
      </c>
      <c r="M182" s="229">
        <v>1.29E-2</v>
      </c>
      <c r="N182" s="228">
        <v>494.4</v>
      </c>
      <c r="O182" s="228">
        <v>488.6</v>
      </c>
      <c r="P182" s="228">
        <v>5.8</v>
      </c>
      <c r="Q182" s="229">
        <v>1.1900000000000001E-2</v>
      </c>
      <c r="R182" s="228">
        <v>496.85</v>
      </c>
      <c r="S182" s="228">
        <v>489.15</v>
      </c>
      <c r="T182" s="228">
        <v>7.7</v>
      </c>
      <c r="U182" s="229">
        <v>1.5699999999999999E-2</v>
      </c>
      <c r="V182" s="228">
        <v>498.75</v>
      </c>
      <c r="W182" s="228">
        <v>492.35</v>
      </c>
      <c r="X182" s="228">
        <v>6.4</v>
      </c>
      <c r="Y182" s="229">
        <v>1.2999999999999999E-2</v>
      </c>
      <c r="Z182" s="228">
        <v>0.3</v>
      </c>
      <c r="AA182" s="228">
        <v>1.35</v>
      </c>
      <c r="AB182" s="228">
        <v>-1.05</v>
      </c>
      <c r="AC182" s="229">
        <v>5.9999999999999995E-4</v>
      </c>
      <c r="AD182" s="228">
        <v>0.3</v>
      </c>
      <c r="AE182" s="228">
        <v>0.8</v>
      </c>
      <c r="AF182" s="228">
        <v>-0.5</v>
      </c>
      <c r="AG182" s="229">
        <v>5.9999999999999995E-4</v>
      </c>
      <c r="AH182" s="228">
        <v>2.75</v>
      </c>
      <c r="AI182" s="228">
        <v>1.35</v>
      </c>
      <c r="AJ182" s="228">
        <v>1.4</v>
      </c>
      <c r="AK182" s="229">
        <v>5.5999999999999999E-3</v>
      </c>
      <c r="AL182" s="228">
        <v>4.6500000000000004</v>
      </c>
      <c r="AM182" s="228">
        <v>4.55</v>
      </c>
      <c r="AN182" s="228">
        <v>0.1</v>
      </c>
      <c r="AO182" s="229">
        <v>9.4000000000000004E-3</v>
      </c>
      <c r="AP182" s="228">
        <v>489.2</v>
      </c>
      <c r="AQ182" s="228">
        <v>490.21</v>
      </c>
      <c r="AR182" s="228">
        <v>0</v>
      </c>
      <c r="AS182" s="228">
        <v>151</v>
      </c>
      <c r="AT182" s="228">
        <v>878</v>
      </c>
      <c r="AU182" s="228">
        <v>-728</v>
      </c>
      <c r="AV182" s="229">
        <v>-0.82820000000000005</v>
      </c>
      <c r="AW182" s="228">
        <v>146</v>
      </c>
      <c r="AX182" s="228">
        <v>319</v>
      </c>
      <c r="AY182" s="228">
        <v>-173</v>
      </c>
      <c r="AZ182" s="229">
        <v>-0.54349999999999998</v>
      </c>
      <c r="BA182" s="228">
        <v>5</v>
      </c>
      <c r="BB182" s="228">
        <v>552</v>
      </c>
      <c r="BC182" s="228">
        <v>-547</v>
      </c>
      <c r="BD182" s="229">
        <v>-0.9909</v>
      </c>
      <c r="BE182" s="228">
        <v>0</v>
      </c>
      <c r="BF182" s="228">
        <v>8</v>
      </c>
      <c r="BG182" s="228">
        <v>-7</v>
      </c>
      <c r="BH182" s="229">
        <v>-0.9516</v>
      </c>
      <c r="BI182" s="228">
        <v>358</v>
      </c>
      <c r="BJ182" s="230">
        <v>1591</v>
      </c>
      <c r="BK182" s="230">
        <v>-1233</v>
      </c>
      <c r="BL182" s="229">
        <v>-0.77500000000000002</v>
      </c>
      <c r="BM182" s="228">
        <v>120</v>
      </c>
      <c r="BN182" s="228">
        <v>422</v>
      </c>
      <c r="BO182" s="228">
        <v>-301</v>
      </c>
      <c r="BP182" s="229">
        <v>-0.71460000000000001</v>
      </c>
      <c r="BQ182" s="228">
        <v>629</v>
      </c>
      <c r="BR182" s="230">
        <v>2891</v>
      </c>
      <c r="BS182" s="230">
        <v>-2262</v>
      </c>
      <c r="BT182" s="229">
        <v>-0.78239999999999998</v>
      </c>
      <c r="BU182" s="230">
        <v>2721426</v>
      </c>
      <c r="BV182" s="230">
        <v>8955786</v>
      </c>
      <c r="BW182" s="230">
        <v>-6234360</v>
      </c>
      <c r="BX182" s="229">
        <v>-0.69610000000000005</v>
      </c>
      <c r="BY182" s="228">
        <v>717</v>
      </c>
      <c r="BZ182" s="228">
        <v>745</v>
      </c>
      <c r="CA182" s="228">
        <v>-28</v>
      </c>
      <c r="CB182" s="229">
        <v>-3.7600000000000001E-2</v>
      </c>
      <c r="CC182" s="228">
        <v>710</v>
      </c>
      <c r="CD182" s="228">
        <v>31</v>
      </c>
      <c r="CE182" s="228">
        <v>679</v>
      </c>
      <c r="CF182" s="229">
        <v>21.778600000000001</v>
      </c>
      <c r="CG182" s="228">
        <v>6</v>
      </c>
      <c r="CH182" s="228">
        <v>739</v>
      </c>
      <c r="CI182" s="228">
        <v>-733</v>
      </c>
      <c r="CJ182" s="229">
        <v>-0.9919</v>
      </c>
      <c r="CK182" s="228">
        <v>0</v>
      </c>
      <c r="CL182" s="228">
        <v>5</v>
      </c>
      <c r="CM182" s="228">
        <v>-5</v>
      </c>
      <c r="CN182" s="229">
        <v>-0.98850000000000005</v>
      </c>
      <c r="CO182" s="228">
        <v>96</v>
      </c>
      <c r="CP182" s="228">
        <v>89</v>
      </c>
      <c r="CQ182" s="228">
        <v>8</v>
      </c>
      <c r="CR182" s="229">
        <v>8.4699999999999998E-2</v>
      </c>
      <c r="CS182" s="228">
        <v>80</v>
      </c>
      <c r="CT182" s="228">
        <v>67</v>
      </c>
      <c r="CU182" s="228">
        <v>13</v>
      </c>
      <c r="CV182" s="229">
        <v>0.1973</v>
      </c>
      <c r="CW182" s="228">
        <v>892</v>
      </c>
      <c r="CX182" s="228">
        <v>900</v>
      </c>
      <c r="CY182" s="228">
        <v>-7</v>
      </c>
      <c r="CZ182" s="229">
        <v>-8.0999999999999996E-3</v>
      </c>
      <c r="DA182" s="228">
        <v>36.72</v>
      </c>
      <c r="DB182" s="228">
        <v>39.770000000000003</v>
      </c>
      <c r="DC182" s="228">
        <v>-3.05</v>
      </c>
      <c r="DD182" s="228">
        <v>-3.05</v>
      </c>
      <c r="DE182" s="228">
        <v>39.25</v>
      </c>
      <c r="DF182" s="228">
        <v>39.33</v>
      </c>
      <c r="DG182" s="228">
        <v>-2.5299999999999998</v>
      </c>
      <c r="DH182" s="228">
        <v>-0.08</v>
      </c>
      <c r="DI182" s="228">
        <v>36.31</v>
      </c>
      <c r="DJ182" s="228">
        <v>39.159999999999997</v>
      </c>
      <c r="DK182" s="228">
        <v>-2.85</v>
      </c>
      <c r="DL182" s="228">
        <v>-2.85</v>
      </c>
      <c r="DM182" s="228">
        <v>37.950000000000003</v>
      </c>
      <c r="DN182" s="228">
        <v>41.74</v>
      </c>
      <c r="DO182" s="228">
        <v>-3.79</v>
      </c>
      <c r="DP182" s="228">
        <v>-3.79</v>
      </c>
      <c r="DQ182" s="228">
        <v>0.83</v>
      </c>
      <c r="DR182" s="228">
        <v>0.75</v>
      </c>
      <c r="DS182" s="228">
        <v>0.08</v>
      </c>
      <c r="DT182" s="229">
        <v>0.1067</v>
      </c>
      <c r="DU182" s="228">
        <v>500</v>
      </c>
      <c r="DV182" s="228">
        <v>400</v>
      </c>
      <c r="DW182" s="228">
        <v>0.34</v>
      </c>
      <c r="DX182" s="228">
        <v>0.27</v>
      </c>
      <c r="DY182" s="228">
        <v>7.0000000000000007E-2</v>
      </c>
      <c r="DZ182" s="229">
        <v>0.25929999999999997</v>
      </c>
      <c r="EA182" s="229">
        <v>8.5000000000000006E-3</v>
      </c>
      <c r="EB182" s="230">
        <v>15058925</v>
      </c>
      <c r="EC182" s="229">
        <v>5.0000000000000001E-3</v>
      </c>
      <c r="ED182" s="229">
        <v>8.5000000000000006E-3</v>
      </c>
      <c r="EE182" s="228">
        <v>1.01</v>
      </c>
      <c r="EF182" s="229">
        <v>2.0999999999999999E-3</v>
      </c>
      <c r="EG182" s="230">
        <v>1350133</v>
      </c>
      <c r="EH182" s="230">
        <v>3074717</v>
      </c>
      <c r="EI182" s="229">
        <v>-0.56089999999999995</v>
      </c>
      <c r="EJ182" s="229">
        <v>0.49609999999999999</v>
      </c>
      <c r="EK182" s="228">
        <v>376.11</v>
      </c>
      <c r="EL182" s="228">
        <v>117.27</v>
      </c>
      <c r="EM182" s="228">
        <v>149.35</v>
      </c>
      <c r="EN182" s="228">
        <v>130</v>
      </c>
      <c r="EO182" s="228">
        <v>642.72</v>
      </c>
      <c r="EP182" s="231">
        <v>2861.32</v>
      </c>
      <c r="EQ182" s="231">
        <v>-2218.59</v>
      </c>
      <c r="ER182" s="229">
        <v>-0.77539999999999998</v>
      </c>
      <c r="ES182" s="228">
        <v>97.72</v>
      </c>
      <c r="ET182" s="228">
        <v>73.12</v>
      </c>
      <c r="EU182" s="228">
        <v>716.56</v>
      </c>
      <c r="EV182" s="231">
        <v>67126548</v>
      </c>
      <c r="EW182" s="228">
        <v>887.41</v>
      </c>
      <c r="EX182" s="228">
        <v>886.85</v>
      </c>
      <c r="EY182" s="228">
        <v>0.56000000000000005</v>
      </c>
      <c r="EZ182" s="229">
        <v>5.9999999999999995E-4</v>
      </c>
      <c r="FA182" s="229">
        <v>0.26889999999999997</v>
      </c>
      <c r="FB182" s="227" t="s">
        <v>556</v>
      </c>
      <c r="FC182">
        <f t="shared" si="3"/>
        <v>0</v>
      </c>
    </row>
    <row r="183" spans="1:159" ht="17.25" thickBot="1" x14ac:dyDescent="0.3">
      <c r="A183" s="226">
        <v>46050</v>
      </c>
      <c r="B183" s="227" t="s">
        <v>197</v>
      </c>
      <c r="C183" s="227" t="s">
        <v>286</v>
      </c>
      <c r="D183" s="228">
        <v>200</v>
      </c>
      <c r="E183" s="228">
        <v>27</v>
      </c>
      <c r="F183" s="231">
        <v>2835.1</v>
      </c>
      <c r="G183" s="231">
        <v>2701.6</v>
      </c>
      <c r="H183" s="228">
        <v>133.5</v>
      </c>
      <c r="I183" s="229">
        <v>4.9399999999999999E-2</v>
      </c>
      <c r="J183" s="231">
        <v>2817</v>
      </c>
      <c r="K183" s="231">
        <v>2682.2</v>
      </c>
      <c r="L183" s="228">
        <v>134.80000000000001</v>
      </c>
      <c r="M183" s="229">
        <v>5.0299999999999997E-2</v>
      </c>
      <c r="N183" s="231">
        <v>2835.1</v>
      </c>
      <c r="O183" s="231">
        <v>2685.9</v>
      </c>
      <c r="P183" s="228">
        <v>149.19999999999999</v>
      </c>
      <c r="Q183" s="229">
        <v>5.5500000000000001E-2</v>
      </c>
      <c r="R183" s="231">
        <v>2851.1</v>
      </c>
      <c r="S183" s="231">
        <v>2701.6</v>
      </c>
      <c r="T183" s="228">
        <v>149.5</v>
      </c>
      <c r="U183" s="229">
        <v>5.5300000000000002E-2</v>
      </c>
      <c r="V183" s="231">
        <v>2880.1</v>
      </c>
      <c r="W183" s="231">
        <v>2717.9</v>
      </c>
      <c r="X183" s="228">
        <v>162.19999999999999</v>
      </c>
      <c r="Y183" s="229">
        <v>5.9700000000000003E-2</v>
      </c>
      <c r="Z183" s="228">
        <v>18.100000000000001</v>
      </c>
      <c r="AA183" s="228">
        <v>19.399999999999999</v>
      </c>
      <c r="AB183" s="228">
        <v>-1.3</v>
      </c>
      <c r="AC183" s="229">
        <v>6.4000000000000003E-3</v>
      </c>
      <c r="AD183" s="228">
        <v>18.100000000000001</v>
      </c>
      <c r="AE183" s="228">
        <v>3.7</v>
      </c>
      <c r="AF183" s="228">
        <v>14.4</v>
      </c>
      <c r="AG183" s="229">
        <v>6.4000000000000003E-3</v>
      </c>
      <c r="AH183" s="228">
        <v>34.1</v>
      </c>
      <c r="AI183" s="228">
        <v>19.399999999999999</v>
      </c>
      <c r="AJ183" s="228">
        <v>14.7</v>
      </c>
      <c r="AK183" s="229">
        <v>1.21E-2</v>
      </c>
      <c r="AL183" s="228">
        <v>63.1</v>
      </c>
      <c r="AM183" s="228">
        <v>35.700000000000003</v>
      </c>
      <c r="AN183" s="228">
        <v>27.4</v>
      </c>
      <c r="AO183" s="229">
        <v>2.24E-2</v>
      </c>
      <c r="AP183" s="231">
        <v>2787.8</v>
      </c>
      <c r="AQ183" s="231">
        <v>2804.16</v>
      </c>
      <c r="AR183" s="228">
        <v>0</v>
      </c>
      <c r="AS183" s="228">
        <v>410</v>
      </c>
      <c r="AT183" s="228">
        <v>889</v>
      </c>
      <c r="AU183" s="228">
        <v>-480</v>
      </c>
      <c r="AV183" s="229">
        <v>-0.53959999999999997</v>
      </c>
      <c r="AW183" s="228">
        <v>395</v>
      </c>
      <c r="AX183" s="228">
        <v>399</v>
      </c>
      <c r="AY183" s="228">
        <v>-5</v>
      </c>
      <c r="AZ183" s="229">
        <v>-1.2200000000000001E-2</v>
      </c>
      <c r="BA183" s="228">
        <v>15</v>
      </c>
      <c r="BB183" s="228">
        <v>488</v>
      </c>
      <c r="BC183" s="228">
        <v>-473</v>
      </c>
      <c r="BD183" s="229">
        <v>-0.96970000000000001</v>
      </c>
      <c r="BE183" s="228">
        <v>0</v>
      </c>
      <c r="BF183" s="228">
        <v>2</v>
      </c>
      <c r="BG183" s="228">
        <v>-2</v>
      </c>
      <c r="BH183" s="229">
        <v>-0.91890000000000005</v>
      </c>
      <c r="BI183" s="228">
        <v>625</v>
      </c>
      <c r="BJ183" s="228">
        <v>493</v>
      </c>
      <c r="BK183" s="228">
        <v>132</v>
      </c>
      <c r="BL183" s="229">
        <v>0.26750000000000002</v>
      </c>
      <c r="BM183" s="228">
        <v>227</v>
      </c>
      <c r="BN183" s="228">
        <v>242</v>
      </c>
      <c r="BO183" s="228">
        <v>-15</v>
      </c>
      <c r="BP183" s="229">
        <v>-6.0400000000000002E-2</v>
      </c>
      <c r="BQ183" s="230">
        <v>1262</v>
      </c>
      <c r="BR183" s="230">
        <v>1625</v>
      </c>
      <c r="BS183" s="228">
        <v>-363</v>
      </c>
      <c r="BT183" s="229">
        <v>-0.22309999999999999</v>
      </c>
      <c r="BU183" s="230">
        <v>631132</v>
      </c>
      <c r="BV183" s="230">
        <v>365784</v>
      </c>
      <c r="BW183" s="230">
        <v>265348</v>
      </c>
      <c r="BX183" s="229">
        <v>0.72540000000000004</v>
      </c>
      <c r="BY183" s="228">
        <v>943</v>
      </c>
      <c r="BZ183" s="228">
        <v>946</v>
      </c>
      <c r="CA183" s="228">
        <v>-3</v>
      </c>
      <c r="CB183" s="229">
        <v>-3.0999999999999999E-3</v>
      </c>
      <c r="CC183" s="228">
        <v>930</v>
      </c>
      <c r="CD183" s="228">
        <v>61</v>
      </c>
      <c r="CE183" s="228">
        <v>869</v>
      </c>
      <c r="CF183" s="229">
        <v>14.1496</v>
      </c>
      <c r="CG183" s="228">
        <v>13</v>
      </c>
      <c r="CH183" s="228">
        <v>940</v>
      </c>
      <c r="CI183" s="228">
        <v>-927</v>
      </c>
      <c r="CJ183" s="229">
        <v>-0.98640000000000005</v>
      </c>
      <c r="CK183" s="228">
        <v>0</v>
      </c>
      <c r="CL183" s="228">
        <v>6</v>
      </c>
      <c r="CM183" s="228">
        <v>-6</v>
      </c>
      <c r="CN183" s="229">
        <v>-0.98150000000000004</v>
      </c>
      <c r="CO183" s="228">
        <v>208</v>
      </c>
      <c r="CP183" s="228">
        <v>185</v>
      </c>
      <c r="CQ183" s="228">
        <v>22</v>
      </c>
      <c r="CR183" s="229">
        <v>0.1198</v>
      </c>
      <c r="CS183" s="228">
        <v>157</v>
      </c>
      <c r="CT183" s="228">
        <v>120</v>
      </c>
      <c r="CU183" s="228">
        <v>36</v>
      </c>
      <c r="CV183" s="229">
        <v>0.2999</v>
      </c>
      <c r="CW183" s="230">
        <v>1307</v>
      </c>
      <c r="CX183" s="230">
        <v>1252</v>
      </c>
      <c r="CY183" s="228">
        <v>55</v>
      </c>
      <c r="CZ183" s="229">
        <v>4.4200000000000003E-2</v>
      </c>
      <c r="DA183" s="228">
        <v>27.68</v>
      </c>
      <c r="DB183" s="228">
        <v>27.65</v>
      </c>
      <c r="DC183" s="228">
        <v>0.03</v>
      </c>
      <c r="DD183" s="228">
        <v>0.03</v>
      </c>
      <c r="DE183" s="228">
        <v>32.29</v>
      </c>
      <c r="DF183" s="228">
        <v>31.69</v>
      </c>
      <c r="DG183" s="228">
        <v>-4.6100000000000003</v>
      </c>
      <c r="DH183" s="228">
        <v>0.6</v>
      </c>
      <c r="DI183" s="228">
        <v>27.43</v>
      </c>
      <c r="DJ183" s="228">
        <v>27.68</v>
      </c>
      <c r="DK183" s="228">
        <v>-0.25</v>
      </c>
      <c r="DL183" s="228">
        <v>-0.25</v>
      </c>
      <c r="DM183" s="228">
        <v>28.38</v>
      </c>
      <c r="DN183" s="228">
        <v>27.6</v>
      </c>
      <c r="DO183" s="228">
        <v>0.78</v>
      </c>
      <c r="DP183" s="228">
        <v>0.78</v>
      </c>
      <c r="DQ183" s="228">
        <v>0.75</v>
      </c>
      <c r="DR183" s="228">
        <v>0.65</v>
      </c>
      <c r="DS183" s="228">
        <v>0.1</v>
      </c>
      <c r="DT183" s="229">
        <v>0.15379999999999999</v>
      </c>
      <c r="DU183" s="231">
        <v>2800</v>
      </c>
      <c r="DV183" s="231">
        <v>2800</v>
      </c>
      <c r="DW183" s="228">
        <v>0.36</v>
      </c>
      <c r="DX183" s="228">
        <v>0.49</v>
      </c>
      <c r="DY183" s="228">
        <v>-0.13</v>
      </c>
      <c r="DZ183" s="229">
        <v>-0.26529999999999998</v>
      </c>
      <c r="EA183" s="229">
        <v>1.37E-2</v>
      </c>
      <c r="EB183" s="230">
        <v>3337400</v>
      </c>
      <c r="EC183" s="229">
        <v>5.5999999999999999E-3</v>
      </c>
      <c r="ED183" s="229">
        <v>1.37E-2</v>
      </c>
      <c r="EE183" s="228">
        <v>16.36</v>
      </c>
      <c r="EF183" s="229">
        <v>5.8999999999999999E-3</v>
      </c>
      <c r="EG183" s="230">
        <v>374781</v>
      </c>
      <c r="EH183" s="230">
        <v>207918</v>
      </c>
      <c r="EI183" s="229">
        <v>0.80249999999999999</v>
      </c>
      <c r="EJ183" s="229">
        <v>0.59379999999999999</v>
      </c>
      <c r="EK183" s="228">
        <v>645.96</v>
      </c>
      <c r="EL183" s="228">
        <v>222.25</v>
      </c>
      <c r="EM183" s="228">
        <v>402.76</v>
      </c>
      <c r="EN183" s="228">
        <v>162.41999999999999</v>
      </c>
      <c r="EO183" s="231">
        <v>1270.98</v>
      </c>
      <c r="EP183" s="231">
        <v>1580.6</v>
      </c>
      <c r="EQ183" s="228">
        <v>-309.63</v>
      </c>
      <c r="ER183" s="229">
        <v>-0.19589999999999999</v>
      </c>
      <c r="ES183" s="228">
        <v>213</v>
      </c>
      <c r="ET183" s="228">
        <v>152.32</v>
      </c>
      <c r="EU183" s="228">
        <v>943.31</v>
      </c>
      <c r="EV183" s="231">
        <v>18529108</v>
      </c>
      <c r="EW183" s="231">
        <v>1308.6400000000001</v>
      </c>
      <c r="EX183" s="231">
        <v>1208.97</v>
      </c>
      <c r="EY183" s="228">
        <v>99.67</v>
      </c>
      <c r="EZ183" s="229">
        <v>8.2400000000000001E-2</v>
      </c>
      <c r="FA183" s="229">
        <v>0.24890000000000001</v>
      </c>
      <c r="FB183" s="227" t="s">
        <v>556</v>
      </c>
      <c r="FC183">
        <f t="shared" si="3"/>
        <v>0</v>
      </c>
    </row>
    <row r="184" spans="1:159" ht="17.25" thickBot="1" x14ac:dyDescent="0.3">
      <c r="A184" s="226">
        <v>46050</v>
      </c>
      <c r="B184" s="227" t="s">
        <v>170</v>
      </c>
      <c r="C184" s="227" t="s">
        <v>288</v>
      </c>
      <c r="D184" s="228">
        <v>350</v>
      </c>
      <c r="E184" s="228">
        <v>27</v>
      </c>
      <c r="F184" s="231">
        <v>1608</v>
      </c>
      <c r="G184" s="231">
        <v>1638.6</v>
      </c>
      <c r="H184" s="228">
        <v>-30.6</v>
      </c>
      <c r="I184" s="229">
        <v>-1.8700000000000001E-2</v>
      </c>
      <c r="J184" s="231">
        <v>1610.6</v>
      </c>
      <c r="K184" s="231">
        <v>1638.9</v>
      </c>
      <c r="L184" s="228">
        <v>-28.3</v>
      </c>
      <c r="M184" s="229">
        <v>-1.7299999999999999E-2</v>
      </c>
      <c r="N184" s="231">
        <v>1608</v>
      </c>
      <c r="O184" s="231">
        <v>1638.8</v>
      </c>
      <c r="P184" s="228">
        <v>-30.8</v>
      </c>
      <c r="Q184" s="229">
        <v>-1.8800000000000001E-2</v>
      </c>
      <c r="R184" s="231">
        <v>1618.9</v>
      </c>
      <c r="S184" s="231">
        <v>1638.6</v>
      </c>
      <c r="T184" s="228">
        <v>-19.7</v>
      </c>
      <c r="U184" s="229">
        <v>-1.2E-2</v>
      </c>
      <c r="V184" s="231">
        <v>1627.9</v>
      </c>
      <c r="W184" s="231">
        <v>1648.2</v>
      </c>
      <c r="X184" s="228">
        <v>-20.3</v>
      </c>
      <c r="Y184" s="229">
        <v>-1.23E-2</v>
      </c>
      <c r="Z184" s="228">
        <v>-2.6</v>
      </c>
      <c r="AA184" s="228">
        <v>-0.3</v>
      </c>
      <c r="AB184" s="228">
        <v>-2.2999999999999998</v>
      </c>
      <c r="AC184" s="229">
        <v>-1.6000000000000001E-3</v>
      </c>
      <c r="AD184" s="228">
        <v>-2.6</v>
      </c>
      <c r="AE184" s="228">
        <v>-0.1</v>
      </c>
      <c r="AF184" s="228">
        <v>-2.5</v>
      </c>
      <c r="AG184" s="229">
        <v>-1.6000000000000001E-3</v>
      </c>
      <c r="AH184" s="228">
        <v>8.3000000000000007</v>
      </c>
      <c r="AI184" s="228">
        <v>-0.3</v>
      </c>
      <c r="AJ184" s="228">
        <v>8.6</v>
      </c>
      <c r="AK184" s="229">
        <v>5.1999999999999998E-3</v>
      </c>
      <c r="AL184" s="228">
        <v>17.3</v>
      </c>
      <c r="AM184" s="228">
        <v>9.3000000000000007</v>
      </c>
      <c r="AN184" s="228">
        <v>8</v>
      </c>
      <c r="AO184" s="229">
        <v>1.0699999999999999E-2</v>
      </c>
      <c r="AP184" s="231">
        <v>1612.76</v>
      </c>
      <c r="AQ184" s="231">
        <v>1625.61</v>
      </c>
      <c r="AR184" s="228">
        <v>0</v>
      </c>
      <c r="AS184" s="228">
        <v>332</v>
      </c>
      <c r="AT184" s="230">
        <v>1624</v>
      </c>
      <c r="AU184" s="230">
        <v>-1292</v>
      </c>
      <c r="AV184" s="229">
        <v>-0.79559999999999997</v>
      </c>
      <c r="AW184" s="228">
        <v>320</v>
      </c>
      <c r="AX184" s="228">
        <v>669</v>
      </c>
      <c r="AY184" s="228">
        <v>-350</v>
      </c>
      <c r="AZ184" s="229">
        <v>-0.52249999999999996</v>
      </c>
      <c r="BA184" s="228">
        <v>10</v>
      </c>
      <c r="BB184" s="228">
        <v>933</v>
      </c>
      <c r="BC184" s="228">
        <v>-923</v>
      </c>
      <c r="BD184" s="229">
        <v>-0.98970000000000002</v>
      </c>
      <c r="BE184" s="228">
        <v>3</v>
      </c>
      <c r="BF184" s="228">
        <v>22</v>
      </c>
      <c r="BG184" s="228">
        <v>-19</v>
      </c>
      <c r="BH184" s="229">
        <v>-0.87370000000000003</v>
      </c>
      <c r="BI184" s="228">
        <v>685</v>
      </c>
      <c r="BJ184" s="228">
        <v>830</v>
      </c>
      <c r="BK184" s="228">
        <v>-146</v>
      </c>
      <c r="BL184" s="229">
        <v>-0.1754</v>
      </c>
      <c r="BM184" s="228">
        <v>381</v>
      </c>
      <c r="BN184" s="228">
        <v>800</v>
      </c>
      <c r="BO184" s="228">
        <v>-419</v>
      </c>
      <c r="BP184" s="229">
        <v>-0.5242</v>
      </c>
      <c r="BQ184" s="230">
        <v>1397</v>
      </c>
      <c r="BR184" s="230">
        <v>3255</v>
      </c>
      <c r="BS184" s="230">
        <v>-1857</v>
      </c>
      <c r="BT184" s="229">
        <v>-0.57069999999999999</v>
      </c>
      <c r="BU184" s="230">
        <v>4202064</v>
      </c>
      <c r="BV184" s="230">
        <v>2799559</v>
      </c>
      <c r="BW184" s="230">
        <v>1402505</v>
      </c>
      <c r="BX184" s="229">
        <v>0.501</v>
      </c>
      <c r="BY184" s="230">
        <v>3268</v>
      </c>
      <c r="BZ184" s="230">
        <v>3231</v>
      </c>
      <c r="CA184" s="228">
        <v>38</v>
      </c>
      <c r="CB184" s="229">
        <v>1.17E-2</v>
      </c>
      <c r="CC184" s="230">
        <v>3230</v>
      </c>
      <c r="CD184" s="228">
        <v>272</v>
      </c>
      <c r="CE184" s="230">
        <v>2959</v>
      </c>
      <c r="CF184" s="229">
        <v>10.8935</v>
      </c>
      <c r="CG184" s="228">
        <v>36</v>
      </c>
      <c r="CH184" s="230">
        <v>3196</v>
      </c>
      <c r="CI184" s="230">
        <v>-3160</v>
      </c>
      <c r="CJ184" s="229">
        <v>-0.98880000000000001</v>
      </c>
      <c r="CK184" s="228">
        <v>2</v>
      </c>
      <c r="CL184" s="228">
        <v>35</v>
      </c>
      <c r="CM184" s="228">
        <v>-33</v>
      </c>
      <c r="CN184" s="229">
        <v>-0.93899999999999995</v>
      </c>
      <c r="CO184" s="228">
        <v>478</v>
      </c>
      <c r="CP184" s="228">
        <v>260</v>
      </c>
      <c r="CQ184" s="228">
        <v>219</v>
      </c>
      <c r="CR184" s="229">
        <v>0.84240000000000004</v>
      </c>
      <c r="CS184" s="228">
        <v>338</v>
      </c>
      <c r="CT184" s="228">
        <v>248</v>
      </c>
      <c r="CU184" s="228">
        <v>90</v>
      </c>
      <c r="CV184" s="229">
        <v>0.36080000000000001</v>
      </c>
      <c r="CW184" s="230">
        <v>4085</v>
      </c>
      <c r="CX184" s="230">
        <v>3739</v>
      </c>
      <c r="CY184" s="228">
        <v>346</v>
      </c>
      <c r="CZ184" s="229">
        <v>9.2499999999999999E-2</v>
      </c>
      <c r="DA184" s="228">
        <v>25.58</v>
      </c>
      <c r="DB184" s="228">
        <v>26.41</v>
      </c>
      <c r="DC184" s="228">
        <v>-0.83</v>
      </c>
      <c r="DD184" s="228">
        <v>-0.83</v>
      </c>
      <c r="DE184" s="228">
        <v>22.91</v>
      </c>
      <c r="DF184" s="228">
        <v>22.85</v>
      </c>
      <c r="DG184" s="228">
        <v>2.67</v>
      </c>
      <c r="DH184" s="228">
        <v>0.06</v>
      </c>
      <c r="DI184" s="228">
        <v>24.97</v>
      </c>
      <c r="DJ184" s="228">
        <v>25.67</v>
      </c>
      <c r="DK184" s="228">
        <v>-0.7</v>
      </c>
      <c r="DL184" s="228">
        <v>-0.7</v>
      </c>
      <c r="DM184" s="228">
        <v>26.67</v>
      </c>
      <c r="DN184" s="228">
        <v>27.26</v>
      </c>
      <c r="DO184" s="228">
        <v>-0.59</v>
      </c>
      <c r="DP184" s="228">
        <v>-0.59</v>
      </c>
      <c r="DQ184" s="228">
        <v>0.71</v>
      </c>
      <c r="DR184" s="228">
        <v>0.96</v>
      </c>
      <c r="DS184" s="228">
        <v>-0.25</v>
      </c>
      <c r="DT184" s="229">
        <v>-0.26040000000000002</v>
      </c>
      <c r="DU184" s="231">
        <v>1680</v>
      </c>
      <c r="DV184" s="231">
        <v>1550</v>
      </c>
      <c r="DW184" s="228">
        <v>0.56000000000000005</v>
      </c>
      <c r="DX184" s="228">
        <v>0.96</v>
      </c>
      <c r="DY184" s="228">
        <v>-0.4</v>
      </c>
      <c r="DZ184" s="229">
        <v>-0.41670000000000001</v>
      </c>
      <c r="EA184" s="229">
        <v>1.1599999999999999E-2</v>
      </c>
      <c r="EB184" s="230">
        <v>20091750</v>
      </c>
      <c r="EC184" s="229">
        <v>6.7999999999999996E-3</v>
      </c>
      <c r="ED184" s="229">
        <v>1.1599999999999999E-2</v>
      </c>
      <c r="EE184" s="228">
        <v>12.85</v>
      </c>
      <c r="EF184" s="229">
        <v>8.0000000000000002E-3</v>
      </c>
      <c r="EG184" s="230">
        <v>3189603</v>
      </c>
      <c r="EH184" s="230">
        <v>1572913</v>
      </c>
      <c r="EI184" s="229">
        <v>1.0278</v>
      </c>
      <c r="EJ184" s="229">
        <v>0.7591</v>
      </c>
      <c r="EK184" s="228">
        <v>726.22</v>
      </c>
      <c r="EL184" s="228">
        <v>377.07</v>
      </c>
      <c r="EM184" s="228">
        <v>333.08</v>
      </c>
      <c r="EN184" s="228">
        <v>333.46</v>
      </c>
      <c r="EO184" s="231">
        <v>1436.38</v>
      </c>
      <c r="EP184" s="231">
        <v>3340.64</v>
      </c>
      <c r="EQ184" s="231">
        <v>-1904.27</v>
      </c>
      <c r="ER184" s="229">
        <v>-0.56999999999999995</v>
      </c>
      <c r="ES184" s="228">
        <v>505.82</v>
      </c>
      <c r="ET184" s="228">
        <v>330.95</v>
      </c>
      <c r="EU184" s="231">
        <v>3268.67</v>
      </c>
      <c r="EV184" s="231">
        <v>109220043</v>
      </c>
      <c r="EW184" s="231">
        <v>4105.4399999999996</v>
      </c>
      <c r="EX184" s="231">
        <v>3815.22</v>
      </c>
      <c r="EY184" s="228">
        <v>290.22000000000003</v>
      </c>
      <c r="EZ184" s="229">
        <v>7.6100000000000001E-2</v>
      </c>
      <c r="FA184" s="229">
        <v>0.2326</v>
      </c>
      <c r="FB184" s="227" t="s">
        <v>567</v>
      </c>
      <c r="FC184">
        <f t="shared" si="3"/>
        <v>0</v>
      </c>
    </row>
    <row r="185" spans="1:159" ht="17.25" thickBot="1" x14ac:dyDescent="0.3">
      <c r="A185" s="226">
        <v>46050</v>
      </c>
      <c r="B185" s="227" t="s">
        <v>184</v>
      </c>
      <c r="C185" s="227" t="s">
        <v>574</v>
      </c>
      <c r="D185" s="228">
        <v>175</v>
      </c>
      <c r="E185" s="228">
        <v>27</v>
      </c>
      <c r="F185" s="231">
        <v>3533.6</v>
      </c>
      <c r="G185" s="231">
        <v>3474.3</v>
      </c>
      <c r="H185" s="228">
        <v>59.3</v>
      </c>
      <c r="I185" s="229">
        <v>1.7100000000000001E-2</v>
      </c>
      <c r="J185" s="231">
        <v>3512.9</v>
      </c>
      <c r="K185" s="231">
        <v>3444.3</v>
      </c>
      <c r="L185" s="228">
        <v>68.599999999999994</v>
      </c>
      <c r="M185" s="229">
        <v>1.9900000000000001E-2</v>
      </c>
      <c r="N185" s="231">
        <v>3533.6</v>
      </c>
      <c r="O185" s="231">
        <v>3458.5</v>
      </c>
      <c r="P185" s="228">
        <v>75.099999999999994</v>
      </c>
      <c r="Q185" s="229">
        <v>2.1700000000000001E-2</v>
      </c>
      <c r="R185" s="231">
        <v>3537.2</v>
      </c>
      <c r="S185" s="231">
        <v>3474.3</v>
      </c>
      <c r="T185" s="228">
        <v>62.9</v>
      </c>
      <c r="U185" s="229">
        <v>1.8100000000000002E-2</v>
      </c>
      <c r="V185" s="228">
        <v>0</v>
      </c>
      <c r="W185" s="231">
        <v>3480.2</v>
      </c>
      <c r="X185" s="228">
        <v>0</v>
      </c>
      <c r="Y185" s="229">
        <v>0</v>
      </c>
      <c r="Z185" s="228">
        <v>20.7</v>
      </c>
      <c r="AA185" s="228">
        <v>30</v>
      </c>
      <c r="AB185" s="228">
        <v>-9.3000000000000007</v>
      </c>
      <c r="AC185" s="229">
        <v>5.8999999999999999E-3</v>
      </c>
      <c r="AD185" s="228">
        <v>20.7</v>
      </c>
      <c r="AE185" s="228">
        <v>14.2</v>
      </c>
      <c r="AF185" s="228">
        <v>6.5</v>
      </c>
      <c r="AG185" s="229">
        <v>5.8999999999999999E-3</v>
      </c>
      <c r="AH185" s="228">
        <v>24.3</v>
      </c>
      <c r="AI185" s="228">
        <v>30</v>
      </c>
      <c r="AJ185" s="228">
        <v>-5.7</v>
      </c>
      <c r="AK185" s="229">
        <v>6.8999999999999999E-3</v>
      </c>
      <c r="AL185" s="228">
        <v>0</v>
      </c>
      <c r="AM185" s="228">
        <v>35.9</v>
      </c>
      <c r="AN185" s="228">
        <v>0</v>
      </c>
      <c r="AO185" s="229">
        <v>0</v>
      </c>
      <c r="AP185" s="231">
        <v>3537.2</v>
      </c>
      <c r="AQ185" s="231">
        <v>3550.06</v>
      </c>
      <c r="AR185" s="228">
        <v>0</v>
      </c>
      <c r="AS185" s="228">
        <v>110</v>
      </c>
      <c r="AT185" s="228">
        <v>391</v>
      </c>
      <c r="AU185" s="228">
        <v>-281</v>
      </c>
      <c r="AV185" s="229">
        <v>-0.71799999999999997</v>
      </c>
      <c r="AW185" s="228">
        <v>107</v>
      </c>
      <c r="AX185" s="228">
        <v>181</v>
      </c>
      <c r="AY185" s="228">
        <v>-73</v>
      </c>
      <c r="AZ185" s="229">
        <v>-0.40560000000000002</v>
      </c>
      <c r="BA185" s="228">
        <v>3</v>
      </c>
      <c r="BB185" s="228">
        <v>208</v>
      </c>
      <c r="BC185" s="228">
        <v>-205</v>
      </c>
      <c r="BD185" s="229">
        <v>-0.98629999999999995</v>
      </c>
      <c r="BE185" s="228">
        <v>0</v>
      </c>
      <c r="BF185" s="228">
        <v>2</v>
      </c>
      <c r="BG185" s="228">
        <v>0</v>
      </c>
      <c r="BH185" s="229">
        <v>0</v>
      </c>
      <c r="BI185" s="228">
        <v>151</v>
      </c>
      <c r="BJ185" s="228">
        <v>206</v>
      </c>
      <c r="BK185" s="228">
        <v>-56</v>
      </c>
      <c r="BL185" s="229">
        <v>-0.27050000000000002</v>
      </c>
      <c r="BM185" s="228">
        <v>32</v>
      </c>
      <c r="BN185" s="228">
        <v>187</v>
      </c>
      <c r="BO185" s="228">
        <v>-155</v>
      </c>
      <c r="BP185" s="229">
        <v>-0.82830000000000004</v>
      </c>
      <c r="BQ185" s="228">
        <v>293</v>
      </c>
      <c r="BR185" s="228">
        <v>785</v>
      </c>
      <c r="BS185" s="228">
        <v>-492</v>
      </c>
      <c r="BT185" s="229">
        <v>-0.62660000000000005</v>
      </c>
      <c r="BU185" s="230">
        <v>177391</v>
      </c>
      <c r="BV185" s="230">
        <v>269630</v>
      </c>
      <c r="BW185" s="230">
        <v>-92239</v>
      </c>
      <c r="BX185" s="229">
        <v>-0.34210000000000002</v>
      </c>
      <c r="BY185" s="228">
        <v>661</v>
      </c>
      <c r="BZ185" s="228">
        <v>639</v>
      </c>
      <c r="CA185" s="228">
        <v>23</v>
      </c>
      <c r="CB185" s="229">
        <v>3.5299999999999998E-2</v>
      </c>
      <c r="CC185" s="228">
        <v>656</v>
      </c>
      <c r="CD185" s="228">
        <v>133</v>
      </c>
      <c r="CE185" s="228">
        <v>523</v>
      </c>
      <c r="CF185" s="229">
        <v>3.9358</v>
      </c>
      <c r="CG185" s="228">
        <v>5</v>
      </c>
      <c r="CH185" s="228">
        <v>634</v>
      </c>
      <c r="CI185" s="228">
        <v>-629</v>
      </c>
      <c r="CJ185" s="229">
        <v>-0.99180000000000001</v>
      </c>
      <c r="CK185" s="228">
        <v>0</v>
      </c>
      <c r="CL185" s="228">
        <v>5</v>
      </c>
      <c r="CM185" s="228">
        <v>-5</v>
      </c>
      <c r="CN185" s="229">
        <v>-1</v>
      </c>
      <c r="CO185" s="228">
        <v>81</v>
      </c>
      <c r="CP185" s="228">
        <v>57</v>
      </c>
      <c r="CQ185" s="228">
        <v>24</v>
      </c>
      <c r="CR185" s="229">
        <v>0.41980000000000001</v>
      </c>
      <c r="CS185" s="228">
        <v>63</v>
      </c>
      <c r="CT185" s="228">
        <v>58</v>
      </c>
      <c r="CU185" s="228">
        <v>5</v>
      </c>
      <c r="CV185" s="229">
        <v>8.2699999999999996E-2</v>
      </c>
      <c r="CW185" s="228">
        <v>805</v>
      </c>
      <c r="CX185" s="228">
        <v>754</v>
      </c>
      <c r="CY185" s="228">
        <v>51</v>
      </c>
      <c r="CZ185" s="229">
        <v>6.7900000000000002E-2</v>
      </c>
      <c r="DA185" s="228">
        <v>30.39</v>
      </c>
      <c r="DB185" s="228">
        <v>33.479999999999997</v>
      </c>
      <c r="DC185" s="228">
        <v>-3.09</v>
      </c>
      <c r="DD185" s="228">
        <v>-3.09</v>
      </c>
      <c r="DE185" s="228">
        <v>38.82</v>
      </c>
      <c r="DF185" s="228">
        <v>38.83</v>
      </c>
      <c r="DG185" s="228">
        <v>-8.43</v>
      </c>
      <c r="DH185" s="228">
        <v>-0.01</v>
      </c>
      <c r="DI185" s="228">
        <v>30.02</v>
      </c>
      <c r="DJ185" s="228">
        <v>32.75</v>
      </c>
      <c r="DK185" s="228">
        <v>-2.73</v>
      </c>
      <c r="DL185" s="228">
        <v>-2.73</v>
      </c>
      <c r="DM185" s="228">
        <v>32.15</v>
      </c>
      <c r="DN185" s="228">
        <v>34.35</v>
      </c>
      <c r="DO185" s="228">
        <v>-2.2000000000000002</v>
      </c>
      <c r="DP185" s="228">
        <v>-2.2000000000000002</v>
      </c>
      <c r="DQ185" s="228">
        <v>0.78</v>
      </c>
      <c r="DR185" s="228">
        <v>1.03</v>
      </c>
      <c r="DS185" s="228">
        <v>-0.25</v>
      </c>
      <c r="DT185" s="229">
        <v>-0.2427</v>
      </c>
      <c r="DU185" s="231">
        <v>3500</v>
      </c>
      <c r="DV185" s="231">
        <v>3500</v>
      </c>
      <c r="DW185" s="228">
        <v>0.21</v>
      </c>
      <c r="DX185" s="228">
        <v>0.91</v>
      </c>
      <c r="DY185" s="228">
        <v>-0.7</v>
      </c>
      <c r="DZ185" s="229">
        <v>-0.76919999999999999</v>
      </c>
      <c r="EA185" s="229">
        <v>7.9000000000000008E-3</v>
      </c>
      <c r="EB185" s="230">
        <v>1807050</v>
      </c>
      <c r="EC185" s="229">
        <v>1E-3</v>
      </c>
      <c r="ED185" s="229">
        <v>7.9000000000000008E-3</v>
      </c>
      <c r="EE185" s="228">
        <v>12.86</v>
      </c>
      <c r="EF185" s="229">
        <v>3.5999999999999999E-3</v>
      </c>
      <c r="EG185" s="230">
        <v>98812</v>
      </c>
      <c r="EH185" s="230">
        <v>130871</v>
      </c>
      <c r="EI185" s="229">
        <v>-0.245</v>
      </c>
      <c r="EJ185" s="229">
        <v>0.55700000000000005</v>
      </c>
      <c r="EK185" s="228">
        <v>158.9</v>
      </c>
      <c r="EL185" s="228">
        <v>31.99</v>
      </c>
      <c r="EM185" s="228">
        <v>110.44</v>
      </c>
      <c r="EN185" s="228">
        <v>117.06</v>
      </c>
      <c r="EO185" s="228">
        <v>301.33</v>
      </c>
      <c r="EP185" s="228">
        <v>772.37</v>
      </c>
      <c r="EQ185" s="228">
        <v>-471.04</v>
      </c>
      <c r="ER185" s="229">
        <v>-0.6099</v>
      </c>
      <c r="ES185" s="228">
        <v>82.46</v>
      </c>
      <c r="ET185" s="228">
        <v>60.79</v>
      </c>
      <c r="EU185" s="228">
        <v>661.12</v>
      </c>
      <c r="EV185" s="231">
        <v>9736357</v>
      </c>
      <c r="EW185" s="228">
        <v>804.37</v>
      </c>
      <c r="EX185" s="228">
        <v>741.42</v>
      </c>
      <c r="EY185" s="228">
        <v>62.95</v>
      </c>
      <c r="EZ185" s="229">
        <v>8.4900000000000003E-2</v>
      </c>
      <c r="FA185" s="229">
        <v>0.2339</v>
      </c>
      <c r="FB185" s="227" t="s">
        <v>555</v>
      </c>
      <c r="FC185">
        <f t="shared" si="3"/>
        <v>0</v>
      </c>
    </row>
    <row r="186" spans="1:159" ht="17.25" thickBot="1" x14ac:dyDescent="0.3">
      <c r="A186" s="226">
        <v>46050</v>
      </c>
      <c r="B186" s="227" t="s">
        <v>161</v>
      </c>
      <c r="C186" s="227" t="s">
        <v>683</v>
      </c>
      <c r="D186" s="228">
        <v>9025</v>
      </c>
      <c r="E186" s="228">
        <v>27</v>
      </c>
      <c r="F186" s="228">
        <v>48.01</v>
      </c>
      <c r="G186" s="228">
        <v>46.05</v>
      </c>
      <c r="H186" s="228">
        <v>1.96</v>
      </c>
      <c r="I186" s="229">
        <v>4.2599999999999999E-2</v>
      </c>
      <c r="J186" s="228">
        <v>47.8</v>
      </c>
      <c r="K186" s="228">
        <v>45.79</v>
      </c>
      <c r="L186" s="228">
        <v>2.0099999999999998</v>
      </c>
      <c r="M186" s="229">
        <v>4.3900000000000002E-2</v>
      </c>
      <c r="N186" s="228">
        <v>48.01</v>
      </c>
      <c r="O186" s="228">
        <v>45.73</v>
      </c>
      <c r="P186" s="228">
        <v>2.2799999999999998</v>
      </c>
      <c r="Q186" s="229">
        <v>4.99E-2</v>
      </c>
      <c r="R186" s="228">
        <v>48.39</v>
      </c>
      <c r="S186" s="228">
        <v>46.05</v>
      </c>
      <c r="T186" s="228">
        <v>2.34</v>
      </c>
      <c r="U186" s="229">
        <v>5.0799999999999998E-2</v>
      </c>
      <c r="V186" s="228">
        <v>48.64</v>
      </c>
      <c r="W186" s="228">
        <v>46.41</v>
      </c>
      <c r="X186" s="228">
        <v>2.23</v>
      </c>
      <c r="Y186" s="229">
        <v>4.8000000000000001E-2</v>
      </c>
      <c r="Z186" s="228">
        <v>0.21</v>
      </c>
      <c r="AA186" s="228">
        <v>0.26</v>
      </c>
      <c r="AB186" s="228">
        <v>-0.05</v>
      </c>
      <c r="AC186" s="229">
        <v>4.4000000000000003E-3</v>
      </c>
      <c r="AD186" s="228">
        <v>0.21</v>
      </c>
      <c r="AE186" s="228">
        <v>-0.06</v>
      </c>
      <c r="AF186" s="228">
        <v>0.27</v>
      </c>
      <c r="AG186" s="229">
        <v>4.4000000000000003E-3</v>
      </c>
      <c r="AH186" s="228">
        <v>0.59</v>
      </c>
      <c r="AI186" s="228">
        <v>0.26</v>
      </c>
      <c r="AJ186" s="228">
        <v>0.33</v>
      </c>
      <c r="AK186" s="229">
        <v>1.23E-2</v>
      </c>
      <c r="AL186" s="228">
        <v>0.84</v>
      </c>
      <c r="AM186" s="228">
        <v>0.62</v>
      </c>
      <c r="AN186" s="228">
        <v>0.22</v>
      </c>
      <c r="AO186" s="229">
        <v>1.7600000000000001E-2</v>
      </c>
      <c r="AP186" s="228">
        <v>47.44</v>
      </c>
      <c r="AQ186" s="228">
        <v>47.82</v>
      </c>
      <c r="AR186" s="228">
        <v>0</v>
      </c>
      <c r="AS186" s="228">
        <v>266</v>
      </c>
      <c r="AT186" s="230">
        <v>1616</v>
      </c>
      <c r="AU186" s="230">
        <v>-1350</v>
      </c>
      <c r="AV186" s="229">
        <v>-0.83520000000000005</v>
      </c>
      <c r="AW186" s="228">
        <v>246</v>
      </c>
      <c r="AX186" s="228">
        <v>739</v>
      </c>
      <c r="AY186" s="228">
        <v>-492</v>
      </c>
      <c r="AZ186" s="229">
        <v>-0.66639999999999999</v>
      </c>
      <c r="BA186" s="228">
        <v>19</v>
      </c>
      <c r="BB186" s="228">
        <v>850</v>
      </c>
      <c r="BC186" s="228">
        <v>-831</v>
      </c>
      <c r="BD186" s="229">
        <v>-0.97789999999999999</v>
      </c>
      <c r="BE186" s="228">
        <v>1</v>
      </c>
      <c r="BF186" s="228">
        <v>28</v>
      </c>
      <c r="BG186" s="228">
        <v>-27</v>
      </c>
      <c r="BH186" s="229">
        <v>-0.96230000000000004</v>
      </c>
      <c r="BI186" s="228">
        <v>588</v>
      </c>
      <c r="BJ186" s="228">
        <v>493</v>
      </c>
      <c r="BK186" s="228">
        <v>95</v>
      </c>
      <c r="BL186" s="229">
        <v>0.19270000000000001</v>
      </c>
      <c r="BM186" s="228">
        <v>196</v>
      </c>
      <c r="BN186" s="228">
        <v>358</v>
      </c>
      <c r="BO186" s="228">
        <v>-163</v>
      </c>
      <c r="BP186" s="229">
        <v>-0.45390000000000003</v>
      </c>
      <c r="BQ186" s="230">
        <v>1050</v>
      </c>
      <c r="BR186" s="230">
        <v>2468</v>
      </c>
      <c r="BS186" s="230">
        <v>-1418</v>
      </c>
      <c r="BT186" s="229">
        <v>-0.57450000000000001</v>
      </c>
      <c r="BU186" s="230">
        <v>69866194</v>
      </c>
      <c r="BV186" s="230">
        <v>72487536</v>
      </c>
      <c r="BW186" s="230">
        <v>-2621342</v>
      </c>
      <c r="BX186" s="229">
        <v>-3.6200000000000003E-2</v>
      </c>
      <c r="BY186" s="230">
        <v>1483</v>
      </c>
      <c r="BZ186" s="230">
        <v>1483</v>
      </c>
      <c r="CA186" s="228">
        <v>0</v>
      </c>
      <c r="CB186" s="229">
        <v>2.0000000000000001E-4</v>
      </c>
      <c r="CC186" s="230">
        <v>1422</v>
      </c>
      <c r="CD186" s="228">
        <v>97</v>
      </c>
      <c r="CE186" s="230">
        <v>1325</v>
      </c>
      <c r="CF186" s="229">
        <v>13.688000000000001</v>
      </c>
      <c r="CG186" s="228">
        <v>60</v>
      </c>
      <c r="CH186" s="230">
        <v>1426</v>
      </c>
      <c r="CI186" s="230">
        <v>-1366</v>
      </c>
      <c r="CJ186" s="229">
        <v>-0.95779999999999998</v>
      </c>
      <c r="CK186" s="228">
        <v>1</v>
      </c>
      <c r="CL186" s="228">
        <v>57</v>
      </c>
      <c r="CM186" s="228">
        <v>-56</v>
      </c>
      <c r="CN186" s="229">
        <v>-0.98550000000000004</v>
      </c>
      <c r="CO186" s="228">
        <v>323</v>
      </c>
      <c r="CP186" s="228">
        <v>286</v>
      </c>
      <c r="CQ186" s="228">
        <v>37</v>
      </c>
      <c r="CR186" s="229">
        <v>0.12920000000000001</v>
      </c>
      <c r="CS186" s="228">
        <v>234</v>
      </c>
      <c r="CT186" s="228">
        <v>216</v>
      </c>
      <c r="CU186" s="228">
        <v>18</v>
      </c>
      <c r="CV186" s="229">
        <v>8.48E-2</v>
      </c>
      <c r="CW186" s="230">
        <v>2040</v>
      </c>
      <c r="CX186" s="230">
        <v>1984</v>
      </c>
      <c r="CY186" s="228">
        <v>56</v>
      </c>
      <c r="CZ186" s="229">
        <v>2.8000000000000001E-2</v>
      </c>
      <c r="DA186" s="228">
        <v>44.6</v>
      </c>
      <c r="DB186" s="228">
        <v>46.09</v>
      </c>
      <c r="DC186" s="228">
        <v>-1.49</v>
      </c>
      <c r="DD186" s="228">
        <v>-1.49</v>
      </c>
      <c r="DE186" s="228">
        <v>46.53</v>
      </c>
      <c r="DF186" s="228">
        <v>46.3</v>
      </c>
      <c r="DG186" s="228">
        <v>-1.93</v>
      </c>
      <c r="DH186" s="228">
        <v>0.23</v>
      </c>
      <c r="DI186" s="228">
        <v>44.44</v>
      </c>
      <c r="DJ186" s="228">
        <v>46.89</v>
      </c>
      <c r="DK186" s="228">
        <v>-2.4500000000000002</v>
      </c>
      <c r="DL186" s="228">
        <v>-2.4500000000000002</v>
      </c>
      <c r="DM186" s="228">
        <v>45.09</v>
      </c>
      <c r="DN186" s="228">
        <v>44.69</v>
      </c>
      <c r="DO186" s="228">
        <v>0.4</v>
      </c>
      <c r="DP186" s="228">
        <v>0.4</v>
      </c>
      <c r="DQ186" s="228">
        <v>0.72</v>
      </c>
      <c r="DR186" s="228">
        <v>0.75</v>
      </c>
      <c r="DS186" s="228">
        <v>-0.03</v>
      </c>
      <c r="DT186" s="229">
        <v>-0.04</v>
      </c>
      <c r="DU186" s="228">
        <v>50</v>
      </c>
      <c r="DV186" s="228">
        <v>45</v>
      </c>
      <c r="DW186" s="228">
        <v>0.33</v>
      </c>
      <c r="DX186" s="228">
        <v>0.73</v>
      </c>
      <c r="DY186" s="228">
        <v>-0.4</v>
      </c>
      <c r="DZ186" s="229">
        <v>-0.54790000000000005</v>
      </c>
      <c r="EA186" s="229">
        <v>4.1200000000000001E-2</v>
      </c>
      <c r="EB186" s="230">
        <v>308790375</v>
      </c>
      <c r="EC186" s="229">
        <v>7.9000000000000008E-3</v>
      </c>
      <c r="ED186" s="229">
        <v>4.1200000000000001E-2</v>
      </c>
      <c r="EE186" s="228">
        <v>0.38</v>
      </c>
      <c r="EF186" s="229">
        <v>8.0000000000000002E-3</v>
      </c>
      <c r="EG186" s="230">
        <v>25489277</v>
      </c>
      <c r="EH186" s="230">
        <v>25546143</v>
      </c>
      <c r="EI186" s="229">
        <v>-2.2000000000000001E-3</v>
      </c>
      <c r="EJ186" s="229">
        <v>0.36480000000000001</v>
      </c>
      <c r="EK186" s="228">
        <v>639.64</v>
      </c>
      <c r="EL186" s="228">
        <v>190.71</v>
      </c>
      <c r="EM186" s="228">
        <v>263.29000000000002</v>
      </c>
      <c r="EN186" s="228">
        <v>236.62</v>
      </c>
      <c r="EO186" s="231">
        <v>1093.6400000000001</v>
      </c>
      <c r="EP186" s="231">
        <v>2448.37</v>
      </c>
      <c r="EQ186" s="231">
        <v>-1354.73</v>
      </c>
      <c r="ER186" s="229">
        <v>-0.55330000000000001</v>
      </c>
      <c r="ES186" s="228">
        <v>352.04</v>
      </c>
      <c r="ET186" s="228">
        <v>234.75</v>
      </c>
      <c r="EU186" s="231">
        <v>1483.29</v>
      </c>
      <c r="EV186" s="231">
        <v>1814982173</v>
      </c>
      <c r="EW186" s="231">
        <v>2070.09</v>
      </c>
      <c r="EX186" s="231">
        <v>1949.19</v>
      </c>
      <c r="EY186" s="228">
        <v>120.9</v>
      </c>
      <c r="EZ186" s="229">
        <v>6.2E-2</v>
      </c>
      <c r="FA186" s="229">
        <v>0.2341</v>
      </c>
      <c r="FB186" s="227" t="s">
        <v>555</v>
      </c>
      <c r="FC186">
        <f t="shared" si="3"/>
        <v>0</v>
      </c>
    </row>
    <row r="187" spans="1:159" ht="17.25" thickBot="1" x14ac:dyDescent="0.3">
      <c r="A187" s="226">
        <v>46050</v>
      </c>
      <c r="B187" s="227" t="s">
        <v>615</v>
      </c>
      <c r="C187" s="227" t="s">
        <v>692</v>
      </c>
      <c r="D187" s="228">
        <v>1300</v>
      </c>
      <c r="E187" s="228">
        <v>27</v>
      </c>
      <c r="F187" s="228">
        <v>324.5</v>
      </c>
      <c r="G187" s="228">
        <v>314.60000000000002</v>
      </c>
      <c r="H187" s="228">
        <v>9.9</v>
      </c>
      <c r="I187" s="229">
        <v>3.15E-2</v>
      </c>
      <c r="J187" s="228">
        <v>323.5</v>
      </c>
      <c r="K187" s="228">
        <v>312.25</v>
      </c>
      <c r="L187" s="228">
        <v>11.25</v>
      </c>
      <c r="M187" s="229">
        <v>3.5999999999999997E-2</v>
      </c>
      <c r="N187" s="228">
        <v>324.5</v>
      </c>
      <c r="O187" s="228">
        <v>313.39999999999998</v>
      </c>
      <c r="P187" s="228">
        <v>11.1</v>
      </c>
      <c r="Q187" s="229">
        <v>3.5400000000000001E-2</v>
      </c>
      <c r="R187" s="228">
        <v>323.75</v>
      </c>
      <c r="S187" s="228">
        <v>314.60000000000002</v>
      </c>
      <c r="T187" s="228">
        <v>9.15</v>
      </c>
      <c r="U187" s="229">
        <v>2.9100000000000001E-2</v>
      </c>
      <c r="V187" s="228">
        <v>319.85000000000002</v>
      </c>
      <c r="W187" s="228">
        <v>314.2</v>
      </c>
      <c r="X187" s="228">
        <v>5.65</v>
      </c>
      <c r="Y187" s="229">
        <v>1.7999999999999999E-2</v>
      </c>
      <c r="Z187" s="228">
        <v>1</v>
      </c>
      <c r="AA187" s="228">
        <v>2.35</v>
      </c>
      <c r="AB187" s="228">
        <v>-1.35</v>
      </c>
      <c r="AC187" s="229">
        <v>3.0999999999999999E-3</v>
      </c>
      <c r="AD187" s="228">
        <v>1</v>
      </c>
      <c r="AE187" s="228">
        <v>1.1499999999999999</v>
      </c>
      <c r="AF187" s="228">
        <v>-0.15</v>
      </c>
      <c r="AG187" s="229">
        <v>3.0999999999999999E-3</v>
      </c>
      <c r="AH187" s="228">
        <v>0.25</v>
      </c>
      <c r="AI187" s="228">
        <v>2.35</v>
      </c>
      <c r="AJ187" s="228">
        <v>-2.1</v>
      </c>
      <c r="AK187" s="229">
        <v>8.0000000000000004E-4</v>
      </c>
      <c r="AL187" s="228">
        <v>-3.65</v>
      </c>
      <c r="AM187" s="228">
        <v>1.95</v>
      </c>
      <c r="AN187" s="228">
        <v>-5.6</v>
      </c>
      <c r="AO187" s="229">
        <v>-1.1299999999999999E-2</v>
      </c>
      <c r="AP187" s="228">
        <v>319.37</v>
      </c>
      <c r="AQ187" s="228">
        <v>320.62</v>
      </c>
      <c r="AR187" s="228">
        <v>0</v>
      </c>
      <c r="AS187" s="228">
        <v>326</v>
      </c>
      <c r="AT187" s="228">
        <v>666</v>
      </c>
      <c r="AU187" s="228">
        <v>-340</v>
      </c>
      <c r="AV187" s="229">
        <v>-0.51090000000000002</v>
      </c>
      <c r="AW187" s="228">
        <v>316</v>
      </c>
      <c r="AX187" s="228">
        <v>195</v>
      </c>
      <c r="AY187" s="228">
        <v>120</v>
      </c>
      <c r="AZ187" s="229">
        <v>0.61580000000000001</v>
      </c>
      <c r="BA187" s="228">
        <v>10</v>
      </c>
      <c r="BB187" s="228">
        <v>466</v>
      </c>
      <c r="BC187" s="228">
        <v>-456</v>
      </c>
      <c r="BD187" s="229">
        <v>-0.97919999999999996</v>
      </c>
      <c r="BE187" s="228">
        <v>0</v>
      </c>
      <c r="BF187" s="228">
        <v>4</v>
      </c>
      <c r="BG187" s="228">
        <v>-4</v>
      </c>
      <c r="BH187" s="229">
        <v>-0.9143</v>
      </c>
      <c r="BI187" s="228">
        <v>189</v>
      </c>
      <c r="BJ187" s="228">
        <v>180</v>
      </c>
      <c r="BK187" s="228">
        <v>9</v>
      </c>
      <c r="BL187" s="229">
        <v>4.8599999999999997E-2</v>
      </c>
      <c r="BM187" s="228">
        <v>116</v>
      </c>
      <c r="BN187" s="228">
        <v>247</v>
      </c>
      <c r="BO187" s="228">
        <v>-131</v>
      </c>
      <c r="BP187" s="229">
        <v>-0.53159999999999996</v>
      </c>
      <c r="BQ187" s="228">
        <v>630</v>
      </c>
      <c r="BR187" s="230">
        <v>1093</v>
      </c>
      <c r="BS187" s="228">
        <v>-462</v>
      </c>
      <c r="BT187" s="229">
        <v>-0.42320000000000002</v>
      </c>
      <c r="BU187" s="230">
        <v>12888262</v>
      </c>
      <c r="BV187" s="230">
        <v>14294472</v>
      </c>
      <c r="BW187" s="230">
        <v>-1406210</v>
      </c>
      <c r="BX187" s="229">
        <v>-9.8400000000000001E-2</v>
      </c>
      <c r="BY187" s="228">
        <v>833</v>
      </c>
      <c r="BZ187" s="228">
        <v>862</v>
      </c>
      <c r="CA187" s="228">
        <v>-29</v>
      </c>
      <c r="CB187" s="229">
        <v>-3.3500000000000002E-2</v>
      </c>
      <c r="CC187" s="228">
        <v>817</v>
      </c>
      <c r="CD187" s="228">
        <v>132</v>
      </c>
      <c r="CE187" s="228">
        <v>684</v>
      </c>
      <c r="CF187" s="229">
        <v>5.1661999999999999</v>
      </c>
      <c r="CG187" s="228">
        <v>16</v>
      </c>
      <c r="CH187" s="228">
        <v>846</v>
      </c>
      <c r="CI187" s="228">
        <v>-831</v>
      </c>
      <c r="CJ187" s="229">
        <v>-0.98140000000000005</v>
      </c>
      <c r="CK187" s="228">
        <v>0</v>
      </c>
      <c r="CL187" s="228">
        <v>15</v>
      </c>
      <c r="CM187" s="228">
        <v>-15</v>
      </c>
      <c r="CN187" s="229">
        <v>-0.9889</v>
      </c>
      <c r="CO187" s="228">
        <v>90</v>
      </c>
      <c r="CP187" s="228">
        <v>65</v>
      </c>
      <c r="CQ187" s="228">
        <v>25</v>
      </c>
      <c r="CR187" s="229">
        <v>0.37819999999999998</v>
      </c>
      <c r="CS187" s="228">
        <v>107</v>
      </c>
      <c r="CT187" s="228">
        <v>78</v>
      </c>
      <c r="CU187" s="228">
        <v>28</v>
      </c>
      <c r="CV187" s="229">
        <v>0.3619</v>
      </c>
      <c r="CW187" s="230">
        <v>1029</v>
      </c>
      <c r="CX187" s="230">
        <v>1005</v>
      </c>
      <c r="CY187" s="228">
        <v>24</v>
      </c>
      <c r="CZ187" s="229">
        <v>2.4E-2</v>
      </c>
      <c r="DA187" s="228">
        <v>52.68</v>
      </c>
      <c r="DB187" s="228">
        <v>54.36</v>
      </c>
      <c r="DC187" s="228">
        <v>-1.68</v>
      </c>
      <c r="DD187" s="228">
        <v>-1.68</v>
      </c>
      <c r="DE187" s="228">
        <v>44.36</v>
      </c>
      <c r="DF187" s="228">
        <v>44.27</v>
      </c>
      <c r="DG187" s="228">
        <v>8.32</v>
      </c>
      <c r="DH187" s="228">
        <v>0.09</v>
      </c>
      <c r="DI187" s="228">
        <v>52.06</v>
      </c>
      <c r="DJ187" s="228">
        <v>52.99</v>
      </c>
      <c r="DK187" s="228">
        <v>-0.93</v>
      </c>
      <c r="DL187" s="228">
        <v>-0.93</v>
      </c>
      <c r="DM187" s="228">
        <v>53.69</v>
      </c>
      <c r="DN187" s="228">
        <v>55.2</v>
      </c>
      <c r="DO187" s="228">
        <v>-1.51</v>
      </c>
      <c r="DP187" s="228">
        <v>-1.51</v>
      </c>
      <c r="DQ187" s="228">
        <v>1.19</v>
      </c>
      <c r="DR187" s="228">
        <v>1.2</v>
      </c>
      <c r="DS187" s="228">
        <v>-0.01</v>
      </c>
      <c r="DT187" s="229">
        <v>-8.3000000000000001E-3</v>
      </c>
      <c r="DU187" s="228">
        <v>320</v>
      </c>
      <c r="DV187" s="228">
        <v>300</v>
      </c>
      <c r="DW187" s="228">
        <v>0.61</v>
      </c>
      <c r="DX187" s="228">
        <v>1.37</v>
      </c>
      <c r="DY187" s="228">
        <v>-0.76</v>
      </c>
      <c r="DZ187" s="229">
        <v>-0.55469999999999997</v>
      </c>
      <c r="EA187" s="229">
        <v>1.9099999999999999E-2</v>
      </c>
      <c r="EB187" s="230">
        <v>26552500</v>
      </c>
      <c r="EC187" s="229">
        <v>-2.3E-3</v>
      </c>
      <c r="ED187" s="229">
        <v>1.9099999999999999E-2</v>
      </c>
      <c r="EE187" s="228">
        <v>1.25</v>
      </c>
      <c r="EF187" s="229">
        <v>3.8999999999999998E-3</v>
      </c>
      <c r="EG187" s="230">
        <v>5924543</v>
      </c>
      <c r="EH187" s="230">
        <v>7734590</v>
      </c>
      <c r="EI187" s="229">
        <v>-0.23400000000000001</v>
      </c>
      <c r="EJ187" s="229">
        <v>0.4597</v>
      </c>
      <c r="EK187" s="228">
        <v>204.05</v>
      </c>
      <c r="EL187" s="228">
        <v>113.67</v>
      </c>
      <c r="EM187" s="228">
        <v>320.55</v>
      </c>
      <c r="EN187" s="228">
        <v>281.42</v>
      </c>
      <c r="EO187" s="228">
        <v>638.27</v>
      </c>
      <c r="EP187" s="231">
        <v>1074.78</v>
      </c>
      <c r="EQ187" s="228">
        <v>-436.5</v>
      </c>
      <c r="ER187" s="229">
        <v>-0.40610000000000002</v>
      </c>
      <c r="ES187" s="228">
        <v>94.43</v>
      </c>
      <c r="ET187" s="228">
        <v>102.48</v>
      </c>
      <c r="EU187" s="228">
        <v>832.69</v>
      </c>
      <c r="EV187" s="231">
        <v>375529891</v>
      </c>
      <c r="EW187" s="231">
        <v>1029.6099999999999</v>
      </c>
      <c r="EX187" s="228">
        <v>979.16</v>
      </c>
      <c r="EY187" s="228">
        <v>50.45</v>
      </c>
      <c r="EZ187" s="229">
        <v>5.1499999999999997E-2</v>
      </c>
      <c r="FA187" s="229">
        <v>8.4500000000000006E-2</v>
      </c>
      <c r="FB187" s="227" t="s">
        <v>556</v>
      </c>
      <c r="FC187">
        <f t="shared" si="3"/>
        <v>0</v>
      </c>
    </row>
    <row r="188" spans="1:159" ht="17.25" thickBot="1" x14ac:dyDescent="0.3">
      <c r="A188" s="226">
        <v>46050</v>
      </c>
      <c r="B188" s="227" t="s">
        <v>170</v>
      </c>
      <c r="C188" s="227" t="s">
        <v>520</v>
      </c>
      <c r="D188" s="228">
        <v>1000</v>
      </c>
      <c r="E188" s="228">
        <v>27</v>
      </c>
      <c r="F188" s="228">
        <v>483.4</v>
      </c>
      <c r="G188" s="228">
        <v>488.85</v>
      </c>
      <c r="H188" s="228">
        <v>-5.45</v>
      </c>
      <c r="I188" s="229">
        <v>-1.11E-2</v>
      </c>
      <c r="J188" s="228">
        <v>480.3</v>
      </c>
      <c r="K188" s="228">
        <v>489.7</v>
      </c>
      <c r="L188" s="228">
        <v>-9.4</v>
      </c>
      <c r="M188" s="229">
        <v>-1.9199999999999998E-2</v>
      </c>
      <c r="N188" s="228">
        <v>483.4</v>
      </c>
      <c r="O188" s="228">
        <v>488.6</v>
      </c>
      <c r="P188" s="228">
        <v>-5.2</v>
      </c>
      <c r="Q188" s="229">
        <v>-1.06E-2</v>
      </c>
      <c r="R188" s="228">
        <v>484.95</v>
      </c>
      <c r="S188" s="228">
        <v>488.85</v>
      </c>
      <c r="T188" s="228">
        <v>-3.9</v>
      </c>
      <c r="U188" s="229">
        <v>-8.0000000000000002E-3</v>
      </c>
      <c r="V188" s="228">
        <v>0</v>
      </c>
      <c r="W188" s="228">
        <v>491.55</v>
      </c>
      <c r="X188" s="228">
        <v>0</v>
      </c>
      <c r="Y188" s="229">
        <v>0</v>
      </c>
      <c r="Z188" s="228">
        <v>3.1</v>
      </c>
      <c r="AA188" s="228">
        <v>-0.85</v>
      </c>
      <c r="AB188" s="228">
        <v>3.95</v>
      </c>
      <c r="AC188" s="229">
        <v>6.4999999999999997E-3</v>
      </c>
      <c r="AD188" s="228">
        <v>3.1</v>
      </c>
      <c r="AE188" s="228">
        <v>-1.1000000000000001</v>
      </c>
      <c r="AF188" s="228">
        <v>4.2</v>
      </c>
      <c r="AG188" s="229">
        <v>6.4999999999999997E-3</v>
      </c>
      <c r="AH188" s="228">
        <v>4.6500000000000004</v>
      </c>
      <c r="AI188" s="228">
        <v>-0.85</v>
      </c>
      <c r="AJ188" s="228">
        <v>5.5</v>
      </c>
      <c r="AK188" s="229">
        <v>9.7000000000000003E-3</v>
      </c>
      <c r="AL188" s="228">
        <v>0</v>
      </c>
      <c r="AM188" s="228">
        <v>1.85</v>
      </c>
      <c r="AN188" s="228">
        <v>0</v>
      </c>
      <c r="AO188" s="229">
        <v>0</v>
      </c>
      <c r="AP188" s="228">
        <v>484.05</v>
      </c>
      <c r="AQ188" s="228">
        <v>486.03</v>
      </c>
      <c r="AR188" s="228">
        <v>0</v>
      </c>
      <c r="AS188" s="228">
        <v>151</v>
      </c>
      <c r="AT188" s="228">
        <v>729</v>
      </c>
      <c r="AU188" s="228">
        <v>-578</v>
      </c>
      <c r="AV188" s="229">
        <v>-0.79310000000000003</v>
      </c>
      <c r="AW188" s="228">
        <v>132</v>
      </c>
      <c r="AX188" s="228">
        <v>211</v>
      </c>
      <c r="AY188" s="228">
        <v>-79</v>
      </c>
      <c r="AZ188" s="229">
        <v>-0.37569999999999998</v>
      </c>
      <c r="BA188" s="228">
        <v>19</v>
      </c>
      <c r="BB188" s="228">
        <v>482</v>
      </c>
      <c r="BC188" s="228">
        <v>-463</v>
      </c>
      <c r="BD188" s="229">
        <v>-0.96040000000000003</v>
      </c>
      <c r="BE188" s="228">
        <v>0</v>
      </c>
      <c r="BF188" s="228">
        <v>36</v>
      </c>
      <c r="BG188" s="228">
        <v>0</v>
      </c>
      <c r="BH188" s="229">
        <v>0</v>
      </c>
      <c r="BI188" s="228">
        <v>348</v>
      </c>
      <c r="BJ188" s="228">
        <v>940</v>
      </c>
      <c r="BK188" s="228">
        <v>-592</v>
      </c>
      <c r="BL188" s="229">
        <v>-0.62990000000000002</v>
      </c>
      <c r="BM188" s="228">
        <v>348</v>
      </c>
      <c r="BN188" s="230">
        <v>1558</v>
      </c>
      <c r="BO188" s="230">
        <v>-1209</v>
      </c>
      <c r="BP188" s="229">
        <v>-0.77629999999999999</v>
      </c>
      <c r="BQ188" s="228">
        <v>847</v>
      </c>
      <c r="BR188" s="230">
        <v>3226</v>
      </c>
      <c r="BS188" s="230">
        <v>-2379</v>
      </c>
      <c r="BT188" s="229">
        <v>-0.73750000000000004</v>
      </c>
      <c r="BU188" s="230">
        <v>1825265</v>
      </c>
      <c r="BV188" s="230">
        <v>6980251</v>
      </c>
      <c r="BW188" s="230">
        <v>-5154986</v>
      </c>
      <c r="BX188" s="229">
        <v>-0.73850000000000005</v>
      </c>
      <c r="BY188" s="228">
        <v>385</v>
      </c>
      <c r="BZ188" s="228">
        <v>369</v>
      </c>
      <c r="CA188" s="228">
        <v>16</v>
      </c>
      <c r="CB188" s="229">
        <v>4.3200000000000002E-2</v>
      </c>
      <c r="CC188" s="228">
        <v>360</v>
      </c>
      <c r="CD188" s="228">
        <v>38</v>
      </c>
      <c r="CE188" s="228">
        <v>322</v>
      </c>
      <c r="CF188" s="229">
        <v>8.3798999999999992</v>
      </c>
      <c r="CG188" s="228">
        <v>25</v>
      </c>
      <c r="CH188" s="228">
        <v>347</v>
      </c>
      <c r="CI188" s="228">
        <v>-323</v>
      </c>
      <c r="CJ188" s="229">
        <v>-0.9294</v>
      </c>
      <c r="CK188" s="228">
        <v>0</v>
      </c>
      <c r="CL188" s="228">
        <v>22</v>
      </c>
      <c r="CM188" s="228">
        <v>-22</v>
      </c>
      <c r="CN188" s="229">
        <v>-1</v>
      </c>
      <c r="CO188" s="228">
        <v>312</v>
      </c>
      <c r="CP188" s="228">
        <v>257</v>
      </c>
      <c r="CQ188" s="228">
        <v>55</v>
      </c>
      <c r="CR188" s="229">
        <v>0.2127</v>
      </c>
      <c r="CS188" s="228">
        <v>208</v>
      </c>
      <c r="CT188" s="228">
        <v>168</v>
      </c>
      <c r="CU188" s="228">
        <v>40</v>
      </c>
      <c r="CV188" s="229">
        <v>0.24079999999999999</v>
      </c>
      <c r="CW188" s="228">
        <v>905</v>
      </c>
      <c r="CX188" s="228">
        <v>794</v>
      </c>
      <c r="CY188" s="228">
        <v>111</v>
      </c>
      <c r="CZ188" s="229">
        <v>0.1399</v>
      </c>
      <c r="DA188" s="228">
        <v>37.770000000000003</v>
      </c>
      <c r="DB188" s="228">
        <v>38.619999999999997</v>
      </c>
      <c r="DC188" s="228">
        <v>-0.85</v>
      </c>
      <c r="DD188" s="228">
        <v>-0.85</v>
      </c>
      <c r="DE188" s="228">
        <v>36.57</v>
      </c>
      <c r="DF188" s="228">
        <v>36.630000000000003</v>
      </c>
      <c r="DG188" s="228">
        <v>1.2</v>
      </c>
      <c r="DH188" s="228">
        <v>-0.06</v>
      </c>
      <c r="DI188" s="228">
        <v>37.18</v>
      </c>
      <c r="DJ188" s="228">
        <v>39.25</v>
      </c>
      <c r="DK188" s="228">
        <v>-2.0699999999999998</v>
      </c>
      <c r="DL188" s="228">
        <v>-2.0699999999999998</v>
      </c>
      <c r="DM188" s="228">
        <v>38.36</v>
      </c>
      <c r="DN188" s="228">
        <v>38.15</v>
      </c>
      <c r="DO188" s="228">
        <v>0.21</v>
      </c>
      <c r="DP188" s="228">
        <v>0.21</v>
      </c>
      <c r="DQ188" s="228">
        <v>0.67</v>
      </c>
      <c r="DR188" s="228">
        <v>0.65</v>
      </c>
      <c r="DS188" s="228">
        <v>0.02</v>
      </c>
      <c r="DT188" s="229">
        <v>3.0800000000000001E-2</v>
      </c>
      <c r="DU188" s="228">
        <v>600</v>
      </c>
      <c r="DV188" s="228">
        <v>480</v>
      </c>
      <c r="DW188" s="228">
        <v>1</v>
      </c>
      <c r="DX188" s="228">
        <v>1.66</v>
      </c>
      <c r="DY188" s="228">
        <v>-0.66</v>
      </c>
      <c r="DZ188" s="229">
        <v>-0.39760000000000001</v>
      </c>
      <c r="EA188" s="229">
        <v>6.3700000000000007E-2</v>
      </c>
      <c r="EB188" s="230">
        <v>7634000</v>
      </c>
      <c r="EC188" s="229">
        <v>3.2000000000000002E-3</v>
      </c>
      <c r="ED188" s="229">
        <v>6.3700000000000007E-2</v>
      </c>
      <c r="EE188" s="228">
        <v>1.98</v>
      </c>
      <c r="EF188" s="229">
        <v>4.1000000000000003E-3</v>
      </c>
      <c r="EG188" s="230">
        <v>597447</v>
      </c>
      <c r="EH188" s="230">
        <v>2143809</v>
      </c>
      <c r="EI188" s="229">
        <v>-0.72130000000000005</v>
      </c>
      <c r="EJ188" s="229">
        <v>0.32729999999999998</v>
      </c>
      <c r="EK188" s="228">
        <v>385.56</v>
      </c>
      <c r="EL188" s="228">
        <v>344.68</v>
      </c>
      <c r="EM188" s="228">
        <v>151.05000000000001</v>
      </c>
      <c r="EN188" s="228">
        <v>108.66</v>
      </c>
      <c r="EO188" s="228">
        <v>881.29</v>
      </c>
      <c r="EP188" s="231">
        <v>3471.82</v>
      </c>
      <c r="EQ188" s="231">
        <v>-2590.52</v>
      </c>
      <c r="ER188" s="229">
        <v>-0.74619999999999997</v>
      </c>
      <c r="ES188" s="228">
        <v>361.08</v>
      </c>
      <c r="ET188" s="228">
        <v>217.01</v>
      </c>
      <c r="EU188" s="228">
        <v>385.06</v>
      </c>
      <c r="EV188" s="231">
        <v>24733183</v>
      </c>
      <c r="EW188" s="228">
        <v>963.15</v>
      </c>
      <c r="EX188" s="228">
        <v>854.66</v>
      </c>
      <c r="EY188" s="228">
        <v>108.49</v>
      </c>
      <c r="EZ188" s="229">
        <v>0.12690000000000001</v>
      </c>
      <c r="FA188" s="229">
        <v>0.7571</v>
      </c>
      <c r="FB188" s="227" t="s">
        <v>567</v>
      </c>
      <c r="FC188">
        <f t="shared" si="3"/>
        <v>0</v>
      </c>
    </row>
    <row r="189" spans="1:159" ht="17.25" thickBot="1" x14ac:dyDescent="0.3">
      <c r="A189" s="226">
        <v>46050</v>
      </c>
      <c r="B189" s="227" t="s">
        <v>168</v>
      </c>
      <c r="C189" s="227" t="s">
        <v>291</v>
      </c>
      <c r="D189" s="228">
        <v>550</v>
      </c>
      <c r="E189" s="228">
        <v>27</v>
      </c>
      <c r="F189" s="231">
        <v>1136.0999999999999</v>
      </c>
      <c r="G189" s="231">
        <v>1193.5999999999999</v>
      </c>
      <c r="H189" s="228">
        <v>-57.5</v>
      </c>
      <c r="I189" s="229">
        <v>-4.82E-2</v>
      </c>
      <c r="J189" s="231">
        <v>1131.8</v>
      </c>
      <c r="K189" s="231">
        <v>1187.4000000000001</v>
      </c>
      <c r="L189" s="228">
        <v>-55.6</v>
      </c>
      <c r="M189" s="229">
        <v>-4.6800000000000001E-2</v>
      </c>
      <c r="N189" s="231">
        <v>1136.0999999999999</v>
      </c>
      <c r="O189" s="231">
        <v>1185.2</v>
      </c>
      <c r="P189" s="228">
        <v>-49.1</v>
      </c>
      <c r="Q189" s="229">
        <v>-4.1399999999999999E-2</v>
      </c>
      <c r="R189" s="231">
        <v>1143</v>
      </c>
      <c r="S189" s="231">
        <v>1193.5999999999999</v>
      </c>
      <c r="T189" s="228">
        <v>-50.6</v>
      </c>
      <c r="U189" s="229">
        <v>-4.24E-2</v>
      </c>
      <c r="V189" s="231">
        <v>1150.3</v>
      </c>
      <c r="W189" s="231">
        <v>1201.5999999999999</v>
      </c>
      <c r="X189" s="228">
        <v>-51.3</v>
      </c>
      <c r="Y189" s="229">
        <v>-4.2700000000000002E-2</v>
      </c>
      <c r="Z189" s="228">
        <v>4.3</v>
      </c>
      <c r="AA189" s="228">
        <v>6.2</v>
      </c>
      <c r="AB189" s="228">
        <v>-1.9</v>
      </c>
      <c r="AC189" s="229">
        <v>3.8E-3</v>
      </c>
      <c r="AD189" s="228">
        <v>4.3</v>
      </c>
      <c r="AE189" s="228">
        <v>-2.2000000000000002</v>
      </c>
      <c r="AF189" s="228">
        <v>6.5</v>
      </c>
      <c r="AG189" s="229">
        <v>3.8E-3</v>
      </c>
      <c r="AH189" s="228">
        <v>11.2</v>
      </c>
      <c r="AI189" s="228">
        <v>6.2</v>
      </c>
      <c r="AJ189" s="228">
        <v>5</v>
      </c>
      <c r="AK189" s="229">
        <v>9.9000000000000008E-3</v>
      </c>
      <c r="AL189" s="228">
        <v>18.5</v>
      </c>
      <c r="AM189" s="228">
        <v>14.2</v>
      </c>
      <c r="AN189" s="228">
        <v>4.3</v>
      </c>
      <c r="AO189" s="229">
        <v>1.6299999999999999E-2</v>
      </c>
      <c r="AP189" s="231">
        <v>1137.01</v>
      </c>
      <c r="AQ189" s="231">
        <v>1142.28</v>
      </c>
      <c r="AR189" s="228">
        <v>0</v>
      </c>
      <c r="AS189" s="228">
        <v>758</v>
      </c>
      <c r="AT189" s="230">
        <v>1178</v>
      </c>
      <c r="AU189" s="228">
        <v>-420</v>
      </c>
      <c r="AV189" s="229">
        <v>-0.35670000000000002</v>
      </c>
      <c r="AW189" s="228">
        <v>730</v>
      </c>
      <c r="AX189" s="228">
        <v>333</v>
      </c>
      <c r="AY189" s="228">
        <v>397</v>
      </c>
      <c r="AZ189" s="229">
        <v>1.1909000000000001</v>
      </c>
      <c r="BA189" s="228">
        <v>27</v>
      </c>
      <c r="BB189" s="228">
        <v>836</v>
      </c>
      <c r="BC189" s="228">
        <v>-809</v>
      </c>
      <c r="BD189" s="229">
        <v>-0.96799999999999997</v>
      </c>
      <c r="BE189" s="228">
        <v>1</v>
      </c>
      <c r="BF189" s="228">
        <v>9</v>
      </c>
      <c r="BG189" s="228">
        <v>-8</v>
      </c>
      <c r="BH189" s="229">
        <v>-0.87839999999999996</v>
      </c>
      <c r="BI189" s="230">
        <v>2179</v>
      </c>
      <c r="BJ189" s="230">
        <v>1682</v>
      </c>
      <c r="BK189" s="228">
        <v>496</v>
      </c>
      <c r="BL189" s="229">
        <v>0.29509999999999997</v>
      </c>
      <c r="BM189" s="230">
        <v>1697</v>
      </c>
      <c r="BN189" s="228">
        <v>644</v>
      </c>
      <c r="BO189" s="230">
        <v>1052</v>
      </c>
      <c r="BP189" s="229">
        <v>1.6335999999999999</v>
      </c>
      <c r="BQ189" s="230">
        <v>4634</v>
      </c>
      <c r="BR189" s="230">
        <v>3505</v>
      </c>
      <c r="BS189" s="230">
        <v>1128</v>
      </c>
      <c r="BT189" s="229">
        <v>0.32190000000000002</v>
      </c>
      <c r="BU189" s="230">
        <v>4857201</v>
      </c>
      <c r="BV189" s="230">
        <v>3934387</v>
      </c>
      <c r="BW189" s="230">
        <v>922814</v>
      </c>
      <c r="BX189" s="229">
        <v>0.2346</v>
      </c>
      <c r="BY189" s="230">
        <v>1275</v>
      </c>
      <c r="BZ189" s="230">
        <v>1318</v>
      </c>
      <c r="CA189" s="228">
        <v>-42</v>
      </c>
      <c r="CB189" s="229">
        <v>-3.2199999999999999E-2</v>
      </c>
      <c r="CC189" s="230">
        <v>1246</v>
      </c>
      <c r="CD189" s="228">
        <v>29</v>
      </c>
      <c r="CE189" s="230">
        <v>1217</v>
      </c>
      <c r="CF189" s="229">
        <v>42.343499999999999</v>
      </c>
      <c r="CG189" s="228">
        <v>28</v>
      </c>
      <c r="CH189" s="230">
        <v>1298</v>
      </c>
      <c r="CI189" s="230">
        <v>-1270</v>
      </c>
      <c r="CJ189" s="229">
        <v>-0.97809999999999997</v>
      </c>
      <c r="CK189" s="228">
        <v>1</v>
      </c>
      <c r="CL189" s="228">
        <v>19</v>
      </c>
      <c r="CM189" s="228">
        <v>-18</v>
      </c>
      <c r="CN189" s="229">
        <v>-0.95469999999999999</v>
      </c>
      <c r="CO189" s="228">
        <v>503</v>
      </c>
      <c r="CP189" s="228">
        <v>212</v>
      </c>
      <c r="CQ189" s="228">
        <v>290</v>
      </c>
      <c r="CR189" s="229">
        <v>1.3666</v>
      </c>
      <c r="CS189" s="228">
        <v>392</v>
      </c>
      <c r="CT189" s="228">
        <v>159</v>
      </c>
      <c r="CU189" s="228">
        <v>232</v>
      </c>
      <c r="CV189" s="229">
        <v>1.4585999999999999</v>
      </c>
      <c r="CW189" s="230">
        <v>2169</v>
      </c>
      <c r="CX189" s="230">
        <v>1689</v>
      </c>
      <c r="CY189" s="228">
        <v>480</v>
      </c>
      <c r="CZ189" s="229">
        <v>0.28420000000000001</v>
      </c>
      <c r="DA189" s="228">
        <v>26.69</v>
      </c>
      <c r="DB189" s="228">
        <v>25.8</v>
      </c>
      <c r="DC189" s="228">
        <v>0.89</v>
      </c>
      <c r="DD189" s="228">
        <v>0.89</v>
      </c>
      <c r="DE189" s="228">
        <v>26.64</v>
      </c>
      <c r="DF189" s="228">
        <v>25.9</v>
      </c>
      <c r="DG189" s="228">
        <v>0.05</v>
      </c>
      <c r="DH189" s="228">
        <v>0.74</v>
      </c>
      <c r="DI189" s="228">
        <v>26</v>
      </c>
      <c r="DJ189" s="228">
        <v>25.19</v>
      </c>
      <c r="DK189" s="228">
        <v>0.81</v>
      </c>
      <c r="DL189" s="228">
        <v>0.81</v>
      </c>
      <c r="DM189" s="228">
        <v>27.57</v>
      </c>
      <c r="DN189" s="228">
        <v>27.34</v>
      </c>
      <c r="DO189" s="228">
        <v>0.23</v>
      </c>
      <c r="DP189" s="228">
        <v>0.23</v>
      </c>
      <c r="DQ189" s="228">
        <v>0.78</v>
      </c>
      <c r="DR189" s="228">
        <v>0.75</v>
      </c>
      <c r="DS189" s="228">
        <v>0.03</v>
      </c>
      <c r="DT189" s="229">
        <v>0.04</v>
      </c>
      <c r="DU189" s="231">
        <v>1200</v>
      </c>
      <c r="DV189" s="231">
        <v>1020</v>
      </c>
      <c r="DW189" s="228">
        <v>0.78</v>
      </c>
      <c r="DX189" s="228">
        <v>0.38</v>
      </c>
      <c r="DY189" s="228">
        <v>0.4</v>
      </c>
      <c r="DZ189" s="229">
        <v>1.0526</v>
      </c>
      <c r="EA189" s="229">
        <v>2.29E-2</v>
      </c>
      <c r="EB189" s="230">
        <v>11596750</v>
      </c>
      <c r="EC189" s="229">
        <v>6.1000000000000004E-3</v>
      </c>
      <c r="ED189" s="229">
        <v>2.29E-2</v>
      </c>
      <c r="EE189" s="228">
        <v>5.27</v>
      </c>
      <c r="EF189" s="229">
        <v>4.5999999999999999E-3</v>
      </c>
      <c r="EG189" s="230">
        <v>2235488</v>
      </c>
      <c r="EH189" s="230">
        <v>1420476</v>
      </c>
      <c r="EI189" s="229">
        <v>0.57379999999999998</v>
      </c>
      <c r="EJ189" s="229">
        <v>0.4602</v>
      </c>
      <c r="EK189" s="231">
        <v>2308.31</v>
      </c>
      <c r="EL189" s="231">
        <v>1679.18</v>
      </c>
      <c r="EM189" s="228">
        <v>758.82</v>
      </c>
      <c r="EN189" s="228">
        <v>164.84</v>
      </c>
      <c r="EO189" s="231">
        <v>4746.3</v>
      </c>
      <c r="EP189" s="231">
        <v>3713.12</v>
      </c>
      <c r="EQ189" s="231">
        <v>1033.18</v>
      </c>
      <c r="ER189" s="229">
        <v>0.27829999999999999</v>
      </c>
      <c r="ES189" s="228">
        <v>532.53</v>
      </c>
      <c r="ET189" s="228">
        <v>373.54</v>
      </c>
      <c r="EU189" s="231">
        <v>1275.26</v>
      </c>
      <c r="EV189" s="231">
        <v>65472326</v>
      </c>
      <c r="EW189" s="231">
        <v>2181.34</v>
      </c>
      <c r="EX189" s="231">
        <v>1774.02</v>
      </c>
      <c r="EY189" s="228">
        <v>407.32</v>
      </c>
      <c r="EZ189" s="229">
        <v>0.2296</v>
      </c>
      <c r="FA189" s="229">
        <v>0.29160000000000003</v>
      </c>
      <c r="FB189" s="227" t="s">
        <v>568</v>
      </c>
      <c r="FC189">
        <f t="shared" si="3"/>
        <v>0</v>
      </c>
    </row>
    <row r="190" spans="1:159" ht="17.25" thickBot="1" x14ac:dyDescent="0.3">
      <c r="A190" s="226">
        <v>46050</v>
      </c>
      <c r="B190" s="227" t="s">
        <v>221</v>
      </c>
      <c r="C190" s="227" t="s">
        <v>604</v>
      </c>
      <c r="D190" s="228">
        <v>100</v>
      </c>
      <c r="E190" s="228">
        <v>27</v>
      </c>
      <c r="F190" s="231">
        <v>5423</v>
      </c>
      <c r="G190" s="231">
        <v>5436.5</v>
      </c>
      <c r="H190" s="228">
        <v>-13.5</v>
      </c>
      <c r="I190" s="229">
        <v>-2.5000000000000001E-3</v>
      </c>
      <c r="J190" s="231">
        <v>5391</v>
      </c>
      <c r="K190" s="231">
        <v>5415</v>
      </c>
      <c r="L190" s="228">
        <v>-24</v>
      </c>
      <c r="M190" s="229">
        <v>-4.4000000000000003E-3</v>
      </c>
      <c r="N190" s="231">
        <v>5423</v>
      </c>
      <c r="O190" s="231">
        <v>5401.5</v>
      </c>
      <c r="P190" s="228">
        <v>21.5</v>
      </c>
      <c r="Q190" s="229">
        <v>4.0000000000000001E-3</v>
      </c>
      <c r="R190" s="231">
        <v>5447</v>
      </c>
      <c r="S190" s="231">
        <v>5436.5</v>
      </c>
      <c r="T190" s="228">
        <v>10.5</v>
      </c>
      <c r="U190" s="229">
        <v>1.9E-3</v>
      </c>
      <c r="V190" s="228">
        <v>0</v>
      </c>
      <c r="W190" s="231">
        <v>5470.5</v>
      </c>
      <c r="X190" s="228">
        <v>0</v>
      </c>
      <c r="Y190" s="229">
        <v>0</v>
      </c>
      <c r="Z190" s="228">
        <v>32</v>
      </c>
      <c r="AA190" s="228">
        <v>21.5</v>
      </c>
      <c r="AB190" s="228">
        <v>10.5</v>
      </c>
      <c r="AC190" s="229">
        <v>5.8999999999999999E-3</v>
      </c>
      <c r="AD190" s="228">
        <v>32</v>
      </c>
      <c r="AE190" s="228">
        <v>-13.5</v>
      </c>
      <c r="AF190" s="228">
        <v>45.5</v>
      </c>
      <c r="AG190" s="229">
        <v>5.8999999999999999E-3</v>
      </c>
      <c r="AH190" s="228">
        <v>56</v>
      </c>
      <c r="AI190" s="228">
        <v>21.5</v>
      </c>
      <c r="AJ190" s="228">
        <v>34.5</v>
      </c>
      <c r="AK190" s="229">
        <v>1.04E-2</v>
      </c>
      <c r="AL190" s="228">
        <v>0</v>
      </c>
      <c r="AM190" s="228">
        <v>55.5</v>
      </c>
      <c r="AN190" s="228">
        <v>0</v>
      </c>
      <c r="AO190" s="229">
        <v>0</v>
      </c>
      <c r="AP190" s="231">
        <v>5409.84</v>
      </c>
      <c r="AQ190" s="231">
        <v>5431.86</v>
      </c>
      <c r="AR190" s="228">
        <v>0</v>
      </c>
      <c r="AS190" s="228">
        <v>90</v>
      </c>
      <c r="AT190" s="228">
        <v>402</v>
      </c>
      <c r="AU190" s="228">
        <v>-312</v>
      </c>
      <c r="AV190" s="229">
        <v>-0.77549999999999997</v>
      </c>
      <c r="AW190" s="228">
        <v>87</v>
      </c>
      <c r="AX190" s="228">
        <v>192</v>
      </c>
      <c r="AY190" s="228">
        <v>-106</v>
      </c>
      <c r="AZ190" s="229">
        <v>-0.55000000000000004</v>
      </c>
      <c r="BA190" s="228">
        <v>4</v>
      </c>
      <c r="BB190" s="228">
        <v>205</v>
      </c>
      <c r="BC190" s="228">
        <v>-201</v>
      </c>
      <c r="BD190" s="229">
        <v>-0.98150000000000004</v>
      </c>
      <c r="BE190" s="228">
        <v>0</v>
      </c>
      <c r="BF190" s="228">
        <v>5</v>
      </c>
      <c r="BG190" s="228">
        <v>0</v>
      </c>
      <c r="BH190" s="229">
        <v>0</v>
      </c>
      <c r="BI190" s="228">
        <v>285</v>
      </c>
      <c r="BJ190" s="228">
        <v>752</v>
      </c>
      <c r="BK190" s="228">
        <v>-467</v>
      </c>
      <c r="BL190" s="229">
        <v>-0.62129999999999996</v>
      </c>
      <c r="BM190" s="228">
        <v>119</v>
      </c>
      <c r="BN190" s="228">
        <v>375</v>
      </c>
      <c r="BO190" s="228">
        <v>-256</v>
      </c>
      <c r="BP190" s="229">
        <v>-0.68220000000000003</v>
      </c>
      <c r="BQ190" s="228">
        <v>494</v>
      </c>
      <c r="BR190" s="230">
        <v>1530</v>
      </c>
      <c r="BS190" s="230">
        <v>-1035</v>
      </c>
      <c r="BT190" s="229">
        <v>-0.67679999999999996</v>
      </c>
      <c r="BU190" s="230">
        <v>131692</v>
      </c>
      <c r="BV190" s="230">
        <v>212179</v>
      </c>
      <c r="BW190" s="230">
        <v>-80487</v>
      </c>
      <c r="BX190" s="229">
        <v>-0.37930000000000003</v>
      </c>
      <c r="BY190" s="228">
        <v>651</v>
      </c>
      <c r="BZ190" s="228">
        <v>652</v>
      </c>
      <c r="CA190" s="228">
        <v>-1</v>
      </c>
      <c r="CB190" s="229">
        <v>-8.0000000000000004E-4</v>
      </c>
      <c r="CC190" s="228">
        <v>638</v>
      </c>
      <c r="CD190" s="228">
        <v>68</v>
      </c>
      <c r="CE190" s="228">
        <v>570</v>
      </c>
      <c r="CF190" s="229">
        <v>8.3430999999999997</v>
      </c>
      <c r="CG190" s="228">
        <v>13</v>
      </c>
      <c r="CH190" s="228">
        <v>640</v>
      </c>
      <c r="CI190" s="228">
        <v>-626</v>
      </c>
      <c r="CJ190" s="229">
        <v>-0.97909999999999997</v>
      </c>
      <c r="CK190" s="228">
        <v>0</v>
      </c>
      <c r="CL190" s="228">
        <v>12</v>
      </c>
      <c r="CM190" s="228">
        <v>-12</v>
      </c>
      <c r="CN190" s="229">
        <v>-1</v>
      </c>
      <c r="CO190" s="228">
        <v>323</v>
      </c>
      <c r="CP190" s="228">
        <v>246</v>
      </c>
      <c r="CQ190" s="228">
        <v>77</v>
      </c>
      <c r="CR190" s="229">
        <v>0.31169999999999998</v>
      </c>
      <c r="CS190" s="228">
        <v>122</v>
      </c>
      <c r="CT190" s="228">
        <v>93</v>
      </c>
      <c r="CU190" s="228">
        <v>29</v>
      </c>
      <c r="CV190" s="229">
        <v>0.31280000000000002</v>
      </c>
      <c r="CW190" s="230">
        <v>1096</v>
      </c>
      <c r="CX190" s="228">
        <v>991</v>
      </c>
      <c r="CY190" s="228">
        <v>105</v>
      </c>
      <c r="CZ190" s="229">
        <v>0.1062</v>
      </c>
      <c r="DA190" s="228">
        <v>31.92</v>
      </c>
      <c r="DB190" s="228">
        <v>32.28</v>
      </c>
      <c r="DC190" s="228">
        <v>-0.36</v>
      </c>
      <c r="DD190" s="228">
        <v>-0.36</v>
      </c>
      <c r="DE190" s="228">
        <v>37.76</v>
      </c>
      <c r="DF190" s="228">
        <v>37.86</v>
      </c>
      <c r="DG190" s="228">
        <v>-5.84</v>
      </c>
      <c r="DH190" s="228">
        <v>-0.1</v>
      </c>
      <c r="DI190" s="228">
        <v>31.94</v>
      </c>
      <c r="DJ190" s="228">
        <v>32.880000000000003</v>
      </c>
      <c r="DK190" s="228">
        <v>-0.94</v>
      </c>
      <c r="DL190" s="228">
        <v>-0.94</v>
      </c>
      <c r="DM190" s="228">
        <v>31.86</v>
      </c>
      <c r="DN190" s="228">
        <v>31.31</v>
      </c>
      <c r="DO190" s="228">
        <v>0.55000000000000004</v>
      </c>
      <c r="DP190" s="228">
        <v>0.55000000000000004</v>
      </c>
      <c r="DQ190" s="228">
        <v>0.38</v>
      </c>
      <c r="DR190" s="228">
        <v>0.38</v>
      </c>
      <c r="DS190" s="228">
        <v>0</v>
      </c>
      <c r="DT190" s="229">
        <v>0</v>
      </c>
      <c r="DU190" s="231">
        <v>6000</v>
      </c>
      <c r="DV190" s="231">
        <v>5400</v>
      </c>
      <c r="DW190" s="228">
        <v>0.42</v>
      </c>
      <c r="DX190" s="228">
        <v>0.5</v>
      </c>
      <c r="DY190" s="228">
        <v>-0.08</v>
      </c>
      <c r="DZ190" s="229">
        <v>-0.16</v>
      </c>
      <c r="EA190" s="229">
        <v>2.06E-2</v>
      </c>
      <c r="EB190" s="230">
        <v>1202000</v>
      </c>
      <c r="EC190" s="229">
        <v>4.4000000000000003E-3</v>
      </c>
      <c r="ED190" s="229">
        <v>2.06E-2</v>
      </c>
      <c r="EE190" s="228">
        <v>22.02</v>
      </c>
      <c r="EF190" s="229">
        <v>4.1000000000000003E-3</v>
      </c>
      <c r="EG190" s="230">
        <v>46726</v>
      </c>
      <c r="EH190" s="230">
        <v>78630</v>
      </c>
      <c r="EI190" s="229">
        <v>-0.40570000000000001</v>
      </c>
      <c r="EJ190" s="229">
        <v>0.3548</v>
      </c>
      <c r="EK190" s="228">
        <v>309.27</v>
      </c>
      <c r="EL190" s="228">
        <v>117.54</v>
      </c>
      <c r="EM190" s="228">
        <v>90.14</v>
      </c>
      <c r="EN190" s="228">
        <v>109.21</v>
      </c>
      <c r="EO190" s="228">
        <v>516.96</v>
      </c>
      <c r="EP190" s="231">
        <v>1578.27</v>
      </c>
      <c r="EQ190" s="231">
        <v>-1061.32</v>
      </c>
      <c r="ER190" s="229">
        <v>-0.67249999999999999</v>
      </c>
      <c r="ES190" s="228">
        <v>348.97</v>
      </c>
      <c r="ET190" s="228">
        <v>119.66</v>
      </c>
      <c r="EU190" s="228">
        <v>651.36</v>
      </c>
      <c r="EV190" s="231">
        <v>5241546</v>
      </c>
      <c r="EW190" s="231">
        <v>1119.99</v>
      </c>
      <c r="EX190" s="231">
        <v>1012.3</v>
      </c>
      <c r="EY190" s="228">
        <v>107.69</v>
      </c>
      <c r="EZ190" s="229">
        <v>0.10639999999999999</v>
      </c>
      <c r="FA190" s="229">
        <v>0.38569999999999999</v>
      </c>
      <c r="FB190" s="227" t="s">
        <v>568</v>
      </c>
      <c r="FC190">
        <f t="shared" si="3"/>
        <v>0</v>
      </c>
    </row>
    <row r="191" spans="1:159" ht="17.25" thickBot="1" x14ac:dyDescent="0.3">
      <c r="A191" s="226">
        <v>46050</v>
      </c>
      <c r="B191" s="227" t="s">
        <v>161</v>
      </c>
      <c r="C191" s="227" t="s">
        <v>293</v>
      </c>
      <c r="D191" s="228">
        <v>1450</v>
      </c>
      <c r="E191" s="228">
        <v>27</v>
      </c>
      <c r="F191" s="228">
        <v>357.25</v>
      </c>
      <c r="G191" s="228">
        <v>349.45</v>
      </c>
      <c r="H191" s="228">
        <v>7.8</v>
      </c>
      <c r="I191" s="229">
        <v>2.23E-2</v>
      </c>
      <c r="J191" s="228">
        <v>355.05</v>
      </c>
      <c r="K191" s="228">
        <v>347.75</v>
      </c>
      <c r="L191" s="228">
        <v>7.3</v>
      </c>
      <c r="M191" s="229">
        <v>2.1000000000000001E-2</v>
      </c>
      <c r="N191" s="228">
        <v>357.25</v>
      </c>
      <c r="O191" s="228">
        <v>347.35</v>
      </c>
      <c r="P191" s="228">
        <v>9.9</v>
      </c>
      <c r="Q191" s="229">
        <v>2.8500000000000001E-2</v>
      </c>
      <c r="R191" s="228">
        <v>359.6</v>
      </c>
      <c r="S191" s="228">
        <v>349.45</v>
      </c>
      <c r="T191" s="228">
        <v>10.15</v>
      </c>
      <c r="U191" s="229">
        <v>2.9000000000000001E-2</v>
      </c>
      <c r="V191" s="228">
        <v>361.9</v>
      </c>
      <c r="W191" s="228">
        <v>351.9</v>
      </c>
      <c r="X191" s="228">
        <v>10</v>
      </c>
      <c r="Y191" s="229">
        <v>2.8400000000000002E-2</v>
      </c>
      <c r="Z191" s="228">
        <v>2.2000000000000002</v>
      </c>
      <c r="AA191" s="228">
        <v>1.7</v>
      </c>
      <c r="AB191" s="228">
        <v>0.5</v>
      </c>
      <c r="AC191" s="229">
        <v>6.1999999999999998E-3</v>
      </c>
      <c r="AD191" s="228">
        <v>2.2000000000000002</v>
      </c>
      <c r="AE191" s="228">
        <v>-0.4</v>
      </c>
      <c r="AF191" s="228">
        <v>2.6</v>
      </c>
      <c r="AG191" s="229">
        <v>6.1999999999999998E-3</v>
      </c>
      <c r="AH191" s="228">
        <v>4.55</v>
      </c>
      <c r="AI191" s="228">
        <v>1.7</v>
      </c>
      <c r="AJ191" s="228">
        <v>2.85</v>
      </c>
      <c r="AK191" s="229">
        <v>1.2800000000000001E-2</v>
      </c>
      <c r="AL191" s="228">
        <v>6.85</v>
      </c>
      <c r="AM191" s="228">
        <v>4.1500000000000004</v>
      </c>
      <c r="AN191" s="228">
        <v>2.7</v>
      </c>
      <c r="AO191" s="229">
        <v>1.9300000000000001E-2</v>
      </c>
      <c r="AP191" s="228">
        <v>355.32</v>
      </c>
      <c r="AQ191" s="228">
        <v>357.47</v>
      </c>
      <c r="AR191" s="228">
        <v>0</v>
      </c>
      <c r="AS191" s="228">
        <v>251</v>
      </c>
      <c r="AT191" s="230">
        <v>1763</v>
      </c>
      <c r="AU191" s="230">
        <v>-1512</v>
      </c>
      <c r="AV191" s="229">
        <v>-0.8579</v>
      </c>
      <c r="AW191" s="228">
        <v>233</v>
      </c>
      <c r="AX191" s="228">
        <v>819</v>
      </c>
      <c r="AY191" s="228">
        <v>-586</v>
      </c>
      <c r="AZ191" s="229">
        <v>-0.71519999999999995</v>
      </c>
      <c r="BA191" s="228">
        <v>16</v>
      </c>
      <c r="BB191" s="228">
        <v>915</v>
      </c>
      <c r="BC191" s="228">
        <v>-899</v>
      </c>
      <c r="BD191" s="229">
        <v>-0.98240000000000005</v>
      </c>
      <c r="BE191" s="228">
        <v>1</v>
      </c>
      <c r="BF191" s="228">
        <v>29</v>
      </c>
      <c r="BG191" s="228">
        <v>-27</v>
      </c>
      <c r="BH191" s="229">
        <v>-0.95830000000000004</v>
      </c>
      <c r="BI191" s="228">
        <v>685</v>
      </c>
      <c r="BJ191" s="230">
        <v>1029</v>
      </c>
      <c r="BK191" s="228">
        <v>-344</v>
      </c>
      <c r="BL191" s="229">
        <v>-0.33389999999999997</v>
      </c>
      <c r="BM191" s="228">
        <v>301</v>
      </c>
      <c r="BN191" s="228">
        <v>896</v>
      </c>
      <c r="BO191" s="228">
        <v>-595</v>
      </c>
      <c r="BP191" s="229">
        <v>-0.66400000000000003</v>
      </c>
      <c r="BQ191" s="230">
        <v>1237</v>
      </c>
      <c r="BR191" s="230">
        <v>3688</v>
      </c>
      <c r="BS191" s="230">
        <v>-2451</v>
      </c>
      <c r="BT191" s="229">
        <v>-0.66459999999999997</v>
      </c>
      <c r="BU191" s="230">
        <v>7335345</v>
      </c>
      <c r="BV191" s="230">
        <v>4425277</v>
      </c>
      <c r="BW191" s="230">
        <v>2910068</v>
      </c>
      <c r="BX191" s="229">
        <v>0.65759999999999996</v>
      </c>
      <c r="BY191" s="230">
        <v>1986</v>
      </c>
      <c r="BZ191" s="230">
        <v>2011</v>
      </c>
      <c r="CA191" s="228">
        <v>-25</v>
      </c>
      <c r="CB191" s="229">
        <v>-1.23E-2</v>
      </c>
      <c r="CC191" s="230">
        <v>1921</v>
      </c>
      <c r="CD191" s="228">
        <v>230</v>
      </c>
      <c r="CE191" s="230">
        <v>1691</v>
      </c>
      <c r="CF191" s="229">
        <v>7.3692000000000002</v>
      </c>
      <c r="CG191" s="228">
        <v>64</v>
      </c>
      <c r="CH191" s="230">
        <v>1952</v>
      </c>
      <c r="CI191" s="230">
        <v>-1887</v>
      </c>
      <c r="CJ191" s="229">
        <v>-0.96709999999999996</v>
      </c>
      <c r="CK191" s="228">
        <v>1</v>
      </c>
      <c r="CL191" s="228">
        <v>59</v>
      </c>
      <c r="CM191" s="228">
        <v>-58</v>
      </c>
      <c r="CN191" s="229">
        <v>-0.98170000000000002</v>
      </c>
      <c r="CO191" s="228">
        <v>634</v>
      </c>
      <c r="CP191" s="228">
        <v>540</v>
      </c>
      <c r="CQ191" s="228">
        <v>94</v>
      </c>
      <c r="CR191" s="229">
        <v>0.17319999999999999</v>
      </c>
      <c r="CS191" s="228">
        <v>724</v>
      </c>
      <c r="CT191" s="228">
        <v>683</v>
      </c>
      <c r="CU191" s="228">
        <v>41</v>
      </c>
      <c r="CV191" s="229">
        <v>6.0600000000000001E-2</v>
      </c>
      <c r="CW191" s="230">
        <v>3344</v>
      </c>
      <c r="CX191" s="230">
        <v>3234</v>
      </c>
      <c r="CY191" s="228">
        <v>110</v>
      </c>
      <c r="CZ191" s="229">
        <v>3.4099999999999998E-2</v>
      </c>
      <c r="DA191" s="228">
        <v>30.28</v>
      </c>
      <c r="DB191" s="228">
        <v>31.75</v>
      </c>
      <c r="DC191" s="228">
        <v>-1.47</v>
      </c>
      <c r="DD191" s="228">
        <v>-1.47</v>
      </c>
      <c r="DE191" s="228">
        <v>30.98</v>
      </c>
      <c r="DF191" s="228">
        <v>30.91</v>
      </c>
      <c r="DG191" s="228">
        <v>-0.7</v>
      </c>
      <c r="DH191" s="228">
        <v>7.0000000000000007E-2</v>
      </c>
      <c r="DI191" s="228">
        <v>29.91</v>
      </c>
      <c r="DJ191" s="228">
        <v>31.34</v>
      </c>
      <c r="DK191" s="228">
        <v>-1.43</v>
      </c>
      <c r="DL191" s="228">
        <v>-1.43</v>
      </c>
      <c r="DM191" s="228">
        <v>31.11</v>
      </c>
      <c r="DN191" s="228">
        <v>32.21</v>
      </c>
      <c r="DO191" s="228">
        <v>-1.1000000000000001</v>
      </c>
      <c r="DP191" s="228">
        <v>-1.1000000000000001</v>
      </c>
      <c r="DQ191" s="228">
        <v>1.1399999999999999</v>
      </c>
      <c r="DR191" s="228">
        <v>1.26</v>
      </c>
      <c r="DS191" s="228">
        <v>-0.12</v>
      </c>
      <c r="DT191" s="229">
        <v>-9.5200000000000007E-2</v>
      </c>
      <c r="DU191" s="228">
        <v>350</v>
      </c>
      <c r="DV191" s="228">
        <v>350</v>
      </c>
      <c r="DW191" s="228">
        <v>0.44</v>
      </c>
      <c r="DX191" s="228">
        <v>0.87</v>
      </c>
      <c r="DY191" s="228">
        <v>-0.43</v>
      </c>
      <c r="DZ191" s="229">
        <v>-0.49430000000000002</v>
      </c>
      <c r="EA191" s="229">
        <v>3.2899999999999999E-2</v>
      </c>
      <c r="EB191" s="230">
        <v>56293350</v>
      </c>
      <c r="EC191" s="229">
        <v>6.6E-3</v>
      </c>
      <c r="ED191" s="229">
        <v>3.2899999999999999E-2</v>
      </c>
      <c r="EE191" s="228">
        <v>2.15</v>
      </c>
      <c r="EF191" s="229">
        <v>6.1000000000000004E-3</v>
      </c>
      <c r="EG191" s="230">
        <v>4489430</v>
      </c>
      <c r="EH191" s="230">
        <v>1933727</v>
      </c>
      <c r="EI191" s="229">
        <v>1.3216000000000001</v>
      </c>
      <c r="EJ191" s="229">
        <v>0.61199999999999999</v>
      </c>
      <c r="EK191" s="228">
        <v>724.59</v>
      </c>
      <c r="EL191" s="228">
        <v>299.14999999999998</v>
      </c>
      <c r="EM191" s="228">
        <v>249.27</v>
      </c>
      <c r="EN191" s="228">
        <v>267.04000000000002</v>
      </c>
      <c r="EO191" s="231">
        <v>1273.01</v>
      </c>
      <c r="EP191" s="231">
        <v>3796.5</v>
      </c>
      <c r="EQ191" s="231">
        <v>-2523.4899999999998</v>
      </c>
      <c r="ER191" s="229">
        <v>-0.66469999999999996</v>
      </c>
      <c r="ES191" s="228">
        <v>676.61</v>
      </c>
      <c r="ET191" s="228">
        <v>758.08</v>
      </c>
      <c r="EU191" s="231">
        <v>1986.76</v>
      </c>
      <c r="EV191" s="231">
        <v>202215001</v>
      </c>
      <c r="EW191" s="231">
        <v>3421.44</v>
      </c>
      <c r="EX191" s="231">
        <v>3262.95</v>
      </c>
      <c r="EY191" s="228">
        <v>158.49</v>
      </c>
      <c r="EZ191" s="229">
        <v>4.8599999999999997E-2</v>
      </c>
      <c r="FA191" s="229">
        <v>0.46289999999999998</v>
      </c>
      <c r="FB191" s="227" t="s">
        <v>556</v>
      </c>
      <c r="FC191">
        <f t="shared" si="3"/>
        <v>0</v>
      </c>
    </row>
    <row r="192" spans="1:159" ht="17.25" thickBot="1" x14ac:dyDescent="0.3">
      <c r="A192" s="226">
        <v>46050</v>
      </c>
      <c r="B192" s="227" t="s">
        <v>227</v>
      </c>
      <c r="C192" s="227" t="s">
        <v>294</v>
      </c>
      <c r="D192" s="228">
        <v>5500</v>
      </c>
      <c r="E192" s="228">
        <v>27</v>
      </c>
      <c r="F192" s="228">
        <v>195.01</v>
      </c>
      <c r="G192" s="228">
        <v>193.11</v>
      </c>
      <c r="H192" s="228">
        <v>1.9</v>
      </c>
      <c r="I192" s="229">
        <v>9.7999999999999997E-3</v>
      </c>
      <c r="J192" s="228">
        <v>193.85</v>
      </c>
      <c r="K192" s="228">
        <v>192.28</v>
      </c>
      <c r="L192" s="228">
        <v>1.57</v>
      </c>
      <c r="M192" s="229">
        <v>8.2000000000000007E-3</v>
      </c>
      <c r="N192" s="228">
        <v>195.01</v>
      </c>
      <c r="O192" s="228">
        <v>191.71</v>
      </c>
      <c r="P192" s="228">
        <v>3.3</v>
      </c>
      <c r="Q192" s="229">
        <v>1.72E-2</v>
      </c>
      <c r="R192" s="228">
        <v>196.22</v>
      </c>
      <c r="S192" s="228">
        <v>193.11</v>
      </c>
      <c r="T192" s="228">
        <v>3.11</v>
      </c>
      <c r="U192" s="229">
        <v>1.61E-2</v>
      </c>
      <c r="V192" s="228">
        <v>197.46</v>
      </c>
      <c r="W192" s="228">
        <v>194.35</v>
      </c>
      <c r="X192" s="228">
        <v>3.11</v>
      </c>
      <c r="Y192" s="229">
        <v>1.6E-2</v>
      </c>
      <c r="Z192" s="228">
        <v>1.1599999999999999</v>
      </c>
      <c r="AA192" s="228">
        <v>0.83</v>
      </c>
      <c r="AB192" s="228">
        <v>0.33</v>
      </c>
      <c r="AC192" s="229">
        <v>6.0000000000000001E-3</v>
      </c>
      <c r="AD192" s="228">
        <v>1.1599999999999999</v>
      </c>
      <c r="AE192" s="228">
        <v>-0.56999999999999995</v>
      </c>
      <c r="AF192" s="228">
        <v>1.73</v>
      </c>
      <c r="AG192" s="229">
        <v>6.0000000000000001E-3</v>
      </c>
      <c r="AH192" s="228">
        <v>2.37</v>
      </c>
      <c r="AI192" s="228">
        <v>0.83</v>
      </c>
      <c r="AJ192" s="228">
        <v>1.54</v>
      </c>
      <c r="AK192" s="229">
        <v>1.2200000000000001E-2</v>
      </c>
      <c r="AL192" s="228">
        <v>3.61</v>
      </c>
      <c r="AM192" s="228">
        <v>2.0699999999999998</v>
      </c>
      <c r="AN192" s="228">
        <v>1.54</v>
      </c>
      <c r="AO192" s="229">
        <v>1.8599999999999998E-2</v>
      </c>
      <c r="AP192" s="228">
        <v>194.78</v>
      </c>
      <c r="AQ192" s="228">
        <v>196.03</v>
      </c>
      <c r="AR192" s="228">
        <v>0</v>
      </c>
      <c r="AS192" s="228">
        <v>963</v>
      </c>
      <c r="AT192" s="230">
        <v>3072</v>
      </c>
      <c r="AU192" s="230">
        <v>-2109</v>
      </c>
      <c r="AV192" s="229">
        <v>-0.6865</v>
      </c>
      <c r="AW192" s="228">
        <v>890</v>
      </c>
      <c r="AX192" s="230">
        <v>1222</v>
      </c>
      <c r="AY192" s="228">
        <v>-332</v>
      </c>
      <c r="AZ192" s="229">
        <v>-0.27139999999999997</v>
      </c>
      <c r="BA192" s="228">
        <v>65</v>
      </c>
      <c r="BB192" s="230">
        <v>1788</v>
      </c>
      <c r="BC192" s="230">
        <v>-1722</v>
      </c>
      <c r="BD192" s="229">
        <v>-0.96350000000000002</v>
      </c>
      <c r="BE192" s="228">
        <v>8</v>
      </c>
      <c r="BF192" s="228">
        <v>62</v>
      </c>
      <c r="BG192" s="228">
        <v>-55</v>
      </c>
      <c r="BH192" s="229">
        <v>-0.87609999999999999</v>
      </c>
      <c r="BI192" s="230">
        <v>2971</v>
      </c>
      <c r="BJ192" s="230">
        <v>4079</v>
      </c>
      <c r="BK192" s="230">
        <v>-1108</v>
      </c>
      <c r="BL192" s="229">
        <v>-0.27160000000000001</v>
      </c>
      <c r="BM192" s="230">
        <v>1544</v>
      </c>
      <c r="BN192" s="230">
        <v>2260</v>
      </c>
      <c r="BO192" s="228">
        <v>-716</v>
      </c>
      <c r="BP192" s="229">
        <v>-0.317</v>
      </c>
      <c r="BQ192" s="230">
        <v>5478</v>
      </c>
      <c r="BR192" s="230">
        <v>9411</v>
      </c>
      <c r="BS192" s="230">
        <v>-3933</v>
      </c>
      <c r="BT192" s="229">
        <v>-0.41789999999999999</v>
      </c>
      <c r="BU192" s="230">
        <v>35978622</v>
      </c>
      <c r="BV192" s="230">
        <v>44549584</v>
      </c>
      <c r="BW192" s="230">
        <v>-8570962</v>
      </c>
      <c r="BX192" s="229">
        <v>-0.19239999999999999</v>
      </c>
      <c r="BY192" s="230">
        <v>5107</v>
      </c>
      <c r="BZ192" s="230">
        <v>5139</v>
      </c>
      <c r="CA192" s="228">
        <v>-32</v>
      </c>
      <c r="CB192" s="229">
        <v>-6.3E-3</v>
      </c>
      <c r="CC192" s="230">
        <v>4776</v>
      </c>
      <c r="CD192" s="228">
        <v>231</v>
      </c>
      <c r="CE192" s="230">
        <v>4545</v>
      </c>
      <c r="CF192" s="229">
        <v>19.700099999999999</v>
      </c>
      <c r="CG192" s="228">
        <v>326</v>
      </c>
      <c r="CH192" s="230">
        <v>4823</v>
      </c>
      <c r="CI192" s="230">
        <v>-4497</v>
      </c>
      <c r="CJ192" s="229">
        <v>-0.93230000000000002</v>
      </c>
      <c r="CK192" s="228">
        <v>5</v>
      </c>
      <c r="CL192" s="228">
        <v>315</v>
      </c>
      <c r="CM192" s="228">
        <v>-311</v>
      </c>
      <c r="CN192" s="229">
        <v>-0.98570000000000002</v>
      </c>
      <c r="CO192" s="230">
        <v>1238</v>
      </c>
      <c r="CP192" s="230">
        <v>1097</v>
      </c>
      <c r="CQ192" s="228">
        <v>141</v>
      </c>
      <c r="CR192" s="229">
        <v>0.12859999999999999</v>
      </c>
      <c r="CS192" s="230">
        <v>1058</v>
      </c>
      <c r="CT192" s="228">
        <v>931</v>
      </c>
      <c r="CU192" s="228">
        <v>128</v>
      </c>
      <c r="CV192" s="229">
        <v>0.13719999999999999</v>
      </c>
      <c r="CW192" s="230">
        <v>7403</v>
      </c>
      <c r="CX192" s="230">
        <v>7167</v>
      </c>
      <c r="CY192" s="228">
        <v>236</v>
      </c>
      <c r="CZ192" s="229">
        <v>3.3000000000000002E-2</v>
      </c>
      <c r="DA192" s="228">
        <v>30.96</v>
      </c>
      <c r="DB192" s="228">
        <v>31.9</v>
      </c>
      <c r="DC192" s="228">
        <v>-0.94</v>
      </c>
      <c r="DD192" s="228">
        <v>-0.94</v>
      </c>
      <c r="DE192" s="228">
        <v>32.53</v>
      </c>
      <c r="DF192" s="228">
        <v>32.58</v>
      </c>
      <c r="DG192" s="228">
        <v>-1.57</v>
      </c>
      <c r="DH192" s="228">
        <v>-0.05</v>
      </c>
      <c r="DI192" s="228">
        <v>30.54</v>
      </c>
      <c r="DJ192" s="228">
        <v>31.66</v>
      </c>
      <c r="DK192" s="228">
        <v>-1.1200000000000001</v>
      </c>
      <c r="DL192" s="228">
        <v>-1.1200000000000001</v>
      </c>
      <c r="DM192" s="228">
        <v>31.76</v>
      </c>
      <c r="DN192" s="228">
        <v>32.340000000000003</v>
      </c>
      <c r="DO192" s="228">
        <v>-0.57999999999999996</v>
      </c>
      <c r="DP192" s="228">
        <v>-0.57999999999999996</v>
      </c>
      <c r="DQ192" s="228">
        <v>0.85</v>
      </c>
      <c r="DR192" s="228">
        <v>0.85</v>
      </c>
      <c r="DS192" s="228">
        <v>0</v>
      </c>
      <c r="DT192" s="229">
        <v>0</v>
      </c>
      <c r="DU192" s="228">
        <v>200</v>
      </c>
      <c r="DV192" s="228">
        <v>190</v>
      </c>
      <c r="DW192" s="228">
        <v>0.52</v>
      </c>
      <c r="DX192" s="228">
        <v>0.55000000000000004</v>
      </c>
      <c r="DY192" s="228">
        <v>-0.03</v>
      </c>
      <c r="DZ192" s="229">
        <v>-5.45E-2</v>
      </c>
      <c r="EA192" s="229">
        <v>6.4799999999999996E-2</v>
      </c>
      <c r="EB192" s="230">
        <v>263516000</v>
      </c>
      <c r="EC192" s="229">
        <v>6.1999999999999998E-3</v>
      </c>
      <c r="ED192" s="229">
        <v>6.4799999999999996E-2</v>
      </c>
      <c r="EE192" s="228">
        <v>1.25</v>
      </c>
      <c r="EF192" s="229">
        <v>6.4000000000000003E-3</v>
      </c>
      <c r="EG192" s="230">
        <v>14100746</v>
      </c>
      <c r="EH192" s="230">
        <v>23646926</v>
      </c>
      <c r="EI192" s="229">
        <v>-0.4037</v>
      </c>
      <c r="EJ192" s="229">
        <v>0.39190000000000003</v>
      </c>
      <c r="EK192" s="231">
        <v>3111.12</v>
      </c>
      <c r="EL192" s="231">
        <v>1511.69</v>
      </c>
      <c r="EM192" s="228">
        <v>962.43</v>
      </c>
      <c r="EN192" s="228">
        <v>327.43</v>
      </c>
      <c r="EO192" s="231">
        <v>5585.24</v>
      </c>
      <c r="EP192" s="231">
        <v>9319.1299999999992</v>
      </c>
      <c r="EQ192" s="231">
        <v>-3733.89</v>
      </c>
      <c r="ER192" s="229">
        <v>-0.4007</v>
      </c>
      <c r="ES192" s="231">
        <v>1242.42</v>
      </c>
      <c r="ET192" s="228">
        <v>994.73</v>
      </c>
      <c r="EU192" s="231">
        <v>5108.62</v>
      </c>
      <c r="EV192" s="231">
        <v>872935214</v>
      </c>
      <c r="EW192" s="231">
        <v>7345.77</v>
      </c>
      <c r="EX192" s="231">
        <v>7059</v>
      </c>
      <c r="EY192" s="228">
        <v>286.77</v>
      </c>
      <c r="EZ192" s="229">
        <v>4.0599999999999997E-2</v>
      </c>
      <c r="FA192" s="229">
        <v>0.43490000000000001</v>
      </c>
      <c r="FB192" s="227" t="s">
        <v>556</v>
      </c>
      <c r="FC192">
        <f t="shared" si="3"/>
        <v>0</v>
      </c>
    </row>
    <row r="193" spans="1:159" ht="17.25" thickBot="1" x14ac:dyDescent="0.3">
      <c r="A193" s="226">
        <v>46050</v>
      </c>
      <c r="B193" s="227" t="s">
        <v>221</v>
      </c>
      <c r="C193" s="227" t="s">
        <v>663</v>
      </c>
      <c r="D193" s="228">
        <v>800</v>
      </c>
      <c r="E193" s="228">
        <v>27</v>
      </c>
      <c r="F193" s="228">
        <v>665.05</v>
      </c>
      <c r="G193" s="228">
        <v>655.6</v>
      </c>
      <c r="H193" s="228">
        <v>9.4499999999999993</v>
      </c>
      <c r="I193" s="229">
        <v>1.44E-2</v>
      </c>
      <c r="J193" s="228">
        <v>660.65</v>
      </c>
      <c r="K193" s="228">
        <v>651.4</v>
      </c>
      <c r="L193" s="228">
        <v>9.25</v>
      </c>
      <c r="M193" s="229">
        <v>1.4200000000000001E-2</v>
      </c>
      <c r="N193" s="228">
        <v>665.05</v>
      </c>
      <c r="O193" s="228">
        <v>650.79999999999995</v>
      </c>
      <c r="P193" s="228">
        <v>14.25</v>
      </c>
      <c r="Q193" s="229">
        <v>2.1899999999999999E-2</v>
      </c>
      <c r="R193" s="228">
        <v>667.6</v>
      </c>
      <c r="S193" s="228">
        <v>655.6</v>
      </c>
      <c r="T193" s="228">
        <v>12</v>
      </c>
      <c r="U193" s="229">
        <v>1.83E-2</v>
      </c>
      <c r="V193" s="228">
        <v>665.85</v>
      </c>
      <c r="W193" s="228">
        <v>658.85</v>
      </c>
      <c r="X193" s="228">
        <v>7</v>
      </c>
      <c r="Y193" s="229">
        <v>1.06E-2</v>
      </c>
      <c r="Z193" s="228">
        <v>4.4000000000000004</v>
      </c>
      <c r="AA193" s="228">
        <v>4.2</v>
      </c>
      <c r="AB193" s="228">
        <v>0.2</v>
      </c>
      <c r="AC193" s="229">
        <v>6.7000000000000002E-3</v>
      </c>
      <c r="AD193" s="228">
        <v>4.4000000000000004</v>
      </c>
      <c r="AE193" s="228">
        <v>-0.6</v>
      </c>
      <c r="AF193" s="228">
        <v>5</v>
      </c>
      <c r="AG193" s="229">
        <v>6.7000000000000002E-3</v>
      </c>
      <c r="AH193" s="228">
        <v>6.95</v>
      </c>
      <c r="AI193" s="228">
        <v>4.2</v>
      </c>
      <c r="AJ193" s="228">
        <v>2.75</v>
      </c>
      <c r="AK193" s="229">
        <v>1.0500000000000001E-2</v>
      </c>
      <c r="AL193" s="228">
        <v>5.2</v>
      </c>
      <c r="AM193" s="228">
        <v>7.45</v>
      </c>
      <c r="AN193" s="228">
        <v>-2.25</v>
      </c>
      <c r="AO193" s="229">
        <v>7.9000000000000008E-3</v>
      </c>
      <c r="AP193" s="228">
        <v>660.02</v>
      </c>
      <c r="AQ193" s="228">
        <v>661.95</v>
      </c>
      <c r="AR193" s="228">
        <v>0</v>
      </c>
      <c r="AS193" s="228">
        <v>94</v>
      </c>
      <c r="AT193" s="228">
        <v>611</v>
      </c>
      <c r="AU193" s="228">
        <v>-517</v>
      </c>
      <c r="AV193" s="229">
        <v>-0.84640000000000004</v>
      </c>
      <c r="AW193" s="228">
        <v>90</v>
      </c>
      <c r="AX193" s="228">
        <v>288</v>
      </c>
      <c r="AY193" s="228">
        <v>-198</v>
      </c>
      <c r="AZ193" s="229">
        <v>-0.68840000000000001</v>
      </c>
      <c r="BA193" s="228">
        <v>4</v>
      </c>
      <c r="BB193" s="228">
        <v>315</v>
      </c>
      <c r="BC193" s="228">
        <v>-311</v>
      </c>
      <c r="BD193" s="229">
        <v>-0.98729999999999996</v>
      </c>
      <c r="BE193" s="228">
        <v>0</v>
      </c>
      <c r="BF193" s="228">
        <v>8</v>
      </c>
      <c r="BG193" s="228">
        <v>-8</v>
      </c>
      <c r="BH193" s="229">
        <v>-0.99319999999999997</v>
      </c>
      <c r="BI193" s="228">
        <v>125</v>
      </c>
      <c r="BJ193" s="228">
        <v>332</v>
      </c>
      <c r="BK193" s="228">
        <v>-207</v>
      </c>
      <c r="BL193" s="229">
        <v>-0.62319999999999998</v>
      </c>
      <c r="BM193" s="228">
        <v>56</v>
      </c>
      <c r="BN193" s="228">
        <v>160</v>
      </c>
      <c r="BO193" s="228">
        <v>-104</v>
      </c>
      <c r="BP193" s="229">
        <v>-0.64780000000000004</v>
      </c>
      <c r="BQ193" s="228">
        <v>275</v>
      </c>
      <c r="BR193" s="230">
        <v>1103</v>
      </c>
      <c r="BS193" s="228">
        <v>-828</v>
      </c>
      <c r="BT193" s="229">
        <v>-0.75039999999999996</v>
      </c>
      <c r="BU193" s="230">
        <v>614156</v>
      </c>
      <c r="BV193" s="230">
        <v>1153177</v>
      </c>
      <c r="BW193" s="230">
        <v>-539021</v>
      </c>
      <c r="BX193" s="229">
        <v>-0.46739999999999998</v>
      </c>
      <c r="BY193" s="228">
        <v>635</v>
      </c>
      <c r="BZ193" s="228">
        <v>640</v>
      </c>
      <c r="CA193" s="228">
        <v>-5</v>
      </c>
      <c r="CB193" s="229">
        <v>-7.9000000000000008E-3</v>
      </c>
      <c r="CC193" s="228">
        <v>611</v>
      </c>
      <c r="CD193" s="228">
        <v>35</v>
      </c>
      <c r="CE193" s="228">
        <v>576</v>
      </c>
      <c r="CF193" s="229">
        <v>16.398499999999999</v>
      </c>
      <c r="CG193" s="228">
        <v>24</v>
      </c>
      <c r="CH193" s="228">
        <v>617</v>
      </c>
      <c r="CI193" s="228">
        <v>-593</v>
      </c>
      <c r="CJ193" s="229">
        <v>-0.96089999999999998</v>
      </c>
      <c r="CK193" s="228">
        <v>0</v>
      </c>
      <c r="CL193" s="228">
        <v>23</v>
      </c>
      <c r="CM193" s="228">
        <v>-23</v>
      </c>
      <c r="CN193" s="229">
        <v>-0.99770000000000003</v>
      </c>
      <c r="CO193" s="228">
        <v>149</v>
      </c>
      <c r="CP193" s="228">
        <v>136</v>
      </c>
      <c r="CQ193" s="228">
        <v>13</v>
      </c>
      <c r="CR193" s="229">
        <v>9.69E-2</v>
      </c>
      <c r="CS193" s="228">
        <v>119</v>
      </c>
      <c r="CT193" s="228">
        <v>108</v>
      </c>
      <c r="CU193" s="228">
        <v>10</v>
      </c>
      <c r="CV193" s="229">
        <v>9.6699999999999994E-2</v>
      </c>
      <c r="CW193" s="228">
        <v>903</v>
      </c>
      <c r="CX193" s="228">
        <v>884</v>
      </c>
      <c r="CY193" s="228">
        <v>19</v>
      </c>
      <c r="CZ193" s="229">
        <v>2.1000000000000001E-2</v>
      </c>
      <c r="DA193" s="228">
        <v>25.73</v>
      </c>
      <c r="DB193" s="228">
        <v>28.01</v>
      </c>
      <c r="DC193" s="228">
        <v>-2.2799999999999998</v>
      </c>
      <c r="DD193" s="228">
        <v>-2.2799999999999998</v>
      </c>
      <c r="DE193" s="228">
        <v>30.41</v>
      </c>
      <c r="DF193" s="228">
        <v>30.42</v>
      </c>
      <c r="DG193" s="228">
        <v>-4.68</v>
      </c>
      <c r="DH193" s="228">
        <v>-0.01</v>
      </c>
      <c r="DI193" s="228">
        <v>25.23</v>
      </c>
      <c r="DJ193" s="228">
        <v>27.88</v>
      </c>
      <c r="DK193" s="228">
        <v>-2.65</v>
      </c>
      <c r="DL193" s="228">
        <v>-2.65</v>
      </c>
      <c r="DM193" s="228">
        <v>26.83</v>
      </c>
      <c r="DN193" s="228">
        <v>28.29</v>
      </c>
      <c r="DO193" s="228">
        <v>-1.46</v>
      </c>
      <c r="DP193" s="228">
        <v>-1.46</v>
      </c>
      <c r="DQ193" s="228">
        <v>0.8</v>
      </c>
      <c r="DR193" s="228">
        <v>0.8</v>
      </c>
      <c r="DS193" s="228">
        <v>0</v>
      </c>
      <c r="DT193" s="229">
        <v>0</v>
      </c>
      <c r="DU193" s="228">
        <v>660</v>
      </c>
      <c r="DV193" s="228">
        <v>660</v>
      </c>
      <c r="DW193" s="228">
        <v>0.45</v>
      </c>
      <c r="DX193" s="228">
        <v>0.48</v>
      </c>
      <c r="DY193" s="228">
        <v>-0.03</v>
      </c>
      <c r="DZ193" s="229">
        <v>-6.25E-2</v>
      </c>
      <c r="EA193" s="229">
        <v>3.7999999999999999E-2</v>
      </c>
      <c r="EB193" s="230">
        <v>9625600</v>
      </c>
      <c r="EC193" s="229">
        <v>3.8E-3</v>
      </c>
      <c r="ED193" s="229">
        <v>3.7999999999999999E-2</v>
      </c>
      <c r="EE193" s="228">
        <v>1.93</v>
      </c>
      <c r="EF193" s="229">
        <v>2.8999999999999998E-3</v>
      </c>
      <c r="EG193" s="230">
        <v>251834</v>
      </c>
      <c r="EH193" s="230">
        <v>515328</v>
      </c>
      <c r="EI193" s="229">
        <v>-0.51129999999999998</v>
      </c>
      <c r="EJ193" s="229">
        <v>0.41</v>
      </c>
      <c r="EK193" s="228">
        <v>130.71</v>
      </c>
      <c r="EL193" s="228">
        <v>54.88</v>
      </c>
      <c r="EM193" s="228">
        <v>93.15</v>
      </c>
      <c r="EN193" s="228">
        <v>104.99</v>
      </c>
      <c r="EO193" s="228">
        <v>278.74</v>
      </c>
      <c r="EP193" s="231">
        <v>1101.6600000000001</v>
      </c>
      <c r="EQ193" s="228">
        <v>-822.92</v>
      </c>
      <c r="ER193" s="229">
        <v>-0.747</v>
      </c>
      <c r="ES193" s="228">
        <v>153.19</v>
      </c>
      <c r="ET193" s="228">
        <v>116.99</v>
      </c>
      <c r="EU193" s="228">
        <v>635.19000000000005</v>
      </c>
      <c r="EV193" s="231">
        <v>25116370</v>
      </c>
      <c r="EW193" s="228">
        <v>905.37</v>
      </c>
      <c r="EX193" s="228">
        <v>877.49</v>
      </c>
      <c r="EY193" s="228">
        <v>27.88</v>
      </c>
      <c r="EZ193" s="229">
        <v>3.1800000000000002E-2</v>
      </c>
      <c r="FA193" s="229">
        <v>0.54039999999999999</v>
      </c>
      <c r="FB193" s="227" t="s">
        <v>556</v>
      </c>
      <c r="FC193">
        <f t="shared" si="3"/>
        <v>0</v>
      </c>
    </row>
    <row r="194" spans="1:159" ht="17.25" thickBot="1" x14ac:dyDescent="0.3">
      <c r="A194" s="226">
        <v>46050</v>
      </c>
      <c r="B194" s="227" t="s">
        <v>221</v>
      </c>
      <c r="C194" s="227" t="s">
        <v>295</v>
      </c>
      <c r="D194" s="228">
        <v>175</v>
      </c>
      <c r="E194" s="228">
        <v>27</v>
      </c>
      <c r="F194" s="231">
        <v>3210</v>
      </c>
      <c r="G194" s="231">
        <v>3179.9</v>
      </c>
      <c r="H194" s="228">
        <v>30.1</v>
      </c>
      <c r="I194" s="229">
        <v>9.4999999999999998E-3</v>
      </c>
      <c r="J194" s="231">
        <v>3200.1</v>
      </c>
      <c r="K194" s="231">
        <v>3158</v>
      </c>
      <c r="L194" s="228">
        <v>42.1</v>
      </c>
      <c r="M194" s="229">
        <v>1.3299999999999999E-2</v>
      </c>
      <c r="N194" s="231">
        <v>3210</v>
      </c>
      <c r="O194" s="231">
        <v>3160.2</v>
      </c>
      <c r="P194" s="228">
        <v>49.8</v>
      </c>
      <c r="Q194" s="229">
        <v>1.5800000000000002E-2</v>
      </c>
      <c r="R194" s="231">
        <v>3230.4</v>
      </c>
      <c r="S194" s="231">
        <v>3179.9</v>
      </c>
      <c r="T194" s="228">
        <v>50.5</v>
      </c>
      <c r="U194" s="229">
        <v>1.5900000000000001E-2</v>
      </c>
      <c r="V194" s="231">
        <v>3251.4</v>
      </c>
      <c r="W194" s="231">
        <v>3200.1</v>
      </c>
      <c r="X194" s="228">
        <v>51.3</v>
      </c>
      <c r="Y194" s="229">
        <v>1.6E-2</v>
      </c>
      <c r="Z194" s="228">
        <v>9.9</v>
      </c>
      <c r="AA194" s="228">
        <v>21.9</v>
      </c>
      <c r="AB194" s="228">
        <v>-12</v>
      </c>
      <c r="AC194" s="229">
        <v>3.0999999999999999E-3</v>
      </c>
      <c r="AD194" s="228">
        <v>9.9</v>
      </c>
      <c r="AE194" s="228">
        <v>2.2000000000000002</v>
      </c>
      <c r="AF194" s="228">
        <v>7.7</v>
      </c>
      <c r="AG194" s="229">
        <v>3.0999999999999999E-3</v>
      </c>
      <c r="AH194" s="228">
        <v>30.3</v>
      </c>
      <c r="AI194" s="228">
        <v>21.9</v>
      </c>
      <c r="AJ194" s="228">
        <v>8.4</v>
      </c>
      <c r="AK194" s="229">
        <v>9.4999999999999998E-3</v>
      </c>
      <c r="AL194" s="228">
        <v>51.3</v>
      </c>
      <c r="AM194" s="228">
        <v>42.1</v>
      </c>
      <c r="AN194" s="228">
        <v>9.1999999999999993</v>
      </c>
      <c r="AO194" s="229">
        <v>1.6E-2</v>
      </c>
      <c r="AP194" s="231">
        <v>3201.3</v>
      </c>
      <c r="AQ194" s="231">
        <v>3222.47</v>
      </c>
      <c r="AR194" s="228">
        <v>0</v>
      </c>
      <c r="AS194" s="228">
        <v>851</v>
      </c>
      <c r="AT194" s="230">
        <v>3641</v>
      </c>
      <c r="AU194" s="230">
        <v>-2790</v>
      </c>
      <c r="AV194" s="229">
        <v>-0.76639999999999997</v>
      </c>
      <c r="AW194" s="228">
        <v>825</v>
      </c>
      <c r="AX194" s="230">
        <v>1496</v>
      </c>
      <c r="AY194" s="228">
        <v>-671</v>
      </c>
      <c r="AZ194" s="229">
        <v>-0.44869999999999999</v>
      </c>
      <c r="BA194" s="228">
        <v>22</v>
      </c>
      <c r="BB194" s="230">
        <v>2040</v>
      </c>
      <c r="BC194" s="230">
        <v>-2018</v>
      </c>
      <c r="BD194" s="229">
        <v>-0.98909999999999998</v>
      </c>
      <c r="BE194" s="228">
        <v>4</v>
      </c>
      <c r="BF194" s="228">
        <v>105</v>
      </c>
      <c r="BG194" s="228">
        <v>-101</v>
      </c>
      <c r="BH194" s="229">
        <v>-0.96519999999999995</v>
      </c>
      <c r="BI194" s="230">
        <v>2019</v>
      </c>
      <c r="BJ194" s="230">
        <v>3128</v>
      </c>
      <c r="BK194" s="230">
        <v>-1109</v>
      </c>
      <c r="BL194" s="229">
        <v>-0.35449999999999998</v>
      </c>
      <c r="BM194" s="230">
        <v>1234</v>
      </c>
      <c r="BN194" s="230">
        <v>2530</v>
      </c>
      <c r="BO194" s="230">
        <v>-1296</v>
      </c>
      <c r="BP194" s="229">
        <v>-0.51219999999999999</v>
      </c>
      <c r="BQ194" s="230">
        <v>4104</v>
      </c>
      <c r="BR194" s="230">
        <v>9300</v>
      </c>
      <c r="BS194" s="230">
        <v>-5195</v>
      </c>
      <c r="BT194" s="229">
        <v>-0.55869999999999997</v>
      </c>
      <c r="BU194" s="230">
        <v>2895242</v>
      </c>
      <c r="BV194" s="230">
        <v>4444445</v>
      </c>
      <c r="BW194" s="230">
        <v>-1549203</v>
      </c>
      <c r="BX194" s="229">
        <v>-0.34860000000000002</v>
      </c>
      <c r="BY194" s="230">
        <v>6284</v>
      </c>
      <c r="BZ194" s="230">
        <v>6428</v>
      </c>
      <c r="CA194" s="228">
        <v>-145</v>
      </c>
      <c r="CB194" s="229">
        <v>-2.2499999999999999E-2</v>
      </c>
      <c r="CC194" s="230">
        <v>6008</v>
      </c>
      <c r="CD194" s="228">
        <v>244</v>
      </c>
      <c r="CE194" s="230">
        <v>5763</v>
      </c>
      <c r="CF194" s="229">
        <v>23.584800000000001</v>
      </c>
      <c r="CG194" s="228">
        <v>273</v>
      </c>
      <c r="CH194" s="230">
        <v>6153</v>
      </c>
      <c r="CI194" s="230">
        <v>-5880</v>
      </c>
      <c r="CJ194" s="229">
        <v>-0.9556</v>
      </c>
      <c r="CK194" s="228">
        <v>3</v>
      </c>
      <c r="CL194" s="228">
        <v>275</v>
      </c>
      <c r="CM194" s="228">
        <v>-272</v>
      </c>
      <c r="CN194" s="229">
        <v>-0.98899999999999999</v>
      </c>
      <c r="CO194" s="230">
        <v>1287</v>
      </c>
      <c r="CP194" s="230">
        <v>1097</v>
      </c>
      <c r="CQ194" s="228">
        <v>190</v>
      </c>
      <c r="CR194" s="229">
        <v>0.17319999999999999</v>
      </c>
      <c r="CS194" s="230">
        <v>1386</v>
      </c>
      <c r="CT194" s="230">
        <v>1272</v>
      </c>
      <c r="CU194" s="228">
        <v>114</v>
      </c>
      <c r="CV194" s="229">
        <v>8.9300000000000004E-2</v>
      </c>
      <c r="CW194" s="230">
        <v>8957</v>
      </c>
      <c r="CX194" s="230">
        <v>8798</v>
      </c>
      <c r="CY194" s="228">
        <v>159</v>
      </c>
      <c r="CZ194" s="229">
        <v>1.8100000000000002E-2</v>
      </c>
      <c r="DA194" s="228">
        <v>19.09</v>
      </c>
      <c r="DB194" s="228">
        <v>20.52</v>
      </c>
      <c r="DC194" s="228">
        <v>-1.43</v>
      </c>
      <c r="DD194" s="228">
        <v>-1.43</v>
      </c>
      <c r="DE194" s="228">
        <v>23.55</v>
      </c>
      <c r="DF194" s="228">
        <v>23.55</v>
      </c>
      <c r="DG194" s="228">
        <v>-4.46</v>
      </c>
      <c r="DH194" s="228">
        <v>0</v>
      </c>
      <c r="DI194" s="228">
        <v>18.25</v>
      </c>
      <c r="DJ194" s="228">
        <v>19.91</v>
      </c>
      <c r="DK194" s="228">
        <v>-1.66</v>
      </c>
      <c r="DL194" s="228">
        <v>-1.66</v>
      </c>
      <c r="DM194" s="228">
        <v>20.46</v>
      </c>
      <c r="DN194" s="228">
        <v>21.3</v>
      </c>
      <c r="DO194" s="228">
        <v>-0.84</v>
      </c>
      <c r="DP194" s="228">
        <v>-0.84</v>
      </c>
      <c r="DQ194" s="228">
        <v>1.08</v>
      </c>
      <c r="DR194" s="228">
        <v>1.1599999999999999</v>
      </c>
      <c r="DS194" s="228">
        <v>-0.08</v>
      </c>
      <c r="DT194" s="229">
        <v>-6.9000000000000006E-2</v>
      </c>
      <c r="DU194" s="231">
        <v>3200</v>
      </c>
      <c r="DV194" s="231">
        <v>3000</v>
      </c>
      <c r="DW194" s="228">
        <v>0.61</v>
      </c>
      <c r="DX194" s="228">
        <v>0.81</v>
      </c>
      <c r="DY194" s="228">
        <v>-0.2</v>
      </c>
      <c r="DZ194" s="229">
        <v>-0.24690000000000001</v>
      </c>
      <c r="EA194" s="229">
        <v>4.3900000000000002E-2</v>
      </c>
      <c r="EB194" s="230">
        <v>20025600</v>
      </c>
      <c r="EC194" s="229">
        <v>6.4000000000000003E-3</v>
      </c>
      <c r="ED194" s="229">
        <v>4.3900000000000002E-2</v>
      </c>
      <c r="EE194" s="228">
        <v>21.17</v>
      </c>
      <c r="EF194" s="229">
        <v>6.6E-3</v>
      </c>
      <c r="EG194" s="230">
        <v>2150556</v>
      </c>
      <c r="EH194" s="230">
        <v>3120144</v>
      </c>
      <c r="EI194" s="229">
        <v>-0.31080000000000002</v>
      </c>
      <c r="EJ194" s="229">
        <v>0.74280000000000002</v>
      </c>
      <c r="EK194" s="231">
        <v>2092.98</v>
      </c>
      <c r="EL194" s="231">
        <v>1205.74</v>
      </c>
      <c r="EM194" s="228">
        <v>848.6</v>
      </c>
      <c r="EN194" s="228">
        <v>791.5</v>
      </c>
      <c r="EO194" s="231">
        <v>4147.33</v>
      </c>
      <c r="EP194" s="231">
        <v>9265.64</v>
      </c>
      <c r="EQ194" s="231">
        <v>-5118.3100000000004</v>
      </c>
      <c r="ER194" s="229">
        <v>-0.5524</v>
      </c>
      <c r="ES194" s="231">
        <v>1320.51</v>
      </c>
      <c r="ET194" s="231">
        <v>1351.06</v>
      </c>
      <c r="EU194" s="231">
        <v>6285.34</v>
      </c>
      <c r="EV194" s="231">
        <v>126444612</v>
      </c>
      <c r="EW194" s="231">
        <v>8956.91</v>
      </c>
      <c r="EX194" s="231">
        <v>8735.6</v>
      </c>
      <c r="EY194" s="228">
        <v>221.31</v>
      </c>
      <c r="EZ194" s="229">
        <v>2.53E-2</v>
      </c>
      <c r="FA194" s="229">
        <v>0.22070000000000001</v>
      </c>
      <c r="FB194" s="227" t="s">
        <v>556</v>
      </c>
      <c r="FC194">
        <f t="shared" si="3"/>
        <v>0</v>
      </c>
    </row>
    <row r="195" spans="1:159" ht="17.25" thickBot="1" x14ac:dyDescent="0.3">
      <c r="A195" s="226">
        <v>46050</v>
      </c>
      <c r="B195" s="227" t="s">
        <v>221</v>
      </c>
      <c r="C195" s="227" t="s">
        <v>296</v>
      </c>
      <c r="D195" s="228">
        <v>600</v>
      </c>
      <c r="E195" s="228">
        <v>27</v>
      </c>
      <c r="F195" s="231">
        <v>1769.4</v>
      </c>
      <c r="G195" s="231">
        <v>1754</v>
      </c>
      <c r="H195" s="228">
        <v>15.4</v>
      </c>
      <c r="I195" s="229">
        <v>8.8000000000000005E-3</v>
      </c>
      <c r="J195" s="231">
        <v>1762.9</v>
      </c>
      <c r="K195" s="231">
        <v>1745.1</v>
      </c>
      <c r="L195" s="228">
        <v>17.8</v>
      </c>
      <c r="M195" s="229">
        <v>1.0200000000000001E-2</v>
      </c>
      <c r="N195" s="231">
        <v>1769.4</v>
      </c>
      <c r="O195" s="231">
        <v>1746.4</v>
      </c>
      <c r="P195" s="228">
        <v>23</v>
      </c>
      <c r="Q195" s="229">
        <v>1.32E-2</v>
      </c>
      <c r="R195" s="231">
        <v>1778.8</v>
      </c>
      <c r="S195" s="231">
        <v>1754</v>
      </c>
      <c r="T195" s="228">
        <v>24.8</v>
      </c>
      <c r="U195" s="229">
        <v>1.41E-2</v>
      </c>
      <c r="V195" s="231">
        <v>1790</v>
      </c>
      <c r="W195" s="231">
        <v>1763.3</v>
      </c>
      <c r="X195" s="228">
        <v>26.7</v>
      </c>
      <c r="Y195" s="229">
        <v>1.5100000000000001E-2</v>
      </c>
      <c r="Z195" s="228">
        <v>6.5</v>
      </c>
      <c r="AA195" s="228">
        <v>8.9</v>
      </c>
      <c r="AB195" s="228">
        <v>-2.4</v>
      </c>
      <c r="AC195" s="229">
        <v>3.7000000000000002E-3</v>
      </c>
      <c r="AD195" s="228">
        <v>6.5</v>
      </c>
      <c r="AE195" s="228">
        <v>1.3</v>
      </c>
      <c r="AF195" s="228">
        <v>5.2</v>
      </c>
      <c r="AG195" s="229">
        <v>3.7000000000000002E-3</v>
      </c>
      <c r="AH195" s="228">
        <v>15.9</v>
      </c>
      <c r="AI195" s="228">
        <v>8.9</v>
      </c>
      <c r="AJ195" s="228">
        <v>7</v>
      </c>
      <c r="AK195" s="229">
        <v>8.9999999999999993E-3</v>
      </c>
      <c r="AL195" s="228">
        <v>27.1</v>
      </c>
      <c r="AM195" s="228">
        <v>18.2</v>
      </c>
      <c r="AN195" s="228">
        <v>8.9</v>
      </c>
      <c r="AO195" s="229">
        <v>1.54E-2</v>
      </c>
      <c r="AP195" s="231">
        <v>1759.1</v>
      </c>
      <c r="AQ195" s="231">
        <v>1770.46</v>
      </c>
      <c r="AR195" s="228">
        <v>0</v>
      </c>
      <c r="AS195" s="228">
        <v>585</v>
      </c>
      <c r="AT195" s="230">
        <v>1366</v>
      </c>
      <c r="AU195" s="228">
        <v>-781</v>
      </c>
      <c r="AV195" s="229">
        <v>-0.5716</v>
      </c>
      <c r="AW195" s="228">
        <v>569</v>
      </c>
      <c r="AX195" s="228">
        <v>506</v>
      </c>
      <c r="AY195" s="228">
        <v>63</v>
      </c>
      <c r="AZ195" s="229">
        <v>0.1235</v>
      </c>
      <c r="BA195" s="228">
        <v>14</v>
      </c>
      <c r="BB195" s="228">
        <v>847</v>
      </c>
      <c r="BC195" s="228">
        <v>-833</v>
      </c>
      <c r="BD195" s="229">
        <v>-0.98360000000000003</v>
      </c>
      <c r="BE195" s="228">
        <v>3</v>
      </c>
      <c r="BF195" s="228">
        <v>13</v>
      </c>
      <c r="BG195" s="228">
        <v>-10</v>
      </c>
      <c r="BH195" s="229">
        <v>-0.79510000000000003</v>
      </c>
      <c r="BI195" s="230">
        <v>1438</v>
      </c>
      <c r="BJ195" s="230">
        <v>2269</v>
      </c>
      <c r="BK195" s="228">
        <v>-831</v>
      </c>
      <c r="BL195" s="229">
        <v>-0.3664</v>
      </c>
      <c r="BM195" s="228">
        <v>784</v>
      </c>
      <c r="BN195" s="230">
        <v>1026</v>
      </c>
      <c r="BO195" s="228">
        <v>-242</v>
      </c>
      <c r="BP195" s="229">
        <v>-0.2361</v>
      </c>
      <c r="BQ195" s="230">
        <v>2807</v>
      </c>
      <c r="BR195" s="230">
        <v>4662</v>
      </c>
      <c r="BS195" s="230">
        <v>-1855</v>
      </c>
      <c r="BT195" s="229">
        <v>-0.39789999999999998</v>
      </c>
      <c r="BU195" s="230">
        <v>2598560</v>
      </c>
      <c r="BV195" s="230">
        <v>2998266</v>
      </c>
      <c r="BW195" s="230">
        <v>-399706</v>
      </c>
      <c r="BX195" s="229">
        <v>-0.1333</v>
      </c>
      <c r="BY195" s="230">
        <v>3250</v>
      </c>
      <c r="BZ195" s="230">
        <v>3385</v>
      </c>
      <c r="CA195" s="228">
        <v>-135</v>
      </c>
      <c r="CB195" s="229">
        <v>-3.9899999999999998E-2</v>
      </c>
      <c r="CC195" s="230">
        <v>3209</v>
      </c>
      <c r="CD195" s="228">
        <v>297</v>
      </c>
      <c r="CE195" s="230">
        <v>2912</v>
      </c>
      <c r="CF195" s="229">
        <v>9.8016000000000005</v>
      </c>
      <c r="CG195" s="228">
        <v>40</v>
      </c>
      <c r="CH195" s="230">
        <v>3347</v>
      </c>
      <c r="CI195" s="230">
        <v>-3307</v>
      </c>
      <c r="CJ195" s="229">
        <v>-0.9879</v>
      </c>
      <c r="CK195" s="228">
        <v>1</v>
      </c>
      <c r="CL195" s="228">
        <v>38</v>
      </c>
      <c r="CM195" s="228">
        <v>-37</v>
      </c>
      <c r="CN195" s="229">
        <v>-0.96950000000000003</v>
      </c>
      <c r="CO195" s="228">
        <v>518</v>
      </c>
      <c r="CP195" s="228">
        <v>373</v>
      </c>
      <c r="CQ195" s="228">
        <v>145</v>
      </c>
      <c r="CR195" s="229">
        <v>0.38940000000000002</v>
      </c>
      <c r="CS195" s="228">
        <v>408</v>
      </c>
      <c r="CT195" s="228">
        <v>340</v>
      </c>
      <c r="CU195" s="228">
        <v>68</v>
      </c>
      <c r="CV195" s="229">
        <v>0.20100000000000001</v>
      </c>
      <c r="CW195" s="230">
        <v>4176</v>
      </c>
      <c r="CX195" s="230">
        <v>4098</v>
      </c>
      <c r="CY195" s="228">
        <v>78</v>
      </c>
      <c r="CZ195" s="229">
        <v>1.9099999999999999E-2</v>
      </c>
      <c r="DA195" s="228">
        <v>23.18</v>
      </c>
      <c r="DB195" s="228">
        <v>24.44</v>
      </c>
      <c r="DC195" s="228">
        <v>-1.26</v>
      </c>
      <c r="DD195" s="228">
        <v>-1.26</v>
      </c>
      <c r="DE195" s="228">
        <v>29.06</v>
      </c>
      <c r="DF195" s="228">
        <v>29.1</v>
      </c>
      <c r="DG195" s="228">
        <v>-5.88</v>
      </c>
      <c r="DH195" s="228">
        <v>-0.04</v>
      </c>
      <c r="DI195" s="228">
        <v>22.25</v>
      </c>
      <c r="DJ195" s="228">
        <v>23.46</v>
      </c>
      <c r="DK195" s="228">
        <v>-1.21</v>
      </c>
      <c r="DL195" s="228">
        <v>-1.21</v>
      </c>
      <c r="DM195" s="228">
        <v>24.87</v>
      </c>
      <c r="DN195" s="228">
        <v>26.51</v>
      </c>
      <c r="DO195" s="228">
        <v>-1.64</v>
      </c>
      <c r="DP195" s="228">
        <v>-1.64</v>
      </c>
      <c r="DQ195" s="228">
        <v>0.79</v>
      </c>
      <c r="DR195" s="228">
        <v>0.91</v>
      </c>
      <c r="DS195" s="228">
        <v>-0.12</v>
      </c>
      <c r="DT195" s="229">
        <v>-0.13189999999999999</v>
      </c>
      <c r="DU195" s="231">
        <v>1960</v>
      </c>
      <c r="DV195" s="231">
        <v>1620</v>
      </c>
      <c r="DW195" s="228">
        <v>0.55000000000000004</v>
      </c>
      <c r="DX195" s="228">
        <v>0.45</v>
      </c>
      <c r="DY195" s="228">
        <v>0.1</v>
      </c>
      <c r="DZ195" s="229">
        <v>0.22220000000000001</v>
      </c>
      <c r="EA195" s="229">
        <v>1.2800000000000001E-2</v>
      </c>
      <c r="EB195" s="230">
        <v>19132800</v>
      </c>
      <c r="EC195" s="229">
        <v>5.3E-3</v>
      </c>
      <c r="ED195" s="229">
        <v>1.2800000000000001E-2</v>
      </c>
      <c r="EE195" s="228">
        <v>11.36</v>
      </c>
      <c r="EF195" s="229">
        <v>6.4999999999999997E-3</v>
      </c>
      <c r="EG195" s="230">
        <v>1749090</v>
      </c>
      <c r="EH195" s="230">
        <v>1873850</v>
      </c>
      <c r="EI195" s="229">
        <v>-6.6600000000000006E-2</v>
      </c>
      <c r="EJ195" s="229">
        <v>0.67310000000000003</v>
      </c>
      <c r="EK195" s="231">
        <v>1490.29</v>
      </c>
      <c r="EL195" s="228">
        <v>765.57</v>
      </c>
      <c r="EM195" s="228">
        <v>582</v>
      </c>
      <c r="EN195" s="228">
        <v>217.29</v>
      </c>
      <c r="EO195" s="231">
        <v>2837.86</v>
      </c>
      <c r="EP195" s="231">
        <v>4601.47</v>
      </c>
      <c r="EQ195" s="231">
        <v>-1763.61</v>
      </c>
      <c r="ER195" s="229">
        <v>-0.38329999999999997</v>
      </c>
      <c r="ES195" s="228">
        <v>527.55999999999995</v>
      </c>
      <c r="ET195" s="228">
        <v>380.48</v>
      </c>
      <c r="EU195" s="231">
        <v>3250.44</v>
      </c>
      <c r="EV195" s="231">
        <v>80031540</v>
      </c>
      <c r="EW195" s="231">
        <v>4158.4799999999996</v>
      </c>
      <c r="EX195" s="231">
        <v>4042.31</v>
      </c>
      <c r="EY195" s="228">
        <v>116.17</v>
      </c>
      <c r="EZ195" s="229">
        <v>2.87E-2</v>
      </c>
      <c r="FA195" s="229">
        <v>0.2949</v>
      </c>
      <c r="FB195" s="227" t="s">
        <v>556</v>
      </c>
      <c r="FC195">
        <f t="shared" ref="FC195:FC258" si="4">BY260-CC260</f>
        <v>0</v>
      </c>
    </row>
    <row r="196" spans="1:159" ht="17.25" thickBot="1" x14ac:dyDescent="0.3">
      <c r="A196" s="226">
        <v>46050</v>
      </c>
      <c r="B196" s="227" t="s">
        <v>184</v>
      </c>
      <c r="C196" s="227" t="s">
        <v>595</v>
      </c>
      <c r="D196" s="228">
        <v>200</v>
      </c>
      <c r="E196" s="228">
        <v>27</v>
      </c>
      <c r="F196" s="231">
        <v>2295.4</v>
      </c>
      <c r="G196" s="231">
        <v>2199.9</v>
      </c>
      <c r="H196" s="228">
        <v>95.5</v>
      </c>
      <c r="I196" s="229">
        <v>4.3400000000000001E-2</v>
      </c>
      <c r="J196" s="231">
        <v>2280.6999999999998</v>
      </c>
      <c r="K196" s="231">
        <v>2189.3000000000002</v>
      </c>
      <c r="L196" s="228">
        <v>91.4</v>
      </c>
      <c r="M196" s="229">
        <v>4.1700000000000001E-2</v>
      </c>
      <c r="N196" s="231">
        <v>2295.4</v>
      </c>
      <c r="O196" s="231">
        <v>2191.6</v>
      </c>
      <c r="P196" s="228">
        <v>103.8</v>
      </c>
      <c r="Q196" s="229">
        <v>4.7399999999999998E-2</v>
      </c>
      <c r="R196" s="231">
        <v>2313.9</v>
      </c>
      <c r="S196" s="231">
        <v>2199.9</v>
      </c>
      <c r="T196" s="228">
        <v>114</v>
      </c>
      <c r="U196" s="229">
        <v>5.1799999999999999E-2</v>
      </c>
      <c r="V196" s="228">
        <v>0</v>
      </c>
      <c r="W196" s="231">
        <v>2223.8000000000002</v>
      </c>
      <c r="X196" s="228">
        <v>0</v>
      </c>
      <c r="Y196" s="229">
        <v>0</v>
      </c>
      <c r="Z196" s="228">
        <v>14.7</v>
      </c>
      <c r="AA196" s="228">
        <v>10.6</v>
      </c>
      <c r="AB196" s="228">
        <v>4.0999999999999996</v>
      </c>
      <c r="AC196" s="229">
        <v>6.4000000000000003E-3</v>
      </c>
      <c r="AD196" s="228">
        <v>14.7</v>
      </c>
      <c r="AE196" s="228">
        <v>2.2999999999999998</v>
      </c>
      <c r="AF196" s="228">
        <v>12.4</v>
      </c>
      <c r="AG196" s="229">
        <v>6.4000000000000003E-3</v>
      </c>
      <c r="AH196" s="228">
        <v>33.200000000000003</v>
      </c>
      <c r="AI196" s="228">
        <v>10.6</v>
      </c>
      <c r="AJ196" s="228">
        <v>22.6</v>
      </c>
      <c r="AK196" s="229">
        <v>1.46E-2</v>
      </c>
      <c r="AL196" s="228">
        <v>0</v>
      </c>
      <c r="AM196" s="228">
        <v>34.5</v>
      </c>
      <c r="AN196" s="228">
        <v>0</v>
      </c>
      <c r="AO196" s="229">
        <v>0</v>
      </c>
      <c r="AP196" s="231">
        <v>2240.52</v>
      </c>
      <c r="AQ196" s="231">
        <v>2247.48</v>
      </c>
      <c r="AR196" s="228">
        <v>0</v>
      </c>
      <c r="AS196" s="228">
        <v>239</v>
      </c>
      <c r="AT196" s="228">
        <v>473</v>
      </c>
      <c r="AU196" s="228">
        <v>-234</v>
      </c>
      <c r="AV196" s="229">
        <v>-0.495</v>
      </c>
      <c r="AW196" s="228">
        <v>229</v>
      </c>
      <c r="AX196" s="228">
        <v>228</v>
      </c>
      <c r="AY196" s="228">
        <v>1</v>
      </c>
      <c r="AZ196" s="229">
        <v>6.0000000000000001E-3</v>
      </c>
      <c r="BA196" s="228">
        <v>10</v>
      </c>
      <c r="BB196" s="228">
        <v>242</v>
      </c>
      <c r="BC196" s="228">
        <v>-232</v>
      </c>
      <c r="BD196" s="229">
        <v>-0.95940000000000003</v>
      </c>
      <c r="BE196" s="228">
        <v>0</v>
      </c>
      <c r="BF196" s="228">
        <v>3</v>
      </c>
      <c r="BG196" s="228">
        <v>0</v>
      </c>
      <c r="BH196" s="229">
        <v>0</v>
      </c>
      <c r="BI196" s="228">
        <v>304</v>
      </c>
      <c r="BJ196" s="228">
        <v>381</v>
      </c>
      <c r="BK196" s="228">
        <v>-77</v>
      </c>
      <c r="BL196" s="229">
        <v>-0.2019</v>
      </c>
      <c r="BM196" s="228">
        <v>93</v>
      </c>
      <c r="BN196" s="228">
        <v>342</v>
      </c>
      <c r="BO196" s="228">
        <v>-248</v>
      </c>
      <c r="BP196" s="229">
        <v>-0.7268</v>
      </c>
      <c r="BQ196" s="228">
        <v>637</v>
      </c>
      <c r="BR196" s="230">
        <v>1196</v>
      </c>
      <c r="BS196" s="228">
        <v>-559</v>
      </c>
      <c r="BT196" s="229">
        <v>-0.4677</v>
      </c>
      <c r="BU196" s="230">
        <v>1863170</v>
      </c>
      <c r="BV196" s="230">
        <v>495767</v>
      </c>
      <c r="BW196" s="230">
        <v>1367403</v>
      </c>
      <c r="BX196" s="229">
        <v>2.7582</v>
      </c>
      <c r="BY196" s="228">
        <v>874</v>
      </c>
      <c r="BZ196" s="228">
        <v>797</v>
      </c>
      <c r="CA196" s="228">
        <v>77</v>
      </c>
      <c r="CB196" s="229">
        <v>9.6100000000000005E-2</v>
      </c>
      <c r="CC196" s="228">
        <v>863</v>
      </c>
      <c r="CD196" s="228">
        <v>53</v>
      </c>
      <c r="CE196" s="228">
        <v>810</v>
      </c>
      <c r="CF196" s="229">
        <v>15.3728</v>
      </c>
      <c r="CG196" s="228">
        <v>11</v>
      </c>
      <c r="CH196" s="228">
        <v>790</v>
      </c>
      <c r="CI196" s="228">
        <v>-779</v>
      </c>
      <c r="CJ196" s="229">
        <v>-0.98629999999999995</v>
      </c>
      <c r="CK196" s="228">
        <v>0</v>
      </c>
      <c r="CL196" s="228">
        <v>7</v>
      </c>
      <c r="CM196" s="228">
        <v>-7</v>
      </c>
      <c r="CN196" s="229">
        <v>-1</v>
      </c>
      <c r="CO196" s="228">
        <v>136</v>
      </c>
      <c r="CP196" s="228">
        <v>50</v>
      </c>
      <c r="CQ196" s="228">
        <v>86</v>
      </c>
      <c r="CR196" s="229">
        <v>1.7064999999999999</v>
      </c>
      <c r="CS196" s="228">
        <v>81</v>
      </c>
      <c r="CT196" s="228">
        <v>53</v>
      </c>
      <c r="CU196" s="228">
        <v>28</v>
      </c>
      <c r="CV196" s="229">
        <v>0.52110000000000001</v>
      </c>
      <c r="CW196" s="230">
        <v>1091</v>
      </c>
      <c r="CX196" s="228">
        <v>901</v>
      </c>
      <c r="CY196" s="228">
        <v>190</v>
      </c>
      <c r="CZ196" s="229">
        <v>0.21129999999999999</v>
      </c>
      <c r="DA196" s="228">
        <v>38.1</v>
      </c>
      <c r="DB196" s="228">
        <v>37.270000000000003</v>
      </c>
      <c r="DC196" s="228">
        <v>0.83</v>
      </c>
      <c r="DD196" s="228">
        <v>0.83</v>
      </c>
      <c r="DE196" s="228">
        <v>39.97</v>
      </c>
      <c r="DF196" s="228">
        <v>39.65</v>
      </c>
      <c r="DG196" s="228">
        <v>-1.87</v>
      </c>
      <c r="DH196" s="228">
        <v>0.32</v>
      </c>
      <c r="DI196" s="228">
        <v>37.869999999999997</v>
      </c>
      <c r="DJ196" s="228">
        <v>37.08</v>
      </c>
      <c r="DK196" s="228">
        <v>0.79</v>
      </c>
      <c r="DL196" s="228">
        <v>0.79</v>
      </c>
      <c r="DM196" s="228">
        <v>38.869999999999997</v>
      </c>
      <c r="DN196" s="228">
        <v>37.56</v>
      </c>
      <c r="DO196" s="228">
        <v>1.31</v>
      </c>
      <c r="DP196" s="228">
        <v>1.31</v>
      </c>
      <c r="DQ196" s="228">
        <v>0.6</v>
      </c>
      <c r="DR196" s="228">
        <v>1.06</v>
      </c>
      <c r="DS196" s="228">
        <v>-0.46</v>
      </c>
      <c r="DT196" s="229">
        <v>-0.434</v>
      </c>
      <c r="DU196" s="231">
        <v>2300</v>
      </c>
      <c r="DV196" s="231">
        <v>2200</v>
      </c>
      <c r="DW196" s="228">
        <v>0.31</v>
      </c>
      <c r="DX196" s="228">
        <v>0.9</v>
      </c>
      <c r="DY196" s="228">
        <v>-0.59</v>
      </c>
      <c r="DZ196" s="229">
        <v>-0.65559999999999996</v>
      </c>
      <c r="EA196" s="229">
        <v>1.23E-2</v>
      </c>
      <c r="EB196" s="230">
        <v>3472600</v>
      </c>
      <c r="EC196" s="229">
        <v>8.0999999999999996E-3</v>
      </c>
      <c r="ED196" s="229">
        <v>1.23E-2</v>
      </c>
      <c r="EE196" s="228">
        <v>6.96</v>
      </c>
      <c r="EF196" s="229">
        <v>3.0999999999999999E-3</v>
      </c>
      <c r="EG196" s="230">
        <v>1334214</v>
      </c>
      <c r="EH196" s="230">
        <v>256965</v>
      </c>
      <c r="EI196" s="229">
        <v>4.1921999999999997</v>
      </c>
      <c r="EJ196" s="229">
        <v>0.71609999999999996</v>
      </c>
      <c r="EK196" s="228">
        <v>317.27</v>
      </c>
      <c r="EL196" s="228">
        <v>92.01</v>
      </c>
      <c r="EM196" s="228">
        <v>233.18</v>
      </c>
      <c r="EN196" s="228">
        <v>118.34</v>
      </c>
      <c r="EO196" s="228">
        <v>642.45000000000005</v>
      </c>
      <c r="EP196" s="231">
        <v>1176.8900000000001</v>
      </c>
      <c r="EQ196" s="228">
        <v>-534.42999999999995</v>
      </c>
      <c r="ER196" s="229">
        <v>-0.4541</v>
      </c>
      <c r="ES196" s="228">
        <v>139.88</v>
      </c>
      <c r="ET196" s="228">
        <v>80.22</v>
      </c>
      <c r="EU196" s="228">
        <v>873.76</v>
      </c>
      <c r="EV196" s="231">
        <v>15879795</v>
      </c>
      <c r="EW196" s="231">
        <v>1093.8599999999999</v>
      </c>
      <c r="EX196" s="228">
        <v>870.25</v>
      </c>
      <c r="EY196" s="228">
        <v>223.61</v>
      </c>
      <c r="EZ196" s="229">
        <v>0.25690000000000002</v>
      </c>
      <c r="FA196" s="229">
        <v>0.2994</v>
      </c>
      <c r="FB196" s="227" t="s">
        <v>555</v>
      </c>
      <c r="FC196">
        <f t="shared" si="4"/>
        <v>0</v>
      </c>
    </row>
    <row r="197" spans="1:159" ht="17.25" thickBot="1" x14ac:dyDescent="0.3">
      <c r="A197" s="226">
        <v>46050</v>
      </c>
      <c r="B197" s="227" t="s">
        <v>168</v>
      </c>
      <c r="C197" s="227" t="s">
        <v>297</v>
      </c>
      <c r="D197" s="228">
        <v>175</v>
      </c>
      <c r="E197" s="228">
        <v>27</v>
      </c>
      <c r="F197" s="231">
        <v>3990.6</v>
      </c>
      <c r="G197" s="231">
        <v>4025.5</v>
      </c>
      <c r="H197" s="228">
        <v>-34.9</v>
      </c>
      <c r="I197" s="229">
        <v>-8.6999999999999994E-3</v>
      </c>
      <c r="J197" s="231">
        <v>3975.2</v>
      </c>
      <c r="K197" s="231">
        <v>3997</v>
      </c>
      <c r="L197" s="228">
        <v>-21.8</v>
      </c>
      <c r="M197" s="229">
        <v>-5.4999999999999997E-3</v>
      </c>
      <c r="N197" s="231">
        <v>3990.6</v>
      </c>
      <c r="O197" s="231">
        <v>3998</v>
      </c>
      <c r="P197" s="228">
        <v>-7.4</v>
      </c>
      <c r="Q197" s="229">
        <v>-1.9E-3</v>
      </c>
      <c r="R197" s="231">
        <v>4013.8</v>
      </c>
      <c r="S197" s="231">
        <v>4025.5</v>
      </c>
      <c r="T197" s="228">
        <v>-11.7</v>
      </c>
      <c r="U197" s="229">
        <v>-2.8999999999999998E-3</v>
      </c>
      <c r="V197" s="231">
        <v>4033</v>
      </c>
      <c r="W197" s="231">
        <v>4053.2</v>
      </c>
      <c r="X197" s="228">
        <v>-20.2</v>
      </c>
      <c r="Y197" s="229">
        <v>-5.0000000000000001E-3</v>
      </c>
      <c r="Z197" s="228">
        <v>15.4</v>
      </c>
      <c r="AA197" s="228">
        <v>28.5</v>
      </c>
      <c r="AB197" s="228">
        <v>-13.1</v>
      </c>
      <c r="AC197" s="229">
        <v>3.8999999999999998E-3</v>
      </c>
      <c r="AD197" s="228">
        <v>15.4</v>
      </c>
      <c r="AE197" s="228">
        <v>1</v>
      </c>
      <c r="AF197" s="228">
        <v>14.4</v>
      </c>
      <c r="AG197" s="229">
        <v>3.8999999999999998E-3</v>
      </c>
      <c r="AH197" s="228">
        <v>38.6</v>
      </c>
      <c r="AI197" s="228">
        <v>28.5</v>
      </c>
      <c r="AJ197" s="228">
        <v>10.1</v>
      </c>
      <c r="AK197" s="229">
        <v>9.7000000000000003E-3</v>
      </c>
      <c r="AL197" s="228">
        <v>57.8</v>
      </c>
      <c r="AM197" s="228">
        <v>56.2</v>
      </c>
      <c r="AN197" s="228">
        <v>1.6</v>
      </c>
      <c r="AO197" s="229">
        <v>1.4500000000000001E-2</v>
      </c>
      <c r="AP197" s="231">
        <v>3995.81</v>
      </c>
      <c r="AQ197" s="231">
        <v>4026.37</v>
      </c>
      <c r="AR197" s="228">
        <v>0</v>
      </c>
      <c r="AS197" s="228">
        <v>351</v>
      </c>
      <c r="AT197" s="230">
        <v>1387</v>
      </c>
      <c r="AU197" s="230">
        <v>-1036</v>
      </c>
      <c r="AV197" s="229">
        <v>-0.74690000000000001</v>
      </c>
      <c r="AW197" s="228">
        <v>343</v>
      </c>
      <c r="AX197" s="228">
        <v>423</v>
      </c>
      <c r="AY197" s="228">
        <v>-80</v>
      </c>
      <c r="AZ197" s="229">
        <v>-0.18909999999999999</v>
      </c>
      <c r="BA197" s="228">
        <v>7</v>
      </c>
      <c r="BB197" s="228">
        <v>947</v>
      </c>
      <c r="BC197" s="228">
        <v>-939</v>
      </c>
      <c r="BD197" s="229">
        <v>-0.99229999999999996</v>
      </c>
      <c r="BE197" s="228">
        <v>1</v>
      </c>
      <c r="BF197" s="228">
        <v>17</v>
      </c>
      <c r="BG197" s="228">
        <v>-16</v>
      </c>
      <c r="BH197" s="229">
        <v>-0.93600000000000005</v>
      </c>
      <c r="BI197" s="228">
        <v>623</v>
      </c>
      <c r="BJ197" s="230">
        <v>1666</v>
      </c>
      <c r="BK197" s="230">
        <v>-1043</v>
      </c>
      <c r="BL197" s="229">
        <v>-0.62619999999999998</v>
      </c>
      <c r="BM197" s="228">
        <v>412</v>
      </c>
      <c r="BN197" s="230">
        <v>1248</v>
      </c>
      <c r="BO197" s="228">
        <v>-835</v>
      </c>
      <c r="BP197" s="229">
        <v>-0.66949999999999998</v>
      </c>
      <c r="BQ197" s="230">
        <v>1386</v>
      </c>
      <c r="BR197" s="230">
        <v>4300</v>
      </c>
      <c r="BS197" s="230">
        <v>-2914</v>
      </c>
      <c r="BT197" s="229">
        <v>-0.67769999999999997</v>
      </c>
      <c r="BU197" s="230">
        <v>821631</v>
      </c>
      <c r="BV197" s="230">
        <v>1785028</v>
      </c>
      <c r="BW197" s="230">
        <v>-963397</v>
      </c>
      <c r="BX197" s="229">
        <v>-0.53969999999999996</v>
      </c>
      <c r="BY197" s="230">
        <v>3374</v>
      </c>
      <c r="BZ197" s="230">
        <v>3382</v>
      </c>
      <c r="CA197" s="228">
        <v>-8</v>
      </c>
      <c r="CB197" s="229">
        <v>-2.3999999999999998E-3</v>
      </c>
      <c r="CC197" s="230">
        <v>3230</v>
      </c>
      <c r="CD197" s="228">
        <v>262</v>
      </c>
      <c r="CE197" s="230">
        <v>2968</v>
      </c>
      <c r="CF197" s="229">
        <v>11.318</v>
      </c>
      <c r="CG197" s="228">
        <v>143</v>
      </c>
      <c r="CH197" s="230">
        <v>3240</v>
      </c>
      <c r="CI197" s="230">
        <v>-3097</v>
      </c>
      <c r="CJ197" s="229">
        <v>-0.95599999999999996</v>
      </c>
      <c r="CK197" s="228">
        <v>1</v>
      </c>
      <c r="CL197" s="228">
        <v>142</v>
      </c>
      <c r="CM197" s="228">
        <v>-141</v>
      </c>
      <c r="CN197" s="229">
        <v>-0.99360000000000004</v>
      </c>
      <c r="CO197" s="228">
        <v>590</v>
      </c>
      <c r="CP197" s="228">
        <v>543</v>
      </c>
      <c r="CQ197" s="228">
        <v>47</v>
      </c>
      <c r="CR197" s="229">
        <v>8.7099999999999997E-2</v>
      </c>
      <c r="CS197" s="228">
        <v>522</v>
      </c>
      <c r="CT197" s="228">
        <v>385</v>
      </c>
      <c r="CU197" s="228">
        <v>137</v>
      </c>
      <c r="CV197" s="229">
        <v>0.35499999999999998</v>
      </c>
      <c r="CW197" s="230">
        <v>4486</v>
      </c>
      <c r="CX197" s="230">
        <v>4310</v>
      </c>
      <c r="CY197" s="228">
        <v>176</v>
      </c>
      <c r="CZ197" s="229">
        <v>4.0800000000000003E-2</v>
      </c>
      <c r="DA197" s="228">
        <v>26.99</v>
      </c>
      <c r="DB197" s="228">
        <v>25.95</v>
      </c>
      <c r="DC197" s="228">
        <v>1.04</v>
      </c>
      <c r="DD197" s="228">
        <v>1.04</v>
      </c>
      <c r="DE197" s="228">
        <v>24.43</v>
      </c>
      <c r="DF197" s="228">
        <v>24.48</v>
      </c>
      <c r="DG197" s="228">
        <v>2.56</v>
      </c>
      <c r="DH197" s="228">
        <v>-0.05</v>
      </c>
      <c r="DI197" s="228">
        <v>26.36</v>
      </c>
      <c r="DJ197" s="228">
        <v>25.4</v>
      </c>
      <c r="DK197" s="228">
        <v>0.96</v>
      </c>
      <c r="DL197" s="228">
        <v>0.96</v>
      </c>
      <c r="DM197" s="228">
        <v>27.94</v>
      </c>
      <c r="DN197" s="228">
        <v>26.66</v>
      </c>
      <c r="DO197" s="228">
        <v>1.28</v>
      </c>
      <c r="DP197" s="228">
        <v>1.28</v>
      </c>
      <c r="DQ197" s="228">
        <v>0.88</v>
      </c>
      <c r="DR197" s="228">
        <v>0.71</v>
      </c>
      <c r="DS197" s="228">
        <v>0.17</v>
      </c>
      <c r="DT197" s="229">
        <v>0.2394</v>
      </c>
      <c r="DU197" s="231">
        <v>4200</v>
      </c>
      <c r="DV197" s="231">
        <v>4000</v>
      </c>
      <c r="DW197" s="228">
        <v>0.66</v>
      </c>
      <c r="DX197" s="228">
        <v>0.75</v>
      </c>
      <c r="DY197" s="228">
        <v>-0.09</v>
      </c>
      <c r="DZ197" s="229">
        <v>-0.12</v>
      </c>
      <c r="EA197" s="229">
        <v>4.2599999999999999E-2</v>
      </c>
      <c r="EB197" s="230">
        <v>8474375</v>
      </c>
      <c r="EC197" s="229">
        <v>5.7999999999999996E-3</v>
      </c>
      <c r="ED197" s="229">
        <v>4.2599999999999999E-2</v>
      </c>
      <c r="EE197" s="228">
        <v>30.56</v>
      </c>
      <c r="EF197" s="229">
        <v>7.6E-3</v>
      </c>
      <c r="EG197" s="230">
        <v>602257</v>
      </c>
      <c r="EH197" s="230">
        <v>1129159</v>
      </c>
      <c r="EI197" s="229">
        <v>-0.46660000000000001</v>
      </c>
      <c r="EJ197" s="229">
        <v>0.73299999999999998</v>
      </c>
      <c r="EK197" s="228">
        <v>655.47</v>
      </c>
      <c r="EL197" s="228">
        <v>410.61</v>
      </c>
      <c r="EM197" s="228">
        <v>351.52</v>
      </c>
      <c r="EN197" s="228">
        <v>320.77</v>
      </c>
      <c r="EO197" s="231">
        <v>1417.6</v>
      </c>
      <c r="EP197" s="231">
        <v>4392.1499999999996</v>
      </c>
      <c r="EQ197" s="231">
        <v>-2974.55</v>
      </c>
      <c r="ER197" s="229">
        <v>-0.67720000000000002</v>
      </c>
      <c r="ES197" s="228">
        <v>616.58000000000004</v>
      </c>
      <c r="ET197" s="228">
        <v>514.97</v>
      </c>
      <c r="EU197" s="231">
        <v>3374.59</v>
      </c>
      <c r="EV197" s="231">
        <v>45680146</v>
      </c>
      <c r="EW197" s="231">
        <v>4506.1400000000003</v>
      </c>
      <c r="EX197" s="231">
        <v>4364.04</v>
      </c>
      <c r="EY197" s="228">
        <v>142.1</v>
      </c>
      <c r="EZ197" s="229">
        <v>3.2599999999999997E-2</v>
      </c>
      <c r="FA197" s="229">
        <v>0.24610000000000001</v>
      </c>
      <c r="FB197" s="227" t="s">
        <v>568</v>
      </c>
      <c r="FC197">
        <f t="shared" si="4"/>
        <v>0</v>
      </c>
    </row>
    <row r="198" spans="1:159" ht="17.25" thickBot="1" x14ac:dyDescent="0.3">
      <c r="A198" s="226">
        <v>46050</v>
      </c>
      <c r="B198" s="227" t="s">
        <v>162</v>
      </c>
      <c r="C198" s="227" t="s">
        <v>688</v>
      </c>
      <c r="D198" s="228">
        <v>800</v>
      </c>
      <c r="E198" s="228">
        <v>27</v>
      </c>
      <c r="F198" s="228">
        <v>341.95</v>
      </c>
      <c r="G198" s="228">
        <v>341.7</v>
      </c>
      <c r="H198" s="228">
        <v>0.25</v>
      </c>
      <c r="I198" s="229">
        <v>6.9999999999999999E-4</v>
      </c>
      <c r="J198" s="228">
        <v>340.45</v>
      </c>
      <c r="K198" s="228">
        <v>340.55</v>
      </c>
      <c r="L198" s="228">
        <v>-0.1</v>
      </c>
      <c r="M198" s="229">
        <v>-2.9999999999999997E-4</v>
      </c>
      <c r="N198" s="228">
        <v>341.95</v>
      </c>
      <c r="O198" s="228">
        <v>339.95</v>
      </c>
      <c r="P198" s="228">
        <v>2</v>
      </c>
      <c r="Q198" s="229">
        <v>5.8999999999999999E-3</v>
      </c>
      <c r="R198" s="228">
        <v>343.95</v>
      </c>
      <c r="S198" s="228">
        <v>341.7</v>
      </c>
      <c r="T198" s="228">
        <v>2.25</v>
      </c>
      <c r="U198" s="229">
        <v>6.6E-3</v>
      </c>
      <c r="V198" s="228">
        <v>345.95</v>
      </c>
      <c r="W198" s="228">
        <v>343.85</v>
      </c>
      <c r="X198" s="228">
        <v>2.1</v>
      </c>
      <c r="Y198" s="229">
        <v>6.1000000000000004E-3</v>
      </c>
      <c r="Z198" s="228">
        <v>1.5</v>
      </c>
      <c r="AA198" s="228">
        <v>1.1499999999999999</v>
      </c>
      <c r="AB198" s="228">
        <v>0.35</v>
      </c>
      <c r="AC198" s="229">
        <v>4.4000000000000003E-3</v>
      </c>
      <c r="AD198" s="228">
        <v>1.5</v>
      </c>
      <c r="AE198" s="228">
        <v>-0.6</v>
      </c>
      <c r="AF198" s="228">
        <v>2.1</v>
      </c>
      <c r="AG198" s="229">
        <v>4.4000000000000003E-3</v>
      </c>
      <c r="AH198" s="228">
        <v>3.5</v>
      </c>
      <c r="AI198" s="228">
        <v>1.1499999999999999</v>
      </c>
      <c r="AJ198" s="228">
        <v>2.35</v>
      </c>
      <c r="AK198" s="229">
        <v>1.03E-2</v>
      </c>
      <c r="AL198" s="228">
        <v>5.5</v>
      </c>
      <c r="AM198" s="228">
        <v>3.3</v>
      </c>
      <c r="AN198" s="228">
        <v>2.2000000000000002</v>
      </c>
      <c r="AO198" s="229">
        <v>1.6199999999999999E-2</v>
      </c>
      <c r="AP198" s="228">
        <v>342.07</v>
      </c>
      <c r="AQ198" s="228">
        <v>343.69</v>
      </c>
      <c r="AR198" s="228">
        <v>0</v>
      </c>
      <c r="AS198" s="228">
        <v>421</v>
      </c>
      <c r="AT198" s="230">
        <v>1677</v>
      </c>
      <c r="AU198" s="230">
        <v>-1256</v>
      </c>
      <c r="AV198" s="229">
        <v>-0.74890000000000001</v>
      </c>
      <c r="AW198" s="228">
        <v>383</v>
      </c>
      <c r="AX198" s="228">
        <v>674</v>
      </c>
      <c r="AY198" s="228">
        <v>-290</v>
      </c>
      <c r="AZ198" s="229">
        <v>-0.43120000000000003</v>
      </c>
      <c r="BA198" s="228">
        <v>33</v>
      </c>
      <c r="BB198" s="228">
        <v>953</v>
      </c>
      <c r="BC198" s="228">
        <v>-921</v>
      </c>
      <c r="BD198" s="229">
        <v>-0.96560000000000001</v>
      </c>
      <c r="BE198" s="228">
        <v>5</v>
      </c>
      <c r="BF198" s="228">
        <v>50</v>
      </c>
      <c r="BG198" s="228">
        <v>-45</v>
      </c>
      <c r="BH198" s="229">
        <v>-0.89500000000000002</v>
      </c>
      <c r="BI198" s="230">
        <v>1020</v>
      </c>
      <c r="BJ198" s="230">
        <v>1558</v>
      </c>
      <c r="BK198" s="228">
        <v>-538</v>
      </c>
      <c r="BL198" s="229">
        <v>-0.34539999999999998</v>
      </c>
      <c r="BM198" s="228">
        <v>925</v>
      </c>
      <c r="BN198" s="230">
        <v>1266</v>
      </c>
      <c r="BO198" s="228">
        <v>-341</v>
      </c>
      <c r="BP198" s="229">
        <v>-0.26929999999999998</v>
      </c>
      <c r="BQ198" s="230">
        <v>2366</v>
      </c>
      <c r="BR198" s="230">
        <v>4502</v>
      </c>
      <c r="BS198" s="230">
        <v>-2135</v>
      </c>
      <c r="BT198" s="229">
        <v>-0.4743</v>
      </c>
      <c r="BU198" s="230">
        <v>9425163</v>
      </c>
      <c r="BV198" s="230">
        <v>12510469</v>
      </c>
      <c r="BW198" s="230">
        <v>-3085306</v>
      </c>
      <c r="BX198" s="229">
        <v>-0.24660000000000001</v>
      </c>
      <c r="BY198" s="230">
        <v>2827</v>
      </c>
      <c r="BZ198" s="230">
        <v>2851</v>
      </c>
      <c r="CA198" s="228">
        <v>-23</v>
      </c>
      <c r="CB198" s="229">
        <v>-8.2000000000000007E-3</v>
      </c>
      <c r="CC198" s="230">
        <v>2687</v>
      </c>
      <c r="CD198" s="228">
        <v>298</v>
      </c>
      <c r="CE198" s="230">
        <v>2390</v>
      </c>
      <c r="CF198" s="229">
        <v>8.0311000000000003</v>
      </c>
      <c r="CG198" s="228">
        <v>138</v>
      </c>
      <c r="CH198" s="230">
        <v>2719</v>
      </c>
      <c r="CI198" s="230">
        <v>-2581</v>
      </c>
      <c r="CJ198" s="229">
        <v>-0.94940000000000002</v>
      </c>
      <c r="CK198" s="228">
        <v>2</v>
      </c>
      <c r="CL198" s="228">
        <v>132</v>
      </c>
      <c r="CM198" s="228">
        <v>-130</v>
      </c>
      <c r="CN198" s="229">
        <v>-0.98240000000000005</v>
      </c>
      <c r="CO198" s="228">
        <v>628</v>
      </c>
      <c r="CP198" s="228">
        <v>538</v>
      </c>
      <c r="CQ198" s="228">
        <v>90</v>
      </c>
      <c r="CR198" s="229">
        <v>0.1668</v>
      </c>
      <c r="CS198" s="228">
        <v>650</v>
      </c>
      <c r="CT198" s="228">
        <v>512</v>
      </c>
      <c r="CU198" s="228">
        <v>138</v>
      </c>
      <c r="CV198" s="229">
        <v>0.26979999999999998</v>
      </c>
      <c r="CW198" s="230">
        <v>4104</v>
      </c>
      <c r="CX198" s="230">
        <v>3900</v>
      </c>
      <c r="CY198" s="228">
        <v>204</v>
      </c>
      <c r="CZ198" s="229">
        <v>5.2400000000000002E-2</v>
      </c>
      <c r="DA198" s="228">
        <v>36.549999999999997</v>
      </c>
      <c r="DB198" s="228">
        <v>37.33</v>
      </c>
      <c r="DC198" s="228">
        <v>-0.78</v>
      </c>
      <c r="DD198" s="228">
        <v>-0.78</v>
      </c>
      <c r="DE198" s="228">
        <v>33.090000000000003</v>
      </c>
      <c r="DF198" s="228">
        <v>33.17</v>
      </c>
      <c r="DG198" s="228">
        <v>3.46</v>
      </c>
      <c r="DH198" s="228">
        <v>-0.08</v>
      </c>
      <c r="DI198" s="228">
        <v>36.450000000000003</v>
      </c>
      <c r="DJ198" s="228">
        <v>36.799999999999997</v>
      </c>
      <c r="DK198" s="228">
        <v>-0.35</v>
      </c>
      <c r="DL198" s="228">
        <v>-0.35</v>
      </c>
      <c r="DM198" s="228">
        <v>36.659999999999997</v>
      </c>
      <c r="DN198" s="228">
        <v>37.94</v>
      </c>
      <c r="DO198" s="228">
        <v>-1.28</v>
      </c>
      <c r="DP198" s="228">
        <v>-1.28</v>
      </c>
      <c r="DQ198" s="228">
        <v>1.03</v>
      </c>
      <c r="DR198" s="228">
        <v>0.95</v>
      </c>
      <c r="DS198" s="228">
        <v>0.08</v>
      </c>
      <c r="DT198" s="229">
        <v>8.4199999999999997E-2</v>
      </c>
      <c r="DU198" s="228">
        <v>400</v>
      </c>
      <c r="DV198" s="228">
        <v>300</v>
      </c>
      <c r="DW198" s="228">
        <v>0.91</v>
      </c>
      <c r="DX198" s="228">
        <v>0.81</v>
      </c>
      <c r="DY198" s="228">
        <v>0.1</v>
      </c>
      <c r="DZ198" s="229">
        <v>0.1235</v>
      </c>
      <c r="EA198" s="229">
        <v>4.9500000000000002E-2</v>
      </c>
      <c r="EB198" s="230">
        <v>83362400</v>
      </c>
      <c r="EC198" s="229">
        <v>5.7999999999999996E-3</v>
      </c>
      <c r="ED198" s="229">
        <v>4.9500000000000002E-2</v>
      </c>
      <c r="EE198" s="228">
        <v>1.62</v>
      </c>
      <c r="EF198" s="229">
        <v>4.7000000000000002E-3</v>
      </c>
      <c r="EG198" s="230">
        <v>4775819</v>
      </c>
      <c r="EH198" s="230">
        <v>5802876</v>
      </c>
      <c r="EI198" s="229">
        <v>-0.17699999999999999</v>
      </c>
      <c r="EJ198" s="229">
        <v>0.50670000000000004</v>
      </c>
      <c r="EK198" s="231">
        <v>1099.22</v>
      </c>
      <c r="EL198" s="228">
        <v>955.87</v>
      </c>
      <c r="EM198" s="228">
        <v>421.59</v>
      </c>
      <c r="EN198" s="228">
        <v>779.46</v>
      </c>
      <c r="EO198" s="231">
        <v>2476.6799999999998</v>
      </c>
      <c r="EP198" s="231">
        <v>4595.13</v>
      </c>
      <c r="EQ198" s="231">
        <v>-2118.4499999999998</v>
      </c>
      <c r="ER198" s="229">
        <v>-0.46100000000000002</v>
      </c>
      <c r="ES198" s="228">
        <v>683.77</v>
      </c>
      <c r="ET198" s="228">
        <v>641.76</v>
      </c>
      <c r="EU198" s="231">
        <v>2827.97</v>
      </c>
      <c r="EV198" s="231">
        <v>317235726</v>
      </c>
      <c r="EW198" s="231">
        <v>4153.5</v>
      </c>
      <c r="EX198" s="231">
        <v>3948.19</v>
      </c>
      <c r="EY198" s="228">
        <v>205.31</v>
      </c>
      <c r="EZ198" s="229">
        <v>5.1999999999999998E-2</v>
      </c>
      <c r="FA198" s="229">
        <v>0.37830000000000003</v>
      </c>
      <c r="FB198" s="227" t="s">
        <v>556</v>
      </c>
      <c r="FC198">
        <f t="shared" si="4"/>
        <v>0</v>
      </c>
    </row>
    <row r="199" spans="1:159" ht="17.25" thickBot="1" x14ac:dyDescent="0.3">
      <c r="A199" s="226">
        <v>46050</v>
      </c>
      <c r="B199" s="227" t="s">
        <v>170</v>
      </c>
      <c r="C199" s="227" t="s">
        <v>298</v>
      </c>
      <c r="D199" s="228">
        <v>250</v>
      </c>
      <c r="E199" s="228">
        <v>27</v>
      </c>
      <c r="F199" s="231">
        <v>3936</v>
      </c>
      <c r="G199" s="231">
        <v>3980.3</v>
      </c>
      <c r="H199" s="228">
        <v>-44.3</v>
      </c>
      <c r="I199" s="229">
        <v>-1.11E-2</v>
      </c>
      <c r="J199" s="231">
        <v>3958.7</v>
      </c>
      <c r="K199" s="231">
        <v>3997.4</v>
      </c>
      <c r="L199" s="228">
        <v>-38.700000000000003</v>
      </c>
      <c r="M199" s="229">
        <v>-9.7000000000000003E-3</v>
      </c>
      <c r="N199" s="231">
        <v>3936</v>
      </c>
      <c r="O199" s="231">
        <v>4000</v>
      </c>
      <c r="P199" s="228">
        <v>-64</v>
      </c>
      <c r="Q199" s="229">
        <v>-1.6E-2</v>
      </c>
      <c r="R199" s="231">
        <v>3962.2</v>
      </c>
      <c r="S199" s="231">
        <v>3980.3</v>
      </c>
      <c r="T199" s="228">
        <v>-18.100000000000001</v>
      </c>
      <c r="U199" s="229">
        <v>-4.4999999999999997E-3</v>
      </c>
      <c r="V199" s="231">
        <v>3971</v>
      </c>
      <c r="W199" s="231">
        <v>3996.4</v>
      </c>
      <c r="X199" s="228">
        <v>-25.4</v>
      </c>
      <c r="Y199" s="229">
        <v>-6.4000000000000003E-3</v>
      </c>
      <c r="Z199" s="228">
        <v>-22.7</v>
      </c>
      <c r="AA199" s="228">
        <v>-17.100000000000001</v>
      </c>
      <c r="AB199" s="228">
        <v>-5.6</v>
      </c>
      <c r="AC199" s="229">
        <v>-5.7000000000000002E-3</v>
      </c>
      <c r="AD199" s="228">
        <v>-22.7</v>
      </c>
      <c r="AE199" s="228">
        <v>2.6</v>
      </c>
      <c r="AF199" s="228">
        <v>-25.3</v>
      </c>
      <c r="AG199" s="229">
        <v>-5.7000000000000002E-3</v>
      </c>
      <c r="AH199" s="228">
        <v>3.5</v>
      </c>
      <c r="AI199" s="228">
        <v>-17.100000000000001</v>
      </c>
      <c r="AJ199" s="228">
        <v>20.6</v>
      </c>
      <c r="AK199" s="229">
        <v>8.9999999999999998E-4</v>
      </c>
      <c r="AL199" s="228">
        <v>12.3</v>
      </c>
      <c r="AM199" s="228">
        <v>-1</v>
      </c>
      <c r="AN199" s="228">
        <v>13.3</v>
      </c>
      <c r="AO199" s="229">
        <v>3.0999999999999999E-3</v>
      </c>
      <c r="AP199" s="231">
        <v>3939.31</v>
      </c>
      <c r="AQ199" s="231">
        <v>3958.71</v>
      </c>
      <c r="AR199" s="228">
        <v>0</v>
      </c>
      <c r="AS199" s="228">
        <v>169</v>
      </c>
      <c r="AT199" s="228">
        <v>775</v>
      </c>
      <c r="AU199" s="228">
        <v>-607</v>
      </c>
      <c r="AV199" s="229">
        <v>-0.78249999999999997</v>
      </c>
      <c r="AW199" s="228">
        <v>166</v>
      </c>
      <c r="AX199" s="228">
        <v>351</v>
      </c>
      <c r="AY199" s="228">
        <v>-185</v>
      </c>
      <c r="AZ199" s="229">
        <v>-0.52829999999999999</v>
      </c>
      <c r="BA199" s="228">
        <v>3</v>
      </c>
      <c r="BB199" s="228">
        <v>424</v>
      </c>
      <c r="BC199" s="228">
        <v>-421</v>
      </c>
      <c r="BD199" s="229">
        <v>-0.99350000000000005</v>
      </c>
      <c r="BE199" s="228">
        <v>0</v>
      </c>
      <c r="BF199" s="228">
        <v>0</v>
      </c>
      <c r="BG199" s="228">
        <v>0</v>
      </c>
      <c r="BH199" s="229">
        <v>0.5</v>
      </c>
      <c r="BI199" s="228">
        <v>94</v>
      </c>
      <c r="BJ199" s="228">
        <v>225</v>
      </c>
      <c r="BK199" s="228">
        <v>-130</v>
      </c>
      <c r="BL199" s="229">
        <v>-0.57979999999999998</v>
      </c>
      <c r="BM199" s="228">
        <v>41</v>
      </c>
      <c r="BN199" s="228">
        <v>279</v>
      </c>
      <c r="BO199" s="228">
        <v>-239</v>
      </c>
      <c r="BP199" s="229">
        <v>-0.85489999999999999</v>
      </c>
      <c r="BQ199" s="228">
        <v>304</v>
      </c>
      <c r="BR199" s="230">
        <v>1279</v>
      </c>
      <c r="BS199" s="228">
        <v>-976</v>
      </c>
      <c r="BT199" s="229">
        <v>-0.76270000000000004</v>
      </c>
      <c r="BU199" s="230">
        <v>391256</v>
      </c>
      <c r="BV199" s="230">
        <v>251894</v>
      </c>
      <c r="BW199" s="230">
        <v>139362</v>
      </c>
      <c r="BX199" s="229">
        <v>0.55330000000000001</v>
      </c>
      <c r="BY199" s="228">
        <v>973</v>
      </c>
      <c r="BZ199" s="228">
        <v>957</v>
      </c>
      <c r="CA199" s="228">
        <v>16</v>
      </c>
      <c r="CB199" s="229">
        <v>1.7000000000000001E-2</v>
      </c>
      <c r="CC199" s="228">
        <v>969</v>
      </c>
      <c r="CD199" s="228">
        <v>35</v>
      </c>
      <c r="CE199" s="228">
        <v>934</v>
      </c>
      <c r="CF199" s="229">
        <v>26.7437</v>
      </c>
      <c r="CG199" s="228">
        <v>4</v>
      </c>
      <c r="CH199" s="228">
        <v>954</v>
      </c>
      <c r="CI199" s="228">
        <v>-950</v>
      </c>
      <c r="CJ199" s="229">
        <v>-0.99580000000000002</v>
      </c>
      <c r="CK199" s="228">
        <v>0</v>
      </c>
      <c r="CL199" s="228">
        <v>3</v>
      </c>
      <c r="CM199" s="228">
        <v>-3</v>
      </c>
      <c r="CN199" s="229">
        <v>-0.89659999999999995</v>
      </c>
      <c r="CO199" s="228">
        <v>74</v>
      </c>
      <c r="CP199" s="228">
        <v>60</v>
      </c>
      <c r="CQ199" s="228">
        <v>14</v>
      </c>
      <c r="CR199" s="229">
        <v>0.2266</v>
      </c>
      <c r="CS199" s="228">
        <v>48</v>
      </c>
      <c r="CT199" s="228">
        <v>39</v>
      </c>
      <c r="CU199" s="228">
        <v>9</v>
      </c>
      <c r="CV199" s="229">
        <v>0.22750000000000001</v>
      </c>
      <c r="CW199" s="230">
        <v>1095</v>
      </c>
      <c r="CX199" s="230">
        <v>1057</v>
      </c>
      <c r="CY199" s="228">
        <v>39</v>
      </c>
      <c r="CZ199" s="229">
        <v>3.6700000000000003E-2</v>
      </c>
      <c r="DA199" s="228">
        <v>26.03</v>
      </c>
      <c r="DB199" s="228">
        <v>25.7</v>
      </c>
      <c r="DC199" s="228">
        <v>0.33</v>
      </c>
      <c r="DD199" s="228">
        <v>0.33</v>
      </c>
      <c r="DE199" s="228">
        <v>25.46</v>
      </c>
      <c r="DF199" s="228">
        <v>25.49</v>
      </c>
      <c r="DG199" s="228">
        <v>0.56999999999999995</v>
      </c>
      <c r="DH199" s="228">
        <v>-0.03</v>
      </c>
      <c r="DI199" s="228">
        <v>25.28</v>
      </c>
      <c r="DJ199" s="228">
        <v>24.73</v>
      </c>
      <c r="DK199" s="228">
        <v>0.55000000000000004</v>
      </c>
      <c r="DL199" s="228">
        <v>0.55000000000000004</v>
      </c>
      <c r="DM199" s="228">
        <v>27.77</v>
      </c>
      <c r="DN199" s="228">
        <v>28.79</v>
      </c>
      <c r="DO199" s="228">
        <v>-1.02</v>
      </c>
      <c r="DP199" s="228">
        <v>-1.02</v>
      </c>
      <c r="DQ199" s="228">
        <v>0.66</v>
      </c>
      <c r="DR199" s="228">
        <v>0.66</v>
      </c>
      <c r="DS199" s="228">
        <v>0</v>
      </c>
      <c r="DT199" s="229">
        <v>0</v>
      </c>
      <c r="DU199" s="231">
        <v>4000</v>
      </c>
      <c r="DV199" s="231">
        <v>3800</v>
      </c>
      <c r="DW199" s="228">
        <v>0.43</v>
      </c>
      <c r="DX199" s="228">
        <v>1.24</v>
      </c>
      <c r="DY199" s="228">
        <v>-0.81</v>
      </c>
      <c r="DZ199" s="229">
        <v>-0.6532</v>
      </c>
      <c r="EA199" s="229">
        <v>4.4000000000000003E-3</v>
      </c>
      <c r="EB199" s="230">
        <v>2432000</v>
      </c>
      <c r="EC199" s="229">
        <v>6.7000000000000002E-3</v>
      </c>
      <c r="ED199" s="229">
        <v>4.4000000000000003E-3</v>
      </c>
      <c r="EE199" s="228">
        <v>19.399999999999999</v>
      </c>
      <c r="EF199" s="229">
        <v>4.8999999999999998E-3</v>
      </c>
      <c r="EG199" s="230">
        <v>230415</v>
      </c>
      <c r="EH199" s="230">
        <v>109960</v>
      </c>
      <c r="EI199" s="229">
        <v>1.0953999999999999</v>
      </c>
      <c r="EJ199" s="229">
        <v>0.58889999999999998</v>
      </c>
      <c r="EK199" s="228">
        <v>98.4</v>
      </c>
      <c r="EL199" s="228">
        <v>40.04</v>
      </c>
      <c r="EM199" s="228">
        <v>168.82</v>
      </c>
      <c r="EN199" s="228">
        <v>82.24</v>
      </c>
      <c r="EO199" s="228">
        <v>307.25</v>
      </c>
      <c r="EP199" s="231">
        <v>1288.76</v>
      </c>
      <c r="EQ199" s="228">
        <v>-981.51</v>
      </c>
      <c r="ER199" s="229">
        <v>-0.76160000000000005</v>
      </c>
      <c r="ES199" s="228">
        <v>76.3</v>
      </c>
      <c r="ET199" s="228">
        <v>46.52</v>
      </c>
      <c r="EU199" s="228">
        <v>973.5</v>
      </c>
      <c r="EV199" s="231">
        <v>10726004</v>
      </c>
      <c r="EW199" s="231">
        <v>1096.32</v>
      </c>
      <c r="EX199" s="231">
        <v>1068.26</v>
      </c>
      <c r="EY199" s="228">
        <v>28.06</v>
      </c>
      <c r="EZ199" s="229">
        <v>2.63E-2</v>
      </c>
      <c r="FA199" s="229">
        <v>0.25940000000000002</v>
      </c>
      <c r="FB199" s="227" t="s">
        <v>567</v>
      </c>
      <c r="FC199">
        <f t="shared" si="4"/>
        <v>0</v>
      </c>
    </row>
    <row r="200" spans="1:159" ht="17.25" thickBot="1" x14ac:dyDescent="0.3">
      <c r="A200" s="226">
        <v>46050</v>
      </c>
      <c r="B200" s="227" t="s">
        <v>161</v>
      </c>
      <c r="C200" s="227" t="s">
        <v>299</v>
      </c>
      <c r="D200" s="228">
        <v>425</v>
      </c>
      <c r="E200" s="228">
        <v>27</v>
      </c>
      <c r="F200" s="231">
        <v>1331.4</v>
      </c>
      <c r="G200" s="231">
        <v>1306.5</v>
      </c>
      <c r="H200" s="228">
        <v>24.9</v>
      </c>
      <c r="I200" s="229">
        <v>1.9099999999999999E-2</v>
      </c>
      <c r="J200" s="231">
        <v>1332.9</v>
      </c>
      <c r="K200" s="231">
        <v>1309.7</v>
      </c>
      <c r="L200" s="228">
        <v>23.2</v>
      </c>
      <c r="M200" s="229">
        <v>1.77E-2</v>
      </c>
      <c r="N200" s="231">
        <v>1331.4</v>
      </c>
      <c r="O200" s="231">
        <v>1308.5</v>
      </c>
      <c r="P200" s="228">
        <v>22.9</v>
      </c>
      <c r="Q200" s="229">
        <v>1.7500000000000002E-2</v>
      </c>
      <c r="R200" s="231">
        <v>1345.1</v>
      </c>
      <c r="S200" s="231">
        <v>1306.5</v>
      </c>
      <c r="T200" s="228">
        <v>38.6</v>
      </c>
      <c r="U200" s="229">
        <v>2.9499999999999998E-2</v>
      </c>
      <c r="V200" s="231">
        <v>1339</v>
      </c>
      <c r="W200" s="231">
        <v>1316.2</v>
      </c>
      <c r="X200" s="228">
        <v>22.8</v>
      </c>
      <c r="Y200" s="229">
        <v>1.7299999999999999E-2</v>
      </c>
      <c r="Z200" s="228">
        <v>-1.5</v>
      </c>
      <c r="AA200" s="228">
        <v>-3.2</v>
      </c>
      <c r="AB200" s="228">
        <v>1.7</v>
      </c>
      <c r="AC200" s="229">
        <v>-1.1000000000000001E-3</v>
      </c>
      <c r="AD200" s="228">
        <v>-1.5</v>
      </c>
      <c r="AE200" s="228">
        <v>-1.2</v>
      </c>
      <c r="AF200" s="228">
        <v>-0.3</v>
      </c>
      <c r="AG200" s="229">
        <v>-1.1000000000000001E-3</v>
      </c>
      <c r="AH200" s="228">
        <v>12.2</v>
      </c>
      <c r="AI200" s="228">
        <v>-3.2</v>
      </c>
      <c r="AJ200" s="228">
        <v>15.4</v>
      </c>
      <c r="AK200" s="229">
        <v>9.1999999999999998E-3</v>
      </c>
      <c r="AL200" s="228">
        <v>6.1</v>
      </c>
      <c r="AM200" s="228">
        <v>6.5</v>
      </c>
      <c r="AN200" s="228">
        <v>-0.4</v>
      </c>
      <c r="AO200" s="229">
        <v>4.5999999999999999E-3</v>
      </c>
      <c r="AP200" s="231">
        <v>1330.3</v>
      </c>
      <c r="AQ200" s="231">
        <v>1339.95</v>
      </c>
      <c r="AR200" s="228">
        <v>0</v>
      </c>
      <c r="AS200" s="228">
        <v>87</v>
      </c>
      <c r="AT200" s="228">
        <v>267</v>
      </c>
      <c r="AU200" s="228">
        <v>-180</v>
      </c>
      <c r="AV200" s="229">
        <v>-0.67520000000000002</v>
      </c>
      <c r="AW200" s="228">
        <v>85</v>
      </c>
      <c r="AX200" s="228">
        <v>98</v>
      </c>
      <c r="AY200" s="228">
        <v>-13</v>
      </c>
      <c r="AZ200" s="229">
        <v>-0.13</v>
      </c>
      <c r="BA200" s="228">
        <v>1</v>
      </c>
      <c r="BB200" s="228">
        <v>168</v>
      </c>
      <c r="BC200" s="228">
        <v>-166</v>
      </c>
      <c r="BD200" s="229">
        <v>-0.99219999999999997</v>
      </c>
      <c r="BE200" s="228">
        <v>0</v>
      </c>
      <c r="BF200" s="228">
        <v>1</v>
      </c>
      <c r="BG200" s="228">
        <v>-1</v>
      </c>
      <c r="BH200" s="229">
        <v>-0.90480000000000005</v>
      </c>
      <c r="BI200" s="228">
        <v>74</v>
      </c>
      <c r="BJ200" s="228">
        <v>126</v>
      </c>
      <c r="BK200" s="228">
        <v>-52</v>
      </c>
      <c r="BL200" s="229">
        <v>-0.41349999999999998</v>
      </c>
      <c r="BM200" s="228">
        <v>26</v>
      </c>
      <c r="BN200" s="228">
        <v>75</v>
      </c>
      <c r="BO200" s="228">
        <v>-49</v>
      </c>
      <c r="BP200" s="229">
        <v>-0.65049999999999997</v>
      </c>
      <c r="BQ200" s="228">
        <v>187</v>
      </c>
      <c r="BR200" s="228">
        <v>468</v>
      </c>
      <c r="BS200" s="228">
        <v>-281</v>
      </c>
      <c r="BT200" s="229">
        <v>-0.60060000000000002</v>
      </c>
      <c r="BU200" s="230">
        <v>512345</v>
      </c>
      <c r="BV200" s="230">
        <v>393415</v>
      </c>
      <c r="BW200" s="230">
        <v>118930</v>
      </c>
      <c r="BX200" s="229">
        <v>0.30230000000000001</v>
      </c>
      <c r="BY200" s="228">
        <v>380</v>
      </c>
      <c r="BZ200" s="228">
        <v>384</v>
      </c>
      <c r="CA200" s="228">
        <v>-4</v>
      </c>
      <c r="CB200" s="229">
        <v>-1.1599999999999999E-2</v>
      </c>
      <c r="CC200" s="228">
        <v>375</v>
      </c>
      <c r="CD200" s="228">
        <v>48</v>
      </c>
      <c r="CE200" s="228">
        <v>327</v>
      </c>
      <c r="CF200" s="229">
        <v>6.7954999999999997</v>
      </c>
      <c r="CG200" s="228">
        <v>4</v>
      </c>
      <c r="CH200" s="228">
        <v>380</v>
      </c>
      <c r="CI200" s="228">
        <v>-376</v>
      </c>
      <c r="CJ200" s="229">
        <v>-0.98909999999999998</v>
      </c>
      <c r="CK200" s="228">
        <v>0</v>
      </c>
      <c r="CL200" s="228">
        <v>4</v>
      </c>
      <c r="CM200" s="228">
        <v>-4</v>
      </c>
      <c r="CN200" s="229">
        <v>-0.97009999999999996</v>
      </c>
      <c r="CO200" s="228">
        <v>47</v>
      </c>
      <c r="CP200" s="228">
        <v>35</v>
      </c>
      <c r="CQ200" s="228">
        <v>12</v>
      </c>
      <c r="CR200" s="229">
        <v>0.34029999999999999</v>
      </c>
      <c r="CS200" s="228">
        <v>56</v>
      </c>
      <c r="CT200" s="228">
        <v>45</v>
      </c>
      <c r="CU200" s="228">
        <v>12</v>
      </c>
      <c r="CV200" s="229">
        <v>0.2656</v>
      </c>
      <c r="CW200" s="228">
        <v>483</v>
      </c>
      <c r="CX200" s="228">
        <v>464</v>
      </c>
      <c r="CY200" s="228">
        <v>19</v>
      </c>
      <c r="CZ200" s="229">
        <v>4.1799999999999997E-2</v>
      </c>
      <c r="DA200" s="228">
        <v>35.96</v>
      </c>
      <c r="DB200" s="228">
        <v>35.450000000000003</v>
      </c>
      <c r="DC200" s="228">
        <v>0.51</v>
      </c>
      <c r="DD200" s="228">
        <v>0.51</v>
      </c>
      <c r="DE200" s="228">
        <v>39.68</v>
      </c>
      <c r="DF200" s="228">
        <v>39.71</v>
      </c>
      <c r="DG200" s="228">
        <v>-3.72</v>
      </c>
      <c r="DH200" s="228">
        <v>-0.03</v>
      </c>
      <c r="DI200" s="228">
        <v>35.47</v>
      </c>
      <c r="DJ200" s="228">
        <v>34.6</v>
      </c>
      <c r="DK200" s="228">
        <v>0.87</v>
      </c>
      <c r="DL200" s="228">
        <v>0.87</v>
      </c>
      <c r="DM200" s="228">
        <v>37.369999999999997</v>
      </c>
      <c r="DN200" s="228">
        <v>37.119999999999997</v>
      </c>
      <c r="DO200" s="228">
        <v>0.25</v>
      </c>
      <c r="DP200" s="228">
        <v>0.25</v>
      </c>
      <c r="DQ200" s="228">
        <v>1.19</v>
      </c>
      <c r="DR200" s="228">
        <v>1.26</v>
      </c>
      <c r="DS200" s="228">
        <v>-7.0000000000000007E-2</v>
      </c>
      <c r="DT200" s="229">
        <v>-5.5599999999999997E-2</v>
      </c>
      <c r="DU200" s="231">
        <v>1280</v>
      </c>
      <c r="DV200" s="231">
        <v>1280</v>
      </c>
      <c r="DW200" s="228">
        <v>0.35</v>
      </c>
      <c r="DX200" s="228">
        <v>0.59</v>
      </c>
      <c r="DY200" s="228">
        <v>-0.24</v>
      </c>
      <c r="DZ200" s="229">
        <v>-0.40679999999999999</v>
      </c>
      <c r="EA200" s="229">
        <v>1.12E-2</v>
      </c>
      <c r="EB200" s="230">
        <v>2884900</v>
      </c>
      <c r="EC200" s="229">
        <v>1.03E-2</v>
      </c>
      <c r="ED200" s="229">
        <v>1.12E-2</v>
      </c>
      <c r="EE200" s="228">
        <v>9.65</v>
      </c>
      <c r="EF200" s="229">
        <v>7.3000000000000001E-3</v>
      </c>
      <c r="EG200" s="230">
        <v>273161</v>
      </c>
      <c r="EH200" s="230">
        <v>168906</v>
      </c>
      <c r="EI200" s="229">
        <v>0.61719999999999997</v>
      </c>
      <c r="EJ200" s="229">
        <v>0.53320000000000001</v>
      </c>
      <c r="EK200" s="228">
        <v>78.63</v>
      </c>
      <c r="EL200" s="228">
        <v>25.48</v>
      </c>
      <c r="EM200" s="228">
        <v>86.57</v>
      </c>
      <c r="EN200" s="228">
        <v>63.82</v>
      </c>
      <c r="EO200" s="228">
        <v>190.68</v>
      </c>
      <c r="EP200" s="228">
        <v>462.13</v>
      </c>
      <c r="EQ200" s="228">
        <v>-271.44</v>
      </c>
      <c r="ER200" s="229">
        <v>-0.58740000000000003</v>
      </c>
      <c r="ES200" s="228">
        <v>49.05</v>
      </c>
      <c r="ET200" s="228">
        <v>53.24</v>
      </c>
      <c r="EU200" s="228">
        <v>379.67</v>
      </c>
      <c r="EV200" s="231">
        <v>24646022</v>
      </c>
      <c r="EW200" s="228">
        <v>481.96</v>
      </c>
      <c r="EX200" s="228">
        <v>455.52</v>
      </c>
      <c r="EY200" s="228">
        <v>26.44</v>
      </c>
      <c r="EZ200" s="229">
        <v>5.8000000000000003E-2</v>
      </c>
      <c r="FA200" s="229">
        <v>0.14729999999999999</v>
      </c>
      <c r="FB200" s="227" t="s">
        <v>556</v>
      </c>
      <c r="FC200">
        <f t="shared" si="4"/>
        <v>0</v>
      </c>
    </row>
    <row r="201" spans="1:159" ht="17.25" thickBot="1" x14ac:dyDescent="0.3">
      <c r="A201" s="226">
        <v>46050</v>
      </c>
      <c r="B201" s="227" t="s">
        <v>197</v>
      </c>
      <c r="C201" s="227" t="s">
        <v>482</v>
      </c>
      <c r="D201" s="228">
        <v>100</v>
      </c>
      <c r="E201" s="228">
        <v>27</v>
      </c>
      <c r="F201" s="231">
        <v>3878.1</v>
      </c>
      <c r="G201" s="231">
        <v>3821.1</v>
      </c>
      <c r="H201" s="228">
        <v>57</v>
      </c>
      <c r="I201" s="229">
        <v>1.49E-2</v>
      </c>
      <c r="J201" s="231">
        <v>3864</v>
      </c>
      <c r="K201" s="231">
        <v>3795.1</v>
      </c>
      <c r="L201" s="228">
        <v>68.900000000000006</v>
      </c>
      <c r="M201" s="229">
        <v>1.8200000000000001E-2</v>
      </c>
      <c r="N201" s="231">
        <v>3878.1</v>
      </c>
      <c r="O201" s="231">
        <v>3796.8</v>
      </c>
      <c r="P201" s="228">
        <v>81.3</v>
      </c>
      <c r="Q201" s="229">
        <v>2.1399999999999999E-2</v>
      </c>
      <c r="R201" s="231">
        <v>3899.9</v>
      </c>
      <c r="S201" s="231">
        <v>3821.1</v>
      </c>
      <c r="T201" s="228">
        <v>78.8</v>
      </c>
      <c r="U201" s="229">
        <v>2.06E-2</v>
      </c>
      <c r="V201" s="231">
        <v>3929</v>
      </c>
      <c r="W201" s="231">
        <v>3854.3</v>
      </c>
      <c r="X201" s="228">
        <v>74.7</v>
      </c>
      <c r="Y201" s="229">
        <v>1.9400000000000001E-2</v>
      </c>
      <c r="Z201" s="228">
        <v>14.1</v>
      </c>
      <c r="AA201" s="228">
        <v>26</v>
      </c>
      <c r="AB201" s="228">
        <v>-11.9</v>
      </c>
      <c r="AC201" s="229">
        <v>3.5999999999999999E-3</v>
      </c>
      <c r="AD201" s="228">
        <v>14.1</v>
      </c>
      <c r="AE201" s="228">
        <v>1.7</v>
      </c>
      <c r="AF201" s="228">
        <v>12.4</v>
      </c>
      <c r="AG201" s="229">
        <v>3.5999999999999999E-3</v>
      </c>
      <c r="AH201" s="228">
        <v>35.9</v>
      </c>
      <c r="AI201" s="228">
        <v>26</v>
      </c>
      <c r="AJ201" s="228">
        <v>9.9</v>
      </c>
      <c r="AK201" s="229">
        <v>9.2999999999999992E-3</v>
      </c>
      <c r="AL201" s="228">
        <v>65</v>
      </c>
      <c r="AM201" s="228">
        <v>59.2</v>
      </c>
      <c r="AN201" s="228">
        <v>5.8</v>
      </c>
      <c r="AO201" s="229">
        <v>1.6799999999999999E-2</v>
      </c>
      <c r="AP201" s="231">
        <v>3854.95</v>
      </c>
      <c r="AQ201" s="231">
        <v>3880.98</v>
      </c>
      <c r="AR201" s="228">
        <v>0</v>
      </c>
      <c r="AS201" s="228">
        <v>301</v>
      </c>
      <c r="AT201" s="230">
        <v>2195</v>
      </c>
      <c r="AU201" s="230">
        <v>-1894</v>
      </c>
      <c r="AV201" s="229">
        <v>-0.86309999999999998</v>
      </c>
      <c r="AW201" s="228">
        <v>278</v>
      </c>
      <c r="AX201" s="230">
        <v>1056</v>
      </c>
      <c r="AY201" s="228">
        <v>-778</v>
      </c>
      <c r="AZ201" s="229">
        <v>-0.73640000000000005</v>
      </c>
      <c r="BA201" s="228">
        <v>21</v>
      </c>
      <c r="BB201" s="230">
        <v>1085</v>
      </c>
      <c r="BC201" s="230">
        <v>-1064</v>
      </c>
      <c r="BD201" s="229">
        <v>-0.98070000000000002</v>
      </c>
      <c r="BE201" s="228">
        <v>1</v>
      </c>
      <c r="BF201" s="228">
        <v>54</v>
      </c>
      <c r="BG201" s="228">
        <v>-53</v>
      </c>
      <c r="BH201" s="229">
        <v>-0.97840000000000005</v>
      </c>
      <c r="BI201" s="228">
        <v>856</v>
      </c>
      <c r="BJ201" s="230">
        <v>1767</v>
      </c>
      <c r="BK201" s="228">
        <v>-911</v>
      </c>
      <c r="BL201" s="229">
        <v>-0.51570000000000005</v>
      </c>
      <c r="BM201" s="228">
        <v>325</v>
      </c>
      <c r="BN201" s="230">
        <v>1237</v>
      </c>
      <c r="BO201" s="228">
        <v>-912</v>
      </c>
      <c r="BP201" s="229">
        <v>-0.73740000000000006</v>
      </c>
      <c r="BQ201" s="230">
        <v>1481</v>
      </c>
      <c r="BR201" s="230">
        <v>5199</v>
      </c>
      <c r="BS201" s="230">
        <v>-3717</v>
      </c>
      <c r="BT201" s="229">
        <v>-0.71509999999999996</v>
      </c>
      <c r="BU201" s="230">
        <v>667507</v>
      </c>
      <c r="BV201" s="230">
        <v>1018293</v>
      </c>
      <c r="BW201" s="230">
        <v>-350786</v>
      </c>
      <c r="BX201" s="229">
        <v>-0.34449999999999997</v>
      </c>
      <c r="BY201" s="230">
        <v>3057</v>
      </c>
      <c r="BZ201" s="230">
        <v>3083</v>
      </c>
      <c r="CA201" s="228">
        <v>-26</v>
      </c>
      <c r="CB201" s="229">
        <v>-8.5000000000000006E-3</v>
      </c>
      <c r="CC201" s="230">
        <v>2921</v>
      </c>
      <c r="CD201" s="228">
        <v>317</v>
      </c>
      <c r="CE201" s="230">
        <v>2605</v>
      </c>
      <c r="CF201" s="229">
        <v>8.2294999999999998</v>
      </c>
      <c r="CG201" s="228">
        <v>134</v>
      </c>
      <c r="CH201" s="230">
        <v>2946</v>
      </c>
      <c r="CI201" s="230">
        <v>-2812</v>
      </c>
      <c r="CJ201" s="229">
        <v>-0.95440000000000003</v>
      </c>
      <c r="CK201" s="228">
        <v>1</v>
      </c>
      <c r="CL201" s="228">
        <v>137</v>
      </c>
      <c r="CM201" s="228">
        <v>-136</v>
      </c>
      <c r="CN201" s="229">
        <v>-0.99209999999999998</v>
      </c>
      <c r="CO201" s="228">
        <v>638</v>
      </c>
      <c r="CP201" s="228">
        <v>512</v>
      </c>
      <c r="CQ201" s="228">
        <v>126</v>
      </c>
      <c r="CR201" s="229">
        <v>0.24640000000000001</v>
      </c>
      <c r="CS201" s="228">
        <v>627</v>
      </c>
      <c r="CT201" s="228">
        <v>614</v>
      </c>
      <c r="CU201" s="228">
        <v>13</v>
      </c>
      <c r="CV201" s="229">
        <v>2.06E-2</v>
      </c>
      <c r="CW201" s="230">
        <v>4321</v>
      </c>
      <c r="CX201" s="230">
        <v>4209</v>
      </c>
      <c r="CY201" s="228">
        <v>113</v>
      </c>
      <c r="CZ201" s="229">
        <v>2.6800000000000001E-2</v>
      </c>
      <c r="DA201" s="228">
        <v>36.450000000000003</v>
      </c>
      <c r="DB201" s="228">
        <v>39.520000000000003</v>
      </c>
      <c r="DC201" s="228">
        <v>-3.07</v>
      </c>
      <c r="DD201" s="228">
        <v>-3.07</v>
      </c>
      <c r="DE201" s="228">
        <v>42.79</v>
      </c>
      <c r="DF201" s="228">
        <v>42.85</v>
      </c>
      <c r="DG201" s="228">
        <v>-6.34</v>
      </c>
      <c r="DH201" s="228">
        <v>-0.06</v>
      </c>
      <c r="DI201" s="228">
        <v>35.85</v>
      </c>
      <c r="DJ201" s="228">
        <v>39.07</v>
      </c>
      <c r="DK201" s="228">
        <v>-3.22</v>
      </c>
      <c r="DL201" s="228">
        <v>-3.22</v>
      </c>
      <c r="DM201" s="228">
        <v>38.04</v>
      </c>
      <c r="DN201" s="228">
        <v>39.979999999999997</v>
      </c>
      <c r="DO201" s="228">
        <v>-1.94</v>
      </c>
      <c r="DP201" s="228">
        <v>-1.94</v>
      </c>
      <c r="DQ201" s="228">
        <v>0.98</v>
      </c>
      <c r="DR201" s="228">
        <v>1.2</v>
      </c>
      <c r="DS201" s="228">
        <v>-0.22</v>
      </c>
      <c r="DT201" s="229">
        <v>-0.18329999999999999</v>
      </c>
      <c r="DU201" s="231">
        <v>4000</v>
      </c>
      <c r="DV201" s="231">
        <v>3800</v>
      </c>
      <c r="DW201" s="228">
        <v>0.38</v>
      </c>
      <c r="DX201" s="228">
        <v>0.7</v>
      </c>
      <c r="DY201" s="228">
        <v>-0.32</v>
      </c>
      <c r="DZ201" s="229">
        <v>-0.45710000000000001</v>
      </c>
      <c r="EA201" s="229">
        <v>4.4299999999999999E-2</v>
      </c>
      <c r="EB201" s="230">
        <v>7949400</v>
      </c>
      <c r="EC201" s="229">
        <v>5.5999999999999999E-3</v>
      </c>
      <c r="ED201" s="229">
        <v>4.4299999999999999E-2</v>
      </c>
      <c r="EE201" s="228">
        <v>26.03</v>
      </c>
      <c r="EF201" s="229">
        <v>6.7999999999999996E-3</v>
      </c>
      <c r="EG201" s="230">
        <v>350991</v>
      </c>
      <c r="EH201" s="230">
        <v>542352</v>
      </c>
      <c r="EI201" s="229">
        <v>-0.3528</v>
      </c>
      <c r="EJ201" s="229">
        <v>0.52580000000000005</v>
      </c>
      <c r="EK201" s="228">
        <v>913.73</v>
      </c>
      <c r="EL201" s="228">
        <v>319.82</v>
      </c>
      <c r="EM201" s="228">
        <v>298.88</v>
      </c>
      <c r="EN201" s="228">
        <v>498.39</v>
      </c>
      <c r="EO201" s="231">
        <v>1532.43</v>
      </c>
      <c r="EP201" s="231">
        <v>5251.27</v>
      </c>
      <c r="EQ201" s="231">
        <v>-3718.84</v>
      </c>
      <c r="ER201" s="229">
        <v>-0.70820000000000005</v>
      </c>
      <c r="ES201" s="228">
        <v>672.86</v>
      </c>
      <c r="ET201" s="228">
        <v>619.58000000000004</v>
      </c>
      <c r="EU201" s="231">
        <v>3057.57</v>
      </c>
      <c r="EV201" s="231">
        <v>33590487</v>
      </c>
      <c r="EW201" s="231">
        <v>4350</v>
      </c>
      <c r="EX201" s="231">
        <v>4185.08</v>
      </c>
      <c r="EY201" s="228">
        <v>164.92</v>
      </c>
      <c r="EZ201" s="229">
        <v>3.9399999999999998E-2</v>
      </c>
      <c r="FA201" s="229">
        <v>0.33169999999999999</v>
      </c>
      <c r="FB201" s="227" t="s">
        <v>556</v>
      </c>
      <c r="FC201">
        <f t="shared" si="4"/>
        <v>0</v>
      </c>
    </row>
    <row r="202" spans="1:159" ht="17.25" thickBot="1" x14ac:dyDescent="0.3">
      <c r="A202" s="226">
        <v>46050</v>
      </c>
      <c r="B202" s="227" t="s">
        <v>162</v>
      </c>
      <c r="C202" s="227" t="s">
        <v>300</v>
      </c>
      <c r="D202" s="228">
        <v>175</v>
      </c>
      <c r="E202" s="228">
        <v>27</v>
      </c>
      <c r="F202" s="231">
        <v>3753.7</v>
      </c>
      <c r="G202" s="231">
        <v>3580.2</v>
      </c>
      <c r="H202" s="228">
        <v>173.5</v>
      </c>
      <c r="I202" s="229">
        <v>4.8500000000000001E-2</v>
      </c>
      <c r="J202" s="231">
        <v>3728.4</v>
      </c>
      <c r="K202" s="231">
        <v>3568</v>
      </c>
      <c r="L202" s="228">
        <v>160.4</v>
      </c>
      <c r="M202" s="229">
        <v>4.4999999999999998E-2</v>
      </c>
      <c r="N202" s="231">
        <v>3753.7</v>
      </c>
      <c r="O202" s="231">
        <v>3562.4</v>
      </c>
      <c r="P202" s="228">
        <v>191.3</v>
      </c>
      <c r="Q202" s="229">
        <v>5.3699999999999998E-2</v>
      </c>
      <c r="R202" s="231">
        <v>3767.3</v>
      </c>
      <c r="S202" s="231">
        <v>3580.2</v>
      </c>
      <c r="T202" s="228">
        <v>187.1</v>
      </c>
      <c r="U202" s="229">
        <v>5.2299999999999999E-2</v>
      </c>
      <c r="V202" s="231">
        <v>3777</v>
      </c>
      <c r="W202" s="231">
        <v>3594.6</v>
      </c>
      <c r="X202" s="228">
        <v>182.4</v>
      </c>
      <c r="Y202" s="229">
        <v>5.0700000000000002E-2</v>
      </c>
      <c r="Z202" s="228">
        <v>25.3</v>
      </c>
      <c r="AA202" s="228">
        <v>12.2</v>
      </c>
      <c r="AB202" s="228">
        <v>13.1</v>
      </c>
      <c r="AC202" s="229">
        <v>6.7999999999999996E-3</v>
      </c>
      <c r="AD202" s="228">
        <v>25.3</v>
      </c>
      <c r="AE202" s="228">
        <v>-5.6</v>
      </c>
      <c r="AF202" s="228">
        <v>30.9</v>
      </c>
      <c r="AG202" s="229">
        <v>6.7999999999999996E-3</v>
      </c>
      <c r="AH202" s="228">
        <v>38.9</v>
      </c>
      <c r="AI202" s="228">
        <v>12.2</v>
      </c>
      <c r="AJ202" s="228">
        <v>26.7</v>
      </c>
      <c r="AK202" s="229">
        <v>1.04E-2</v>
      </c>
      <c r="AL202" s="228">
        <v>48.6</v>
      </c>
      <c r="AM202" s="228">
        <v>26.6</v>
      </c>
      <c r="AN202" s="228">
        <v>22</v>
      </c>
      <c r="AO202" s="229">
        <v>1.2999999999999999E-2</v>
      </c>
      <c r="AP202" s="231">
        <v>3657.5</v>
      </c>
      <c r="AQ202" s="231">
        <v>3668.34</v>
      </c>
      <c r="AR202" s="228">
        <v>0</v>
      </c>
      <c r="AS202" s="230">
        <v>1683</v>
      </c>
      <c r="AT202" s="230">
        <v>1405</v>
      </c>
      <c r="AU202" s="228">
        <v>279</v>
      </c>
      <c r="AV202" s="229">
        <v>0.19839999999999999</v>
      </c>
      <c r="AW202" s="230">
        <v>1642</v>
      </c>
      <c r="AX202" s="228">
        <v>622</v>
      </c>
      <c r="AY202" s="230">
        <v>1020</v>
      </c>
      <c r="AZ202" s="229">
        <v>1.6393</v>
      </c>
      <c r="BA202" s="228">
        <v>37</v>
      </c>
      <c r="BB202" s="228">
        <v>778</v>
      </c>
      <c r="BC202" s="228">
        <v>-741</v>
      </c>
      <c r="BD202" s="229">
        <v>-0.95220000000000005</v>
      </c>
      <c r="BE202" s="228">
        <v>4</v>
      </c>
      <c r="BF202" s="228">
        <v>4</v>
      </c>
      <c r="BG202" s="228">
        <v>0</v>
      </c>
      <c r="BH202" s="229">
        <v>-1.6400000000000001E-2</v>
      </c>
      <c r="BI202" s="230">
        <v>6241</v>
      </c>
      <c r="BJ202" s="228">
        <v>897</v>
      </c>
      <c r="BK202" s="230">
        <v>5344</v>
      </c>
      <c r="BL202" s="229">
        <v>5.9584999999999999</v>
      </c>
      <c r="BM202" s="230">
        <v>2417</v>
      </c>
      <c r="BN202" s="228">
        <v>666</v>
      </c>
      <c r="BO202" s="230">
        <v>1751</v>
      </c>
      <c r="BP202" s="229">
        <v>2.6301000000000001</v>
      </c>
      <c r="BQ202" s="230">
        <v>10342</v>
      </c>
      <c r="BR202" s="230">
        <v>2967</v>
      </c>
      <c r="BS202" s="230">
        <v>7374</v>
      </c>
      <c r="BT202" s="229">
        <v>2.4851000000000001</v>
      </c>
      <c r="BU202" s="230">
        <v>2205775</v>
      </c>
      <c r="BV202" s="230">
        <v>972370</v>
      </c>
      <c r="BW202" s="230">
        <v>1233405</v>
      </c>
      <c r="BX202" s="229">
        <v>1.2685</v>
      </c>
      <c r="BY202" s="230">
        <v>3160</v>
      </c>
      <c r="BZ202" s="230">
        <v>3042</v>
      </c>
      <c r="CA202" s="228">
        <v>117</v>
      </c>
      <c r="CB202" s="229">
        <v>3.8600000000000002E-2</v>
      </c>
      <c r="CC202" s="230">
        <v>3138</v>
      </c>
      <c r="CD202" s="228">
        <v>100</v>
      </c>
      <c r="CE202" s="230">
        <v>3037</v>
      </c>
      <c r="CF202" s="229">
        <v>30.259799999999998</v>
      </c>
      <c r="CG202" s="228">
        <v>20</v>
      </c>
      <c r="CH202" s="230">
        <v>3030</v>
      </c>
      <c r="CI202" s="230">
        <v>-3011</v>
      </c>
      <c r="CJ202" s="229">
        <v>-0.99350000000000005</v>
      </c>
      <c r="CK202" s="228">
        <v>2</v>
      </c>
      <c r="CL202" s="228">
        <v>12</v>
      </c>
      <c r="CM202" s="228">
        <v>-10</v>
      </c>
      <c r="CN202" s="229">
        <v>-0.79779999999999995</v>
      </c>
      <c r="CO202" s="228">
        <v>632</v>
      </c>
      <c r="CP202" s="228">
        <v>293</v>
      </c>
      <c r="CQ202" s="228">
        <v>339</v>
      </c>
      <c r="CR202" s="229">
        <v>1.1595</v>
      </c>
      <c r="CS202" s="228">
        <v>488</v>
      </c>
      <c r="CT202" s="228">
        <v>231</v>
      </c>
      <c r="CU202" s="228">
        <v>257</v>
      </c>
      <c r="CV202" s="229">
        <v>1.1136999999999999</v>
      </c>
      <c r="CW202" s="230">
        <v>4280</v>
      </c>
      <c r="CX202" s="230">
        <v>3566</v>
      </c>
      <c r="CY202" s="228">
        <v>714</v>
      </c>
      <c r="CZ202" s="229">
        <v>0.20030000000000001</v>
      </c>
      <c r="DA202" s="228">
        <v>27.57</v>
      </c>
      <c r="DB202" s="228">
        <v>33.64</v>
      </c>
      <c r="DC202" s="228">
        <v>-6.07</v>
      </c>
      <c r="DD202" s="228">
        <v>-6.07</v>
      </c>
      <c r="DE202" s="228">
        <v>29.53</v>
      </c>
      <c r="DF202" s="228">
        <v>29</v>
      </c>
      <c r="DG202" s="228">
        <v>-1.96</v>
      </c>
      <c r="DH202" s="228">
        <v>0.53</v>
      </c>
      <c r="DI202" s="228">
        <v>26.73</v>
      </c>
      <c r="DJ202" s="228">
        <v>33.119999999999997</v>
      </c>
      <c r="DK202" s="228">
        <v>-6.39</v>
      </c>
      <c r="DL202" s="228">
        <v>-6.39</v>
      </c>
      <c r="DM202" s="228">
        <v>29.75</v>
      </c>
      <c r="DN202" s="228">
        <v>34.700000000000003</v>
      </c>
      <c r="DO202" s="228">
        <v>-4.95</v>
      </c>
      <c r="DP202" s="228">
        <v>-4.95</v>
      </c>
      <c r="DQ202" s="228">
        <v>0.77</v>
      </c>
      <c r="DR202" s="228">
        <v>0.79</v>
      </c>
      <c r="DS202" s="228">
        <v>-0.02</v>
      </c>
      <c r="DT202" s="229">
        <v>-2.53E-2</v>
      </c>
      <c r="DU202" s="231">
        <v>3700</v>
      </c>
      <c r="DV202" s="231">
        <v>3500</v>
      </c>
      <c r="DW202" s="228">
        <v>0.39</v>
      </c>
      <c r="DX202" s="228">
        <v>0.74</v>
      </c>
      <c r="DY202" s="228">
        <v>-0.35</v>
      </c>
      <c r="DZ202" s="229">
        <v>-0.47299999999999998</v>
      </c>
      <c r="EA202" s="229">
        <v>7.0000000000000001E-3</v>
      </c>
      <c r="EB202" s="230">
        <v>8105300</v>
      </c>
      <c r="EC202" s="229">
        <v>3.5999999999999999E-3</v>
      </c>
      <c r="ED202" s="229">
        <v>7.0000000000000001E-3</v>
      </c>
      <c r="EE202" s="228">
        <v>10.84</v>
      </c>
      <c r="EF202" s="229">
        <v>3.0000000000000001E-3</v>
      </c>
      <c r="EG202" s="230">
        <v>717609</v>
      </c>
      <c r="EH202" s="230">
        <v>546885</v>
      </c>
      <c r="EI202" s="229">
        <v>0.31219999999999998</v>
      </c>
      <c r="EJ202" s="229">
        <v>0.32529999999999998</v>
      </c>
      <c r="EK202" s="231">
        <v>6407.44</v>
      </c>
      <c r="EL202" s="231">
        <v>2287.7800000000002</v>
      </c>
      <c r="EM202" s="231">
        <v>1640.3</v>
      </c>
      <c r="EN202" s="228">
        <v>333.93</v>
      </c>
      <c r="EO202" s="231">
        <v>10335.52</v>
      </c>
      <c r="EP202" s="231">
        <v>2848.08</v>
      </c>
      <c r="EQ202" s="231">
        <v>7487.44</v>
      </c>
      <c r="ER202" s="229">
        <v>2.6288999999999998</v>
      </c>
      <c r="ES202" s="228">
        <v>639.05999999999995</v>
      </c>
      <c r="ET202" s="228">
        <v>455.27</v>
      </c>
      <c r="EU202" s="231">
        <v>3159.96</v>
      </c>
      <c r="EV202" s="231">
        <v>31634588</v>
      </c>
      <c r="EW202" s="231">
        <v>4254.29</v>
      </c>
      <c r="EX202" s="231">
        <v>3408.78</v>
      </c>
      <c r="EY202" s="228">
        <v>845.51</v>
      </c>
      <c r="EZ202" s="229">
        <v>0.248</v>
      </c>
      <c r="FA202" s="229">
        <v>0.36049999999999999</v>
      </c>
      <c r="FB202" s="227" t="s">
        <v>555</v>
      </c>
      <c r="FC202">
        <f t="shared" si="4"/>
        <v>0</v>
      </c>
    </row>
    <row r="203" spans="1:159" ht="17.25" thickBot="1" x14ac:dyDescent="0.3">
      <c r="A203" s="226">
        <v>46050</v>
      </c>
      <c r="B203" s="227" t="s">
        <v>157</v>
      </c>
      <c r="C203" s="227" t="s">
        <v>302</v>
      </c>
      <c r="D203" s="228">
        <v>50</v>
      </c>
      <c r="E203" s="228">
        <v>27</v>
      </c>
      <c r="F203" s="231">
        <v>12812</v>
      </c>
      <c r="G203" s="231">
        <v>12676</v>
      </c>
      <c r="H203" s="228">
        <v>136</v>
      </c>
      <c r="I203" s="229">
        <v>1.0699999999999999E-2</v>
      </c>
      <c r="J203" s="231">
        <v>12767</v>
      </c>
      <c r="K203" s="231">
        <v>12589</v>
      </c>
      <c r="L203" s="228">
        <v>178</v>
      </c>
      <c r="M203" s="229">
        <v>1.41E-2</v>
      </c>
      <c r="N203" s="231">
        <v>12812</v>
      </c>
      <c r="O203" s="231">
        <v>12599</v>
      </c>
      <c r="P203" s="228">
        <v>213</v>
      </c>
      <c r="Q203" s="229">
        <v>1.6899999999999998E-2</v>
      </c>
      <c r="R203" s="231">
        <v>12899</v>
      </c>
      <c r="S203" s="231">
        <v>12676</v>
      </c>
      <c r="T203" s="228">
        <v>223</v>
      </c>
      <c r="U203" s="229">
        <v>1.7600000000000001E-2</v>
      </c>
      <c r="V203" s="231">
        <v>12990</v>
      </c>
      <c r="W203" s="231">
        <v>12758</v>
      </c>
      <c r="X203" s="228">
        <v>232</v>
      </c>
      <c r="Y203" s="229">
        <v>1.8200000000000001E-2</v>
      </c>
      <c r="Z203" s="228">
        <v>45</v>
      </c>
      <c r="AA203" s="228">
        <v>87</v>
      </c>
      <c r="AB203" s="228">
        <v>-42</v>
      </c>
      <c r="AC203" s="229">
        <v>3.5000000000000001E-3</v>
      </c>
      <c r="AD203" s="228">
        <v>45</v>
      </c>
      <c r="AE203" s="228">
        <v>10</v>
      </c>
      <c r="AF203" s="228">
        <v>35</v>
      </c>
      <c r="AG203" s="229">
        <v>3.5000000000000001E-3</v>
      </c>
      <c r="AH203" s="228">
        <v>132</v>
      </c>
      <c r="AI203" s="228">
        <v>87</v>
      </c>
      <c r="AJ203" s="228">
        <v>45</v>
      </c>
      <c r="AK203" s="229">
        <v>1.03E-2</v>
      </c>
      <c r="AL203" s="228">
        <v>223</v>
      </c>
      <c r="AM203" s="228">
        <v>169</v>
      </c>
      <c r="AN203" s="228">
        <v>54</v>
      </c>
      <c r="AO203" s="229">
        <v>1.7500000000000002E-2</v>
      </c>
      <c r="AP203" s="231">
        <v>12762.55</v>
      </c>
      <c r="AQ203" s="231">
        <v>12845.94</v>
      </c>
      <c r="AR203" s="228">
        <v>0</v>
      </c>
      <c r="AS203" s="228">
        <v>426</v>
      </c>
      <c r="AT203" s="230">
        <v>2334</v>
      </c>
      <c r="AU203" s="230">
        <v>-1908</v>
      </c>
      <c r="AV203" s="229">
        <v>-0.81740000000000002</v>
      </c>
      <c r="AW203" s="228">
        <v>417</v>
      </c>
      <c r="AX203" s="228">
        <v>929</v>
      </c>
      <c r="AY203" s="228">
        <v>-513</v>
      </c>
      <c r="AZ203" s="229">
        <v>-0.55159999999999998</v>
      </c>
      <c r="BA203" s="228">
        <v>8</v>
      </c>
      <c r="BB203" s="230">
        <v>1381</v>
      </c>
      <c r="BC203" s="230">
        <v>-1373</v>
      </c>
      <c r="BD203" s="229">
        <v>-0.99409999999999998</v>
      </c>
      <c r="BE203" s="228">
        <v>1</v>
      </c>
      <c r="BF203" s="228">
        <v>23</v>
      </c>
      <c r="BG203" s="228">
        <v>-22</v>
      </c>
      <c r="BH203" s="229">
        <v>-0.94230000000000003</v>
      </c>
      <c r="BI203" s="230">
        <v>1058</v>
      </c>
      <c r="BJ203" s="230">
        <v>5328</v>
      </c>
      <c r="BK203" s="230">
        <v>-4270</v>
      </c>
      <c r="BL203" s="229">
        <v>-0.80149999999999999</v>
      </c>
      <c r="BM203" s="228">
        <v>569</v>
      </c>
      <c r="BN203" s="230">
        <v>1915</v>
      </c>
      <c r="BO203" s="230">
        <v>-1346</v>
      </c>
      <c r="BP203" s="229">
        <v>-0.70309999999999995</v>
      </c>
      <c r="BQ203" s="230">
        <v>2052</v>
      </c>
      <c r="BR203" s="230">
        <v>9577</v>
      </c>
      <c r="BS203" s="230">
        <v>-7524</v>
      </c>
      <c r="BT203" s="229">
        <v>-0.78569999999999995</v>
      </c>
      <c r="BU203" s="230">
        <v>467859</v>
      </c>
      <c r="BV203" s="230">
        <v>956515</v>
      </c>
      <c r="BW203" s="230">
        <v>-488656</v>
      </c>
      <c r="BX203" s="229">
        <v>-0.51090000000000002</v>
      </c>
      <c r="BY203" s="230">
        <v>3454</v>
      </c>
      <c r="BZ203" s="230">
        <v>3580</v>
      </c>
      <c r="CA203" s="228">
        <v>-126</v>
      </c>
      <c r="CB203" s="229">
        <v>-3.5200000000000002E-2</v>
      </c>
      <c r="CC203" s="230">
        <v>3244</v>
      </c>
      <c r="CD203" s="228">
        <v>267</v>
      </c>
      <c r="CE203" s="230">
        <v>2977</v>
      </c>
      <c r="CF203" s="229">
        <v>11.139699999999999</v>
      </c>
      <c r="CG203" s="228">
        <v>208</v>
      </c>
      <c r="CH203" s="230">
        <v>3372</v>
      </c>
      <c r="CI203" s="230">
        <v>-3164</v>
      </c>
      <c r="CJ203" s="229">
        <v>-0.93830000000000002</v>
      </c>
      <c r="CK203" s="228">
        <v>1</v>
      </c>
      <c r="CL203" s="228">
        <v>208</v>
      </c>
      <c r="CM203" s="228">
        <v>-207</v>
      </c>
      <c r="CN203" s="229">
        <v>-0.99409999999999998</v>
      </c>
      <c r="CO203" s="228">
        <v>448</v>
      </c>
      <c r="CP203" s="228">
        <v>382</v>
      </c>
      <c r="CQ203" s="228">
        <v>66</v>
      </c>
      <c r="CR203" s="229">
        <v>0.1731</v>
      </c>
      <c r="CS203" s="228">
        <v>318</v>
      </c>
      <c r="CT203" s="228">
        <v>235</v>
      </c>
      <c r="CU203" s="228">
        <v>82</v>
      </c>
      <c r="CV203" s="229">
        <v>0.34939999999999999</v>
      </c>
      <c r="CW203" s="230">
        <v>4220</v>
      </c>
      <c r="CX203" s="230">
        <v>4197</v>
      </c>
      <c r="CY203" s="228">
        <v>22</v>
      </c>
      <c r="CZ203" s="229">
        <v>5.4000000000000003E-3</v>
      </c>
      <c r="DA203" s="228">
        <v>23.51</v>
      </c>
      <c r="DB203" s="228">
        <v>25.13</v>
      </c>
      <c r="DC203" s="228">
        <v>-1.62</v>
      </c>
      <c r="DD203" s="228">
        <v>-1.62</v>
      </c>
      <c r="DE203" s="228">
        <v>23.58</v>
      </c>
      <c r="DF203" s="228">
        <v>23.56</v>
      </c>
      <c r="DG203" s="228">
        <v>-7.0000000000000007E-2</v>
      </c>
      <c r="DH203" s="228">
        <v>0.02</v>
      </c>
      <c r="DI203" s="228">
        <v>23.01</v>
      </c>
      <c r="DJ203" s="228">
        <v>25.11</v>
      </c>
      <c r="DK203" s="228">
        <v>-2.1</v>
      </c>
      <c r="DL203" s="228">
        <v>-2.1</v>
      </c>
      <c r="DM203" s="228">
        <v>24.44</v>
      </c>
      <c r="DN203" s="228">
        <v>25.2</v>
      </c>
      <c r="DO203" s="228">
        <v>-0.76</v>
      </c>
      <c r="DP203" s="228">
        <v>-0.76</v>
      </c>
      <c r="DQ203" s="228">
        <v>0.71</v>
      </c>
      <c r="DR203" s="228">
        <v>0.62</v>
      </c>
      <c r="DS203" s="228">
        <v>0.09</v>
      </c>
      <c r="DT203" s="229">
        <v>0.1452</v>
      </c>
      <c r="DU203" s="231">
        <v>13000</v>
      </c>
      <c r="DV203" s="231">
        <v>12000</v>
      </c>
      <c r="DW203" s="228">
        <v>0.54</v>
      </c>
      <c r="DX203" s="228">
        <v>0.36</v>
      </c>
      <c r="DY203" s="228">
        <v>0.18</v>
      </c>
      <c r="DZ203" s="229">
        <v>0.5</v>
      </c>
      <c r="EA203" s="229">
        <v>6.0600000000000001E-2</v>
      </c>
      <c r="EB203" s="230">
        <v>2793950</v>
      </c>
      <c r="EC203" s="229">
        <v>6.7999999999999996E-3</v>
      </c>
      <c r="ED203" s="229">
        <v>6.0600000000000001E-2</v>
      </c>
      <c r="EE203" s="228">
        <v>83.39</v>
      </c>
      <c r="EF203" s="229">
        <v>6.4999999999999997E-3</v>
      </c>
      <c r="EG203" s="230">
        <v>333661</v>
      </c>
      <c r="EH203" s="230">
        <v>483463</v>
      </c>
      <c r="EI203" s="229">
        <v>-0.30990000000000001</v>
      </c>
      <c r="EJ203" s="229">
        <v>0.71319999999999995</v>
      </c>
      <c r="EK203" s="231">
        <v>1106.6600000000001</v>
      </c>
      <c r="EL203" s="228">
        <v>550.33000000000004</v>
      </c>
      <c r="EM203" s="228">
        <v>424.62</v>
      </c>
      <c r="EN203" s="228">
        <v>374.09</v>
      </c>
      <c r="EO203" s="231">
        <v>2081.61</v>
      </c>
      <c r="EP203" s="231">
        <v>9618.66</v>
      </c>
      <c r="EQ203" s="231">
        <v>-7537.05</v>
      </c>
      <c r="ER203" s="229">
        <v>-0.78359999999999996</v>
      </c>
      <c r="ES203" s="228">
        <v>462.99</v>
      </c>
      <c r="ET203" s="228">
        <v>301.27999999999997</v>
      </c>
      <c r="EU203" s="231">
        <v>3455.16</v>
      </c>
      <c r="EV203" s="231">
        <v>11955674</v>
      </c>
      <c r="EW203" s="231">
        <v>4219.43</v>
      </c>
      <c r="EX203" s="231">
        <v>4156.76</v>
      </c>
      <c r="EY203" s="228">
        <v>62.67</v>
      </c>
      <c r="EZ203" s="229">
        <v>1.5100000000000001E-2</v>
      </c>
      <c r="FA203" s="229">
        <v>0.27550000000000002</v>
      </c>
      <c r="FB203" s="227" t="s">
        <v>556</v>
      </c>
      <c r="FC203">
        <f t="shared" si="4"/>
        <v>0</v>
      </c>
    </row>
    <row r="204" spans="1:159" ht="17.25" thickBot="1" x14ac:dyDescent="0.3">
      <c r="A204" s="226">
        <v>46050</v>
      </c>
      <c r="B204" s="227" t="s">
        <v>172</v>
      </c>
      <c r="C204" s="227" t="s">
        <v>593</v>
      </c>
      <c r="D204" s="228">
        <v>4425</v>
      </c>
      <c r="E204" s="228">
        <v>27</v>
      </c>
      <c r="F204" s="228">
        <v>182.98</v>
      </c>
      <c r="G204" s="228">
        <v>176.39</v>
      </c>
      <c r="H204" s="228">
        <v>6.59</v>
      </c>
      <c r="I204" s="229">
        <v>3.7400000000000003E-2</v>
      </c>
      <c r="J204" s="228">
        <v>181.93</v>
      </c>
      <c r="K204" s="228">
        <v>175.21</v>
      </c>
      <c r="L204" s="228">
        <v>6.72</v>
      </c>
      <c r="M204" s="229">
        <v>3.8399999999999997E-2</v>
      </c>
      <c r="N204" s="228">
        <v>182.98</v>
      </c>
      <c r="O204" s="228">
        <v>175.21</v>
      </c>
      <c r="P204" s="228">
        <v>7.77</v>
      </c>
      <c r="Q204" s="229">
        <v>4.4299999999999999E-2</v>
      </c>
      <c r="R204" s="228">
        <v>184.03</v>
      </c>
      <c r="S204" s="228">
        <v>176.39</v>
      </c>
      <c r="T204" s="228">
        <v>7.64</v>
      </c>
      <c r="U204" s="229">
        <v>4.3299999999999998E-2</v>
      </c>
      <c r="V204" s="228">
        <v>185.01</v>
      </c>
      <c r="W204" s="228">
        <v>177.6</v>
      </c>
      <c r="X204" s="228">
        <v>7.41</v>
      </c>
      <c r="Y204" s="229">
        <v>4.1700000000000001E-2</v>
      </c>
      <c r="Z204" s="228">
        <v>1.05</v>
      </c>
      <c r="AA204" s="228">
        <v>1.18</v>
      </c>
      <c r="AB204" s="228">
        <v>-0.13</v>
      </c>
      <c r="AC204" s="229">
        <v>5.7999999999999996E-3</v>
      </c>
      <c r="AD204" s="228">
        <v>1.05</v>
      </c>
      <c r="AE204" s="228">
        <v>0</v>
      </c>
      <c r="AF204" s="228">
        <v>1.05</v>
      </c>
      <c r="AG204" s="229">
        <v>5.7999999999999996E-3</v>
      </c>
      <c r="AH204" s="228">
        <v>2.1</v>
      </c>
      <c r="AI204" s="228">
        <v>1.18</v>
      </c>
      <c r="AJ204" s="228">
        <v>0.92</v>
      </c>
      <c r="AK204" s="229">
        <v>1.15E-2</v>
      </c>
      <c r="AL204" s="228">
        <v>3.08</v>
      </c>
      <c r="AM204" s="228">
        <v>2.39</v>
      </c>
      <c r="AN204" s="228">
        <v>0.69</v>
      </c>
      <c r="AO204" s="229">
        <v>1.6899999999999998E-2</v>
      </c>
      <c r="AP204" s="228">
        <v>179.94</v>
      </c>
      <c r="AQ204" s="228">
        <v>181.17</v>
      </c>
      <c r="AR204" s="228">
        <v>0</v>
      </c>
      <c r="AS204" s="228">
        <v>528</v>
      </c>
      <c r="AT204" s="228">
        <v>837</v>
      </c>
      <c r="AU204" s="228">
        <v>-308</v>
      </c>
      <c r="AV204" s="229">
        <v>-0.36849999999999999</v>
      </c>
      <c r="AW204" s="228">
        <v>506</v>
      </c>
      <c r="AX204" s="228">
        <v>361</v>
      </c>
      <c r="AY204" s="228">
        <v>145</v>
      </c>
      <c r="AZ204" s="229">
        <v>0.4022</v>
      </c>
      <c r="BA204" s="228">
        <v>19</v>
      </c>
      <c r="BB204" s="228">
        <v>468</v>
      </c>
      <c r="BC204" s="228">
        <v>-448</v>
      </c>
      <c r="BD204" s="229">
        <v>-0.95879999999999999</v>
      </c>
      <c r="BE204" s="228">
        <v>3</v>
      </c>
      <c r="BF204" s="228">
        <v>8</v>
      </c>
      <c r="BG204" s="228">
        <v>-5</v>
      </c>
      <c r="BH204" s="229">
        <v>-0.60189999999999999</v>
      </c>
      <c r="BI204" s="230">
        <v>1644</v>
      </c>
      <c r="BJ204" s="228">
        <v>798</v>
      </c>
      <c r="BK204" s="228">
        <v>846</v>
      </c>
      <c r="BL204" s="229">
        <v>1.0608</v>
      </c>
      <c r="BM204" s="228">
        <v>503</v>
      </c>
      <c r="BN204" s="228">
        <v>394</v>
      </c>
      <c r="BO204" s="228">
        <v>110</v>
      </c>
      <c r="BP204" s="229">
        <v>0.27900000000000003</v>
      </c>
      <c r="BQ204" s="230">
        <v>2676</v>
      </c>
      <c r="BR204" s="230">
        <v>2028</v>
      </c>
      <c r="BS204" s="228">
        <v>648</v>
      </c>
      <c r="BT204" s="229">
        <v>0.31940000000000002</v>
      </c>
      <c r="BU204" s="230">
        <v>24314173</v>
      </c>
      <c r="BV204" s="230">
        <v>18231007</v>
      </c>
      <c r="BW204" s="230">
        <v>6083166</v>
      </c>
      <c r="BX204" s="229">
        <v>0.3337</v>
      </c>
      <c r="BY204" s="230">
        <v>1443</v>
      </c>
      <c r="BZ204" s="230">
        <v>1424</v>
      </c>
      <c r="CA204" s="228">
        <v>19</v>
      </c>
      <c r="CB204" s="229">
        <v>1.32E-2</v>
      </c>
      <c r="CC204" s="230">
        <v>1413</v>
      </c>
      <c r="CD204" s="228">
        <v>73</v>
      </c>
      <c r="CE204" s="230">
        <v>1340</v>
      </c>
      <c r="CF204" s="229">
        <v>18.245899999999999</v>
      </c>
      <c r="CG204" s="228">
        <v>28</v>
      </c>
      <c r="CH204" s="230">
        <v>1400</v>
      </c>
      <c r="CI204" s="230">
        <v>-1373</v>
      </c>
      <c r="CJ204" s="229">
        <v>-0.98029999999999995</v>
      </c>
      <c r="CK204" s="228">
        <v>2</v>
      </c>
      <c r="CL204" s="228">
        <v>24</v>
      </c>
      <c r="CM204" s="228">
        <v>-22</v>
      </c>
      <c r="CN204" s="229">
        <v>-0.90639999999999998</v>
      </c>
      <c r="CO204" s="228">
        <v>438</v>
      </c>
      <c r="CP204" s="228">
        <v>301</v>
      </c>
      <c r="CQ204" s="228">
        <v>137</v>
      </c>
      <c r="CR204" s="229">
        <v>0.4556</v>
      </c>
      <c r="CS204" s="228">
        <v>309</v>
      </c>
      <c r="CT204" s="228">
        <v>199</v>
      </c>
      <c r="CU204" s="228">
        <v>110</v>
      </c>
      <c r="CV204" s="229">
        <v>0.55479999999999996</v>
      </c>
      <c r="CW204" s="230">
        <v>2190</v>
      </c>
      <c r="CX204" s="230">
        <v>1924</v>
      </c>
      <c r="CY204" s="228">
        <v>266</v>
      </c>
      <c r="CZ204" s="229">
        <v>0.1384</v>
      </c>
      <c r="DA204" s="228">
        <v>37.5</v>
      </c>
      <c r="DB204" s="228">
        <v>36.229999999999997</v>
      </c>
      <c r="DC204" s="228">
        <v>1.27</v>
      </c>
      <c r="DD204" s="228">
        <v>1.27</v>
      </c>
      <c r="DE204" s="228">
        <v>40.880000000000003</v>
      </c>
      <c r="DF204" s="228">
        <v>40.68</v>
      </c>
      <c r="DG204" s="228">
        <v>-3.38</v>
      </c>
      <c r="DH204" s="228">
        <v>0.2</v>
      </c>
      <c r="DI204" s="228">
        <v>37.340000000000003</v>
      </c>
      <c r="DJ204" s="228">
        <v>36.11</v>
      </c>
      <c r="DK204" s="228">
        <v>1.23</v>
      </c>
      <c r="DL204" s="228">
        <v>1.23</v>
      </c>
      <c r="DM204" s="228">
        <v>38</v>
      </c>
      <c r="DN204" s="228">
        <v>36.53</v>
      </c>
      <c r="DO204" s="228">
        <v>1.47</v>
      </c>
      <c r="DP204" s="228">
        <v>1.47</v>
      </c>
      <c r="DQ204" s="228">
        <v>0.7</v>
      </c>
      <c r="DR204" s="228">
        <v>0.66</v>
      </c>
      <c r="DS204" s="228">
        <v>0.04</v>
      </c>
      <c r="DT204" s="229">
        <v>6.0600000000000001E-2</v>
      </c>
      <c r="DU204" s="228">
        <v>180</v>
      </c>
      <c r="DV204" s="228">
        <v>180</v>
      </c>
      <c r="DW204" s="228">
        <v>0.31</v>
      </c>
      <c r="DX204" s="228">
        <v>0.49</v>
      </c>
      <c r="DY204" s="228">
        <v>-0.18</v>
      </c>
      <c r="DZ204" s="229">
        <v>-0.36730000000000002</v>
      </c>
      <c r="EA204" s="229">
        <v>2.06E-2</v>
      </c>
      <c r="EB204" s="230">
        <v>77840175</v>
      </c>
      <c r="EC204" s="229">
        <v>5.7000000000000002E-3</v>
      </c>
      <c r="ED204" s="229">
        <v>2.06E-2</v>
      </c>
      <c r="EE204" s="228">
        <v>1.23</v>
      </c>
      <c r="EF204" s="229">
        <v>6.7999999999999996E-3</v>
      </c>
      <c r="EG204" s="230">
        <v>10916714</v>
      </c>
      <c r="EH204" s="230">
        <v>9438879</v>
      </c>
      <c r="EI204" s="229">
        <v>0.15659999999999999</v>
      </c>
      <c r="EJ204" s="229">
        <v>0.44900000000000001</v>
      </c>
      <c r="EK204" s="231">
        <v>1714.48</v>
      </c>
      <c r="EL204" s="228">
        <v>490.93</v>
      </c>
      <c r="EM204" s="228">
        <v>519.80999999999995</v>
      </c>
      <c r="EN204" s="228">
        <v>145.83000000000001</v>
      </c>
      <c r="EO204" s="231">
        <v>2725.22</v>
      </c>
      <c r="EP204" s="231">
        <v>1959.75</v>
      </c>
      <c r="EQ204" s="228">
        <v>765.48</v>
      </c>
      <c r="ER204" s="229">
        <v>0.3906</v>
      </c>
      <c r="ES204" s="228">
        <v>441.51</v>
      </c>
      <c r="ET204" s="228">
        <v>288.02</v>
      </c>
      <c r="EU204" s="231">
        <v>1443.37</v>
      </c>
      <c r="EV204" s="231">
        <v>289041713</v>
      </c>
      <c r="EW204" s="231">
        <v>2172.9</v>
      </c>
      <c r="EX204" s="231">
        <v>1855.95</v>
      </c>
      <c r="EY204" s="228">
        <v>316.95</v>
      </c>
      <c r="EZ204" s="229">
        <v>0.17080000000000001</v>
      </c>
      <c r="FA204" s="229">
        <v>0.41410000000000002</v>
      </c>
      <c r="FB204" s="227" t="s">
        <v>555</v>
      </c>
      <c r="FC204">
        <f t="shared" si="4"/>
        <v>0</v>
      </c>
    </row>
    <row r="205" spans="1:159" ht="17.25" thickBot="1" x14ac:dyDescent="0.3">
      <c r="A205" s="226">
        <v>46050</v>
      </c>
      <c r="B205" s="227" t="s">
        <v>168</v>
      </c>
      <c r="C205" s="227" t="s">
        <v>569</v>
      </c>
      <c r="D205" s="228">
        <v>400</v>
      </c>
      <c r="E205" s="228">
        <v>27</v>
      </c>
      <c r="F205" s="231">
        <v>1331.4</v>
      </c>
      <c r="G205" s="231">
        <v>1318.6</v>
      </c>
      <c r="H205" s="228">
        <v>12.8</v>
      </c>
      <c r="I205" s="229">
        <v>9.7000000000000003E-3</v>
      </c>
      <c r="J205" s="231">
        <v>1326.7</v>
      </c>
      <c r="K205" s="231">
        <v>1311.5</v>
      </c>
      <c r="L205" s="228">
        <v>15.2</v>
      </c>
      <c r="M205" s="229">
        <v>1.1599999999999999E-2</v>
      </c>
      <c r="N205" s="231">
        <v>1331.4</v>
      </c>
      <c r="O205" s="231">
        <v>1310.2</v>
      </c>
      <c r="P205" s="228">
        <v>21.2</v>
      </c>
      <c r="Q205" s="229">
        <v>1.6199999999999999E-2</v>
      </c>
      <c r="R205" s="231">
        <v>1338.8</v>
      </c>
      <c r="S205" s="231">
        <v>1318.6</v>
      </c>
      <c r="T205" s="228">
        <v>20.2</v>
      </c>
      <c r="U205" s="229">
        <v>1.5299999999999999E-2</v>
      </c>
      <c r="V205" s="228">
        <v>0</v>
      </c>
      <c r="W205" s="231">
        <v>1328.6</v>
      </c>
      <c r="X205" s="228">
        <v>0</v>
      </c>
      <c r="Y205" s="229">
        <v>0</v>
      </c>
      <c r="Z205" s="228">
        <v>4.7</v>
      </c>
      <c r="AA205" s="228">
        <v>7.1</v>
      </c>
      <c r="AB205" s="228">
        <v>-2.4</v>
      </c>
      <c r="AC205" s="229">
        <v>3.5000000000000001E-3</v>
      </c>
      <c r="AD205" s="228">
        <v>4.7</v>
      </c>
      <c r="AE205" s="228">
        <v>-1.3</v>
      </c>
      <c r="AF205" s="228">
        <v>6</v>
      </c>
      <c r="AG205" s="229">
        <v>3.5000000000000001E-3</v>
      </c>
      <c r="AH205" s="228">
        <v>12.1</v>
      </c>
      <c r="AI205" s="228">
        <v>7.1</v>
      </c>
      <c r="AJ205" s="228">
        <v>5</v>
      </c>
      <c r="AK205" s="229">
        <v>9.1000000000000004E-3</v>
      </c>
      <c r="AL205" s="228">
        <v>0</v>
      </c>
      <c r="AM205" s="228">
        <v>17.100000000000001</v>
      </c>
      <c r="AN205" s="228">
        <v>0</v>
      </c>
      <c r="AO205" s="229">
        <v>0</v>
      </c>
      <c r="AP205" s="231">
        <v>1326.01</v>
      </c>
      <c r="AQ205" s="231">
        <v>1333.93</v>
      </c>
      <c r="AR205" s="228">
        <v>0</v>
      </c>
      <c r="AS205" s="228">
        <v>289</v>
      </c>
      <c r="AT205" s="230">
        <v>1098</v>
      </c>
      <c r="AU205" s="228">
        <v>-809</v>
      </c>
      <c r="AV205" s="229">
        <v>-0.7369</v>
      </c>
      <c r="AW205" s="228">
        <v>282</v>
      </c>
      <c r="AX205" s="228">
        <v>521</v>
      </c>
      <c r="AY205" s="228">
        <v>-239</v>
      </c>
      <c r="AZ205" s="229">
        <v>-0.45929999999999999</v>
      </c>
      <c r="BA205" s="228">
        <v>7</v>
      </c>
      <c r="BB205" s="228">
        <v>571</v>
      </c>
      <c r="BC205" s="228">
        <v>-564</v>
      </c>
      <c r="BD205" s="229">
        <v>-0.98760000000000003</v>
      </c>
      <c r="BE205" s="228">
        <v>0</v>
      </c>
      <c r="BF205" s="228">
        <v>5</v>
      </c>
      <c r="BG205" s="228">
        <v>0</v>
      </c>
      <c r="BH205" s="229">
        <v>0</v>
      </c>
      <c r="BI205" s="228">
        <v>378</v>
      </c>
      <c r="BJ205" s="228">
        <v>545</v>
      </c>
      <c r="BK205" s="228">
        <v>-167</v>
      </c>
      <c r="BL205" s="229">
        <v>-0.30640000000000001</v>
      </c>
      <c r="BM205" s="228">
        <v>153</v>
      </c>
      <c r="BN205" s="228">
        <v>424</v>
      </c>
      <c r="BO205" s="228">
        <v>-271</v>
      </c>
      <c r="BP205" s="229">
        <v>-0.64</v>
      </c>
      <c r="BQ205" s="228">
        <v>820</v>
      </c>
      <c r="BR205" s="230">
        <v>2067</v>
      </c>
      <c r="BS205" s="230">
        <v>-1247</v>
      </c>
      <c r="BT205" s="229">
        <v>-0.60340000000000005</v>
      </c>
      <c r="BU205" s="230">
        <v>1176229</v>
      </c>
      <c r="BV205" s="230">
        <v>860124</v>
      </c>
      <c r="BW205" s="230">
        <v>316105</v>
      </c>
      <c r="BX205" s="229">
        <v>0.36749999999999999</v>
      </c>
      <c r="BY205" s="230">
        <v>1471</v>
      </c>
      <c r="BZ205" s="230">
        <v>1419</v>
      </c>
      <c r="CA205" s="228">
        <v>52</v>
      </c>
      <c r="CB205" s="229">
        <v>3.6400000000000002E-2</v>
      </c>
      <c r="CC205" s="230">
        <v>1453</v>
      </c>
      <c r="CD205" s="228">
        <v>69</v>
      </c>
      <c r="CE205" s="230">
        <v>1384</v>
      </c>
      <c r="CF205" s="229">
        <v>19.943999999999999</v>
      </c>
      <c r="CG205" s="228">
        <v>18</v>
      </c>
      <c r="CH205" s="230">
        <v>1402</v>
      </c>
      <c r="CI205" s="230">
        <v>-1384</v>
      </c>
      <c r="CJ205" s="229">
        <v>-0.98750000000000004</v>
      </c>
      <c r="CK205" s="228">
        <v>0</v>
      </c>
      <c r="CL205" s="228">
        <v>17</v>
      </c>
      <c r="CM205" s="228">
        <v>-17</v>
      </c>
      <c r="CN205" s="229">
        <v>-1</v>
      </c>
      <c r="CO205" s="228">
        <v>304</v>
      </c>
      <c r="CP205" s="228">
        <v>194</v>
      </c>
      <c r="CQ205" s="228">
        <v>110</v>
      </c>
      <c r="CR205" s="229">
        <v>0.56820000000000004</v>
      </c>
      <c r="CS205" s="228">
        <v>278</v>
      </c>
      <c r="CT205" s="228">
        <v>240</v>
      </c>
      <c r="CU205" s="228">
        <v>38</v>
      </c>
      <c r="CV205" s="229">
        <v>0.15820000000000001</v>
      </c>
      <c r="CW205" s="230">
        <v>2053</v>
      </c>
      <c r="CX205" s="230">
        <v>1853</v>
      </c>
      <c r="CY205" s="228">
        <v>200</v>
      </c>
      <c r="CZ205" s="229">
        <v>0.10780000000000001</v>
      </c>
      <c r="DA205" s="228">
        <v>26.06</v>
      </c>
      <c r="DB205" s="228">
        <v>25.05</v>
      </c>
      <c r="DC205" s="228">
        <v>1.01</v>
      </c>
      <c r="DD205" s="228">
        <v>1.01</v>
      </c>
      <c r="DE205" s="228">
        <v>26.65</v>
      </c>
      <c r="DF205" s="228">
        <v>26.67</v>
      </c>
      <c r="DG205" s="228">
        <v>-0.59</v>
      </c>
      <c r="DH205" s="228">
        <v>-0.02</v>
      </c>
      <c r="DI205" s="228">
        <v>25.7</v>
      </c>
      <c r="DJ205" s="228">
        <v>24.98</v>
      </c>
      <c r="DK205" s="228">
        <v>0.72</v>
      </c>
      <c r="DL205" s="228">
        <v>0.72</v>
      </c>
      <c r="DM205" s="228">
        <v>26.95</v>
      </c>
      <c r="DN205" s="228">
        <v>25.12</v>
      </c>
      <c r="DO205" s="228">
        <v>1.83</v>
      </c>
      <c r="DP205" s="228">
        <v>1.83</v>
      </c>
      <c r="DQ205" s="228">
        <v>0.91</v>
      </c>
      <c r="DR205" s="228">
        <v>1.24</v>
      </c>
      <c r="DS205" s="228">
        <v>-0.33</v>
      </c>
      <c r="DT205" s="229">
        <v>-0.2661</v>
      </c>
      <c r="DU205" s="231">
        <v>1400</v>
      </c>
      <c r="DV205" s="231">
        <v>1400</v>
      </c>
      <c r="DW205" s="228">
        <v>0.4</v>
      </c>
      <c r="DX205" s="228">
        <v>0.78</v>
      </c>
      <c r="DY205" s="228">
        <v>-0.38</v>
      </c>
      <c r="DZ205" s="229">
        <v>-0.48720000000000002</v>
      </c>
      <c r="EA205" s="229">
        <v>1.1900000000000001E-2</v>
      </c>
      <c r="EB205" s="230">
        <v>10659600</v>
      </c>
      <c r="EC205" s="229">
        <v>5.5999999999999999E-3</v>
      </c>
      <c r="ED205" s="229">
        <v>1.1900000000000001E-2</v>
      </c>
      <c r="EE205" s="228">
        <v>7.92</v>
      </c>
      <c r="EF205" s="229">
        <v>6.0000000000000001E-3</v>
      </c>
      <c r="EG205" s="230">
        <v>764589</v>
      </c>
      <c r="EH205" s="230">
        <v>428212</v>
      </c>
      <c r="EI205" s="229">
        <v>0.78549999999999998</v>
      </c>
      <c r="EJ205" s="229">
        <v>0.65</v>
      </c>
      <c r="EK205" s="228">
        <v>394.36</v>
      </c>
      <c r="EL205" s="228">
        <v>151.41</v>
      </c>
      <c r="EM205" s="228">
        <v>287.73</v>
      </c>
      <c r="EN205" s="228">
        <v>215.04</v>
      </c>
      <c r="EO205" s="228">
        <v>833.5</v>
      </c>
      <c r="EP205" s="231">
        <v>2086.11</v>
      </c>
      <c r="EQ205" s="231">
        <v>-1252.6099999999999</v>
      </c>
      <c r="ER205" s="229">
        <v>-0.60050000000000003</v>
      </c>
      <c r="ES205" s="228">
        <v>312.68</v>
      </c>
      <c r="ET205" s="228">
        <v>280.12</v>
      </c>
      <c r="EU205" s="231">
        <v>1470.97</v>
      </c>
      <c r="EV205" s="231">
        <v>37091426</v>
      </c>
      <c r="EW205" s="231">
        <v>2063.77</v>
      </c>
      <c r="EX205" s="231">
        <v>1848.79</v>
      </c>
      <c r="EY205" s="228">
        <v>214.98</v>
      </c>
      <c r="EZ205" s="229">
        <v>0.1163</v>
      </c>
      <c r="FA205" s="229">
        <v>0.41570000000000001</v>
      </c>
      <c r="FB205" s="227" t="s">
        <v>555</v>
      </c>
      <c r="FC205">
        <f t="shared" si="4"/>
        <v>0</v>
      </c>
    </row>
    <row r="206" spans="1:159" ht="17.25" thickBot="1" x14ac:dyDescent="0.3">
      <c r="A206" s="226">
        <v>46050</v>
      </c>
      <c r="B206" s="227" t="s">
        <v>162</v>
      </c>
      <c r="C206" s="227" t="s">
        <v>673</v>
      </c>
      <c r="D206" s="228">
        <v>550</v>
      </c>
      <c r="E206" s="228">
        <v>27</v>
      </c>
      <c r="F206" s="231">
        <v>1155.0999999999999</v>
      </c>
      <c r="G206" s="231">
        <v>1151</v>
      </c>
      <c r="H206" s="228">
        <v>4.0999999999999996</v>
      </c>
      <c r="I206" s="229">
        <v>3.5999999999999999E-3</v>
      </c>
      <c r="J206" s="231">
        <v>1148.5999999999999</v>
      </c>
      <c r="K206" s="231">
        <v>1145</v>
      </c>
      <c r="L206" s="228">
        <v>3.6</v>
      </c>
      <c r="M206" s="229">
        <v>3.0999999999999999E-3</v>
      </c>
      <c r="N206" s="231">
        <v>1155.0999999999999</v>
      </c>
      <c r="O206" s="231">
        <v>1146.9000000000001</v>
      </c>
      <c r="P206" s="228">
        <v>8.1999999999999993</v>
      </c>
      <c r="Q206" s="229">
        <v>7.1000000000000004E-3</v>
      </c>
      <c r="R206" s="231">
        <v>1160.8</v>
      </c>
      <c r="S206" s="231">
        <v>1151</v>
      </c>
      <c r="T206" s="228">
        <v>9.8000000000000007</v>
      </c>
      <c r="U206" s="229">
        <v>8.5000000000000006E-3</v>
      </c>
      <c r="V206" s="231">
        <v>1160.0999999999999</v>
      </c>
      <c r="W206" s="231">
        <v>1154.2</v>
      </c>
      <c r="X206" s="228">
        <v>5.9</v>
      </c>
      <c r="Y206" s="229">
        <v>5.1000000000000004E-3</v>
      </c>
      <c r="Z206" s="228">
        <v>6.5</v>
      </c>
      <c r="AA206" s="228">
        <v>6</v>
      </c>
      <c r="AB206" s="228">
        <v>0.5</v>
      </c>
      <c r="AC206" s="229">
        <v>5.7000000000000002E-3</v>
      </c>
      <c r="AD206" s="228">
        <v>6.5</v>
      </c>
      <c r="AE206" s="228">
        <v>1.9</v>
      </c>
      <c r="AF206" s="228">
        <v>4.5999999999999996</v>
      </c>
      <c r="AG206" s="229">
        <v>5.7000000000000002E-3</v>
      </c>
      <c r="AH206" s="228">
        <v>12.2</v>
      </c>
      <c r="AI206" s="228">
        <v>6</v>
      </c>
      <c r="AJ206" s="228">
        <v>6.2</v>
      </c>
      <c r="AK206" s="229">
        <v>1.06E-2</v>
      </c>
      <c r="AL206" s="228">
        <v>11.5</v>
      </c>
      <c r="AM206" s="228">
        <v>9.1999999999999993</v>
      </c>
      <c r="AN206" s="228">
        <v>2.2999999999999998</v>
      </c>
      <c r="AO206" s="229">
        <v>0.01</v>
      </c>
      <c r="AP206" s="231">
        <v>1148.0999999999999</v>
      </c>
      <c r="AQ206" s="231">
        <v>1156.1099999999999</v>
      </c>
      <c r="AR206" s="228">
        <v>0</v>
      </c>
      <c r="AS206" s="228">
        <v>72</v>
      </c>
      <c r="AT206" s="228">
        <v>282</v>
      </c>
      <c r="AU206" s="228">
        <v>-210</v>
      </c>
      <c r="AV206" s="229">
        <v>-0.74490000000000001</v>
      </c>
      <c r="AW206" s="228">
        <v>69</v>
      </c>
      <c r="AX206" s="228">
        <v>126</v>
      </c>
      <c r="AY206" s="228">
        <v>-58</v>
      </c>
      <c r="AZ206" s="229">
        <v>-0.45679999999999998</v>
      </c>
      <c r="BA206" s="228">
        <v>3</v>
      </c>
      <c r="BB206" s="228">
        <v>154</v>
      </c>
      <c r="BC206" s="228">
        <v>-151</v>
      </c>
      <c r="BD206" s="229">
        <v>-0.97899999999999998</v>
      </c>
      <c r="BE206" s="228">
        <v>0</v>
      </c>
      <c r="BF206" s="228">
        <v>1</v>
      </c>
      <c r="BG206" s="228">
        <v>-1</v>
      </c>
      <c r="BH206" s="229">
        <v>-0.95650000000000002</v>
      </c>
      <c r="BI206" s="228">
        <v>37</v>
      </c>
      <c r="BJ206" s="228">
        <v>242</v>
      </c>
      <c r="BK206" s="228">
        <v>-205</v>
      </c>
      <c r="BL206" s="229">
        <v>-0.84709999999999996</v>
      </c>
      <c r="BM206" s="228">
        <v>18</v>
      </c>
      <c r="BN206" s="228">
        <v>71</v>
      </c>
      <c r="BO206" s="228">
        <v>-53</v>
      </c>
      <c r="BP206" s="229">
        <v>-0.74619999999999997</v>
      </c>
      <c r="BQ206" s="228">
        <v>127</v>
      </c>
      <c r="BR206" s="228">
        <v>595</v>
      </c>
      <c r="BS206" s="228">
        <v>-468</v>
      </c>
      <c r="BT206" s="229">
        <v>-0.78659999999999997</v>
      </c>
      <c r="BU206" s="230">
        <v>770004</v>
      </c>
      <c r="BV206" s="230">
        <v>779546</v>
      </c>
      <c r="BW206" s="230">
        <v>-9542</v>
      </c>
      <c r="BX206" s="229">
        <v>-1.2200000000000001E-2</v>
      </c>
      <c r="BY206" s="228">
        <v>588</v>
      </c>
      <c r="BZ206" s="228">
        <v>587</v>
      </c>
      <c r="CA206" s="228">
        <v>1</v>
      </c>
      <c r="CB206" s="229">
        <v>1.6000000000000001E-3</v>
      </c>
      <c r="CC206" s="228">
        <v>580</v>
      </c>
      <c r="CD206" s="228">
        <v>21</v>
      </c>
      <c r="CE206" s="228">
        <v>559</v>
      </c>
      <c r="CF206" s="229">
        <v>26.1128</v>
      </c>
      <c r="CG206" s="228">
        <v>8</v>
      </c>
      <c r="CH206" s="228">
        <v>581</v>
      </c>
      <c r="CI206" s="228">
        <v>-573</v>
      </c>
      <c r="CJ206" s="229">
        <v>-0.98660000000000003</v>
      </c>
      <c r="CK206" s="228">
        <v>0</v>
      </c>
      <c r="CL206" s="228">
        <v>6</v>
      </c>
      <c r="CM206" s="228">
        <v>-6</v>
      </c>
      <c r="CN206" s="229">
        <v>-0.98970000000000002</v>
      </c>
      <c r="CO206" s="228">
        <v>29</v>
      </c>
      <c r="CP206" s="228">
        <v>23</v>
      </c>
      <c r="CQ206" s="228">
        <v>5</v>
      </c>
      <c r="CR206" s="229">
        <v>0.23100000000000001</v>
      </c>
      <c r="CS206" s="228">
        <v>33</v>
      </c>
      <c r="CT206" s="228">
        <v>29</v>
      </c>
      <c r="CU206" s="228">
        <v>4</v>
      </c>
      <c r="CV206" s="229">
        <v>0.1545</v>
      </c>
      <c r="CW206" s="228">
        <v>650</v>
      </c>
      <c r="CX206" s="228">
        <v>640</v>
      </c>
      <c r="CY206" s="228">
        <v>11</v>
      </c>
      <c r="CZ206" s="229">
        <v>1.6899999999999998E-2</v>
      </c>
      <c r="DA206" s="228">
        <v>36.25</v>
      </c>
      <c r="DB206" s="228">
        <v>38.28</v>
      </c>
      <c r="DC206" s="228">
        <v>-2.0299999999999998</v>
      </c>
      <c r="DD206" s="228">
        <v>-2.0299999999999998</v>
      </c>
      <c r="DE206" s="228">
        <v>40.090000000000003</v>
      </c>
      <c r="DF206" s="228">
        <v>40.19</v>
      </c>
      <c r="DG206" s="228">
        <v>-3.84</v>
      </c>
      <c r="DH206" s="228">
        <v>-0.1</v>
      </c>
      <c r="DI206" s="228">
        <v>35.630000000000003</v>
      </c>
      <c r="DJ206" s="228">
        <v>36.9</v>
      </c>
      <c r="DK206" s="228">
        <v>-1.27</v>
      </c>
      <c r="DL206" s="228">
        <v>-1.27</v>
      </c>
      <c r="DM206" s="228">
        <v>37.54</v>
      </c>
      <c r="DN206" s="228">
        <v>40.79</v>
      </c>
      <c r="DO206" s="228">
        <v>-3.25</v>
      </c>
      <c r="DP206" s="228">
        <v>-3.25</v>
      </c>
      <c r="DQ206" s="228">
        <v>1.1499999999999999</v>
      </c>
      <c r="DR206" s="228">
        <v>1.23</v>
      </c>
      <c r="DS206" s="228">
        <v>-0.08</v>
      </c>
      <c r="DT206" s="229">
        <v>-6.5000000000000002E-2</v>
      </c>
      <c r="DU206" s="231">
        <v>1200</v>
      </c>
      <c r="DV206" s="231">
        <v>1120</v>
      </c>
      <c r="DW206" s="228">
        <v>0.49</v>
      </c>
      <c r="DX206" s="228">
        <v>0.28999999999999998</v>
      </c>
      <c r="DY206" s="228">
        <v>0.2</v>
      </c>
      <c r="DZ206" s="229">
        <v>0.68969999999999998</v>
      </c>
      <c r="EA206" s="229">
        <v>1.34E-2</v>
      </c>
      <c r="EB206" s="230">
        <v>5085300</v>
      </c>
      <c r="EC206" s="229">
        <v>4.8999999999999998E-3</v>
      </c>
      <c r="ED206" s="229">
        <v>1.34E-2</v>
      </c>
      <c r="EE206" s="228">
        <v>8.01</v>
      </c>
      <c r="EF206" s="229">
        <v>7.0000000000000001E-3</v>
      </c>
      <c r="EG206" s="230">
        <v>496178</v>
      </c>
      <c r="EH206" s="230">
        <v>325018</v>
      </c>
      <c r="EI206" s="229">
        <v>0.52659999999999996</v>
      </c>
      <c r="EJ206" s="229">
        <v>0.64439999999999997</v>
      </c>
      <c r="EK206" s="228">
        <v>39.67</v>
      </c>
      <c r="EL206" s="228">
        <v>18</v>
      </c>
      <c r="EM206" s="228">
        <v>71.569999999999993</v>
      </c>
      <c r="EN206" s="228">
        <v>81.39</v>
      </c>
      <c r="EO206" s="228">
        <v>129.22999999999999</v>
      </c>
      <c r="EP206" s="228">
        <v>609.54999999999995</v>
      </c>
      <c r="EQ206" s="228">
        <v>-480.32</v>
      </c>
      <c r="ER206" s="229">
        <v>-0.78800000000000003</v>
      </c>
      <c r="ES206" s="228">
        <v>30.1</v>
      </c>
      <c r="ET206" s="228">
        <v>32.770000000000003</v>
      </c>
      <c r="EU206" s="228">
        <v>588.39</v>
      </c>
      <c r="EV206" s="231">
        <v>27292222</v>
      </c>
      <c r="EW206" s="228">
        <v>651.27</v>
      </c>
      <c r="EX206" s="228">
        <v>638.46</v>
      </c>
      <c r="EY206" s="228">
        <v>12.81</v>
      </c>
      <c r="EZ206" s="229">
        <v>2.01E-2</v>
      </c>
      <c r="FA206" s="229">
        <v>0.20630000000000001</v>
      </c>
      <c r="FB206" s="227" t="s">
        <v>555</v>
      </c>
      <c r="FC206">
        <f t="shared" si="4"/>
        <v>0</v>
      </c>
    </row>
    <row r="207" spans="1:159" ht="17.25" thickBot="1" x14ac:dyDescent="0.3">
      <c r="A207" s="226">
        <v>46050</v>
      </c>
      <c r="B207" s="227" t="s">
        <v>498</v>
      </c>
      <c r="C207" s="227" t="s">
        <v>303</v>
      </c>
      <c r="D207" s="228">
        <v>1355</v>
      </c>
      <c r="E207" s="228">
        <v>27</v>
      </c>
      <c r="F207" s="228">
        <v>718.35</v>
      </c>
      <c r="G207" s="228">
        <v>720.45</v>
      </c>
      <c r="H207" s="228">
        <v>-2.1</v>
      </c>
      <c r="I207" s="229">
        <v>-2.8999999999999998E-3</v>
      </c>
      <c r="J207" s="228">
        <v>715.1</v>
      </c>
      <c r="K207" s="228">
        <v>716.55</v>
      </c>
      <c r="L207" s="228">
        <v>-1.45</v>
      </c>
      <c r="M207" s="229">
        <v>-2E-3</v>
      </c>
      <c r="N207" s="228">
        <v>718.35</v>
      </c>
      <c r="O207" s="228">
        <v>714.95</v>
      </c>
      <c r="P207" s="228">
        <v>3.4</v>
      </c>
      <c r="Q207" s="229">
        <v>4.7999999999999996E-3</v>
      </c>
      <c r="R207" s="228">
        <v>722.8</v>
      </c>
      <c r="S207" s="228">
        <v>720.45</v>
      </c>
      <c r="T207" s="228">
        <v>2.35</v>
      </c>
      <c r="U207" s="229">
        <v>3.3E-3</v>
      </c>
      <c r="V207" s="228">
        <v>0</v>
      </c>
      <c r="W207" s="228">
        <v>725.7</v>
      </c>
      <c r="X207" s="228">
        <v>0</v>
      </c>
      <c r="Y207" s="229">
        <v>0</v>
      </c>
      <c r="Z207" s="228">
        <v>3.25</v>
      </c>
      <c r="AA207" s="228">
        <v>3.9</v>
      </c>
      <c r="AB207" s="228">
        <v>-0.65</v>
      </c>
      <c r="AC207" s="229">
        <v>4.4999999999999997E-3</v>
      </c>
      <c r="AD207" s="228">
        <v>3.25</v>
      </c>
      <c r="AE207" s="228">
        <v>-1.6</v>
      </c>
      <c r="AF207" s="228">
        <v>4.8499999999999996</v>
      </c>
      <c r="AG207" s="229">
        <v>4.4999999999999997E-3</v>
      </c>
      <c r="AH207" s="228">
        <v>7.7</v>
      </c>
      <c r="AI207" s="228">
        <v>3.9</v>
      </c>
      <c r="AJ207" s="228">
        <v>3.8</v>
      </c>
      <c r="AK207" s="229">
        <v>1.0800000000000001E-2</v>
      </c>
      <c r="AL207" s="228">
        <v>0</v>
      </c>
      <c r="AM207" s="228">
        <v>9.15</v>
      </c>
      <c r="AN207" s="228">
        <v>0</v>
      </c>
      <c r="AO207" s="229">
        <v>0</v>
      </c>
      <c r="AP207" s="228">
        <v>716.13</v>
      </c>
      <c r="AQ207" s="228">
        <v>719.63</v>
      </c>
      <c r="AR207" s="228">
        <v>0</v>
      </c>
      <c r="AS207" s="228">
        <v>187</v>
      </c>
      <c r="AT207" s="230">
        <v>2916</v>
      </c>
      <c r="AU207" s="230">
        <v>-2729</v>
      </c>
      <c r="AV207" s="229">
        <v>-0.93569999999999998</v>
      </c>
      <c r="AW207" s="228">
        <v>179</v>
      </c>
      <c r="AX207" s="230">
        <v>1275</v>
      </c>
      <c r="AY207" s="230">
        <v>-1096</v>
      </c>
      <c r="AZ207" s="229">
        <v>-0.86</v>
      </c>
      <c r="BA207" s="228">
        <v>9</v>
      </c>
      <c r="BB207" s="230">
        <v>1627</v>
      </c>
      <c r="BC207" s="230">
        <v>-1618</v>
      </c>
      <c r="BD207" s="229">
        <v>-0.99450000000000005</v>
      </c>
      <c r="BE207" s="228">
        <v>0</v>
      </c>
      <c r="BF207" s="228">
        <v>14</v>
      </c>
      <c r="BG207" s="228">
        <v>0</v>
      </c>
      <c r="BH207" s="229">
        <v>0</v>
      </c>
      <c r="BI207" s="228">
        <v>306</v>
      </c>
      <c r="BJ207" s="230">
        <v>1882</v>
      </c>
      <c r="BK207" s="230">
        <v>-1576</v>
      </c>
      <c r="BL207" s="229">
        <v>-0.83750000000000002</v>
      </c>
      <c r="BM207" s="228">
        <v>157</v>
      </c>
      <c r="BN207" s="228">
        <v>867</v>
      </c>
      <c r="BO207" s="228">
        <v>-710</v>
      </c>
      <c r="BP207" s="229">
        <v>-0.81869999999999998</v>
      </c>
      <c r="BQ207" s="228">
        <v>650</v>
      </c>
      <c r="BR207" s="230">
        <v>5665</v>
      </c>
      <c r="BS207" s="230">
        <v>-5014</v>
      </c>
      <c r="BT207" s="229">
        <v>-0.88519999999999999</v>
      </c>
      <c r="BU207" s="230">
        <v>1341563</v>
      </c>
      <c r="BV207" s="230">
        <v>3710372</v>
      </c>
      <c r="BW207" s="230">
        <v>-2368809</v>
      </c>
      <c r="BX207" s="229">
        <v>-0.63839999999999997</v>
      </c>
      <c r="BY207" s="230">
        <v>2372</v>
      </c>
      <c r="BZ207" s="230">
        <v>2379</v>
      </c>
      <c r="CA207" s="228">
        <v>-7</v>
      </c>
      <c r="CB207" s="229">
        <v>-3.0000000000000001E-3</v>
      </c>
      <c r="CC207" s="230">
        <v>2345</v>
      </c>
      <c r="CD207" s="228">
        <v>119</v>
      </c>
      <c r="CE207" s="230">
        <v>2226</v>
      </c>
      <c r="CF207" s="229">
        <v>18.683</v>
      </c>
      <c r="CG207" s="228">
        <v>27</v>
      </c>
      <c r="CH207" s="230">
        <v>2355</v>
      </c>
      <c r="CI207" s="230">
        <v>-2329</v>
      </c>
      <c r="CJ207" s="229">
        <v>-0.98860000000000003</v>
      </c>
      <c r="CK207" s="228">
        <v>0</v>
      </c>
      <c r="CL207" s="228">
        <v>24</v>
      </c>
      <c r="CM207" s="228">
        <v>-24</v>
      </c>
      <c r="CN207" s="229">
        <v>-1</v>
      </c>
      <c r="CO207" s="228">
        <v>567</v>
      </c>
      <c r="CP207" s="228">
        <v>513</v>
      </c>
      <c r="CQ207" s="228">
        <v>54</v>
      </c>
      <c r="CR207" s="229">
        <v>0.1043</v>
      </c>
      <c r="CS207" s="228">
        <v>419</v>
      </c>
      <c r="CT207" s="228">
        <v>385</v>
      </c>
      <c r="CU207" s="228">
        <v>34</v>
      </c>
      <c r="CV207" s="229">
        <v>8.7800000000000003E-2</v>
      </c>
      <c r="CW207" s="230">
        <v>3357</v>
      </c>
      <c r="CX207" s="230">
        <v>3277</v>
      </c>
      <c r="CY207" s="228">
        <v>80</v>
      </c>
      <c r="CZ207" s="229">
        <v>2.4500000000000001E-2</v>
      </c>
      <c r="DA207" s="228">
        <v>34.409999999999997</v>
      </c>
      <c r="DB207" s="228">
        <v>34.619999999999997</v>
      </c>
      <c r="DC207" s="228">
        <v>-0.21</v>
      </c>
      <c r="DD207" s="228">
        <v>-0.21</v>
      </c>
      <c r="DE207" s="228">
        <v>33.78</v>
      </c>
      <c r="DF207" s="228">
        <v>33.86</v>
      </c>
      <c r="DG207" s="228">
        <v>0.63</v>
      </c>
      <c r="DH207" s="228">
        <v>-0.08</v>
      </c>
      <c r="DI207" s="228">
        <v>33.96</v>
      </c>
      <c r="DJ207" s="228">
        <v>34.69</v>
      </c>
      <c r="DK207" s="228">
        <v>-0.73</v>
      </c>
      <c r="DL207" s="228">
        <v>-0.73</v>
      </c>
      <c r="DM207" s="228">
        <v>35.299999999999997</v>
      </c>
      <c r="DN207" s="228">
        <v>34.5</v>
      </c>
      <c r="DO207" s="228">
        <v>0.8</v>
      </c>
      <c r="DP207" s="228">
        <v>0.8</v>
      </c>
      <c r="DQ207" s="228">
        <v>0.74</v>
      </c>
      <c r="DR207" s="228">
        <v>0.75</v>
      </c>
      <c r="DS207" s="228">
        <v>-0.01</v>
      </c>
      <c r="DT207" s="229">
        <v>-1.3299999999999999E-2</v>
      </c>
      <c r="DU207" s="228">
        <v>800</v>
      </c>
      <c r="DV207" s="228">
        <v>700</v>
      </c>
      <c r="DW207" s="228">
        <v>0.51</v>
      </c>
      <c r="DX207" s="228">
        <v>0.46</v>
      </c>
      <c r="DY207" s="228">
        <v>0.05</v>
      </c>
      <c r="DZ207" s="229">
        <v>0.1087</v>
      </c>
      <c r="EA207" s="229">
        <v>1.1299999999999999E-2</v>
      </c>
      <c r="EB207" s="230">
        <v>33116200</v>
      </c>
      <c r="EC207" s="229">
        <v>6.1999999999999998E-3</v>
      </c>
      <c r="ED207" s="229">
        <v>1.1299999999999999E-2</v>
      </c>
      <c r="EE207" s="228">
        <v>3.5</v>
      </c>
      <c r="EF207" s="229">
        <v>4.8999999999999998E-3</v>
      </c>
      <c r="EG207" s="230">
        <v>719143</v>
      </c>
      <c r="EH207" s="230">
        <v>1796420</v>
      </c>
      <c r="EI207" s="229">
        <v>-0.59970000000000001</v>
      </c>
      <c r="EJ207" s="229">
        <v>0.53600000000000003</v>
      </c>
      <c r="EK207" s="228">
        <v>325.89</v>
      </c>
      <c r="EL207" s="228">
        <v>155.01</v>
      </c>
      <c r="EM207" s="228">
        <v>186.94</v>
      </c>
      <c r="EN207" s="228">
        <v>254.39</v>
      </c>
      <c r="EO207" s="228">
        <v>667.83</v>
      </c>
      <c r="EP207" s="231">
        <v>5729.01</v>
      </c>
      <c r="EQ207" s="231">
        <v>-5061.18</v>
      </c>
      <c r="ER207" s="229">
        <v>-0.88339999999999996</v>
      </c>
      <c r="ES207" s="228">
        <v>594.75</v>
      </c>
      <c r="ET207" s="228">
        <v>405.28</v>
      </c>
      <c r="EU207" s="231">
        <v>2371.96</v>
      </c>
      <c r="EV207" s="231">
        <v>84228583</v>
      </c>
      <c r="EW207" s="231">
        <v>3371.99</v>
      </c>
      <c r="EX207" s="231">
        <v>3296.2</v>
      </c>
      <c r="EY207" s="228">
        <v>75.790000000000006</v>
      </c>
      <c r="EZ207" s="229">
        <v>2.3E-2</v>
      </c>
      <c r="FA207" s="229">
        <v>0.55479999999999996</v>
      </c>
      <c r="FB207" s="227" t="s">
        <v>568</v>
      </c>
      <c r="FC207">
        <f t="shared" si="4"/>
        <v>0</v>
      </c>
    </row>
    <row r="208" spans="1:159" ht="17.25" thickBot="1" x14ac:dyDescent="0.3">
      <c r="A208" s="226">
        <v>46050</v>
      </c>
      <c r="B208" s="227" t="s">
        <v>168</v>
      </c>
      <c r="C208" s="227" t="s">
        <v>586</v>
      </c>
      <c r="D208" s="228">
        <v>1125</v>
      </c>
      <c r="E208" s="228">
        <v>27</v>
      </c>
      <c r="F208" s="228">
        <v>471.55</v>
      </c>
      <c r="G208" s="228">
        <v>475.05</v>
      </c>
      <c r="H208" s="228">
        <v>-3.5</v>
      </c>
      <c r="I208" s="229">
        <v>-7.4000000000000003E-3</v>
      </c>
      <c r="J208" s="228">
        <v>468.4</v>
      </c>
      <c r="K208" s="228">
        <v>471.65</v>
      </c>
      <c r="L208" s="228">
        <v>-3.25</v>
      </c>
      <c r="M208" s="229">
        <v>-6.8999999999999999E-3</v>
      </c>
      <c r="N208" s="228">
        <v>471.55</v>
      </c>
      <c r="O208" s="228">
        <v>471.65</v>
      </c>
      <c r="P208" s="228">
        <v>-0.1</v>
      </c>
      <c r="Q208" s="229">
        <v>-2.0000000000000001E-4</v>
      </c>
      <c r="R208" s="228">
        <v>474.55</v>
      </c>
      <c r="S208" s="228">
        <v>475.05</v>
      </c>
      <c r="T208" s="228">
        <v>-0.5</v>
      </c>
      <c r="U208" s="229">
        <v>-1.1000000000000001E-3</v>
      </c>
      <c r="V208" s="228">
        <v>472.75</v>
      </c>
      <c r="W208" s="228">
        <v>477.9</v>
      </c>
      <c r="X208" s="228">
        <v>-5.15</v>
      </c>
      <c r="Y208" s="229">
        <v>-1.0800000000000001E-2</v>
      </c>
      <c r="Z208" s="228">
        <v>3.15</v>
      </c>
      <c r="AA208" s="228">
        <v>3.4</v>
      </c>
      <c r="AB208" s="228">
        <v>-0.25</v>
      </c>
      <c r="AC208" s="229">
        <v>6.7000000000000002E-3</v>
      </c>
      <c r="AD208" s="228">
        <v>3.15</v>
      </c>
      <c r="AE208" s="228">
        <v>0</v>
      </c>
      <c r="AF208" s="228">
        <v>3.15</v>
      </c>
      <c r="AG208" s="229">
        <v>6.7000000000000002E-3</v>
      </c>
      <c r="AH208" s="228">
        <v>6.15</v>
      </c>
      <c r="AI208" s="228">
        <v>3.4</v>
      </c>
      <c r="AJ208" s="228">
        <v>2.75</v>
      </c>
      <c r="AK208" s="229">
        <v>1.3100000000000001E-2</v>
      </c>
      <c r="AL208" s="228">
        <v>4.3499999999999996</v>
      </c>
      <c r="AM208" s="228">
        <v>6.25</v>
      </c>
      <c r="AN208" s="228">
        <v>-1.9</v>
      </c>
      <c r="AO208" s="229">
        <v>9.2999999999999992E-3</v>
      </c>
      <c r="AP208" s="228">
        <v>468.88</v>
      </c>
      <c r="AQ208" s="228">
        <v>471.48</v>
      </c>
      <c r="AR208" s="228">
        <v>0</v>
      </c>
      <c r="AS208" s="228">
        <v>274</v>
      </c>
      <c r="AT208" s="230">
        <v>1253</v>
      </c>
      <c r="AU208" s="228">
        <v>-979</v>
      </c>
      <c r="AV208" s="229">
        <v>-0.78100000000000003</v>
      </c>
      <c r="AW208" s="228">
        <v>263</v>
      </c>
      <c r="AX208" s="228">
        <v>518</v>
      </c>
      <c r="AY208" s="228">
        <v>-255</v>
      </c>
      <c r="AZ208" s="229">
        <v>-0.49280000000000002</v>
      </c>
      <c r="BA208" s="228">
        <v>12</v>
      </c>
      <c r="BB208" s="228">
        <v>726</v>
      </c>
      <c r="BC208" s="228">
        <v>-714</v>
      </c>
      <c r="BD208" s="229">
        <v>-0.98409999999999997</v>
      </c>
      <c r="BE208" s="228">
        <v>0</v>
      </c>
      <c r="BF208" s="228">
        <v>9</v>
      </c>
      <c r="BG208" s="228">
        <v>-9</v>
      </c>
      <c r="BH208" s="229">
        <v>-0.97750000000000004</v>
      </c>
      <c r="BI208" s="228">
        <v>244</v>
      </c>
      <c r="BJ208" s="228">
        <v>346</v>
      </c>
      <c r="BK208" s="228">
        <v>-102</v>
      </c>
      <c r="BL208" s="229">
        <v>-0.29509999999999997</v>
      </c>
      <c r="BM208" s="228">
        <v>204</v>
      </c>
      <c r="BN208" s="228">
        <v>525</v>
      </c>
      <c r="BO208" s="228">
        <v>-321</v>
      </c>
      <c r="BP208" s="229">
        <v>-0.61080000000000001</v>
      </c>
      <c r="BQ208" s="228">
        <v>723</v>
      </c>
      <c r="BR208" s="230">
        <v>2124</v>
      </c>
      <c r="BS208" s="230">
        <v>-1401</v>
      </c>
      <c r="BT208" s="229">
        <v>-0.65980000000000005</v>
      </c>
      <c r="BU208" s="230">
        <v>8254312</v>
      </c>
      <c r="BV208" s="230">
        <v>4131229</v>
      </c>
      <c r="BW208" s="230">
        <v>4123083</v>
      </c>
      <c r="BX208" s="229">
        <v>0.998</v>
      </c>
      <c r="BY208" s="230">
        <v>2211</v>
      </c>
      <c r="BZ208" s="230">
        <v>2158</v>
      </c>
      <c r="CA208" s="228">
        <v>53</v>
      </c>
      <c r="CB208" s="229">
        <v>2.46E-2</v>
      </c>
      <c r="CC208" s="230">
        <v>2192</v>
      </c>
      <c r="CD208" s="228">
        <v>144</v>
      </c>
      <c r="CE208" s="230">
        <v>2047</v>
      </c>
      <c r="CF208" s="229">
        <v>14.2158</v>
      </c>
      <c r="CG208" s="228">
        <v>19</v>
      </c>
      <c r="CH208" s="230">
        <v>2145</v>
      </c>
      <c r="CI208" s="230">
        <v>-2125</v>
      </c>
      <c r="CJ208" s="229">
        <v>-0.9909</v>
      </c>
      <c r="CK208" s="228">
        <v>0</v>
      </c>
      <c r="CL208" s="228">
        <v>14</v>
      </c>
      <c r="CM208" s="228">
        <v>-13</v>
      </c>
      <c r="CN208" s="229">
        <v>-0.98440000000000005</v>
      </c>
      <c r="CO208" s="228">
        <v>258</v>
      </c>
      <c r="CP208" s="228">
        <v>195</v>
      </c>
      <c r="CQ208" s="228">
        <v>64</v>
      </c>
      <c r="CR208" s="229">
        <v>0.32690000000000002</v>
      </c>
      <c r="CS208" s="228">
        <v>235</v>
      </c>
      <c r="CT208" s="228">
        <v>169</v>
      </c>
      <c r="CU208" s="228">
        <v>66</v>
      </c>
      <c r="CV208" s="229">
        <v>0.38890000000000002</v>
      </c>
      <c r="CW208" s="230">
        <v>2705</v>
      </c>
      <c r="CX208" s="230">
        <v>2522</v>
      </c>
      <c r="CY208" s="228">
        <v>183</v>
      </c>
      <c r="CZ208" s="229">
        <v>7.2400000000000006E-2</v>
      </c>
      <c r="DA208" s="228">
        <v>34.53</v>
      </c>
      <c r="DB208" s="228">
        <v>34.93</v>
      </c>
      <c r="DC208" s="228">
        <v>-0.4</v>
      </c>
      <c r="DD208" s="228">
        <v>-0.4</v>
      </c>
      <c r="DE208" s="228">
        <v>36.75</v>
      </c>
      <c r="DF208" s="228">
        <v>36.83</v>
      </c>
      <c r="DG208" s="228">
        <v>-2.2200000000000002</v>
      </c>
      <c r="DH208" s="228">
        <v>-0.08</v>
      </c>
      <c r="DI208" s="228">
        <v>33.72</v>
      </c>
      <c r="DJ208" s="228">
        <v>34.619999999999997</v>
      </c>
      <c r="DK208" s="228">
        <v>-0.9</v>
      </c>
      <c r="DL208" s="228">
        <v>-0.9</v>
      </c>
      <c r="DM208" s="228">
        <v>35.49</v>
      </c>
      <c r="DN208" s="228">
        <v>35.200000000000003</v>
      </c>
      <c r="DO208" s="228">
        <v>0.28999999999999998</v>
      </c>
      <c r="DP208" s="228">
        <v>0.28999999999999998</v>
      </c>
      <c r="DQ208" s="228">
        <v>0.91</v>
      </c>
      <c r="DR208" s="228">
        <v>0.87</v>
      </c>
      <c r="DS208" s="228">
        <v>0.04</v>
      </c>
      <c r="DT208" s="229">
        <v>4.5999999999999999E-2</v>
      </c>
      <c r="DU208" s="228">
        <v>500</v>
      </c>
      <c r="DV208" s="228">
        <v>450</v>
      </c>
      <c r="DW208" s="228">
        <v>0.84</v>
      </c>
      <c r="DX208" s="228">
        <v>1.52</v>
      </c>
      <c r="DY208" s="228">
        <v>-0.68</v>
      </c>
      <c r="DZ208" s="229">
        <v>-0.44740000000000002</v>
      </c>
      <c r="EA208" s="229">
        <v>8.8999999999999999E-3</v>
      </c>
      <c r="EB208" s="230">
        <v>45766125</v>
      </c>
      <c r="EC208" s="229">
        <v>6.4000000000000003E-3</v>
      </c>
      <c r="ED208" s="229">
        <v>8.8999999999999999E-3</v>
      </c>
      <c r="EE208" s="228">
        <v>2.6</v>
      </c>
      <c r="EF208" s="229">
        <v>5.4999999999999997E-3</v>
      </c>
      <c r="EG208" s="230">
        <v>5797365</v>
      </c>
      <c r="EH208" s="230">
        <v>1851019</v>
      </c>
      <c r="EI208" s="229">
        <v>2.1320000000000001</v>
      </c>
      <c r="EJ208" s="229">
        <v>0.70230000000000004</v>
      </c>
      <c r="EK208" s="228">
        <v>259.92</v>
      </c>
      <c r="EL208" s="228">
        <v>199.62</v>
      </c>
      <c r="EM208" s="228">
        <v>272.88</v>
      </c>
      <c r="EN208" s="228">
        <v>265.70999999999998</v>
      </c>
      <c r="EO208" s="228">
        <v>732.43</v>
      </c>
      <c r="EP208" s="231">
        <v>2146.96</v>
      </c>
      <c r="EQ208" s="231">
        <v>-1414.53</v>
      </c>
      <c r="ER208" s="229">
        <v>-0.65890000000000004</v>
      </c>
      <c r="ES208" s="228">
        <v>273.64999999999998</v>
      </c>
      <c r="ET208" s="228">
        <v>228.92</v>
      </c>
      <c r="EU208" s="231">
        <v>2211.2800000000002</v>
      </c>
      <c r="EV208" s="231">
        <v>205761118</v>
      </c>
      <c r="EW208" s="231">
        <v>2713.85</v>
      </c>
      <c r="EX208" s="231">
        <v>2549.09</v>
      </c>
      <c r="EY208" s="228">
        <v>164.76</v>
      </c>
      <c r="EZ208" s="229">
        <v>6.4600000000000005E-2</v>
      </c>
      <c r="FA208" s="229">
        <v>0.27879999999999999</v>
      </c>
      <c r="FB208" s="227" t="s">
        <v>567</v>
      </c>
      <c r="FC208">
        <f t="shared" si="4"/>
        <v>0</v>
      </c>
    </row>
    <row r="209" spans="1:159" ht="17.25" thickBot="1" x14ac:dyDescent="0.3">
      <c r="A209" s="226">
        <v>46050</v>
      </c>
      <c r="B209" s="227" t="s">
        <v>227</v>
      </c>
      <c r="C209" s="227" t="s">
        <v>304</v>
      </c>
      <c r="D209" s="228">
        <v>1150</v>
      </c>
      <c r="E209" s="228">
        <v>27</v>
      </c>
      <c r="F209" s="228">
        <v>739.5</v>
      </c>
      <c r="G209" s="228">
        <v>707.9</v>
      </c>
      <c r="H209" s="228">
        <v>31.6</v>
      </c>
      <c r="I209" s="229">
        <v>4.4600000000000001E-2</v>
      </c>
      <c r="J209" s="228">
        <v>737.1</v>
      </c>
      <c r="K209" s="228">
        <v>705.45</v>
      </c>
      <c r="L209" s="228">
        <v>31.65</v>
      </c>
      <c r="M209" s="229">
        <v>4.4900000000000002E-2</v>
      </c>
      <c r="N209" s="228">
        <v>739.5</v>
      </c>
      <c r="O209" s="228">
        <v>705.8</v>
      </c>
      <c r="P209" s="228">
        <v>33.700000000000003</v>
      </c>
      <c r="Q209" s="229">
        <v>4.7699999999999999E-2</v>
      </c>
      <c r="R209" s="228">
        <v>737.6</v>
      </c>
      <c r="S209" s="228">
        <v>707.9</v>
      </c>
      <c r="T209" s="228">
        <v>29.7</v>
      </c>
      <c r="U209" s="229">
        <v>4.2000000000000003E-2</v>
      </c>
      <c r="V209" s="228">
        <v>738.6</v>
      </c>
      <c r="W209" s="228">
        <v>704.65</v>
      </c>
      <c r="X209" s="228">
        <v>33.950000000000003</v>
      </c>
      <c r="Y209" s="229">
        <v>4.82E-2</v>
      </c>
      <c r="Z209" s="228">
        <v>2.4</v>
      </c>
      <c r="AA209" s="228">
        <v>2.4500000000000002</v>
      </c>
      <c r="AB209" s="228">
        <v>-0.05</v>
      </c>
      <c r="AC209" s="229">
        <v>3.3E-3</v>
      </c>
      <c r="AD209" s="228">
        <v>2.4</v>
      </c>
      <c r="AE209" s="228">
        <v>0.35</v>
      </c>
      <c r="AF209" s="228">
        <v>2.0499999999999998</v>
      </c>
      <c r="AG209" s="229">
        <v>3.3E-3</v>
      </c>
      <c r="AH209" s="228">
        <v>0.5</v>
      </c>
      <c r="AI209" s="228">
        <v>2.4500000000000002</v>
      </c>
      <c r="AJ209" s="228">
        <v>-1.95</v>
      </c>
      <c r="AK209" s="229">
        <v>6.9999999999999999E-4</v>
      </c>
      <c r="AL209" s="228">
        <v>1.5</v>
      </c>
      <c r="AM209" s="228">
        <v>-0.8</v>
      </c>
      <c r="AN209" s="228">
        <v>2.2999999999999998</v>
      </c>
      <c r="AO209" s="229">
        <v>2E-3</v>
      </c>
      <c r="AP209" s="228">
        <v>733.84</v>
      </c>
      <c r="AQ209" s="228">
        <v>730.54</v>
      </c>
      <c r="AR209" s="228">
        <v>0</v>
      </c>
      <c r="AS209" s="230">
        <v>2837</v>
      </c>
      <c r="AT209" s="230">
        <v>3680</v>
      </c>
      <c r="AU209" s="228">
        <v>-843</v>
      </c>
      <c r="AV209" s="229">
        <v>-0.22919999999999999</v>
      </c>
      <c r="AW209" s="230">
        <v>2651</v>
      </c>
      <c r="AX209" s="230">
        <v>1508</v>
      </c>
      <c r="AY209" s="230">
        <v>1143</v>
      </c>
      <c r="AZ209" s="229">
        <v>0.75780000000000003</v>
      </c>
      <c r="BA209" s="228">
        <v>171</v>
      </c>
      <c r="BB209" s="230">
        <v>2089</v>
      </c>
      <c r="BC209" s="230">
        <v>-1918</v>
      </c>
      <c r="BD209" s="229">
        <v>-0.91830000000000001</v>
      </c>
      <c r="BE209" s="228">
        <v>15</v>
      </c>
      <c r="BF209" s="228">
        <v>83</v>
      </c>
      <c r="BG209" s="228">
        <v>-68</v>
      </c>
      <c r="BH209" s="229">
        <v>-0.81879999999999997</v>
      </c>
      <c r="BI209" s="230">
        <v>12378</v>
      </c>
      <c r="BJ209" s="230">
        <v>7306</v>
      </c>
      <c r="BK209" s="230">
        <v>5072</v>
      </c>
      <c r="BL209" s="229">
        <v>0.69410000000000005</v>
      </c>
      <c r="BM209" s="230">
        <v>4465</v>
      </c>
      <c r="BN209" s="230">
        <v>3199</v>
      </c>
      <c r="BO209" s="230">
        <v>1266</v>
      </c>
      <c r="BP209" s="229">
        <v>0.3957</v>
      </c>
      <c r="BQ209" s="230">
        <v>19680</v>
      </c>
      <c r="BR209" s="230">
        <v>14186</v>
      </c>
      <c r="BS209" s="230">
        <v>5494</v>
      </c>
      <c r="BT209" s="229">
        <v>0.38729999999999998</v>
      </c>
      <c r="BU209" s="230">
        <v>28476751</v>
      </c>
      <c r="BV209" s="230">
        <v>22997703</v>
      </c>
      <c r="BW209" s="230">
        <v>5479048</v>
      </c>
      <c r="BX209" s="229">
        <v>0.2382</v>
      </c>
      <c r="BY209" s="230">
        <v>5819</v>
      </c>
      <c r="BZ209" s="230">
        <v>5698</v>
      </c>
      <c r="CA209" s="228">
        <v>121</v>
      </c>
      <c r="CB209" s="229">
        <v>2.12E-2</v>
      </c>
      <c r="CC209" s="230">
        <v>5615</v>
      </c>
      <c r="CD209" s="228">
        <v>433</v>
      </c>
      <c r="CE209" s="230">
        <v>5183</v>
      </c>
      <c r="CF209" s="229">
        <v>11.9801</v>
      </c>
      <c r="CG209" s="228">
        <v>196</v>
      </c>
      <c r="CH209" s="230">
        <v>5525</v>
      </c>
      <c r="CI209" s="230">
        <v>-5329</v>
      </c>
      <c r="CJ209" s="229">
        <v>-0.96460000000000001</v>
      </c>
      <c r="CK209" s="228">
        <v>8</v>
      </c>
      <c r="CL209" s="228">
        <v>173</v>
      </c>
      <c r="CM209" s="228">
        <v>-165</v>
      </c>
      <c r="CN209" s="229">
        <v>-0.95389999999999997</v>
      </c>
      <c r="CO209" s="230">
        <v>2050</v>
      </c>
      <c r="CP209" s="230">
        <v>2005</v>
      </c>
      <c r="CQ209" s="228">
        <v>45</v>
      </c>
      <c r="CR209" s="229">
        <v>2.2499999999999999E-2</v>
      </c>
      <c r="CS209" s="230">
        <v>1453</v>
      </c>
      <c r="CT209" s="230">
        <v>1137</v>
      </c>
      <c r="CU209" s="228">
        <v>316</v>
      </c>
      <c r="CV209" s="229">
        <v>0.27800000000000002</v>
      </c>
      <c r="CW209" s="230">
        <v>9322</v>
      </c>
      <c r="CX209" s="230">
        <v>8840</v>
      </c>
      <c r="CY209" s="228">
        <v>482</v>
      </c>
      <c r="CZ209" s="229">
        <v>5.45E-2</v>
      </c>
      <c r="DA209" s="228">
        <v>38.97</v>
      </c>
      <c r="DB209" s="228">
        <v>41.81</v>
      </c>
      <c r="DC209" s="228">
        <v>-2.84</v>
      </c>
      <c r="DD209" s="228">
        <v>-2.84</v>
      </c>
      <c r="DE209" s="228">
        <v>37.270000000000003</v>
      </c>
      <c r="DF209" s="228">
        <v>36.9</v>
      </c>
      <c r="DG209" s="228">
        <v>1.7</v>
      </c>
      <c r="DH209" s="228">
        <v>0.37</v>
      </c>
      <c r="DI209" s="228">
        <v>38.89</v>
      </c>
      <c r="DJ209" s="228">
        <v>41.98</v>
      </c>
      <c r="DK209" s="228">
        <v>-3.09</v>
      </c>
      <c r="DL209" s="228">
        <v>-3.09</v>
      </c>
      <c r="DM209" s="228">
        <v>39.18</v>
      </c>
      <c r="DN209" s="228">
        <v>41.36</v>
      </c>
      <c r="DO209" s="228">
        <v>-2.1800000000000002</v>
      </c>
      <c r="DP209" s="228">
        <v>-2.1800000000000002</v>
      </c>
      <c r="DQ209" s="228">
        <v>0.71</v>
      </c>
      <c r="DR209" s="228">
        <v>0.56999999999999995</v>
      </c>
      <c r="DS209" s="228">
        <v>0.14000000000000001</v>
      </c>
      <c r="DT209" s="229">
        <v>0.24560000000000001</v>
      </c>
      <c r="DU209" s="228">
        <v>700</v>
      </c>
      <c r="DV209" s="228">
        <v>700</v>
      </c>
      <c r="DW209" s="228">
        <v>0.36</v>
      </c>
      <c r="DX209" s="228">
        <v>0.44</v>
      </c>
      <c r="DY209" s="228">
        <v>-0.08</v>
      </c>
      <c r="DZ209" s="229">
        <v>-0.18179999999999999</v>
      </c>
      <c r="EA209" s="229">
        <v>3.5000000000000003E-2</v>
      </c>
      <c r="EB209" s="230">
        <v>77055750</v>
      </c>
      <c r="EC209" s="229">
        <v>-2.5999999999999999E-3</v>
      </c>
      <c r="ED209" s="229">
        <v>3.5000000000000003E-2</v>
      </c>
      <c r="EE209" s="228">
        <v>-3.3</v>
      </c>
      <c r="EF209" s="229">
        <v>-4.4999999999999997E-3</v>
      </c>
      <c r="EG209" s="230">
        <v>7836812</v>
      </c>
      <c r="EH209" s="230">
        <v>11946832</v>
      </c>
      <c r="EI209" s="229">
        <v>-0.34399999999999997</v>
      </c>
      <c r="EJ209" s="229">
        <v>0.2752</v>
      </c>
      <c r="EK209" s="231">
        <v>13039.95</v>
      </c>
      <c r="EL209" s="231">
        <v>4231.71</v>
      </c>
      <c r="EM209" s="231">
        <v>2814.52</v>
      </c>
      <c r="EN209" s="228">
        <v>532.25</v>
      </c>
      <c r="EO209" s="231">
        <v>20086.18</v>
      </c>
      <c r="EP209" s="231">
        <v>13540.81</v>
      </c>
      <c r="EQ209" s="231">
        <v>6545.37</v>
      </c>
      <c r="ER209" s="229">
        <v>0.4834</v>
      </c>
      <c r="ES209" s="231">
        <v>1991.76</v>
      </c>
      <c r="ET209" s="231">
        <v>1306.71</v>
      </c>
      <c r="EU209" s="231">
        <v>5818.61</v>
      </c>
      <c r="EV209" s="231">
        <v>255091106</v>
      </c>
      <c r="EW209" s="231">
        <v>9117.07</v>
      </c>
      <c r="EX209" s="231">
        <v>8354.99</v>
      </c>
      <c r="EY209" s="228">
        <v>762.08</v>
      </c>
      <c r="EZ209" s="229">
        <v>9.1200000000000003E-2</v>
      </c>
      <c r="FA209" s="229">
        <v>0.49419999999999997</v>
      </c>
      <c r="FB209" s="227" t="s">
        <v>555</v>
      </c>
      <c r="FC209">
        <f t="shared" si="4"/>
        <v>0</v>
      </c>
    </row>
    <row r="210" spans="1:159" ht="17.25" thickBot="1" x14ac:dyDescent="0.3">
      <c r="A210" s="226">
        <v>46050</v>
      </c>
      <c r="B210" s="227" t="s">
        <v>184</v>
      </c>
      <c r="C210" s="227" t="s">
        <v>305</v>
      </c>
      <c r="D210" s="228">
        <v>375</v>
      </c>
      <c r="E210" s="228">
        <v>27</v>
      </c>
      <c r="F210" s="231">
        <v>1374.3</v>
      </c>
      <c r="G210" s="231">
        <v>1336.6</v>
      </c>
      <c r="H210" s="228">
        <v>37.700000000000003</v>
      </c>
      <c r="I210" s="229">
        <v>2.8199999999999999E-2</v>
      </c>
      <c r="J210" s="231">
        <v>1372.9</v>
      </c>
      <c r="K210" s="231">
        <v>1330.6</v>
      </c>
      <c r="L210" s="228">
        <v>42.3</v>
      </c>
      <c r="M210" s="229">
        <v>3.1800000000000002E-2</v>
      </c>
      <c r="N210" s="231">
        <v>1374.3</v>
      </c>
      <c r="O210" s="231">
        <v>1328.6</v>
      </c>
      <c r="P210" s="228">
        <v>45.7</v>
      </c>
      <c r="Q210" s="229">
        <v>3.44E-2</v>
      </c>
      <c r="R210" s="231">
        <v>1367.5</v>
      </c>
      <c r="S210" s="231">
        <v>1336.6</v>
      </c>
      <c r="T210" s="228">
        <v>30.9</v>
      </c>
      <c r="U210" s="229">
        <v>2.3099999999999999E-2</v>
      </c>
      <c r="V210" s="231">
        <v>1362.6</v>
      </c>
      <c r="W210" s="231">
        <v>1334.7</v>
      </c>
      <c r="X210" s="228">
        <v>27.9</v>
      </c>
      <c r="Y210" s="229">
        <v>2.0899999999999998E-2</v>
      </c>
      <c r="Z210" s="228">
        <v>1.4</v>
      </c>
      <c r="AA210" s="228">
        <v>6</v>
      </c>
      <c r="AB210" s="228">
        <v>-4.5999999999999996</v>
      </c>
      <c r="AC210" s="229">
        <v>1E-3</v>
      </c>
      <c r="AD210" s="228">
        <v>1.4</v>
      </c>
      <c r="AE210" s="228">
        <v>-2</v>
      </c>
      <c r="AF210" s="228">
        <v>3.4</v>
      </c>
      <c r="AG210" s="229">
        <v>1E-3</v>
      </c>
      <c r="AH210" s="228">
        <v>-5.4</v>
      </c>
      <c r="AI210" s="228">
        <v>6</v>
      </c>
      <c r="AJ210" s="228">
        <v>-11.4</v>
      </c>
      <c r="AK210" s="229">
        <v>-3.8999999999999998E-3</v>
      </c>
      <c r="AL210" s="228">
        <v>-10.3</v>
      </c>
      <c r="AM210" s="228">
        <v>4.0999999999999996</v>
      </c>
      <c r="AN210" s="228">
        <v>-14.4</v>
      </c>
      <c r="AO210" s="229">
        <v>-7.4999999999999997E-3</v>
      </c>
      <c r="AP210" s="231">
        <v>1357.07</v>
      </c>
      <c r="AQ210" s="231">
        <v>1356.44</v>
      </c>
      <c r="AR210" s="228">
        <v>0</v>
      </c>
      <c r="AS210" s="228">
        <v>396</v>
      </c>
      <c r="AT210" s="228">
        <v>711</v>
      </c>
      <c r="AU210" s="228">
        <v>-315</v>
      </c>
      <c r="AV210" s="229">
        <v>-0.44290000000000002</v>
      </c>
      <c r="AW210" s="228">
        <v>382</v>
      </c>
      <c r="AX210" s="228">
        <v>237</v>
      </c>
      <c r="AY210" s="228">
        <v>145</v>
      </c>
      <c r="AZ210" s="229">
        <v>0.61419999999999997</v>
      </c>
      <c r="BA210" s="228">
        <v>12</v>
      </c>
      <c r="BB210" s="228">
        <v>468</v>
      </c>
      <c r="BC210" s="228">
        <v>-455</v>
      </c>
      <c r="BD210" s="229">
        <v>-0.97330000000000005</v>
      </c>
      <c r="BE210" s="228">
        <v>1</v>
      </c>
      <c r="BF210" s="228">
        <v>6</v>
      </c>
      <c r="BG210" s="228">
        <v>-5</v>
      </c>
      <c r="BH210" s="229">
        <v>-0.80159999999999998</v>
      </c>
      <c r="BI210" s="228">
        <v>484</v>
      </c>
      <c r="BJ210" s="228">
        <v>875</v>
      </c>
      <c r="BK210" s="228">
        <v>-392</v>
      </c>
      <c r="BL210" s="229">
        <v>-0.44769999999999999</v>
      </c>
      <c r="BM210" s="228">
        <v>167</v>
      </c>
      <c r="BN210" s="228">
        <v>425</v>
      </c>
      <c r="BO210" s="228">
        <v>-257</v>
      </c>
      <c r="BP210" s="229">
        <v>-0.60580000000000001</v>
      </c>
      <c r="BQ210" s="230">
        <v>1047</v>
      </c>
      <c r="BR210" s="230">
        <v>2011</v>
      </c>
      <c r="BS210" s="228">
        <v>-964</v>
      </c>
      <c r="BT210" s="229">
        <v>-0.47939999999999999</v>
      </c>
      <c r="BU210" s="230">
        <v>758731</v>
      </c>
      <c r="BV210" s="230">
        <v>900190</v>
      </c>
      <c r="BW210" s="230">
        <v>-141459</v>
      </c>
      <c r="BX210" s="229">
        <v>-0.15709999999999999</v>
      </c>
      <c r="BY210" s="230">
        <v>1732</v>
      </c>
      <c r="BZ210" s="230">
        <v>1632</v>
      </c>
      <c r="CA210" s="228">
        <v>101</v>
      </c>
      <c r="CB210" s="229">
        <v>6.1800000000000001E-2</v>
      </c>
      <c r="CC210" s="230">
        <v>1715</v>
      </c>
      <c r="CD210" s="228">
        <v>88</v>
      </c>
      <c r="CE210" s="230">
        <v>1627</v>
      </c>
      <c r="CF210" s="229">
        <v>18.594200000000001</v>
      </c>
      <c r="CG210" s="228">
        <v>17</v>
      </c>
      <c r="CH210" s="230">
        <v>1615</v>
      </c>
      <c r="CI210" s="230">
        <v>-1598</v>
      </c>
      <c r="CJ210" s="229">
        <v>-0.98929999999999996</v>
      </c>
      <c r="CK210" s="228">
        <v>1</v>
      </c>
      <c r="CL210" s="228">
        <v>16</v>
      </c>
      <c r="CM210" s="228">
        <v>-16</v>
      </c>
      <c r="CN210" s="229">
        <v>-0.96879999999999999</v>
      </c>
      <c r="CO210" s="228">
        <v>216</v>
      </c>
      <c r="CP210" s="228">
        <v>194</v>
      </c>
      <c r="CQ210" s="228">
        <v>22</v>
      </c>
      <c r="CR210" s="229">
        <v>0.1144</v>
      </c>
      <c r="CS210" s="228">
        <v>187</v>
      </c>
      <c r="CT210" s="228">
        <v>148</v>
      </c>
      <c r="CU210" s="228">
        <v>39</v>
      </c>
      <c r="CV210" s="229">
        <v>0.26529999999999998</v>
      </c>
      <c r="CW210" s="230">
        <v>2135</v>
      </c>
      <c r="CX210" s="230">
        <v>1973</v>
      </c>
      <c r="CY210" s="228">
        <v>162</v>
      </c>
      <c r="CZ210" s="229">
        <v>8.2199999999999995E-2</v>
      </c>
      <c r="DA210" s="228">
        <v>41.3</v>
      </c>
      <c r="DB210" s="228">
        <v>40.19</v>
      </c>
      <c r="DC210" s="228">
        <v>1.1100000000000001</v>
      </c>
      <c r="DD210" s="228">
        <v>1.1100000000000001</v>
      </c>
      <c r="DE210" s="228">
        <v>36.51</v>
      </c>
      <c r="DF210" s="228">
        <v>36.36</v>
      </c>
      <c r="DG210" s="228">
        <v>4.79</v>
      </c>
      <c r="DH210" s="228">
        <v>0.15</v>
      </c>
      <c r="DI210" s="228">
        <v>40.64</v>
      </c>
      <c r="DJ210" s="228">
        <v>40.020000000000003</v>
      </c>
      <c r="DK210" s="228">
        <v>0.62</v>
      </c>
      <c r="DL210" s="228">
        <v>0.62</v>
      </c>
      <c r="DM210" s="228">
        <v>43.18</v>
      </c>
      <c r="DN210" s="228">
        <v>40.49</v>
      </c>
      <c r="DO210" s="228">
        <v>2.69</v>
      </c>
      <c r="DP210" s="228">
        <v>2.69</v>
      </c>
      <c r="DQ210" s="228">
        <v>0.87</v>
      </c>
      <c r="DR210" s="228">
        <v>0.76</v>
      </c>
      <c r="DS210" s="228">
        <v>0.11</v>
      </c>
      <c r="DT210" s="229">
        <v>0.1447</v>
      </c>
      <c r="DU210" s="231">
        <v>1400</v>
      </c>
      <c r="DV210" s="231">
        <v>1300</v>
      </c>
      <c r="DW210" s="228">
        <v>0.35</v>
      </c>
      <c r="DX210" s="228">
        <v>0.49</v>
      </c>
      <c r="DY210" s="228">
        <v>-0.14000000000000001</v>
      </c>
      <c r="DZ210" s="229">
        <v>-0.28570000000000001</v>
      </c>
      <c r="EA210" s="229">
        <v>1.03E-2</v>
      </c>
      <c r="EB210" s="230">
        <v>11872875</v>
      </c>
      <c r="EC210" s="229">
        <v>-4.8999999999999998E-3</v>
      </c>
      <c r="ED210" s="229">
        <v>1.03E-2</v>
      </c>
      <c r="EE210" s="228">
        <v>-0.63</v>
      </c>
      <c r="EF210" s="229">
        <v>-5.0000000000000001E-4</v>
      </c>
      <c r="EG210" s="230">
        <v>344247</v>
      </c>
      <c r="EH210" s="230">
        <v>375468</v>
      </c>
      <c r="EI210" s="229">
        <v>-8.3199999999999996E-2</v>
      </c>
      <c r="EJ210" s="229">
        <v>0.45369999999999999</v>
      </c>
      <c r="EK210" s="228">
        <v>511.89</v>
      </c>
      <c r="EL210" s="228">
        <v>163.08000000000001</v>
      </c>
      <c r="EM210" s="228">
        <v>391.14</v>
      </c>
      <c r="EN210" s="228">
        <v>282.16000000000003</v>
      </c>
      <c r="EO210" s="231">
        <v>1066.1099999999999</v>
      </c>
      <c r="EP210" s="231">
        <v>1976.6</v>
      </c>
      <c r="EQ210" s="228">
        <v>-910.49</v>
      </c>
      <c r="ER210" s="229">
        <v>-0.46060000000000001</v>
      </c>
      <c r="ES210" s="228">
        <v>225.3</v>
      </c>
      <c r="ET210" s="228">
        <v>176.8</v>
      </c>
      <c r="EU210" s="231">
        <v>1732.4</v>
      </c>
      <c r="EV210" s="231">
        <v>34594689</v>
      </c>
      <c r="EW210" s="231">
        <v>2134.5100000000002</v>
      </c>
      <c r="EX210" s="231">
        <v>1927.76</v>
      </c>
      <c r="EY210" s="228">
        <v>206.75</v>
      </c>
      <c r="EZ210" s="229">
        <v>0.1072</v>
      </c>
      <c r="FA210" s="229">
        <v>0.4491</v>
      </c>
      <c r="FB210" s="227" t="s">
        <v>555</v>
      </c>
      <c r="FC210">
        <f t="shared" si="4"/>
        <v>0</v>
      </c>
    </row>
    <row r="211" spans="1:159" ht="17.25" thickBot="1" x14ac:dyDescent="0.3">
      <c r="A211" s="226">
        <v>46050</v>
      </c>
      <c r="B211" s="227" t="s">
        <v>184</v>
      </c>
      <c r="C211" s="227" t="s">
        <v>691</v>
      </c>
      <c r="D211" s="228">
        <v>175</v>
      </c>
      <c r="E211" s="228">
        <v>27</v>
      </c>
      <c r="F211" s="231">
        <v>2768.1</v>
      </c>
      <c r="G211" s="231">
        <v>2709.8</v>
      </c>
      <c r="H211" s="228">
        <v>58.3</v>
      </c>
      <c r="I211" s="229">
        <v>2.1499999999999998E-2</v>
      </c>
      <c r="J211" s="231">
        <v>2749.6</v>
      </c>
      <c r="K211" s="231">
        <v>2695.2</v>
      </c>
      <c r="L211" s="228">
        <v>54.4</v>
      </c>
      <c r="M211" s="229">
        <v>2.0199999999999999E-2</v>
      </c>
      <c r="N211" s="231">
        <v>2768.1</v>
      </c>
      <c r="O211" s="231">
        <v>2696.9</v>
      </c>
      <c r="P211" s="228">
        <v>71.2</v>
      </c>
      <c r="Q211" s="229">
        <v>2.64E-2</v>
      </c>
      <c r="R211" s="231">
        <v>2769.6</v>
      </c>
      <c r="S211" s="231">
        <v>2709.8</v>
      </c>
      <c r="T211" s="228">
        <v>59.8</v>
      </c>
      <c r="U211" s="229">
        <v>2.2100000000000002E-2</v>
      </c>
      <c r="V211" s="231">
        <v>2750.4</v>
      </c>
      <c r="W211" s="231">
        <v>2713.7</v>
      </c>
      <c r="X211" s="228">
        <v>36.700000000000003</v>
      </c>
      <c r="Y211" s="229">
        <v>1.35E-2</v>
      </c>
      <c r="Z211" s="228">
        <v>18.5</v>
      </c>
      <c r="AA211" s="228">
        <v>14.6</v>
      </c>
      <c r="AB211" s="228">
        <v>3.9</v>
      </c>
      <c r="AC211" s="229">
        <v>6.7000000000000002E-3</v>
      </c>
      <c r="AD211" s="228">
        <v>18.5</v>
      </c>
      <c r="AE211" s="228">
        <v>1.7</v>
      </c>
      <c r="AF211" s="228">
        <v>16.8</v>
      </c>
      <c r="AG211" s="229">
        <v>6.7000000000000002E-3</v>
      </c>
      <c r="AH211" s="228">
        <v>20</v>
      </c>
      <c r="AI211" s="228">
        <v>14.6</v>
      </c>
      <c r="AJ211" s="228">
        <v>5.4</v>
      </c>
      <c r="AK211" s="229">
        <v>7.3000000000000001E-3</v>
      </c>
      <c r="AL211" s="228">
        <v>0.8</v>
      </c>
      <c r="AM211" s="228">
        <v>18.5</v>
      </c>
      <c r="AN211" s="228">
        <v>-17.7</v>
      </c>
      <c r="AO211" s="229">
        <v>2.9999999999999997E-4</v>
      </c>
      <c r="AP211" s="231">
        <v>2755.44</v>
      </c>
      <c r="AQ211" s="231">
        <v>2758.44</v>
      </c>
      <c r="AR211" s="228">
        <v>0</v>
      </c>
      <c r="AS211" s="228">
        <v>164</v>
      </c>
      <c r="AT211" s="228">
        <v>557</v>
      </c>
      <c r="AU211" s="228">
        <v>-392</v>
      </c>
      <c r="AV211" s="229">
        <v>-0.70489999999999997</v>
      </c>
      <c r="AW211" s="228">
        <v>158</v>
      </c>
      <c r="AX211" s="228">
        <v>209</v>
      </c>
      <c r="AY211" s="228">
        <v>-52</v>
      </c>
      <c r="AZ211" s="229">
        <v>-0.2465</v>
      </c>
      <c r="BA211" s="228">
        <v>6</v>
      </c>
      <c r="BB211" s="228">
        <v>340</v>
      </c>
      <c r="BC211" s="228">
        <v>-334</v>
      </c>
      <c r="BD211" s="229">
        <v>-0.98180000000000001</v>
      </c>
      <c r="BE211" s="228">
        <v>0</v>
      </c>
      <c r="BF211" s="228">
        <v>7</v>
      </c>
      <c r="BG211" s="228">
        <v>-7</v>
      </c>
      <c r="BH211" s="229">
        <v>-0.95920000000000005</v>
      </c>
      <c r="BI211" s="228">
        <v>398</v>
      </c>
      <c r="BJ211" s="230">
        <v>1104</v>
      </c>
      <c r="BK211" s="228">
        <v>-705</v>
      </c>
      <c r="BL211" s="229">
        <v>-0.63900000000000001</v>
      </c>
      <c r="BM211" s="228">
        <v>142</v>
      </c>
      <c r="BN211" s="228">
        <v>618</v>
      </c>
      <c r="BO211" s="228">
        <v>-476</v>
      </c>
      <c r="BP211" s="229">
        <v>-0.7702</v>
      </c>
      <c r="BQ211" s="228">
        <v>705</v>
      </c>
      <c r="BR211" s="230">
        <v>2278</v>
      </c>
      <c r="BS211" s="230">
        <v>-1574</v>
      </c>
      <c r="BT211" s="229">
        <v>-0.69069999999999998</v>
      </c>
      <c r="BU211" s="230">
        <v>1137793</v>
      </c>
      <c r="BV211" s="230">
        <v>2020384</v>
      </c>
      <c r="BW211" s="230">
        <v>-882591</v>
      </c>
      <c r="BX211" s="229">
        <v>-0.43680000000000002</v>
      </c>
      <c r="BY211" s="228">
        <v>613</v>
      </c>
      <c r="BZ211" s="228">
        <v>632</v>
      </c>
      <c r="CA211" s="228">
        <v>-19</v>
      </c>
      <c r="CB211" s="229">
        <v>-2.9600000000000001E-2</v>
      </c>
      <c r="CC211" s="228">
        <v>596</v>
      </c>
      <c r="CD211" s="228">
        <v>59</v>
      </c>
      <c r="CE211" s="228">
        <v>537</v>
      </c>
      <c r="CF211" s="229">
        <v>9.0284999999999993</v>
      </c>
      <c r="CG211" s="228">
        <v>17</v>
      </c>
      <c r="CH211" s="228">
        <v>615</v>
      </c>
      <c r="CI211" s="228">
        <v>-598</v>
      </c>
      <c r="CJ211" s="229">
        <v>-0.97299999999999998</v>
      </c>
      <c r="CK211" s="228">
        <v>0</v>
      </c>
      <c r="CL211" s="228">
        <v>17</v>
      </c>
      <c r="CM211" s="228">
        <v>-17</v>
      </c>
      <c r="CN211" s="229">
        <v>-0.98299999999999998</v>
      </c>
      <c r="CO211" s="228">
        <v>184</v>
      </c>
      <c r="CP211" s="228">
        <v>168</v>
      </c>
      <c r="CQ211" s="228">
        <v>16</v>
      </c>
      <c r="CR211" s="229">
        <v>9.7799999999999998E-2</v>
      </c>
      <c r="CS211" s="228">
        <v>135</v>
      </c>
      <c r="CT211" s="228">
        <v>128</v>
      </c>
      <c r="CU211" s="228">
        <v>7</v>
      </c>
      <c r="CV211" s="229">
        <v>5.7099999999999998E-2</v>
      </c>
      <c r="CW211" s="228">
        <v>933</v>
      </c>
      <c r="CX211" s="228">
        <v>928</v>
      </c>
      <c r="CY211" s="228">
        <v>5</v>
      </c>
      <c r="CZ211" s="229">
        <v>5.4000000000000003E-3</v>
      </c>
      <c r="DA211" s="228">
        <v>39.340000000000003</v>
      </c>
      <c r="DB211" s="228">
        <v>41.48</v>
      </c>
      <c r="DC211" s="228">
        <v>-2.14</v>
      </c>
      <c r="DD211" s="228">
        <v>-2.14</v>
      </c>
      <c r="DE211" s="228">
        <v>50.27</v>
      </c>
      <c r="DF211" s="228">
        <v>50.31</v>
      </c>
      <c r="DG211" s="228">
        <v>-10.93</v>
      </c>
      <c r="DH211" s="228">
        <v>-0.04</v>
      </c>
      <c r="DI211" s="228">
        <v>38.6</v>
      </c>
      <c r="DJ211" s="228">
        <v>40.79</v>
      </c>
      <c r="DK211" s="228">
        <v>-2.19</v>
      </c>
      <c r="DL211" s="228">
        <v>-2.19</v>
      </c>
      <c r="DM211" s="228">
        <v>41.42</v>
      </c>
      <c r="DN211" s="228">
        <v>42.83</v>
      </c>
      <c r="DO211" s="228">
        <v>-1.41</v>
      </c>
      <c r="DP211" s="228">
        <v>-1.41</v>
      </c>
      <c r="DQ211" s="228">
        <v>0.74</v>
      </c>
      <c r="DR211" s="228">
        <v>0.76</v>
      </c>
      <c r="DS211" s="228">
        <v>-0.02</v>
      </c>
      <c r="DT211" s="229">
        <v>-2.63E-2</v>
      </c>
      <c r="DU211" s="231">
        <v>2800</v>
      </c>
      <c r="DV211" s="231">
        <v>2700</v>
      </c>
      <c r="DW211" s="228">
        <v>0.36</v>
      </c>
      <c r="DX211" s="228">
        <v>0.56000000000000005</v>
      </c>
      <c r="DY211" s="228">
        <v>-0.2</v>
      </c>
      <c r="DZ211" s="229">
        <v>-0.35709999999999997</v>
      </c>
      <c r="EA211" s="229">
        <v>2.76E-2</v>
      </c>
      <c r="EB211" s="230">
        <v>2282000</v>
      </c>
      <c r="EC211" s="229">
        <v>5.0000000000000001E-4</v>
      </c>
      <c r="ED211" s="229">
        <v>2.76E-2</v>
      </c>
      <c r="EE211" s="228">
        <v>3</v>
      </c>
      <c r="EF211" s="229">
        <v>1.1000000000000001E-3</v>
      </c>
      <c r="EG211" s="230">
        <v>315107</v>
      </c>
      <c r="EH211" s="230">
        <v>538517</v>
      </c>
      <c r="EI211" s="229">
        <v>-0.41489999999999999</v>
      </c>
      <c r="EJ211" s="229">
        <v>0.27689999999999998</v>
      </c>
      <c r="EK211" s="228">
        <v>421.28</v>
      </c>
      <c r="EL211" s="228">
        <v>134.12</v>
      </c>
      <c r="EM211" s="228">
        <v>163.47</v>
      </c>
      <c r="EN211" s="228">
        <v>212.36</v>
      </c>
      <c r="EO211" s="228">
        <v>718.87</v>
      </c>
      <c r="EP211" s="231">
        <v>2223.13</v>
      </c>
      <c r="EQ211" s="231">
        <v>-1504.26</v>
      </c>
      <c r="ER211" s="229">
        <v>-0.67659999999999998</v>
      </c>
      <c r="ES211" s="228">
        <v>185.59</v>
      </c>
      <c r="ET211" s="228">
        <v>124.8</v>
      </c>
      <c r="EU211" s="228">
        <v>612.99</v>
      </c>
      <c r="EV211" s="231">
        <v>15436318</v>
      </c>
      <c r="EW211" s="228">
        <v>923.38</v>
      </c>
      <c r="EX211" s="228">
        <v>902.55</v>
      </c>
      <c r="EY211" s="228">
        <v>20.83</v>
      </c>
      <c r="EZ211" s="229">
        <v>2.3099999999999999E-2</v>
      </c>
      <c r="FA211" s="229">
        <v>0.21829999999999999</v>
      </c>
      <c r="FB211" s="227" t="s">
        <v>556</v>
      </c>
      <c r="FC211">
        <f t="shared" si="4"/>
        <v>0</v>
      </c>
    </row>
    <row r="212" spans="1:159" ht="17.25" thickBot="1" x14ac:dyDescent="0.3">
      <c r="A212" s="226">
        <v>46050</v>
      </c>
      <c r="B212" s="227" t="s">
        <v>221</v>
      </c>
      <c r="C212" s="227" t="s">
        <v>306</v>
      </c>
      <c r="D212" s="228">
        <v>3000</v>
      </c>
      <c r="E212" s="228">
        <v>27</v>
      </c>
      <c r="F212" s="228">
        <v>238.5</v>
      </c>
      <c r="G212" s="228">
        <v>236.3</v>
      </c>
      <c r="H212" s="228">
        <v>2.2000000000000002</v>
      </c>
      <c r="I212" s="229">
        <v>9.2999999999999992E-3</v>
      </c>
      <c r="J212" s="228">
        <v>237.35</v>
      </c>
      <c r="K212" s="228">
        <v>234.8</v>
      </c>
      <c r="L212" s="228">
        <v>2.5499999999999998</v>
      </c>
      <c r="M212" s="229">
        <v>1.09E-2</v>
      </c>
      <c r="N212" s="228">
        <v>238.5</v>
      </c>
      <c r="O212" s="228">
        <v>234.85</v>
      </c>
      <c r="P212" s="228">
        <v>3.65</v>
      </c>
      <c r="Q212" s="229">
        <v>1.55E-2</v>
      </c>
      <c r="R212" s="228">
        <v>238.3</v>
      </c>
      <c r="S212" s="228">
        <v>236.3</v>
      </c>
      <c r="T212" s="228">
        <v>2</v>
      </c>
      <c r="U212" s="229">
        <v>8.5000000000000006E-3</v>
      </c>
      <c r="V212" s="228">
        <v>238.9</v>
      </c>
      <c r="W212" s="228">
        <v>236.35</v>
      </c>
      <c r="X212" s="228">
        <v>2.5499999999999998</v>
      </c>
      <c r="Y212" s="229">
        <v>1.0800000000000001E-2</v>
      </c>
      <c r="Z212" s="228">
        <v>1.1499999999999999</v>
      </c>
      <c r="AA212" s="228">
        <v>1.5</v>
      </c>
      <c r="AB212" s="228">
        <v>-0.35</v>
      </c>
      <c r="AC212" s="229">
        <v>4.7999999999999996E-3</v>
      </c>
      <c r="AD212" s="228">
        <v>1.1499999999999999</v>
      </c>
      <c r="AE212" s="228">
        <v>0.05</v>
      </c>
      <c r="AF212" s="228">
        <v>1.1000000000000001</v>
      </c>
      <c r="AG212" s="229">
        <v>4.7999999999999996E-3</v>
      </c>
      <c r="AH212" s="228">
        <v>0.95</v>
      </c>
      <c r="AI212" s="228">
        <v>1.5</v>
      </c>
      <c r="AJ212" s="228">
        <v>-0.55000000000000004</v>
      </c>
      <c r="AK212" s="229">
        <v>4.0000000000000001E-3</v>
      </c>
      <c r="AL212" s="228">
        <v>1.55</v>
      </c>
      <c r="AM212" s="228">
        <v>1.55</v>
      </c>
      <c r="AN212" s="228">
        <v>0</v>
      </c>
      <c r="AO212" s="229">
        <v>6.4999999999999997E-3</v>
      </c>
      <c r="AP212" s="228">
        <v>237.75</v>
      </c>
      <c r="AQ212" s="228">
        <v>237.76</v>
      </c>
      <c r="AR212" s="228">
        <v>0</v>
      </c>
      <c r="AS212" s="228">
        <v>387</v>
      </c>
      <c r="AT212" s="230">
        <v>1800</v>
      </c>
      <c r="AU212" s="230">
        <v>-1414</v>
      </c>
      <c r="AV212" s="229">
        <v>-0.78510000000000002</v>
      </c>
      <c r="AW212" s="228">
        <v>356</v>
      </c>
      <c r="AX212" s="228">
        <v>731</v>
      </c>
      <c r="AY212" s="228">
        <v>-374</v>
      </c>
      <c r="AZ212" s="229">
        <v>-0.51219999999999999</v>
      </c>
      <c r="BA212" s="228">
        <v>26</v>
      </c>
      <c r="BB212" s="230">
        <v>1025</v>
      </c>
      <c r="BC212" s="228">
        <v>-999</v>
      </c>
      <c r="BD212" s="229">
        <v>-0.97489999999999999</v>
      </c>
      <c r="BE212" s="228">
        <v>5</v>
      </c>
      <c r="BF212" s="228">
        <v>45</v>
      </c>
      <c r="BG212" s="228">
        <v>-40</v>
      </c>
      <c r="BH212" s="229">
        <v>-0.8952</v>
      </c>
      <c r="BI212" s="228">
        <v>894</v>
      </c>
      <c r="BJ212" s="228">
        <v>932</v>
      </c>
      <c r="BK212" s="228">
        <v>-38</v>
      </c>
      <c r="BL212" s="229">
        <v>-4.0899999999999999E-2</v>
      </c>
      <c r="BM212" s="228">
        <v>416</v>
      </c>
      <c r="BN212" s="228">
        <v>658</v>
      </c>
      <c r="BO212" s="228">
        <v>-242</v>
      </c>
      <c r="BP212" s="229">
        <v>-0.36770000000000003</v>
      </c>
      <c r="BQ212" s="230">
        <v>1697</v>
      </c>
      <c r="BR212" s="230">
        <v>3391</v>
      </c>
      <c r="BS212" s="230">
        <v>-1694</v>
      </c>
      <c r="BT212" s="229">
        <v>-0.4995</v>
      </c>
      <c r="BU212" s="230">
        <v>10605643</v>
      </c>
      <c r="BV212" s="230">
        <v>15977821</v>
      </c>
      <c r="BW212" s="230">
        <v>-5372178</v>
      </c>
      <c r="BX212" s="229">
        <v>-0.3362</v>
      </c>
      <c r="BY212" s="230">
        <v>2886</v>
      </c>
      <c r="BZ212" s="230">
        <v>2945</v>
      </c>
      <c r="CA212" s="228">
        <v>-59</v>
      </c>
      <c r="CB212" s="229">
        <v>-2.01E-2</v>
      </c>
      <c r="CC212" s="230">
        <v>2805</v>
      </c>
      <c r="CD212" s="228">
        <v>437</v>
      </c>
      <c r="CE212" s="230">
        <v>2369</v>
      </c>
      <c r="CF212" s="229">
        <v>5.4261999999999997</v>
      </c>
      <c r="CG212" s="228">
        <v>77</v>
      </c>
      <c r="CH212" s="230">
        <v>2871</v>
      </c>
      <c r="CI212" s="230">
        <v>-2794</v>
      </c>
      <c r="CJ212" s="229">
        <v>-0.97309999999999997</v>
      </c>
      <c r="CK212" s="228">
        <v>4</v>
      </c>
      <c r="CL212" s="228">
        <v>74</v>
      </c>
      <c r="CM212" s="228">
        <v>-70</v>
      </c>
      <c r="CN212" s="229">
        <v>-0.94969999999999999</v>
      </c>
      <c r="CO212" s="228">
        <v>836</v>
      </c>
      <c r="CP212" s="228">
        <v>651</v>
      </c>
      <c r="CQ212" s="228">
        <v>185</v>
      </c>
      <c r="CR212" s="229">
        <v>0.28439999999999999</v>
      </c>
      <c r="CS212" s="228">
        <v>548</v>
      </c>
      <c r="CT212" s="228">
        <v>493</v>
      </c>
      <c r="CU212" s="228">
        <v>55</v>
      </c>
      <c r="CV212" s="229">
        <v>0.11169999999999999</v>
      </c>
      <c r="CW212" s="230">
        <v>4269</v>
      </c>
      <c r="CX212" s="230">
        <v>4089</v>
      </c>
      <c r="CY212" s="228">
        <v>181</v>
      </c>
      <c r="CZ212" s="229">
        <v>4.4200000000000003E-2</v>
      </c>
      <c r="DA212" s="228">
        <v>23.96</v>
      </c>
      <c r="DB212" s="228">
        <v>25.1</v>
      </c>
      <c r="DC212" s="228">
        <v>-1.1399999999999999</v>
      </c>
      <c r="DD212" s="228">
        <v>-1.1399999999999999</v>
      </c>
      <c r="DE212" s="228">
        <v>31.01</v>
      </c>
      <c r="DF212" s="228">
        <v>31.06</v>
      </c>
      <c r="DG212" s="228">
        <v>-7.05</v>
      </c>
      <c r="DH212" s="228">
        <v>-0.05</v>
      </c>
      <c r="DI212" s="228">
        <v>23.85</v>
      </c>
      <c r="DJ212" s="228">
        <v>25.16</v>
      </c>
      <c r="DK212" s="228">
        <v>-1.31</v>
      </c>
      <c r="DL212" s="228">
        <v>-1.31</v>
      </c>
      <c r="DM212" s="228">
        <v>24.2</v>
      </c>
      <c r="DN212" s="228">
        <v>24.99</v>
      </c>
      <c r="DO212" s="228">
        <v>-0.79</v>
      </c>
      <c r="DP212" s="228">
        <v>-0.79</v>
      </c>
      <c r="DQ212" s="228">
        <v>0.66</v>
      </c>
      <c r="DR212" s="228">
        <v>0.76</v>
      </c>
      <c r="DS212" s="228">
        <v>-0.1</v>
      </c>
      <c r="DT212" s="229">
        <v>-0.13159999999999999</v>
      </c>
      <c r="DU212" s="228">
        <v>254</v>
      </c>
      <c r="DV212" s="228">
        <v>234</v>
      </c>
      <c r="DW212" s="228">
        <v>0.47</v>
      </c>
      <c r="DX212" s="228">
        <v>0.71</v>
      </c>
      <c r="DY212" s="228">
        <v>-0.24</v>
      </c>
      <c r="DZ212" s="229">
        <v>-0.33800000000000002</v>
      </c>
      <c r="EA212" s="229">
        <v>2.8000000000000001E-2</v>
      </c>
      <c r="EB212" s="230">
        <v>123492000</v>
      </c>
      <c r="EC212" s="229">
        <v>-8.0000000000000004E-4</v>
      </c>
      <c r="ED212" s="229">
        <v>2.8000000000000001E-2</v>
      </c>
      <c r="EE212" s="228">
        <v>0.01</v>
      </c>
      <c r="EF212" s="229">
        <v>0</v>
      </c>
      <c r="EG212" s="230">
        <v>6562348</v>
      </c>
      <c r="EH212" s="230">
        <v>9341157</v>
      </c>
      <c r="EI212" s="229">
        <v>-0.29749999999999999</v>
      </c>
      <c r="EJ212" s="229">
        <v>0.61880000000000002</v>
      </c>
      <c r="EK212" s="228">
        <v>946.64</v>
      </c>
      <c r="EL212" s="228">
        <v>407.44</v>
      </c>
      <c r="EM212" s="228">
        <v>385.74</v>
      </c>
      <c r="EN212" s="228">
        <v>321.56</v>
      </c>
      <c r="EO212" s="231">
        <v>1739.82</v>
      </c>
      <c r="EP212" s="231">
        <v>3407.18</v>
      </c>
      <c r="EQ212" s="231">
        <v>-1667.36</v>
      </c>
      <c r="ER212" s="229">
        <v>-0.4894</v>
      </c>
      <c r="ES212" s="228">
        <v>888.32</v>
      </c>
      <c r="ET212" s="228">
        <v>541.73</v>
      </c>
      <c r="EU212" s="231">
        <v>2885.98</v>
      </c>
      <c r="EV212" s="231">
        <v>358423198</v>
      </c>
      <c r="EW212" s="231">
        <v>4316.04</v>
      </c>
      <c r="EX212" s="231">
        <v>4097.13</v>
      </c>
      <c r="EY212" s="228">
        <v>218.91</v>
      </c>
      <c r="EZ212" s="229">
        <v>5.3400000000000003E-2</v>
      </c>
      <c r="FA212" s="229">
        <v>0.49940000000000001</v>
      </c>
      <c r="FB212" s="227" t="s">
        <v>556</v>
      </c>
      <c r="FC212">
        <f t="shared" si="4"/>
        <v>0</v>
      </c>
    </row>
    <row r="213" spans="1:159" ht="17.25" thickBot="1" x14ac:dyDescent="0.3">
      <c r="A213" s="226">
        <v>46050</v>
      </c>
      <c r="B213" s="227" t="s">
        <v>172</v>
      </c>
      <c r="C213" s="227" t="s">
        <v>590</v>
      </c>
      <c r="D213" s="228">
        <v>31100</v>
      </c>
      <c r="E213" s="228">
        <v>27</v>
      </c>
      <c r="F213" s="228">
        <v>21.56</v>
      </c>
      <c r="G213" s="228">
        <v>21.14</v>
      </c>
      <c r="H213" s="228">
        <v>0.42</v>
      </c>
      <c r="I213" s="229">
        <v>1.9900000000000001E-2</v>
      </c>
      <c r="J213" s="228">
        <v>21.48</v>
      </c>
      <c r="K213" s="228">
        <v>21.02</v>
      </c>
      <c r="L213" s="228">
        <v>0.46</v>
      </c>
      <c r="M213" s="229">
        <v>2.1899999999999999E-2</v>
      </c>
      <c r="N213" s="228">
        <v>21.56</v>
      </c>
      <c r="O213" s="228">
        <v>20.99</v>
      </c>
      <c r="P213" s="228">
        <v>0.56999999999999995</v>
      </c>
      <c r="Q213" s="229">
        <v>2.7199999999999998E-2</v>
      </c>
      <c r="R213" s="228">
        <v>21.7</v>
      </c>
      <c r="S213" s="228">
        <v>21.14</v>
      </c>
      <c r="T213" s="228">
        <v>0.56000000000000005</v>
      </c>
      <c r="U213" s="229">
        <v>2.6499999999999999E-2</v>
      </c>
      <c r="V213" s="228">
        <v>21.86</v>
      </c>
      <c r="W213" s="228">
        <v>21.33</v>
      </c>
      <c r="X213" s="228">
        <v>0.53</v>
      </c>
      <c r="Y213" s="229">
        <v>2.4799999999999999E-2</v>
      </c>
      <c r="Z213" s="228">
        <v>0.08</v>
      </c>
      <c r="AA213" s="228">
        <v>0.12</v>
      </c>
      <c r="AB213" s="228">
        <v>-0.04</v>
      </c>
      <c r="AC213" s="229">
        <v>3.7000000000000002E-3</v>
      </c>
      <c r="AD213" s="228">
        <v>0.08</v>
      </c>
      <c r="AE213" s="228">
        <v>-0.03</v>
      </c>
      <c r="AF213" s="228">
        <v>0.11</v>
      </c>
      <c r="AG213" s="229">
        <v>3.7000000000000002E-3</v>
      </c>
      <c r="AH213" s="228">
        <v>0.22</v>
      </c>
      <c r="AI213" s="228">
        <v>0.12</v>
      </c>
      <c r="AJ213" s="228">
        <v>0.1</v>
      </c>
      <c r="AK213" s="229">
        <v>1.0200000000000001E-2</v>
      </c>
      <c r="AL213" s="228">
        <v>0.38</v>
      </c>
      <c r="AM213" s="228">
        <v>0.31</v>
      </c>
      <c r="AN213" s="228">
        <v>7.0000000000000007E-2</v>
      </c>
      <c r="AO213" s="229">
        <v>1.77E-2</v>
      </c>
      <c r="AP213" s="228">
        <v>21.49</v>
      </c>
      <c r="AQ213" s="228">
        <v>21.63</v>
      </c>
      <c r="AR213" s="228">
        <v>0</v>
      </c>
      <c r="AS213" s="228">
        <v>245</v>
      </c>
      <c r="AT213" s="230">
        <v>1664</v>
      </c>
      <c r="AU213" s="230">
        <v>-1419</v>
      </c>
      <c r="AV213" s="229">
        <v>-0.85250000000000004</v>
      </c>
      <c r="AW213" s="228">
        <v>224</v>
      </c>
      <c r="AX213" s="228">
        <v>745</v>
      </c>
      <c r="AY213" s="228">
        <v>-521</v>
      </c>
      <c r="AZ213" s="229">
        <v>-0.69910000000000005</v>
      </c>
      <c r="BA213" s="228">
        <v>19</v>
      </c>
      <c r="BB213" s="228">
        <v>866</v>
      </c>
      <c r="BC213" s="228">
        <v>-847</v>
      </c>
      <c r="BD213" s="229">
        <v>-0.97789999999999999</v>
      </c>
      <c r="BE213" s="228">
        <v>2</v>
      </c>
      <c r="BF213" s="228">
        <v>53</v>
      </c>
      <c r="BG213" s="228">
        <v>-51</v>
      </c>
      <c r="BH213" s="229">
        <v>-0.95930000000000004</v>
      </c>
      <c r="BI213" s="228">
        <v>634</v>
      </c>
      <c r="BJ213" s="228">
        <v>827</v>
      </c>
      <c r="BK213" s="228">
        <v>-193</v>
      </c>
      <c r="BL213" s="229">
        <v>-0.23369999999999999</v>
      </c>
      <c r="BM213" s="228">
        <v>256</v>
      </c>
      <c r="BN213" s="228">
        <v>422</v>
      </c>
      <c r="BO213" s="228">
        <v>-166</v>
      </c>
      <c r="BP213" s="229">
        <v>-0.39439999999999997</v>
      </c>
      <c r="BQ213" s="230">
        <v>1135</v>
      </c>
      <c r="BR213" s="230">
        <v>2913</v>
      </c>
      <c r="BS213" s="230">
        <v>-1779</v>
      </c>
      <c r="BT213" s="229">
        <v>-0.61050000000000004</v>
      </c>
      <c r="BU213" s="230">
        <v>97733589</v>
      </c>
      <c r="BV213" s="230">
        <v>123593147</v>
      </c>
      <c r="BW213" s="230">
        <v>-25859558</v>
      </c>
      <c r="BX213" s="229">
        <v>-0.2092</v>
      </c>
      <c r="BY213" s="230">
        <v>2270</v>
      </c>
      <c r="BZ213" s="230">
        <v>2287</v>
      </c>
      <c r="CA213" s="228">
        <v>-17</v>
      </c>
      <c r="CB213" s="229">
        <v>-7.3000000000000001E-3</v>
      </c>
      <c r="CC213" s="230">
        <v>2155</v>
      </c>
      <c r="CD213" s="228">
        <v>93</v>
      </c>
      <c r="CE213" s="230">
        <v>2062</v>
      </c>
      <c r="CF213" s="229">
        <v>22.091999999999999</v>
      </c>
      <c r="CG213" s="228">
        <v>113</v>
      </c>
      <c r="CH213" s="230">
        <v>2175</v>
      </c>
      <c r="CI213" s="230">
        <v>-2062</v>
      </c>
      <c r="CJ213" s="229">
        <v>-0.94810000000000005</v>
      </c>
      <c r="CK213" s="228">
        <v>2</v>
      </c>
      <c r="CL213" s="228">
        <v>111</v>
      </c>
      <c r="CM213" s="228">
        <v>-110</v>
      </c>
      <c r="CN213" s="229">
        <v>-0.98429999999999995</v>
      </c>
      <c r="CO213" s="228">
        <v>637</v>
      </c>
      <c r="CP213" s="228">
        <v>579</v>
      </c>
      <c r="CQ213" s="228">
        <v>58</v>
      </c>
      <c r="CR213" s="229">
        <v>0.10009999999999999</v>
      </c>
      <c r="CS213" s="228">
        <v>421</v>
      </c>
      <c r="CT213" s="228">
        <v>398</v>
      </c>
      <c r="CU213" s="228">
        <v>23</v>
      </c>
      <c r="CV213" s="229">
        <v>5.7599999999999998E-2</v>
      </c>
      <c r="CW213" s="230">
        <v>3328</v>
      </c>
      <c r="CX213" s="230">
        <v>3264</v>
      </c>
      <c r="CY213" s="228">
        <v>64</v>
      </c>
      <c r="CZ213" s="229">
        <v>1.9699999999999999E-2</v>
      </c>
      <c r="DA213" s="228">
        <v>34.159999999999997</v>
      </c>
      <c r="DB213" s="228">
        <v>34.99</v>
      </c>
      <c r="DC213" s="228">
        <v>-0.83</v>
      </c>
      <c r="DD213" s="228">
        <v>-0.83</v>
      </c>
      <c r="DE213" s="228">
        <v>39.32</v>
      </c>
      <c r="DF213" s="228">
        <v>39.33</v>
      </c>
      <c r="DG213" s="228">
        <v>-5.16</v>
      </c>
      <c r="DH213" s="228">
        <v>-0.01</v>
      </c>
      <c r="DI213" s="228">
        <v>34.99</v>
      </c>
      <c r="DJ213" s="228">
        <v>36.049999999999997</v>
      </c>
      <c r="DK213" s="228">
        <v>-1.06</v>
      </c>
      <c r="DL213" s="228">
        <v>-1.06</v>
      </c>
      <c r="DM213" s="228">
        <v>32.119999999999997</v>
      </c>
      <c r="DN213" s="228">
        <v>32.57</v>
      </c>
      <c r="DO213" s="228">
        <v>-0.45</v>
      </c>
      <c r="DP213" s="228">
        <v>-0.45</v>
      </c>
      <c r="DQ213" s="228">
        <v>0.66</v>
      </c>
      <c r="DR213" s="228">
        <v>0.69</v>
      </c>
      <c r="DS213" s="228">
        <v>-0.03</v>
      </c>
      <c r="DT213" s="229">
        <v>-4.3499999999999997E-2</v>
      </c>
      <c r="DU213" s="228">
        <v>23</v>
      </c>
      <c r="DV213" s="228">
        <v>21</v>
      </c>
      <c r="DW213" s="228">
        <v>0.4</v>
      </c>
      <c r="DX213" s="228">
        <v>0.51</v>
      </c>
      <c r="DY213" s="228">
        <v>-0.11</v>
      </c>
      <c r="DZ213" s="229">
        <v>-0.2157</v>
      </c>
      <c r="EA213" s="229">
        <v>5.0500000000000003E-2</v>
      </c>
      <c r="EB213" s="230">
        <v>1060634400</v>
      </c>
      <c r="EC213" s="229">
        <v>6.4999999999999997E-3</v>
      </c>
      <c r="ED213" s="229">
        <v>5.0500000000000003E-2</v>
      </c>
      <c r="EE213" s="228">
        <v>0.14000000000000001</v>
      </c>
      <c r="EF213" s="229">
        <v>6.4999999999999997E-3</v>
      </c>
      <c r="EG213" s="230">
        <v>47587328</v>
      </c>
      <c r="EH213" s="230">
        <v>51269051</v>
      </c>
      <c r="EI213" s="229">
        <v>-7.1800000000000003E-2</v>
      </c>
      <c r="EJ213" s="229">
        <v>0.4869</v>
      </c>
      <c r="EK213" s="228">
        <v>692.62</v>
      </c>
      <c r="EL213" s="228">
        <v>246.39</v>
      </c>
      <c r="EM213" s="228">
        <v>244.8</v>
      </c>
      <c r="EN213" s="228">
        <v>212.51</v>
      </c>
      <c r="EO213" s="231">
        <v>1183.82</v>
      </c>
      <c r="EP213" s="231">
        <v>2913.47</v>
      </c>
      <c r="EQ213" s="231">
        <v>-1729.65</v>
      </c>
      <c r="ER213" s="229">
        <v>-0.59370000000000001</v>
      </c>
      <c r="ES213" s="228">
        <v>697.55</v>
      </c>
      <c r="ET213" s="228">
        <v>413.61</v>
      </c>
      <c r="EU213" s="231">
        <v>2270.7199999999998</v>
      </c>
      <c r="EV213" s="231">
        <v>3547322779</v>
      </c>
      <c r="EW213" s="231">
        <v>3381.88</v>
      </c>
      <c r="EX213" s="231">
        <v>3270.03</v>
      </c>
      <c r="EY213" s="228">
        <v>111.85</v>
      </c>
      <c r="EZ213" s="229">
        <v>3.4200000000000001E-2</v>
      </c>
      <c r="FA213" s="229">
        <v>0.43519999999999998</v>
      </c>
      <c r="FB213" s="227" t="s">
        <v>556</v>
      </c>
      <c r="FC213">
        <f t="shared" si="4"/>
        <v>0</v>
      </c>
    </row>
    <row r="214" spans="1:159" ht="17.25" thickBot="1" x14ac:dyDescent="0.3">
      <c r="A214" s="226">
        <v>46050</v>
      </c>
      <c r="B214" s="227" t="s">
        <v>170</v>
      </c>
      <c r="C214" s="227" t="s">
        <v>557</v>
      </c>
      <c r="D214" s="228">
        <v>900</v>
      </c>
      <c r="E214" s="228">
        <v>27</v>
      </c>
      <c r="F214" s="228">
        <v>900.45</v>
      </c>
      <c r="G214" s="228">
        <v>899.3</v>
      </c>
      <c r="H214" s="228">
        <v>1.1499999999999999</v>
      </c>
      <c r="I214" s="229">
        <v>1.2999999999999999E-3</v>
      </c>
      <c r="J214" s="228">
        <v>896.9</v>
      </c>
      <c r="K214" s="228">
        <v>893.35</v>
      </c>
      <c r="L214" s="228">
        <v>3.55</v>
      </c>
      <c r="M214" s="229">
        <v>4.0000000000000001E-3</v>
      </c>
      <c r="N214" s="228">
        <v>900.45</v>
      </c>
      <c r="O214" s="228">
        <v>893.9</v>
      </c>
      <c r="P214" s="228">
        <v>6.55</v>
      </c>
      <c r="Q214" s="229">
        <v>7.3000000000000001E-3</v>
      </c>
      <c r="R214" s="228">
        <v>905.65</v>
      </c>
      <c r="S214" s="228">
        <v>899.3</v>
      </c>
      <c r="T214" s="228">
        <v>6.35</v>
      </c>
      <c r="U214" s="229">
        <v>7.1000000000000004E-3</v>
      </c>
      <c r="V214" s="228">
        <v>0</v>
      </c>
      <c r="W214" s="228">
        <v>905.4</v>
      </c>
      <c r="X214" s="228">
        <v>0</v>
      </c>
      <c r="Y214" s="229">
        <v>0</v>
      </c>
      <c r="Z214" s="228">
        <v>3.55</v>
      </c>
      <c r="AA214" s="228">
        <v>5.95</v>
      </c>
      <c r="AB214" s="228">
        <v>-2.4</v>
      </c>
      <c r="AC214" s="229">
        <v>4.0000000000000001E-3</v>
      </c>
      <c r="AD214" s="228">
        <v>3.55</v>
      </c>
      <c r="AE214" s="228">
        <v>0.55000000000000004</v>
      </c>
      <c r="AF214" s="228">
        <v>3</v>
      </c>
      <c r="AG214" s="229">
        <v>4.0000000000000001E-3</v>
      </c>
      <c r="AH214" s="228">
        <v>8.75</v>
      </c>
      <c r="AI214" s="228">
        <v>5.95</v>
      </c>
      <c r="AJ214" s="228">
        <v>2.8</v>
      </c>
      <c r="AK214" s="229">
        <v>9.7999999999999997E-3</v>
      </c>
      <c r="AL214" s="228">
        <v>0</v>
      </c>
      <c r="AM214" s="228">
        <v>12.05</v>
      </c>
      <c r="AN214" s="228">
        <v>0</v>
      </c>
      <c r="AO214" s="229">
        <v>0</v>
      </c>
      <c r="AP214" s="228">
        <v>897.08</v>
      </c>
      <c r="AQ214" s="228">
        <v>902.1</v>
      </c>
      <c r="AR214" s="228">
        <v>0</v>
      </c>
      <c r="AS214" s="228">
        <v>94</v>
      </c>
      <c r="AT214" s="228">
        <v>640</v>
      </c>
      <c r="AU214" s="228">
        <v>-546</v>
      </c>
      <c r="AV214" s="229">
        <v>-0.85270000000000001</v>
      </c>
      <c r="AW214" s="228">
        <v>90</v>
      </c>
      <c r="AX214" s="228">
        <v>272</v>
      </c>
      <c r="AY214" s="228">
        <v>-182</v>
      </c>
      <c r="AZ214" s="229">
        <v>-0.66990000000000005</v>
      </c>
      <c r="BA214" s="228">
        <v>5</v>
      </c>
      <c r="BB214" s="228">
        <v>363</v>
      </c>
      <c r="BC214" s="228">
        <v>-358</v>
      </c>
      <c r="BD214" s="229">
        <v>-0.98750000000000004</v>
      </c>
      <c r="BE214" s="228">
        <v>0</v>
      </c>
      <c r="BF214" s="228">
        <v>5</v>
      </c>
      <c r="BG214" s="228">
        <v>0</v>
      </c>
      <c r="BH214" s="229">
        <v>0</v>
      </c>
      <c r="BI214" s="228">
        <v>103</v>
      </c>
      <c r="BJ214" s="228">
        <v>240</v>
      </c>
      <c r="BK214" s="228">
        <v>-137</v>
      </c>
      <c r="BL214" s="229">
        <v>-0.57110000000000005</v>
      </c>
      <c r="BM214" s="228">
        <v>85</v>
      </c>
      <c r="BN214" s="228">
        <v>168</v>
      </c>
      <c r="BO214" s="228">
        <v>-83</v>
      </c>
      <c r="BP214" s="229">
        <v>-0.49469999999999997</v>
      </c>
      <c r="BQ214" s="228">
        <v>282</v>
      </c>
      <c r="BR214" s="230">
        <v>1048</v>
      </c>
      <c r="BS214" s="228">
        <v>-766</v>
      </c>
      <c r="BT214" s="229">
        <v>-0.73080000000000001</v>
      </c>
      <c r="BU214" s="230">
        <v>340704</v>
      </c>
      <c r="BV214" s="230">
        <v>512411</v>
      </c>
      <c r="BW214" s="230">
        <v>-171707</v>
      </c>
      <c r="BX214" s="229">
        <v>-0.33510000000000001</v>
      </c>
      <c r="BY214" s="228">
        <v>791</v>
      </c>
      <c r="BZ214" s="228">
        <v>795</v>
      </c>
      <c r="CA214" s="228">
        <v>-3</v>
      </c>
      <c r="CB214" s="229">
        <v>-4.3E-3</v>
      </c>
      <c r="CC214" s="228">
        <v>779</v>
      </c>
      <c r="CD214" s="228">
        <v>31</v>
      </c>
      <c r="CE214" s="228">
        <v>749</v>
      </c>
      <c r="CF214" s="229">
        <v>24.504000000000001</v>
      </c>
      <c r="CG214" s="228">
        <v>12</v>
      </c>
      <c r="CH214" s="228">
        <v>783</v>
      </c>
      <c r="CI214" s="228">
        <v>-771</v>
      </c>
      <c r="CJ214" s="229">
        <v>-0.98470000000000002</v>
      </c>
      <c r="CK214" s="228">
        <v>0</v>
      </c>
      <c r="CL214" s="228">
        <v>11</v>
      </c>
      <c r="CM214" s="228">
        <v>-11</v>
      </c>
      <c r="CN214" s="229">
        <v>-1</v>
      </c>
      <c r="CO214" s="228">
        <v>117</v>
      </c>
      <c r="CP214" s="228">
        <v>81</v>
      </c>
      <c r="CQ214" s="228">
        <v>36</v>
      </c>
      <c r="CR214" s="229">
        <v>0.44540000000000002</v>
      </c>
      <c r="CS214" s="228">
        <v>129</v>
      </c>
      <c r="CT214" s="228">
        <v>111</v>
      </c>
      <c r="CU214" s="228">
        <v>18</v>
      </c>
      <c r="CV214" s="229">
        <v>0.1648</v>
      </c>
      <c r="CW214" s="230">
        <v>1037</v>
      </c>
      <c r="CX214" s="228">
        <v>986</v>
      </c>
      <c r="CY214" s="228">
        <v>51</v>
      </c>
      <c r="CZ214" s="229">
        <v>5.16E-2</v>
      </c>
      <c r="DA214" s="228">
        <v>26.45</v>
      </c>
      <c r="DB214" s="228">
        <v>27.62</v>
      </c>
      <c r="DC214" s="228">
        <v>-1.17</v>
      </c>
      <c r="DD214" s="228">
        <v>-1.17</v>
      </c>
      <c r="DE214" s="228">
        <v>27.17</v>
      </c>
      <c r="DF214" s="228">
        <v>27.24</v>
      </c>
      <c r="DG214" s="228">
        <v>-0.72</v>
      </c>
      <c r="DH214" s="228">
        <v>-7.0000000000000007E-2</v>
      </c>
      <c r="DI214" s="228">
        <v>26.03</v>
      </c>
      <c r="DJ214" s="228">
        <v>27.21</v>
      </c>
      <c r="DK214" s="228">
        <v>-1.18</v>
      </c>
      <c r="DL214" s="228">
        <v>-1.18</v>
      </c>
      <c r="DM214" s="228">
        <v>26.95</v>
      </c>
      <c r="DN214" s="228">
        <v>27.99</v>
      </c>
      <c r="DO214" s="228">
        <v>-1.04</v>
      </c>
      <c r="DP214" s="228">
        <v>-1.04</v>
      </c>
      <c r="DQ214" s="228">
        <v>1.1000000000000001</v>
      </c>
      <c r="DR214" s="228">
        <v>1.37</v>
      </c>
      <c r="DS214" s="228">
        <v>-0.27</v>
      </c>
      <c r="DT214" s="229">
        <v>-0.1971</v>
      </c>
      <c r="DU214" s="228">
        <v>900</v>
      </c>
      <c r="DV214" s="228">
        <v>900</v>
      </c>
      <c r="DW214" s="228">
        <v>0.82</v>
      </c>
      <c r="DX214" s="228">
        <v>0.7</v>
      </c>
      <c r="DY214" s="228">
        <v>0.12</v>
      </c>
      <c r="DZ214" s="229">
        <v>0.1714</v>
      </c>
      <c r="EA214" s="229">
        <v>1.52E-2</v>
      </c>
      <c r="EB214" s="230">
        <v>8824500</v>
      </c>
      <c r="EC214" s="229">
        <v>5.7999999999999996E-3</v>
      </c>
      <c r="ED214" s="229">
        <v>1.52E-2</v>
      </c>
      <c r="EE214" s="228">
        <v>5.0199999999999996</v>
      </c>
      <c r="EF214" s="229">
        <v>5.5999999999999999E-3</v>
      </c>
      <c r="EG214" s="230">
        <v>186934</v>
      </c>
      <c r="EH214" s="230">
        <v>274282</v>
      </c>
      <c r="EI214" s="229">
        <v>-0.31850000000000001</v>
      </c>
      <c r="EJ214" s="229">
        <v>0.54869999999999997</v>
      </c>
      <c r="EK214" s="228">
        <v>109.02</v>
      </c>
      <c r="EL214" s="228">
        <v>85.51</v>
      </c>
      <c r="EM214" s="228">
        <v>94</v>
      </c>
      <c r="EN214" s="228">
        <v>82.65</v>
      </c>
      <c r="EO214" s="228">
        <v>288.52999999999997</v>
      </c>
      <c r="EP214" s="231">
        <v>1059.06</v>
      </c>
      <c r="EQ214" s="228">
        <v>-770.53</v>
      </c>
      <c r="ER214" s="229">
        <v>-0.72760000000000002</v>
      </c>
      <c r="ES214" s="228">
        <v>123.85</v>
      </c>
      <c r="ET214" s="228">
        <v>129.35</v>
      </c>
      <c r="EU214" s="228">
        <v>791.27</v>
      </c>
      <c r="EV214" s="231">
        <v>37741451</v>
      </c>
      <c r="EW214" s="231">
        <v>1044.47</v>
      </c>
      <c r="EX214" s="228">
        <v>990.89</v>
      </c>
      <c r="EY214" s="228">
        <v>53.58</v>
      </c>
      <c r="EZ214" s="229">
        <v>5.4100000000000002E-2</v>
      </c>
      <c r="FA214" s="229">
        <v>0.30520000000000003</v>
      </c>
      <c r="FB214" s="227" t="s">
        <v>556</v>
      </c>
      <c r="FC214">
        <f t="shared" si="4"/>
        <v>0</v>
      </c>
    </row>
    <row r="215" spans="1:159" x14ac:dyDescent="0.25">
      <c r="FC215">
        <f t="shared" si="4"/>
        <v>0</v>
      </c>
    </row>
    <row r="216" spans="1:159" x14ac:dyDescent="0.25">
      <c r="FC216">
        <f t="shared" si="4"/>
        <v>0</v>
      </c>
    </row>
    <row r="217" spans="1:159" x14ac:dyDescent="0.25">
      <c r="FC217">
        <f t="shared" si="4"/>
        <v>0</v>
      </c>
    </row>
    <row r="218" spans="1:159" x14ac:dyDescent="0.25">
      <c r="FC218">
        <f t="shared" si="4"/>
        <v>0</v>
      </c>
    </row>
    <row r="219" spans="1:159" x14ac:dyDescent="0.25">
      <c r="FC219">
        <f t="shared" si="4"/>
        <v>0</v>
      </c>
    </row>
    <row r="220" spans="1:159" x14ac:dyDescent="0.25">
      <c r="FC220">
        <f t="shared" si="4"/>
        <v>0</v>
      </c>
    </row>
    <row r="221" spans="1:159" x14ac:dyDescent="0.25">
      <c r="FC221">
        <f t="shared" si="4"/>
        <v>0</v>
      </c>
    </row>
    <row r="222" spans="1:159" x14ac:dyDescent="0.25">
      <c r="FC222">
        <f t="shared" si="4"/>
        <v>0</v>
      </c>
    </row>
    <row r="223" spans="1:159" x14ac:dyDescent="0.25">
      <c r="FC223">
        <f t="shared" si="4"/>
        <v>0</v>
      </c>
    </row>
    <row r="224" spans="1:159" x14ac:dyDescent="0.25">
      <c r="FC224">
        <f t="shared" si="4"/>
        <v>0</v>
      </c>
    </row>
    <row r="225" spans="159:159" x14ac:dyDescent="0.25">
      <c r="FC225">
        <f t="shared" si="4"/>
        <v>0</v>
      </c>
    </row>
    <row r="226" spans="159:159" x14ac:dyDescent="0.25">
      <c r="FC226">
        <f t="shared" si="4"/>
        <v>0</v>
      </c>
    </row>
    <row r="227" spans="159:159" x14ac:dyDescent="0.25">
      <c r="FC227">
        <f t="shared" si="4"/>
        <v>0</v>
      </c>
    </row>
    <row r="228" spans="159:159" x14ac:dyDescent="0.25">
      <c r="FC228">
        <f t="shared" si="4"/>
        <v>0</v>
      </c>
    </row>
    <row r="229" spans="159:159" x14ac:dyDescent="0.25">
      <c r="FC229">
        <f t="shared" si="4"/>
        <v>0</v>
      </c>
    </row>
    <row r="230" spans="159:159" x14ac:dyDescent="0.25">
      <c r="FC230">
        <f t="shared" si="4"/>
        <v>0</v>
      </c>
    </row>
    <row r="231" spans="159:159" x14ac:dyDescent="0.25">
      <c r="FC231">
        <f t="shared" si="4"/>
        <v>0</v>
      </c>
    </row>
    <row r="232" spans="159:159" x14ac:dyDescent="0.25">
      <c r="FC232">
        <f t="shared" si="4"/>
        <v>0</v>
      </c>
    </row>
    <row r="233" spans="159:159" x14ac:dyDescent="0.25">
      <c r="FC233">
        <f t="shared" si="4"/>
        <v>0</v>
      </c>
    </row>
    <row r="234" spans="159:159" x14ac:dyDescent="0.25">
      <c r="FC234">
        <f t="shared" si="4"/>
        <v>0</v>
      </c>
    </row>
    <row r="235" spans="159:159" x14ac:dyDescent="0.25">
      <c r="FC235">
        <f t="shared" si="4"/>
        <v>0</v>
      </c>
    </row>
    <row r="236" spans="159:159" x14ac:dyDescent="0.25">
      <c r="FC236">
        <f t="shared" si="4"/>
        <v>0</v>
      </c>
    </row>
    <row r="237" spans="159:159" x14ac:dyDescent="0.25">
      <c r="FC237">
        <f t="shared" si="4"/>
        <v>0</v>
      </c>
    </row>
    <row r="238" spans="159:159" x14ac:dyDescent="0.25">
      <c r="FC238">
        <f t="shared" si="4"/>
        <v>0</v>
      </c>
    </row>
    <row r="239" spans="159:159" x14ac:dyDescent="0.25">
      <c r="FC239">
        <f t="shared" si="4"/>
        <v>0</v>
      </c>
    </row>
    <row r="240" spans="159:159" x14ac:dyDescent="0.25">
      <c r="FC240">
        <f t="shared" si="4"/>
        <v>0</v>
      </c>
    </row>
    <row r="241" spans="159:159" x14ac:dyDescent="0.25">
      <c r="FC241">
        <f t="shared" si="4"/>
        <v>0</v>
      </c>
    </row>
    <row r="242" spans="159:159" x14ac:dyDescent="0.25">
      <c r="FC242">
        <f t="shared" si="4"/>
        <v>0</v>
      </c>
    </row>
    <row r="243" spans="159:159" x14ac:dyDescent="0.25">
      <c r="FC243">
        <f t="shared" si="4"/>
        <v>0</v>
      </c>
    </row>
    <row r="244" spans="159:159" x14ac:dyDescent="0.25">
      <c r="FC244">
        <f t="shared" si="4"/>
        <v>0</v>
      </c>
    </row>
    <row r="245" spans="159:159" x14ac:dyDescent="0.25">
      <c r="FC245">
        <f t="shared" si="4"/>
        <v>0</v>
      </c>
    </row>
    <row r="246" spans="159:159" x14ac:dyDescent="0.25">
      <c r="FC246">
        <f t="shared" si="4"/>
        <v>0</v>
      </c>
    </row>
    <row r="247" spans="159:159" x14ac:dyDescent="0.25">
      <c r="FC247">
        <f t="shared" si="4"/>
        <v>0</v>
      </c>
    </row>
    <row r="248" spans="159:159" x14ac:dyDescent="0.25">
      <c r="FC248">
        <f t="shared" si="4"/>
        <v>0</v>
      </c>
    </row>
    <row r="249" spans="159:159" x14ac:dyDescent="0.25">
      <c r="FC249">
        <f t="shared" si="4"/>
        <v>0</v>
      </c>
    </row>
    <row r="250" spans="159:159" x14ac:dyDescent="0.25">
      <c r="FC250">
        <f t="shared" si="4"/>
        <v>0</v>
      </c>
    </row>
    <row r="251" spans="159:159" x14ac:dyDescent="0.25">
      <c r="FC251">
        <f t="shared" si="4"/>
        <v>0</v>
      </c>
    </row>
    <row r="252" spans="159:159" x14ac:dyDescent="0.25">
      <c r="FC252">
        <f t="shared" si="4"/>
        <v>0</v>
      </c>
    </row>
    <row r="253" spans="159:159" x14ac:dyDescent="0.25">
      <c r="FC253">
        <f t="shared" si="4"/>
        <v>0</v>
      </c>
    </row>
    <row r="254" spans="159:159" x14ac:dyDescent="0.25">
      <c r="FC254">
        <f t="shared" si="4"/>
        <v>0</v>
      </c>
    </row>
    <row r="255" spans="159:159" x14ac:dyDescent="0.25">
      <c r="FC255">
        <f t="shared" si="4"/>
        <v>0</v>
      </c>
    </row>
    <row r="256" spans="159:159" x14ac:dyDescent="0.25">
      <c r="FC256">
        <f t="shared" si="4"/>
        <v>0</v>
      </c>
    </row>
    <row r="257" spans="159:159" x14ac:dyDescent="0.25">
      <c r="FC257">
        <f t="shared" si="4"/>
        <v>0</v>
      </c>
    </row>
    <row r="258" spans="159:159" x14ac:dyDescent="0.25">
      <c r="FC258">
        <f t="shared" si="4"/>
        <v>0</v>
      </c>
    </row>
    <row r="259" spans="159:159" x14ac:dyDescent="0.25">
      <c r="FC259">
        <f t="shared" ref="FC259:FC322" si="5">BY324-CC324</f>
        <v>0</v>
      </c>
    </row>
    <row r="260" spans="159:159" x14ac:dyDescent="0.25">
      <c r="FC260">
        <f t="shared" si="5"/>
        <v>0</v>
      </c>
    </row>
    <row r="261" spans="159:159" x14ac:dyDescent="0.25">
      <c r="FC261">
        <f t="shared" si="5"/>
        <v>0</v>
      </c>
    </row>
    <row r="262" spans="159:159" x14ac:dyDescent="0.25">
      <c r="FC262">
        <f t="shared" si="5"/>
        <v>0</v>
      </c>
    </row>
    <row r="263" spans="159:159" x14ac:dyDescent="0.25">
      <c r="FC263">
        <f t="shared" si="5"/>
        <v>0</v>
      </c>
    </row>
    <row r="264" spans="159:159" x14ac:dyDescent="0.25">
      <c r="FC264">
        <f t="shared" si="5"/>
        <v>0</v>
      </c>
    </row>
    <row r="265" spans="159:159" x14ac:dyDescent="0.25">
      <c r="FC265">
        <f t="shared" si="5"/>
        <v>0</v>
      </c>
    </row>
    <row r="266" spans="159:159" x14ac:dyDescent="0.25">
      <c r="FC266">
        <f t="shared" si="5"/>
        <v>0</v>
      </c>
    </row>
    <row r="267" spans="159:159" x14ac:dyDescent="0.25">
      <c r="FC267">
        <f t="shared" si="5"/>
        <v>0</v>
      </c>
    </row>
    <row r="268" spans="159:159" x14ac:dyDescent="0.25">
      <c r="FC268">
        <f t="shared" si="5"/>
        <v>0</v>
      </c>
    </row>
    <row r="269" spans="159:159" x14ac:dyDescent="0.25">
      <c r="FC269">
        <f t="shared" si="5"/>
        <v>0</v>
      </c>
    </row>
    <row r="270" spans="159:159" x14ac:dyDescent="0.25">
      <c r="FC270">
        <f t="shared" si="5"/>
        <v>0</v>
      </c>
    </row>
    <row r="271" spans="159:159" x14ac:dyDescent="0.25">
      <c r="FC271">
        <f t="shared" si="5"/>
        <v>0</v>
      </c>
    </row>
    <row r="272" spans="159:159" x14ac:dyDescent="0.25">
      <c r="FC272">
        <f t="shared" si="5"/>
        <v>0</v>
      </c>
    </row>
    <row r="273" spans="159:159" x14ac:dyDescent="0.25">
      <c r="FC273">
        <f t="shared" si="5"/>
        <v>0</v>
      </c>
    </row>
    <row r="274" spans="159:159" x14ac:dyDescent="0.25">
      <c r="FC274">
        <f t="shared" si="5"/>
        <v>0</v>
      </c>
    </row>
    <row r="275" spans="159:159" x14ac:dyDescent="0.25">
      <c r="FC275">
        <f t="shared" si="5"/>
        <v>0</v>
      </c>
    </row>
    <row r="276" spans="159:159" x14ac:dyDescent="0.25">
      <c r="FC276">
        <f t="shared" si="5"/>
        <v>0</v>
      </c>
    </row>
    <row r="277" spans="159:159" x14ac:dyDescent="0.25">
      <c r="FC277">
        <f t="shared" si="5"/>
        <v>0</v>
      </c>
    </row>
    <row r="278" spans="159:159" x14ac:dyDescent="0.25">
      <c r="FC278">
        <f t="shared" si="5"/>
        <v>0</v>
      </c>
    </row>
    <row r="279" spans="159:159" x14ac:dyDescent="0.25">
      <c r="FC279">
        <f t="shared" si="5"/>
        <v>0</v>
      </c>
    </row>
    <row r="280" spans="159:159" x14ac:dyDescent="0.25">
      <c r="FC280">
        <f t="shared" si="5"/>
        <v>0</v>
      </c>
    </row>
    <row r="281" spans="159:159" x14ac:dyDescent="0.25">
      <c r="FC281">
        <f t="shared" si="5"/>
        <v>0</v>
      </c>
    </row>
    <row r="282" spans="159:159" x14ac:dyDescent="0.25">
      <c r="FC282">
        <f t="shared" si="5"/>
        <v>0</v>
      </c>
    </row>
    <row r="283" spans="159:159" x14ac:dyDescent="0.25">
      <c r="FC283">
        <f t="shared" si="5"/>
        <v>0</v>
      </c>
    </row>
    <row r="284" spans="159:159" x14ac:dyDescent="0.25">
      <c r="FC284">
        <f t="shared" si="5"/>
        <v>0</v>
      </c>
    </row>
    <row r="285" spans="159:159" x14ac:dyDescent="0.25">
      <c r="FC285">
        <f t="shared" si="5"/>
        <v>0</v>
      </c>
    </row>
    <row r="286" spans="159:159" x14ac:dyDescent="0.25">
      <c r="FC286">
        <f t="shared" si="5"/>
        <v>0</v>
      </c>
    </row>
    <row r="287" spans="159:159" x14ac:dyDescent="0.25">
      <c r="FC287">
        <f t="shared" si="5"/>
        <v>0</v>
      </c>
    </row>
    <row r="288" spans="159:159" x14ac:dyDescent="0.25">
      <c r="FC288">
        <f t="shared" si="5"/>
        <v>0</v>
      </c>
    </row>
    <row r="289" spans="159:159" x14ac:dyDescent="0.25">
      <c r="FC289">
        <f t="shared" si="5"/>
        <v>0</v>
      </c>
    </row>
    <row r="290" spans="159:159" x14ac:dyDescent="0.25">
      <c r="FC290">
        <f t="shared" si="5"/>
        <v>0</v>
      </c>
    </row>
    <row r="291" spans="159:159" x14ac:dyDescent="0.25">
      <c r="FC291">
        <f t="shared" si="5"/>
        <v>0</v>
      </c>
    </row>
    <row r="292" spans="159:159" x14ac:dyDescent="0.25">
      <c r="FC292">
        <f t="shared" si="5"/>
        <v>0</v>
      </c>
    </row>
    <row r="293" spans="159:159" x14ac:dyDescent="0.25">
      <c r="FC293">
        <f t="shared" si="5"/>
        <v>0</v>
      </c>
    </row>
    <row r="294" spans="159:159" x14ac:dyDescent="0.25">
      <c r="FC294">
        <f t="shared" si="5"/>
        <v>0</v>
      </c>
    </row>
    <row r="295" spans="159:159" x14ac:dyDescent="0.25">
      <c r="FC295">
        <f t="shared" si="5"/>
        <v>0</v>
      </c>
    </row>
    <row r="296" spans="159:159" x14ac:dyDescent="0.25">
      <c r="FC296">
        <f t="shared" si="5"/>
        <v>0</v>
      </c>
    </row>
    <row r="297" spans="159:159" x14ac:dyDescent="0.25">
      <c r="FC297">
        <f t="shared" si="5"/>
        <v>0</v>
      </c>
    </row>
    <row r="298" spans="159:159" x14ac:dyDescent="0.25">
      <c r="FC298">
        <f t="shared" si="5"/>
        <v>0</v>
      </c>
    </row>
    <row r="299" spans="159:159" x14ac:dyDescent="0.25">
      <c r="FC299">
        <f t="shared" si="5"/>
        <v>0</v>
      </c>
    </row>
    <row r="300" spans="159:159" x14ac:dyDescent="0.25">
      <c r="FC300">
        <f t="shared" si="5"/>
        <v>0</v>
      </c>
    </row>
    <row r="301" spans="159:159" x14ac:dyDescent="0.25">
      <c r="FC301">
        <f t="shared" si="5"/>
        <v>0</v>
      </c>
    </row>
    <row r="302" spans="159:159" x14ac:dyDescent="0.25">
      <c r="FC302">
        <f t="shared" si="5"/>
        <v>0</v>
      </c>
    </row>
    <row r="303" spans="159:159" x14ac:dyDescent="0.25">
      <c r="FC303">
        <f t="shared" si="5"/>
        <v>0</v>
      </c>
    </row>
    <row r="304" spans="159:159" x14ac:dyDescent="0.25">
      <c r="FC304">
        <f t="shared" si="5"/>
        <v>0</v>
      </c>
    </row>
    <row r="305" spans="159:159" x14ac:dyDescent="0.25">
      <c r="FC305">
        <f t="shared" si="5"/>
        <v>0</v>
      </c>
    </row>
    <row r="306" spans="159:159" x14ac:dyDescent="0.25">
      <c r="FC306">
        <f t="shared" si="5"/>
        <v>0</v>
      </c>
    </row>
    <row r="307" spans="159:159" x14ac:dyDescent="0.25">
      <c r="FC307">
        <f t="shared" si="5"/>
        <v>0</v>
      </c>
    </row>
    <row r="308" spans="159:159" x14ac:dyDescent="0.25">
      <c r="FC308">
        <f t="shared" si="5"/>
        <v>0</v>
      </c>
    </row>
    <row r="309" spans="159:159" x14ac:dyDescent="0.25">
      <c r="FC309">
        <f t="shared" si="5"/>
        <v>0</v>
      </c>
    </row>
    <row r="310" spans="159:159" x14ac:dyDescent="0.25">
      <c r="FC310">
        <f t="shared" si="5"/>
        <v>0</v>
      </c>
    </row>
    <row r="311" spans="159:159" x14ac:dyDescent="0.25">
      <c r="FC311">
        <f t="shared" si="5"/>
        <v>0</v>
      </c>
    </row>
    <row r="312" spans="159:159" x14ac:dyDescent="0.25">
      <c r="FC312">
        <f t="shared" si="5"/>
        <v>0</v>
      </c>
    </row>
    <row r="313" spans="159:159" x14ac:dyDescent="0.25">
      <c r="FC313">
        <f t="shared" si="5"/>
        <v>0</v>
      </c>
    </row>
    <row r="314" spans="159:159" x14ac:dyDescent="0.25">
      <c r="FC314">
        <f t="shared" si="5"/>
        <v>0</v>
      </c>
    </row>
    <row r="315" spans="159:159" x14ac:dyDescent="0.25">
      <c r="FC315">
        <f t="shared" si="5"/>
        <v>0</v>
      </c>
    </row>
    <row r="316" spans="159:159" x14ac:dyDescent="0.25">
      <c r="FC316">
        <f t="shared" si="5"/>
        <v>0</v>
      </c>
    </row>
    <row r="317" spans="159:159" x14ac:dyDescent="0.25">
      <c r="FC317">
        <f t="shared" si="5"/>
        <v>0</v>
      </c>
    </row>
    <row r="318" spans="159:159" x14ac:dyDescent="0.25">
      <c r="FC318">
        <f t="shared" si="5"/>
        <v>0</v>
      </c>
    </row>
    <row r="319" spans="159:159" x14ac:dyDescent="0.25">
      <c r="FC319">
        <f t="shared" si="5"/>
        <v>0</v>
      </c>
    </row>
    <row r="320" spans="159:159" x14ac:dyDescent="0.25">
      <c r="FC320">
        <f t="shared" si="5"/>
        <v>0</v>
      </c>
    </row>
    <row r="321" spans="159:159" x14ac:dyDescent="0.25">
      <c r="FC321">
        <f t="shared" si="5"/>
        <v>0</v>
      </c>
    </row>
    <row r="322" spans="159:159" x14ac:dyDescent="0.25">
      <c r="FC322">
        <f t="shared" si="5"/>
        <v>0</v>
      </c>
    </row>
    <row r="323" spans="159:159" x14ac:dyDescent="0.25">
      <c r="FC323">
        <f t="shared" ref="FC323:FC354" si="6">BY388-CC388</f>
        <v>0</v>
      </c>
    </row>
    <row r="324" spans="159:159" x14ac:dyDescent="0.25">
      <c r="FC324">
        <f t="shared" si="6"/>
        <v>0</v>
      </c>
    </row>
    <row r="325" spans="159:159" x14ac:dyDescent="0.25">
      <c r="FC325">
        <f t="shared" si="6"/>
        <v>0</v>
      </c>
    </row>
    <row r="326" spans="159:159" x14ac:dyDescent="0.25">
      <c r="FC326">
        <f t="shared" si="6"/>
        <v>0</v>
      </c>
    </row>
    <row r="327" spans="159:159" x14ac:dyDescent="0.25">
      <c r="FC327">
        <f t="shared" si="6"/>
        <v>0</v>
      </c>
    </row>
    <row r="328" spans="159:159" x14ac:dyDescent="0.25">
      <c r="FC328">
        <f t="shared" si="6"/>
        <v>0</v>
      </c>
    </row>
    <row r="329" spans="159:159" x14ac:dyDescent="0.25">
      <c r="FC329">
        <f t="shared" si="6"/>
        <v>0</v>
      </c>
    </row>
    <row r="330" spans="159:159" x14ac:dyDescent="0.25">
      <c r="FC330">
        <f t="shared" si="6"/>
        <v>0</v>
      </c>
    </row>
    <row r="331" spans="159:159" x14ac:dyDescent="0.25">
      <c r="FC331">
        <f t="shared" si="6"/>
        <v>0</v>
      </c>
    </row>
    <row r="332" spans="159:159" x14ac:dyDescent="0.25">
      <c r="FC332">
        <f t="shared" si="6"/>
        <v>0</v>
      </c>
    </row>
    <row r="333" spans="159:159" x14ac:dyDescent="0.25">
      <c r="FC333">
        <f t="shared" si="6"/>
        <v>0</v>
      </c>
    </row>
    <row r="334" spans="159:159" x14ac:dyDescent="0.25">
      <c r="FC334">
        <f t="shared" si="6"/>
        <v>0</v>
      </c>
    </row>
    <row r="335" spans="159:159" x14ac:dyDescent="0.25">
      <c r="FC335">
        <f t="shared" si="6"/>
        <v>0</v>
      </c>
    </row>
    <row r="336" spans="159:159" x14ac:dyDescent="0.25">
      <c r="FC336">
        <f t="shared" si="6"/>
        <v>0</v>
      </c>
    </row>
    <row r="337" spans="159:159" x14ac:dyDescent="0.25">
      <c r="FC337">
        <f t="shared" si="6"/>
        <v>0</v>
      </c>
    </row>
    <row r="338" spans="159:159" x14ac:dyDescent="0.25">
      <c r="FC338">
        <f t="shared" si="6"/>
        <v>0</v>
      </c>
    </row>
    <row r="339" spans="159:159" x14ac:dyDescent="0.25">
      <c r="FC339">
        <f t="shared" si="6"/>
        <v>0</v>
      </c>
    </row>
    <row r="340" spans="159:159" x14ac:dyDescent="0.25">
      <c r="FC340">
        <f t="shared" si="6"/>
        <v>0</v>
      </c>
    </row>
    <row r="341" spans="159:159" x14ac:dyDescent="0.25">
      <c r="FC341">
        <f t="shared" si="6"/>
        <v>0</v>
      </c>
    </row>
    <row r="342" spans="159:159" x14ac:dyDescent="0.25">
      <c r="FC342">
        <f t="shared" si="6"/>
        <v>0</v>
      </c>
    </row>
    <row r="343" spans="159:159" x14ac:dyDescent="0.25">
      <c r="FC343">
        <f t="shared" si="6"/>
        <v>0</v>
      </c>
    </row>
    <row r="344" spans="159:159" x14ac:dyDescent="0.25">
      <c r="FC344">
        <f t="shared" si="6"/>
        <v>0</v>
      </c>
    </row>
    <row r="345" spans="159:159" x14ac:dyDescent="0.25">
      <c r="FC345">
        <f t="shared" si="6"/>
        <v>0</v>
      </c>
    </row>
    <row r="346" spans="159:159" x14ac:dyDescent="0.25">
      <c r="FC346">
        <f t="shared" si="6"/>
        <v>0</v>
      </c>
    </row>
    <row r="347" spans="159:159" x14ac:dyDescent="0.25">
      <c r="FC347">
        <f t="shared" si="6"/>
        <v>0</v>
      </c>
    </row>
    <row r="348" spans="159:159" x14ac:dyDescent="0.25">
      <c r="FC348">
        <f t="shared" si="6"/>
        <v>0</v>
      </c>
    </row>
    <row r="349" spans="159:159" x14ac:dyDescent="0.25">
      <c r="FC349">
        <f t="shared" si="6"/>
        <v>0</v>
      </c>
    </row>
    <row r="350" spans="159:159" x14ac:dyDescent="0.25">
      <c r="FC350">
        <f t="shared" si="6"/>
        <v>0</v>
      </c>
    </row>
    <row r="351" spans="159:159" x14ac:dyDescent="0.25">
      <c r="FC351">
        <f t="shared" si="6"/>
        <v>0</v>
      </c>
    </row>
    <row r="352" spans="159:159" x14ac:dyDescent="0.25">
      <c r="FC352">
        <f t="shared" si="6"/>
        <v>0</v>
      </c>
    </row>
    <row r="353" spans="159:159" x14ac:dyDescent="0.25">
      <c r="FC353">
        <f t="shared" si="6"/>
        <v>0</v>
      </c>
    </row>
    <row r="354" spans="159:159" x14ac:dyDescent="0.25">
      <c r="FC354">
        <f t="shared" si="6"/>
        <v>0</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B322"/>
  <sheetViews>
    <sheetView topLeftCell="A171" zoomScaleNormal="100" workbookViewId="0">
      <selection activeCell="BZ161" sqref="BZ161"/>
    </sheetView>
  </sheetViews>
  <sheetFormatPr defaultRowHeight="15" x14ac:dyDescent="0.25"/>
  <cols>
    <col min="1" max="1" width="11.5703125" customWidth="1"/>
    <col min="2" max="2" width="16.140625" customWidth="1"/>
    <col min="3" max="3" width="17" customWidth="1"/>
    <col min="4" max="4" width="8" customWidth="1"/>
    <col min="5" max="5" width="11.140625" customWidth="1"/>
    <col min="6" max="6" width="12.140625" customWidth="1"/>
    <col min="7" max="7" width="11.28515625" customWidth="1"/>
    <col min="8" max="8" width="8.7109375" hidden="1" customWidth="1"/>
    <col min="9" max="9" width="10.7109375" hidden="1" customWidth="1"/>
    <col min="10" max="10" width="10.85546875" hidden="1" customWidth="1"/>
    <col min="11" max="11" width="10" hidden="1" customWidth="1"/>
    <col min="12" max="12" width="8.140625" hidden="1" customWidth="1"/>
    <col min="13" max="13" width="19" hidden="1" customWidth="1"/>
    <col min="14" max="14" width="18.42578125" hidden="1" customWidth="1"/>
    <col min="15" max="15" width="17.5703125" hidden="1" customWidth="1"/>
    <col min="16" max="16" width="15.5703125" hidden="1" customWidth="1"/>
    <col min="17" max="17" width="19" hidden="1" customWidth="1"/>
    <col min="18" max="18" width="18.42578125" hidden="1" customWidth="1"/>
    <col min="19" max="19" width="17.5703125" hidden="1" customWidth="1"/>
    <col min="20" max="20" width="15.5703125" hidden="1" customWidth="1"/>
    <col min="21" max="21" width="17.28515625" hidden="1" customWidth="1"/>
    <col min="22" max="22" width="16.7109375" hidden="1" customWidth="1"/>
    <col min="23" max="23" width="15.7109375" hidden="1" customWidth="1"/>
    <col min="24" max="24" width="13.85546875" hidden="1" customWidth="1"/>
    <col min="25" max="25" width="7.7109375" hidden="1" customWidth="1"/>
    <col min="26" max="26" width="11.5703125" hidden="1" customWidth="1"/>
    <col min="27" max="27" width="10.7109375" hidden="1" customWidth="1"/>
    <col min="28" max="28" width="8.7109375" hidden="1" customWidth="1"/>
    <col min="29" max="29" width="9.85546875" hidden="1" customWidth="1"/>
    <col min="30" max="30" width="15.28515625" hidden="1" customWidth="1"/>
    <col min="31" max="31" width="14.42578125" hidden="1" customWidth="1"/>
    <col min="32" max="32" width="12.42578125" hidden="1" customWidth="1"/>
    <col min="33" max="33" width="9.85546875" hidden="1" customWidth="1"/>
    <col min="34" max="34" width="15.28515625" hidden="1" customWidth="1"/>
    <col min="35" max="35" width="14.42578125" hidden="1" customWidth="1"/>
    <col min="36" max="36" width="12.42578125" hidden="1" customWidth="1"/>
    <col min="37" max="37" width="8.5703125" hidden="1" customWidth="1"/>
    <col min="38" max="38" width="13.7109375" hidden="1" customWidth="1"/>
    <col min="39" max="39" width="12.7109375" hidden="1" customWidth="1"/>
    <col min="40" max="41" width="10.7109375" hidden="1" customWidth="1"/>
    <col min="42" max="42" width="11.85546875" hidden="1" customWidth="1"/>
    <col min="43" max="43" width="11.7109375" hidden="1" customWidth="1"/>
    <col min="44" max="44" width="11.85546875" hidden="1" customWidth="1"/>
    <col min="45" max="45" width="14.28515625" hidden="1" customWidth="1"/>
    <col min="46" max="46" width="13.28515625" hidden="1" customWidth="1"/>
    <col min="47" max="47" width="11.28515625" hidden="1" customWidth="1"/>
    <col min="48" max="48" width="14.28515625" hidden="1" customWidth="1"/>
    <col min="49" max="49" width="19.7109375" hidden="1" customWidth="1"/>
    <col min="50" max="50" width="18.7109375" hidden="1" customWidth="1"/>
    <col min="51" max="51" width="16.7109375" hidden="1" customWidth="1"/>
    <col min="52" max="52" width="14.28515625" hidden="1" customWidth="1"/>
    <col min="53" max="53" width="19.7109375" hidden="1" customWidth="1"/>
    <col min="54" max="54" width="18.7109375" hidden="1" customWidth="1"/>
    <col min="55" max="55" width="16.7109375" hidden="1" customWidth="1"/>
    <col min="56" max="56" width="12.42578125" hidden="1" customWidth="1"/>
    <col min="57" max="57" width="18" hidden="1" customWidth="1"/>
    <col min="58" max="58" width="17" hidden="1" customWidth="1"/>
    <col min="59" max="59" width="15.140625" hidden="1" customWidth="1"/>
    <col min="60" max="60" width="13.5703125" hidden="1" customWidth="1"/>
    <col min="61" max="61" width="18.7109375" hidden="1" customWidth="1"/>
    <col min="62" max="62" width="17.7109375" hidden="1" customWidth="1"/>
    <col min="63" max="63" width="15.7109375" hidden="1" customWidth="1"/>
    <col min="64" max="64" width="13.5703125" hidden="1" customWidth="1"/>
    <col min="65" max="65" width="18.5703125" hidden="1" customWidth="1"/>
    <col min="66" max="66" width="17.7109375" hidden="1" customWidth="1"/>
    <col min="67" max="67" width="15.7109375" hidden="1" customWidth="1"/>
    <col min="68" max="68" width="14.5703125" hidden="1" customWidth="1"/>
    <col min="69" max="69" width="20" hidden="1" customWidth="1"/>
    <col min="70" max="70" width="19.140625" hidden="1" customWidth="1"/>
    <col min="71" max="71" width="17.28515625" hidden="1" customWidth="1"/>
    <col min="72" max="72" width="14.140625" hidden="1" customWidth="1"/>
    <col min="73" max="73" width="19.5703125" hidden="1" customWidth="1"/>
    <col min="74" max="74" width="18.7109375" hidden="1" customWidth="1"/>
    <col min="75" max="75" width="16.7109375" hidden="1" customWidth="1"/>
    <col min="76" max="77" width="15.5703125" customWidth="1"/>
    <col min="78" max="78" width="14" customWidth="1"/>
    <col min="79" max="79" width="9" customWidth="1"/>
    <col min="80" max="80" width="15.5703125" customWidth="1"/>
    <col min="81" max="81" width="14.42578125" customWidth="1"/>
    <col min="82" max="82" width="15.5703125" customWidth="1"/>
    <col min="83" max="83" width="11.42578125" customWidth="1"/>
    <col min="84" max="84" width="14" customWidth="1"/>
    <col min="85" max="85" width="15.5703125" customWidth="1"/>
    <col min="86" max="86" width="16.42578125" customWidth="1"/>
    <col min="87" max="87" width="11.42578125" customWidth="1"/>
    <col min="88" max="88" width="11.140625" customWidth="1"/>
    <col min="89" max="89" width="14" customWidth="1"/>
    <col min="90" max="90" width="14.85546875" customWidth="1"/>
    <col min="91" max="91" width="11" customWidth="1"/>
    <col min="92" max="93" width="15.5703125" customWidth="1"/>
    <col min="94" max="94" width="14" customWidth="1"/>
    <col min="95" max="95" width="11.28515625" customWidth="1"/>
    <col min="96" max="97" width="14" customWidth="1"/>
    <col min="98" max="98" width="12.7109375" customWidth="1"/>
    <col min="99" max="99" width="12.42578125" customWidth="1"/>
    <col min="100" max="101" width="15.5703125" customWidth="1"/>
    <col min="102" max="102" width="14" customWidth="1"/>
    <col min="103" max="103" width="11.7109375" customWidth="1"/>
    <col min="104" max="104" width="8" style="195" customWidth="1"/>
    <col min="105" max="105" width="8.7109375" customWidth="1"/>
    <col min="106" max="106" width="7.85546875" customWidth="1"/>
    <col min="107" max="107" width="7.7109375" customWidth="1"/>
    <col min="108" max="108" width="8" customWidth="1"/>
    <col min="109" max="109" width="9.42578125" customWidth="1"/>
    <col min="110" max="110" width="11.85546875" customWidth="1"/>
    <col min="111" max="111" width="7.7109375" customWidth="1"/>
    <col min="112" max="112" width="8" customWidth="1"/>
    <col min="113" max="113" width="13.140625" customWidth="1"/>
    <col min="114" max="114" width="12.28515625" customWidth="1"/>
    <col min="115" max="115" width="10.28515625" customWidth="1"/>
    <col min="116" max="116" width="8" customWidth="1"/>
    <col min="117" max="117" width="13" customWidth="1"/>
    <col min="118" max="118" width="12.140625" customWidth="1"/>
    <col min="119" max="119" width="10.140625" customWidth="1"/>
    <col min="120" max="120" width="7.42578125" customWidth="1"/>
    <col min="121" max="121" width="12.85546875" customWidth="1"/>
    <col min="122" max="122" width="12" customWidth="1"/>
    <col min="123" max="123" width="10.140625" customWidth="1"/>
    <col min="124" max="125" width="11.140625" customWidth="1"/>
    <col min="126" max="126" width="8.7109375" customWidth="1"/>
    <col min="127" max="127" width="14.28515625" customWidth="1"/>
    <col min="128" max="128" width="13.42578125" customWidth="1"/>
    <col min="129" max="129" width="11.28515625" customWidth="1"/>
    <col min="130" max="130" width="9.85546875" customWidth="1"/>
    <col min="131" max="131" width="15.5703125" customWidth="1"/>
    <col min="132" max="132" width="15" customWidth="1"/>
    <col min="133" max="133" width="12.42578125" customWidth="1"/>
    <col min="134" max="134" width="11.42578125" customWidth="1"/>
    <col min="135" max="135" width="13.5703125" customWidth="1"/>
    <col min="136" max="136" width="14" customWidth="1"/>
    <col min="137" max="137" width="15.7109375" customWidth="1"/>
    <col min="138" max="138" width="11.28515625" customWidth="1"/>
    <col min="139" max="139" width="12.7109375" customWidth="1"/>
    <col min="140" max="140" width="20.85546875" customWidth="1"/>
    <col min="141" max="141" width="20.7109375" customWidth="1"/>
    <col min="142" max="142" width="23.85546875" customWidth="1"/>
    <col min="143" max="143" width="15" customWidth="1"/>
    <col min="144" max="144" width="22.28515625" customWidth="1"/>
    <col min="145" max="145" width="22" customWidth="1"/>
    <col min="146" max="146" width="21" customWidth="1"/>
    <col min="147" max="147" width="19" customWidth="1"/>
    <col min="148" max="149" width="15.5703125" customWidth="1"/>
    <col min="150" max="150" width="17.5703125" customWidth="1"/>
    <col min="151" max="151" width="19.5703125" customWidth="1"/>
    <col min="152" max="152" width="15.85546875" customWidth="1"/>
    <col min="153" max="154" width="15.5703125" customWidth="1"/>
    <col min="155" max="155" width="12.5703125" customWidth="1"/>
    <col min="156" max="156" width="14.140625" customWidth="1"/>
    <col min="157" max="157" width="18.28515625" customWidth="1"/>
  </cols>
  <sheetData>
    <row r="1" spans="1:158" ht="35.25" thickBot="1" x14ac:dyDescent="0.3">
      <c r="A1" s="164" t="s">
        <v>0</v>
      </c>
      <c r="B1" s="164" t="s">
        <v>1</v>
      </c>
      <c r="C1" s="164" t="s">
        <v>2</v>
      </c>
      <c r="D1" s="164" t="s">
        <v>3</v>
      </c>
      <c r="E1" s="164" t="s">
        <v>5</v>
      </c>
      <c r="F1" s="164" t="s">
        <v>6</v>
      </c>
      <c r="G1" s="164" t="s">
        <v>7</v>
      </c>
      <c r="H1" s="164" t="s">
        <v>8</v>
      </c>
      <c r="I1" s="164" t="s">
        <v>9</v>
      </c>
      <c r="J1" s="164" t="s">
        <v>10</v>
      </c>
      <c r="K1" s="164" t="s">
        <v>11</v>
      </c>
      <c r="L1" s="164" t="s">
        <v>12</v>
      </c>
      <c r="M1" s="164" t="s">
        <v>13</v>
      </c>
      <c r="N1" s="164" t="s">
        <v>14</v>
      </c>
      <c r="O1" s="164" t="s">
        <v>15</v>
      </c>
      <c r="P1" s="164" t="s">
        <v>16</v>
      </c>
      <c r="Q1" s="164" t="s">
        <v>17</v>
      </c>
      <c r="R1" s="164" t="s">
        <v>18</v>
      </c>
      <c r="S1" s="164" t="s">
        <v>19</v>
      </c>
      <c r="T1" s="164" t="s">
        <v>20</v>
      </c>
      <c r="U1" s="164" t="s">
        <v>21</v>
      </c>
      <c r="V1" s="164" t="s">
        <v>22</v>
      </c>
      <c r="W1" s="164" t="s">
        <v>23</v>
      </c>
      <c r="X1" s="164" t="s">
        <v>24</v>
      </c>
      <c r="Y1" s="164" t="s">
        <v>25</v>
      </c>
      <c r="Z1" s="164" t="s">
        <v>26</v>
      </c>
      <c r="AA1" s="164" t="s">
        <v>27</v>
      </c>
      <c r="AB1" s="164" t="s">
        <v>28</v>
      </c>
      <c r="AC1" s="164" t="s">
        <v>29</v>
      </c>
      <c r="AD1" s="164" t="s">
        <v>30</v>
      </c>
      <c r="AE1" s="164" t="s">
        <v>31</v>
      </c>
      <c r="AF1" s="164" t="s">
        <v>32</v>
      </c>
      <c r="AG1" s="164" t="s">
        <v>33</v>
      </c>
      <c r="AH1" s="164" t="s">
        <v>34</v>
      </c>
      <c r="AI1" s="164" t="s">
        <v>35</v>
      </c>
      <c r="AJ1" s="164" t="s">
        <v>36</v>
      </c>
      <c r="AK1" s="164" t="s">
        <v>37</v>
      </c>
      <c r="AL1" s="164" t="s">
        <v>38</v>
      </c>
      <c r="AM1" s="164" t="s">
        <v>39</v>
      </c>
      <c r="AN1" s="164" t="s">
        <v>40</v>
      </c>
      <c r="AO1" s="164" t="s">
        <v>41</v>
      </c>
      <c r="AP1" s="164" t="s">
        <v>42</v>
      </c>
      <c r="AQ1" s="164" t="s">
        <v>43</v>
      </c>
      <c r="AR1" s="164" t="s">
        <v>44</v>
      </c>
      <c r="AS1" s="164" t="s">
        <v>45</v>
      </c>
      <c r="AT1" s="164" t="s">
        <v>46</v>
      </c>
      <c r="AU1" s="164" t="s">
        <v>47</v>
      </c>
      <c r="AV1" s="164" t="s">
        <v>48</v>
      </c>
      <c r="AW1" s="164" t="s">
        <v>49</v>
      </c>
      <c r="AX1" s="164" t="s">
        <v>50</v>
      </c>
      <c r="AY1" s="164" t="s">
        <v>51</v>
      </c>
      <c r="AZ1" s="164" t="s">
        <v>52</v>
      </c>
      <c r="BA1" s="164" t="s">
        <v>53</v>
      </c>
      <c r="BB1" s="164" t="s">
        <v>54</v>
      </c>
      <c r="BC1" s="164" t="s">
        <v>55</v>
      </c>
      <c r="BD1" s="164" t="s">
        <v>56</v>
      </c>
      <c r="BE1" s="164" t="s">
        <v>57</v>
      </c>
      <c r="BF1" s="164" t="s">
        <v>58</v>
      </c>
      <c r="BG1" s="164" t="s">
        <v>59</v>
      </c>
      <c r="BH1" s="164" t="s">
        <v>60</v>
      </c>
      <c r="BI1" s="164" t="s">
        <v>61</v>
      </c>
      <c r="BJ1" s="164" t="s">
        <v>62</v>
      </c>
      <c r="BK1" s="164" t="s">
        <v>63</v>
      </c>
      <c r="BL1" s="164" t="s">
        <v>64</v>
      </c>
      <c r="BM1" s="164" t="s">
        <v>65</v>
      </c>
      <c r="BN1" s="164" t="s">
        <v>66</v>
      </c>
      <c r="BO1" s="164" t="s">
        <v>67</v>
      </c>
      <c r="BP1" s="164" t="s">
        <v>68</v>
      </c>
      <c r="BQ1" s="164" t="s">
        <v>69</v>
      </c>
      <c r="BR1" s="164" t="s">
        <v>70</v>
      </c>
      <c r="BS1" s="164" t="s">
        <v>71</v>
      </c>
      <c r="BT1" s="164" t="s">
        <v>72</v>
      </c>
      <c r="BU1" s="164" t="s">
        <v>73</v>
      </c>
      <c r="BV1" s="164" t="s">
        <v>74</v>
      </c>
      <c r="BW1" s="164" t="s">
        <v>75</v>
      </c>
      <c r="BX1" s="164" t="s">
        <v>76</v>
      </c>
      <c r="BY1" s="164" t="s">
        <v>77</v>
      </c>
      <c r="BZ1" s="164" t="s">
        <v>78</v>
      </c>
      <c r="CA1" s="164" t="s">
        <v>79</v>
      </c>
      <c r="CB1" s="164" t="s">
        <v>80</v>
      </c>
      <c r="CC1" s="164" t="s">
        <v>81</v>
      </c>
      <c r="CD1" s="164" t="s">
        <v>82</v>
      </c>
      <c r="CE1" s="164" t="s">
        <v>83</v>
      </c>
      <c r="CF1" s="164" t="s">
        <v>84</v>
      </c>
      <c r="CG1" s="164" t="s">
        <v>85</v>
      </c>
      <c r="CH1" s="164" t="s">
        <v>86</v>
      </c>
      <c r="CI1" s="164" t="s">
        <v>87</v>
      </c>
      <c r="CJ1" s="164" t="s">
        <v>88</v>
      </c>
      <c r="CK1" s="164" t="s">
        <v>89</v>
      </c>
      <c r="CL1" s="164" t="s">
        <v>90</v>
      </c>
      <c r="CM1" s="164" t="s">
        <v>91</v>
      </c>
      <c r="CN1" s="164" t="s">
        <v>92</v>
      </c>
      <c r="CO1" s="164" t="s">
        <v>93</v>
      </c>
      <c r="CP1" s="164" t="s">
        <v>94</v>
      </c>
      <c r="CQ1" s="164" t="s">
        <v>95</v>
      </c>
      <c r="CR1" s="164" t="s">
        <v>96</v>
      </c>
      <c r="CS1" s="164" t="s">
        <v>97</v>
      </c>
      <c r="CT1" s="164" t="s">
        <v>98</v>
      </c>
      <c r="CU1" s="164" t="s">
        <v>99</v>
      </c>
      <c r="CV1" s="164" t="s">
        <v>100</v>
      </c>
      <c r="CW1" s="164" t="s">
        <v>101</v>
      </c>
      <c r="CX1" s="164" t="s">
        <v>102</v>
      </c>
      <c r="CY1" s="164" t="s">
        <v>103</v>
      </c>
      <c r="CZ1" s="164" t="s">
        <v>104</v>
      </c>
      <c r="DA1" s="164" t="s">
        <v>105</v>
      </c>
      <c r="DB1" s="164" t="s">
        <v>106</v>
      </c>
      <c r="DC1" s="164" t="s">
        <v>107</v>
      </c>
      <c r="DD1" s="164" t="s">
        <v>108</v>
      </c>
      <c r="DE1" s="164" t="s">
        <v>109</v>
      </c>
      <c r="DF1" s="164" t="s">
        <v>110</v>
      </c>
      <c r="DG1" s="164" t="s">
        <v>111</v>
      </c>
      <c r="DH1" s="164" t="s">
        <v>112</v>
      </c>
      <c r="DI1" s="164" t="s">
        <v>113</v>
      </c>
      <c r="DJ1" s="164" t="s">
        <v>114</v>
      </c>
      <c r="DK1" s="164" t="s">
        <v>115</v>
      </c>
      <c r="DL1" s="164" t="s">
        <v>116</v>
      </c>
      <c r="DM1" s="164" t="s">
        <v>117</v>
      </c>
      <c r="DN1" s="164" t="s">
        <v>118</v>
      </c>
      <c r="DO1" s="164" t="s">
        <v>119</v>
      </c>
      <c r="DP1" s="164" t="s">
        <v>120</v>
      </c>
      <c r="DQ1" s="164" t="s">
        <v>121</v>
      </c>
      <c r="DR1" s="164" t="s">
        <v>122</v>
      </c>
      <c r="DS1" s="164" t="s">
        <v>123</v>
      </c>
      <c r="DT1" s="164" t="s">
        <v>124</v>
      </c>
      <c r="DU1" s="164" t="s">
        <v>125</v>
      </c>
      <c r="DV1" s="164" t="s">
        <v>126</v>
      </c>
      <c r="DW1" s="164" t="s">
        <v>127</v>
      </c>
      <c r="DX1" s="164" t="s">
        <v>128</v>
      </c>
      <c r="DY1" s="164" t="s">
        <v>129</v>
      </c>
      <c r="DZ1" s="164" t="s">
        <v>130</v>
      </c>
      <c r="EA1" s="164" t="s">
        <v>131</v>
      </c>
      <c r="EB1" s="164" t="s">
        <v>132</v>
      </c>
      <c r="EC1" s="164" t="s">
        <v>133</v>
      </c>
      <c r="ED1" s="164" t="s">
        <v>134</v>
      </c>
      <c r="EE1" s="164" t="s">
        <v>135</v>
      </c>
      <c r="EF1" s="164" t="s">
        <v>136</v>
      </c>
      <c r="EG1" s="164" t="s">
        <v>137</v>
      </c>
      <c r="EH1" s="164" t="s">
        <v>138</v>
      </c>
      <c r="EI1" s="164" t="s">
        <v>139</v>
      </c>
      <c r="EJ1" s="164" t="s">
        <v>140</v>
      </c>
      <c r="EK1" s="164" t="s">
        <v>141</v>
      </c>
      <c r="EL1" s="164" t="s">
        <v>142</v>
      </c>
      <c r="EM1" s="164" t="s">
        <v>72</v>
      </c>
      <c r="EN1" s="164" t="s">
        <v>143</v>
      </c>
      <c r="EO1" s="164" t="s">
        <v>144</v>
      </c>
      <c r="EP1" s="164" t="s">
        <v>145</v>
      </c>
      <c r="EQ1" s="164" t="s">
        <v>146</v>
      </c>
      <c r="ER1" s="164" t="s">
        <v>147</v>
      </c>
      <c r="ES1" s="164" t="s">
        <v>148</v>
      </c>
      <c r="ET1" s="164" t="s">
        <v>149</v>
      </c>
      <c r="EU1" s="164" t="s">
        <v>150</v>
      </c>
      <c r="EV1" s="164" t="s">
        <v>151</v>
      </c>
      <c r="EW1" s="164" t="s">
        <v>152</v>
      </c>
      <c r="EX1" s="164" t="s">
        <v>153</v>
      </c>
      <c r="EY1" s="164" t="s">
        <v>154</v>
      </c>
      <c r="EZ1" s="164" t="s">
        <v>155</v>
      </c>
      <c r="FA1" s="164" t="s">
        <v>156</v>
      </c>
      <c r="FB1" s="160" t="s">
        <v>468</v>
      </c>
    </row>
    <row r="2" spans="1:158" ht="17.25" hidden="1" thickBot="1" x14ac:dyDescent="0.3">
      <c r="A2" s="226">
        <v>46050</v>
      </c>
      <c r="B2" s="227" t="s">
        <v>175</v>
      </c>
      <c r="C2" s="227" t="s">
        <v>681</v>
      </c>
      <c r="D2" s="228">
        <v>500</v>
      </c>
      <c r="E2" s="231">
        <v>1142.0999999999999</v>
      </c>
      <c r="F2" s="231">
        <v>1118.5999999999999</v>
      </c>
      <c r="G2" s="228">
        <v>23.5</v>
      </c>
      <c r="H2" s="229">
        <v>2.1000000000000001E-2</v>
      </c>
      <c r="I2" s="231">
        <v>1139.9000000000001</v>
      </c>
      <c r="J2" s="231">
        <v>1113.7</v>
      </c>
      <c r="K2" s="228">
        <v>26.2</v>
      </c>
      <c r="L2" s="229">
        <v>2.35E-2</v>
      </c>
      <c r="M2" s="231">
        <v>1142.0999999999999</v>
      </c>
      <c r="N2" s="231">
        <v>1115.5</v>
      </c>
      <c r="O2" s="228">
        <v>26.6</v>
      </c>
      <c r="P2" s="229">
        <v>2.3800000000000002E-2</v>
      </c>
      <c r="Q2" s="231">
        <v>1141.8</v>
      </c>
      <c r="R2" s="231">
        <v>1118.5999999999999</v>
      </c>
      <c r="S2" s="228">
        <v>23.2</v>
      </c>
      <c r="T2" s="229">
        <v>2.07E-2</v>
      </c>
      <c r="U2" s="228">
        <v>0</v>
      </c>
      <c r="V2" s="231">
        <v>1116.8</v>
      </c>
      <c r="W2" s="228">
        <v>0</v>
      </c>
      <c r="X2" s="229">
        <v>0</v>
      </c>
      <c r="Y2" s="228">
        <v>2.2000000000000002</v>
      </c>
      <c r="Z2" s="228">
        <v>4.9000000000000004</v>
      </c>
      <c r="AA2" s="228">
        <v>-2.7</v>
      </c>
      <c r="AB2" s="229">
        <v>1.9E-3</v>
      </c>
      <c r="AC2" s="228">
        <v>2.2000000000000002</v>
      </c>
      <c r="AD2" s="228">
        <v>1.8</v>
      </c>
      <c r="AE2" s="228">
        <v>0.4</v>
      </c>
      <c r="AF2" s="229">
        <v>1.9E-3</v>
      </c>
      <c r="AG2" s="228">
        <v>1.9</v>
      </c>
      <c r="AH2" s="228">
        <v>4.9000000000000004</v>
      </c>
      <c r="AI2" s="228">
        <v>-3</v>
      </c>
      <c r="AJ2" s="229">
        <v>1.6999999999999999E-3</v>
      </c>
      <c r="AK2" s="228">
        <v>0</v>
      </c>
      <c r="AL2" s="228">
        <v>3.1</v>
      </c>
      <c r="AM2" s="228">
        <v>0</v>
      </c>
      <c r="AN2" s="229">
        <v>0</v>
      </c>
      <c r="AO2" s="231">
        <v>1139.44</v>
      </c>
      <c r="AP2" s="231">
        <v>1136.3800000000001</v>
      </c>
      <c r="AQ2" s="228">
        <v>0</v>
      </c>
      <c r="AR2" s="230">
        <v>996000</v>
      </c>
      <c r="AS2" s="230">
        <v>2284000</v>
      </c>
      <c r="AT2" s="230">
        <v>-1288000</v>
      </c>
      <c r="AU2" s="229">
        <v>-0.56389999999999996</v>
      </c>
      <c r="AV2" s="230">
        <v>964000</v>
      </c>
      <c r="AW2" s="230">
        <v>949000</v>
      </c>
      <c r="AX2" s="230">
        <v>15000</v>
      </c>
      <c r="AY2" s="229">
        <v>1.5800000000000002E-2</v>
      </c>
      <c r="AZ2" s="230">
        <v>32000</v>
      </c>
      <c r="BA2" s="230">
        <v>1328000</v>
      </c>
      <c r="BB2" s="230">
        <v>-1296000</v>
      </c>
      <c r="BC2" s="229">
        <v>-0.97589999999999999</v>
      </c>
      <c r="BD2" s="228">
        <v>0</v>
      </c>
      <c r="BE2" s="230">
        <v>7000</v>
      </c>
      <c r="BF2" s="228">
        <v>0</v>
      </c>
      <c r="BG2" s="229">
        <v>0</v>
      </c>
      <c r="BH2" s="230">
        <v>497000</v>
      </c>
      <c r="BI2" s="230">
        <v>981000</v>
      </c>
      <c r="BJ2" s="230">
        <v>-484000</v>
      </c>
      <c r="BK2" s="229">
        <v>-0.49340000000000001</v>
      </c>
      <c r="BL2" s="230">
        <v>215500</v>
      </c>
      <c r="BM2" s="230">
        <v>428000</v>
      </c>
      <c r="BN2" s="230">
        <v>-212500</v>
      </c>
      <c r="BO2" s="229">
        <v>-0.4965</v>
      </c>
      <c r="BP2" s="230">
        <v>1708500</v>
      </c>
      <c r="BQ2" s="230">
        <v>3693000</v>
      </c>
      <c r="BR2" s="230">
        <v>-1984500</v>
      </c>
      <c r="BS2" s="229">
        <v>-0.53739999999999999</v>
      </c>
      <c r="BT2" s="230">
        <v>1610318</v>
      </c>
      <c r="BU2" s="230">
        <v>2610699</v>
      </c>
      <c r="BV2" s="230">
        <v>-1000381</v>
      </c>
      <c r="BW2" s="229">
        <v>-0.38319999999999999</v>
      </c>
      <c r="BX2" s="230">
        <v>2914500</v>
      </c>
      <c r="BY2" s="230">
        <v>3039000</v>
      </c>
      <c r="BZ2" s="230">
        <v>-124500</v>
      </c>
      <c r="CA2" s="229">
        <v>-4.1000000000000002E-2</v>
      </c>
      <c r="CB2" s="230">
        <v>2884500</v>
      </c>
      <c r="CC2" s="230">
        <v>847500</v>
      </c>
      <c r="CD2" s="230">
        <v>2037000</v>
      </c>
      <c r="CE2" s="229">
        <v>2.4035000000000002</v>
      </c>
      <c r="CF2" s="230">
        <v>30000</v>
      </c>
      <c r="CG2" s="230">
        <v>3021500</v>
      </c>
      <c r="CH2" s="230">
        <v>-2991500</v>
      </c>
      <c r="CI2" s="229">
        <v>-0.99009999999999998</v>
      </c>
      <c r="CJ2" s="228">
        <v>0</v>
      </c>
      <c r="CK2" s="230">
        <v>17500</v>
      </c>
      <c r="CL2" s="230">
        <v>-17500</v>
      </c>
      <c r="CM2" s="229">
        <v>-1</v>
      </c>
      <c r="CN2" s="230">
        <v>319000</v>
      </c>
      <c r="CO2" s="230">
        <v>271000</v>
      </c>
      <c r="CP2" s="230">
        <v>48000</v>
      </c>
      <c r="CQ2" s="229">
        <v>0.17710000000000001</v>
      </c>
      <c r="CR2" s="230">
        <v>192500</v>
      </c>
      <c r="CS2" s="230">
        <v>145500</v>
      </c>
      <c r="CT2" s="230">
        <v>47000</v>
      </c>
      <c r="CU2" s="229">
        <v>0.32300000000000001</v>
      </c>
      <c r="CV2" s="230">
        <v>3426000</v>
      </c>
      <c r="CW2" s="230">
        <v>3455500</v>
      </c>
      <c r="CX2" s="230">
        <v>-29500</v>
      </c>
      <c r="CY2" s="229">
        <v>-8.5000000000000006E-3</v>
      </c>
      <c r="CZ2" s="228">
        <v>33.6</v>
      </c>
      <c r="DA2" s="228">
        <v>35.74</v>
      </c>
      <c r="DB2" s="228">
        <v>-2.14</v>
      </c>
      <c r="DC2" s="228">
        <v>-2.14</v>
      </c>
      <c r="DD2" s="228">
        <v>42.43</v>
      </c>
      <c r="DE2" s="228">
        <v>42.42</v>
      </c>
      <c r="DF2" s="228">
        <v>-8.83</v>
      </c>
      <c r="DG2" s="228">
        <v>0.01</v>
      </c>
      <c r="DH2" s="228">
        <v>33.15</v>
      </c>
      <c r="DI2" s="228">
        <v>35.6</v>
      </c>
      <c r="DJ2" s="228">
        <v>-2.4500000000000002</v>
      </c>
      <c r="DK2" s="228">
        <v>-2.4500000000000002</v>
      </c>
      <c r="DL2" s="228">
        <v>34.630000000000003</v>
      </c>
      <c r="DM2" s="228">
        <v>35.92</v>
      </c>
      <c r="DN2" s="228">
        <v>-1.29</v>
      </c>
      <c r="DO2" s="228">
        <v>-1.29</v>
      </c>
      <c r="DP2" s="228">
        <v>0.6</v>
      </c>
      <c r="DQ2" s="228">
        <v>0.54</v>
      </c>
      <c r="DR2" s="228">
        <v>0.06</v>
      </c>
      <c r="DS2" s="229">
        <v>0.1111</v>
      </c>
      <c r="DT2" s="231">
        <v>1200</v>
      </c>
      <c r="DU2" s="231">
        <v>1200</v>
      </c>
      <c r="DV2" s="228">
        <v>0.43</v>
      </c>
      <c r="DW2" s="228">
        <v>0.44</v>
      </c>
      <c r="DX2" s="228">
        <v>-0.01</v>
      </c>
      <c r="DY2" s="229">
        <v>-2.2700000000000001E-2</v>
      </c>
      <c r="DZ2" s="229">
        <v>1.03E-2</v>
      </c>
      <c r="EA2" s="230">
        <v>3039000</v>
      </c>
      <c r="EB2" s="229">
        <v>-2.9999999999999997E-4</v>
      </c>
      <c r="EC2" s="229">
        <v>1.03E-2</v>
      </c>
      <c r="ED2" s="228">
        <v>-3.06</v>
      </c>
      <c r="EE2" s="229">
        <v>-2.7000000000000001E-3</v>
      </c>
      <c r="EF2" s="230">
        <v>1145646</v>
      </c>
      <c r="EG2" s="230">
        <v>1981774</v>
      </c>
      <c r="EH2" s="229">
        <v>-0.4219</v>
      </c>
      <c r="EI2" s="229">
        <v>0.71140000000000003</v>
      </c>
      <c r="EJ2" s="231">
        <v>6038.84</v>
      </c>
      <c r="EK2" s="231">
        <v>2423.29</v>
      </c>
      <c r="EL2" s="231">
        <v>11347.82</v>
      </c>
      <c r="EM2" s="231">
        <v>6705</v>
      </c>
      <c r="EN2" s="231">
        <v>19809.95</v>
      </c>
      <c r="EO2" s="231">
        <v>41933.910000000003</v>
      </c>
      <c r="EP2" s="231">
        <v>-22123.96</v>
      </c>
      <c r="EQ2" s="229">
        <v>-0.52759999999999996</v>
      </c>
      <c r="ER2" s="231">
        <v>3846</v>
      </c>
      <c r="ES2" s="231">
        <v>2142</v>
      </c>
      <c r="ET2" s="231">
        <v>33286</v>
      </c>
      <c r="EU2" s="231">
        <v>36943219</v>
      </c>
      <c r="EV2" s="231">
        <v>39274</v>
      </c>
      <c r="EW2" s="231">
        <v>38897</v>
      </c>
      <c r="EX2" s="228">
        <v>377</v>
      </c>
      <c r="EY2" s="229">
        <v>9.7000000000000003E-3</v>
      </c>
      <c r="EZ2" s="229">
        <v>9.2700000000000005E-2</v>
      </c>
      <c r="FA2" s="227" t="s">
        <v>556</v>
      </c>
      <c r="FB2" s="161">
        <f>BX2-CB2</f>
        <v>30000</v>
      </c>
    </row>
    <row r="3" spans="1:158" ht="17.25" hidden="1" thickBot="1" x14ac:dyDescent="0.3">
      <c r="A3" s="226">
        <v>46050</v>
      </c>
      <c r="B3" s="227" t="s">
        <v>184</v>
      </c>
      <c r="C3" s="227" t="s">
        <v>553</v>
      </c>
      <c r="D3" s="228">
        <v>125</v>
      </c>
      <c r="E3" s="231">
        <v>5068</v>
      </c>
      <c r="F3" s="231">
        <v>4736.5</v>
      </c>
      <c r="G3" s="228">
        <v>331.5</v>
      </c>
      <c r="H3" s="229">
        <v>7.0000000000000007E-2</v>
      </c>
      <c r="I3" s="231">
        <v>5043.5</v>
      </c>
      <c r="J3" s="231">
        <v>4707.5</v>
      </c>
      <c r="K3" s="228">
        <v>336</v>
      </c>
      <c r="L3" s="229">
        <v>7.1400000000000005E-2</v>
      </c>
      <c r="M3" s="231">
        <v>5068</v>
      </c>
      <c r="N3" s="231">
        <v>4709</v>
      </c>
      <c r="O3" s="228">
        <v>359</v>
      </c>
      <c r="P3" s="229">
        <v>7.6200000000000004E-2</v>
      </c>
      <c r="Q3" s="231">
        <v>5083</v>
      </c>
      <c r="R3" s="231">
        <v>4736.5</v>
      </c>
      <c r="S3" s="228">
        <v>346.5</v>
      </c>
      <c r="T3" s="229">
        <v>7.3200000000000001E-2</v>
      </c>
      <c r="U3" s="231">
        <v>5092</v>
      </c>
      <c r="V3" s="231">
        <v>4755</v>
      </c>
      <c r="W3" s="228">
        <v>337</v>
      </c>
      <c r="X3" s="229">
        <v>7.0900000000000005E-2</v>
      </c>
      <c r="Y3" s="228">
        <v>24.5</v>
      </c>
      <c r="Z3" s="228">
        <v>29</v>
      </c>
      <c r="AA3" s="228">
        <v>-4.5</v>
      </c>
      <c r="AB3" s="229">
        <v>4.8999999999999998E-3</v>
      </c>
      <c r="AC3" s="228">
        <v>24.5</v>
      </c>
      <c r="AD3" s="228">
        <v>1.5</v>
      </c>
      <c r="AE3" s="228">
        <v>23</v>
      </c>
      <c r="AF3" s="229">
        <v>4.8999999999999998E-3</v>
      </c>
      <c r="AG3" s="228">
        <v>39.5</v>
      </c>
      <c r="AH3" s="228">
        <v>29</v>
      </c>
      <c r="AI3" s="228">
        <v>10.5</v>
      </c>
      <c r="AJ3" s="229">
        <v>7.7999999999999996E-3</v>
      </c>
      <c r="AK3" s="228">
        <v>48.5</v>
      </c>
      <c r="AL3" s="228">
        <v>47.5</v>
      </c>
      <c r="AM3" s="228">
        <v>1</v>
      </c>
      <c r="AN3" s="229">
        <v>9.5999999999999992E-3</v>
      </c>
      <c r="AO3" s="231">
        <v>4991</v>
      </c>
      <c r="AP3" s="231">
        <v>4995.8999999999996</v>
      </c>
      <c r="AQ3" s="228">
        <v>0</v>
      </c>
      <c r="AR3" s="230">
        <v>966500</v>
      </c>
      <c r="AS3" s="230">
        <v>1400375</v>
      </c>
      <c r="AT3" s="230">
        <v>-433875</v>
      </c>
      <c r="AU3" s="229">
        <v>-0.30980000000000002</v>
      </c>
      <c r="AV3" s="230">
        <v>930750</v>
      </c>
      <c r="AW3" s="230">
        <v>663625</v>
      </c>
      <c r="AX3" s="230">
        <v>267125</v>
      </c>
      <c r="AY3" s="229">
        <v>0.40250000000000002</v>
      </c>
      <c r="AZ3" s="230">
        <v>34125</v>
      </c>
      <c r="BA3" s="230">
        <v>711875</v>
      </c>
      <c r="BB3" s="230">
        <v>-677750</v>
      </c>
      <c r="BC3" s="229">
        <v>-0.95209999999999995</v>
      </c>
      <c r="BD3" s="230">
        <v>1625</v>
      </c>
      <c r="BE3" s="230">
        <v>24875</v>
      </c>
      <c r="BF3" s="230">
        <v>-23250</v>
      </c>
      <c r="BG3" s="229">
        <v>-0.93469999999999998</v>
      </c>
      <c r="BH3" s="230">
        <v>4818250</v>
      </c>
      <c r="BI3" s="230">
        <v>908375</v>
      </c>
      <c r="BJ3" s="230">
        <v>3909875</v>
      </c>
      <c r="BK3" s="229">
        <v>4.3042999999999996</v>
      </c>
      <c r="BL3" s="230">
        <v>1586000</v>
      </c>
      <c r="BM3" s="230">
        <v>778625</v>
      </c>
      <c r="BN3" s="230">
        <v>807375</v>
      </c>
      <c r="BO3" s="229">
        <v>1.0368999999999999</v>
      </c>
      <c r="BP3" s="230">
        <v>7370750</v>
      </c>
      <c r="BQ3" s="230">
        <v>3087375</v>
      </c>
      <c r="BR3" s="230">
        <v>4283375</v>
      </c>
      <c r="BS3" s="229">
        <v>1.3874</v>
      </c>
      <c r="BT3" s="230">
        <v>432749</v>
      </c>
      <c r="BU3" s="230">
        <v>187081</v>
      </c>
      <c r="BV3" s="230">
        <v>245668</v>
      </c>
      <c r="BW3" s="229">
        <v>1.3131999999999999</v>
      </c>
      <c r="BX3" s="230">
        <v>2203125</v>
      </c>
      <c r="BY3" s="230">
        <v>2184250</v>
      </c>
      <c r="BZ3" s="230">
        <v>18875</v>
      </c>
      <c r="CA3" s="229">
        <v>8.6E-3</v>
      </c>
      <c r="CB3" s="230">
        <v>2146625</v>
      </c>
      <c r="CC3" s="230">
        <v>250000</v>
      </c>
      <c r="CD3" s="230">
        <v>1896625</v>
      </c>
      <c r="CE3" s="229">
        <v>7.5865</v>
      </c>
      <c r="CF3" s="230">
        <v>55375</v>
      </c>
      <c r="CG3" s="230">
        <v>2131000</v>
      </c>
      <c r="CH3" s="230">
        <v>-2075625</v>
      </c>
      <c r="CI3" s="229">
        <v>-0.97399999999999998</v>
      </c>
      <c r="CJ3" s="230">
        <v>1125</v>
      </c>
      <c r="CK3" s="230">
        <v>53250</v>
      </c>
      <c r="CL3" s="230">
        <v>-52125</v>
      </c>
      <c r="CM3" s="229">
        <v>-0.97889999999999999</v>
      </c>
      <c r="CN3" s="230">
        <v>548125</v>
      </c>
      <c r="CO3" s="230">
        <v>305750</v>
      </c>
      <c r="CP3" s="230">
        <v>242375</v>
      </c>
      <c r="CQ3" s="229">
        <v>0.79269999999999996</v>
      </c>
      <c r="CR3" s="230">
        <v>533000</v>
      </c>
      <c r="CS3" s="230">
        <v>409000</v>
      </c>
      <c r="CT3" s="230">
        <v>124000</v>
      </c>
      <c r="CU3" s="229">
        <v>0.30320000000000003</v>
      </c>
      <c r="CV3" s="230">
        <v>3284250</v>
      </c>
      <c r="CW3" s="230">
        <v>2899000</v>
      </c>
      <c r="CX3" s="230">
        <v>385250</v>
      </c>
      <c r="CY3" s="229">
        <v>0.13289999999999999</v>
      </c>
      <c r="CZ3" s="228">
        <v>32.65</v>
      </c>
      <c r="DA3" s="228">
        <v>32.81</v>
      </c>
      <c r="DB3" s="228">
        <v>-0.16</v>
      </c>
      <c r="DC3" s="228">
        <v>-0.16</v>
      </c>
      <c r="DD3" s="228">
        <v>35.090000000000003</v>
      </c>
      <c r="DE3" s="228">
        <v>33.909999999999997</v>
      </c>
      <c r="DF3" s="228">
        <v>-2.44</v>
      </c>
      <c r="DG3" s="228">
        <v>1.18</v>
      </c>
      <c r="DH3" s="228">
        <v>32.1</v>
      </c>
      <c r="DI3" s="228">
        <v>32.159999999999997</v>
      </c>
      <c r="DJ3" s="228">
        <v>-0.06</v>
      </c>
      <c r="DK3" s="228">
        <v>-0.06</v>
      </c>
      <c r="DL3" s="228">
        <v>34.31</v>
      </c>
      <c r="DM3" s="228">
        <v>33.67</v>
      </c>
      <c r="DN3" s="228">
        <v>0.64</v>
      </c>
      <c r="DO3" s="228">
        <v>0.64</v>
      </c>
      <c r="DP3" s="228">
        <v>0.97</v>
      </c>
      <c r="DQ3" s="228">
        <v>1.34</v>
      </c>
      <c r="DR3" s="228">
        <v>-0.37</v>
      </c>
      <c r="DS3" s="229">
        <v>-0.27610000000000001</v>
      </c>
      <c r="DT3" s="231">
        <v>5000</v>
      </c>
      <c r="DU3" s="231">
        <v>5000</v>
      </c>
      <c r="DV3" s="228">
        <v>0.33</v>
      </c>
      <c r="DW3" s="228">
        <v>0.86</v>
      </c>
      <c r="DX3" s="228">
        <v>-0.53</v>
      </c>
      <c r="DY3" s="229">
        <v>-0.61629999999999996</v>
      </c>
      <c r="DZ3" s="229">
        <v>2.5600000000000001E-2</v>
      </c>
      <c r="EA3" s="230">
        <v>2184250</v>
      </c>
      <c r="EB3" s="229">
        <v>3.0000000000000001E-3</v>
      </c>
      <c r="EC3" s="229">
        <v>2.5600000000000001E-2</v>
      </c>
      <c r="ED3" s="228">
        <v>4.9000000000000004</v>
      </c>
      <c r="EE3" s="229">
        <v>1E-3</v>
      </c>
      <c r="EF3" s="230">
        <v>142770</v>
      </c>
      <c r="EG3" s="230">
        <v>98131</v>
      </c>
      <c r="EH3" s="229">
        <v>0.45490000000000003</v>
      </c>
      <c r="EI3" s="229">
        <v>0.32990000000000003</v>
      </c>
      <c r="EJ3" s="231">
        <v>255520.45</v>
      </c>
      <c r="EK3" s="231">
        <v>77702.06</v>
      </c>
      <c r="EL3" s="231">
        <v>48240.1</v>
      </c>
      <c r="EM3" s="231">
        <v>14406</v>
      </c>
      <c r="EN3" s="231">
        <v>381462.61</v>
      </c>
      <c r="EO3" s="231">
        <v>149197.14000000001</v>
      </c>
      <c r="EP3" s="231">
        <v>232265.47</v>
      </c>
      <c r="EQ3" s="229">
        <v>1.5568</v>
      </c>
      <c r="ER3" s="231">
        <v>28640</v>
      </c>
      <c r="ES3" s="231">
        <v>26143</v>
      </c>
      <c r="ET3" s="231">
        <v>111663</v>
      </c>
      <c r="EU3" s="231">
        <v>7946564</v>
      </c>
      <c r="EV3" s="231">
        <v>166446</v>
      </c>
      <c r="EW3" s="231">
        <v>139189</v>
      </c>
      <c r="EX3" s="231">
        <v>27257</v>
      </c>
      <c r="EY3" s="229">
        <v>0.1958</v>
      </c>
      <c r="EZ3" s="229">
        <v>0.4133</v>
      </c>
      <c r="FA3" s="227" t="s">
        <v>555</v>
      </c>
      <c r="FB3" s="161">
        <f t="shared" ref="FB3:FB66" si="0">BX3-CB3</f>
        <v>56500</v>
      </c>
    </row>
    <row r="4" spans="1:158" ht="17.25" hidden="1" thickBot="1" x14ac:dyDescent="0.3">
      <c r="A4" s="226">
        <v>46050</v>
      </c>
      <c r="B4" s="227" t="s">
        <v>175</v>
      </c>
      <c r="C4" s="227" t="s">
        <v>544</v>
      </c>
      <c r="D4" s="228">
        <v>3100</v>
      </c>
      <c r="E4" s="228">
        <v>350.65</v>
      </c>
      <c r="F4" s="228">
        <v>351.2</v>
      </c>
      <c r="G4" s="228">
        <v>-0.55000000000000004</v>
      </c>
      <c r="H4" s="229">
        <v>-1.6000000000000001E-3</v>
      </c>
      <c r="I4" s="228">
        <v>348.3</v>
      </c>
      <c r="J4" s="228">
        <v>348.9</v>
      </c>
      <c r="K4" s="228">
        <v>-0.6</v>
      </c>
      <c r="L4" s="229">
        <v>-1.6999999999999999E-3</v>
      </c>
      <c r="M4" s="228">
        <v>350.65</v>
      </c>
      <c r="N4" s="228">
        <v>348.75</v>
      </c>
      <c r="O4" s="228">
        <v>1.9</v>
      </c>
      <c r="P4" s="229">
        <v>5.4000000000000003E-3</v>
      </c>
      <c r="Q4" s="228">
        <v>352.4</v>
      </c>
      <c r="R4" s="228">
        <v>351.2</v>
      </c>
      <c r="S4" s="228">
        <v>1.2</v>
      </c>
      <c r="T4" s="229">
        <v>3.3999999999999998E-3</v>
      </c>
      <c r="U4" s="228">
        <v>357</v>
      </c>
      <c r="V4" s="228">
        <v>353.2</v>
      </c>
      <c r="W4" s="228">
        <v>3.8</v>
      </c>
      <c r="X4" s="229">
        <v>1.0800000000000001E-2</v>
      </c>
      <c r="Y4" s="228">
        <v>2.35</v>
      </c>
      <c r="Z4" s="228">
        <v>2.2999999999999998</v>
      </c>
      <c r="AA4" s="228">
        <v>0.05</v>
      </c>
      <c r="AB4" s="229">
        <v>6.7000000000000002E-3</v>
      </c>
      <c r="AC4" s="228">
        <v>2.35</v>
      </c>
      <c r="AD4" s="228">
        <v>-0.15</v>
      </c>
      <c r="AE4" s="228">
        <v>2.5</v>
      </c>
      <c r="AF4" s="229">
        <v>6.7000000000000002E-3</v>
      </c>
      <c r="AG4" s="228">
        <v>4.0999999999999996</v>
      </c>
      <c r="AH4" s="228">
        <v>2.2999999999999998</v>
      </c>
      <c r="AI4" s="228">
        <v>1.8</v>
      </c>
      <c r="AJ4" s="229">
        <v>1.18E-2</v>
      </c>
      <c r="AK4" s="228">
        <v>8.6999999999999993</v>
      </c>
      <c r="AL4" s="228">
        <v>4.3</v>
      </c>
      <c r="AM4" s="228">
        <v>4.4000000000000004</v>
      </c>
      <c r="AN4" s="229">
        <v>2.5000000000000001E-2</v>
      </c>
      <c r="AO4" s="228">
        <v>350.1</v>
      </c>
      <c r="AP4" s="228">
        <v>351.36</v>
      </c>
      <c r="AQ4" s="228">
        <v>0</v>
      </c>
      <c r="AR4" s="230">
        <v>8934200</v>
      </c>
      <c r="AS4" s="230">
        <v>30779900</v>
      </c>
      <c r="AT4" s="230">
        <v>-21845700</v>
      </c>
      <c r="AU4" s="229">
        <v>-0.7097</v>
      </c>
      <c r="AV4" s="230">
        <v>8410300</v>
      </c>
      <c r="AW4" s="230">
        <v>11938100</v>
      </c>
      <c r="AX4" s="230">
        <v>-3527800</v>
      </c>
      <c r="AY4" s="229">
        <v>-0.29549999999999998</v>
      </c>
      <c r="AZ4" s="230">
        <v>520800</v>
      </c>
      <c r="BA4" s="230">
        <v>18587600</v>
      </c>
      <c r="BB4" s="230">
        <v>-18066800</v>
      </c>
      <c r="BC4" s="229">
        <v>-0.97199999999999998</v>
      </c>
      <c r="BD4" s="230">
        <v>3100</v>
      </c>
      <c r="BE4" s="230">
        <v>254200</v>
      </c>
      <c r="BF4" s="230">
        <v>-251100</v>
      </c>
      <c r="BG4" s="229">
        <v>-0.98780000000000001</v>
      </c>
      <c r="BH4" s="230">
        <v>15568200</v>
      </c>
      <c r="BI4" s="230">
        <v>21941800</v>
      </c>
      <c r="BJ4" s="230">
        <v>-6373600</v>
      </c>
      <c r="BK4" s="229">
        <v>-0.29049999999999998</v>
      </c>
      <c r="BL4" s="230">
        <v>7709700</v>
      </c>
      <c r="BM4" s="230">
        <v>24083900</v>
      </c>
      <c r="BN4" s="230">
        <v>-16374200</v>
      </c>
      <c r="BO4" s="229">
        <v>-0.67989999999999995</v>
      </c>
      <c r="BP4" s="230">
        <v>32212100</v>
      </c>
      <c r="BQ4" s="230">
        <v>76805600</v>
      </c>
      <c r="BR4" s="230">
        <v>-44593500</v>
      </c>
      <c r="BS4" s="229">
        <v>-0.5806</v>
      </c>
      <c r="BT4" s="230">
        <v>5455728</v>
      </c>
      <c r="BU4" s="230">
        <v>3582049</v>
      </c>
      <c r="BV4" s="230">
        <v>1873679</v>
      </c>
      <c r="BW4" s="229">
        <v>0.52310000000000001</v>
      </c>
      <c r="BX4" s="230">
        <v>76325100</v>
      </c>
      <c r="BY4" s="230">
        <v>76114300</v>
      </c>
      <c r="BZ4" s="230">
        <v>210800</v>
      </c>
      <c r="CA4" s="229">
        <v>2.8E-3</v>
      </c>
      <c r="CB4" s="230">
        <v>75382700</v>
      </c>
      <c r="CC4" s="230">
        <v>1643000</v>
      </c>
      <c r="CD4" s="230">
        <v>73739700</v>
      </c>
      <c r="CE4" s="229">
        <v>44.881100000000004</v>
      </c>
      <c r="CF4" s="230">
        <v>939300</v>
      </c>
      <c r="CG4" s="230">
        <v>75264900</v>
      </c>
      <c r="CH4" s="230">
        <v>-74325600</v>
      </c>
      <c r="CI4" s="229">
        <v>-0.98750000000000004</v>
      </c>
      <c r="CJ4" s="230">
        <v>3100</v>
      </c>
      <c r="CK4" s="230">
        <v>849400</v>
      </c>
      <c r="CL4" s="230">
        <v>-846300</v>
      </c>
      <c r="CM4" s="229">
        <v>-0.99639999999999995</v>
      </c>
      <c r="CN4" s="230">
        <v>7926700</v>
      </c>
      <c r="CO4" s="230">
        <v>6373600</v>
      </c>
      <c r="CP4" s="230">
        <v>1553100</v>
      </c>
      <c r="CQ4" s="229">
        <v>0.2437</v>
      </c>
      <c r="CR4" s="230">
        <v>5958200</v>
      </c>
      <c r="CS4" s="230">
        <v>5077800</v>
      </c>
      <c r="CT4" s="230">
        <v>880400</v>
      </c>
      <c r="CU4" s="229">
        <v>0.1734</v>
      </c>
      <c r="CV4" s="230">
        <v>90210000</v>
      </c>
      <c r="CW4" s="230">
        <v>87565700</v>
      </c>
      <c r="CX4" s="230">
        <v>2644300</v>
      </c>
      <c r="CY4" s="229">
        <v>3.0200000000000001E-2</v>
      </c>
      <c r="CZ4" s="228">
        <v>36.119999999999997</v>
      </c>
      <c r="DA4" s="228">
        <v>37.35</v>
      </c>
      <c r="DB4" s="228">
        <v>-1.23</v>
      </c>
      <c r="DC4" s="228">
        <v>-1.23</v>
      </c>
      <c r="DD4" s="228">
        <v>37.33</v>
      </c>
      <c r="DE4" s="228">
        <v>37.42</v>
      </c>
      <c r="DF4" s="228">
        <v>-1.21</v>
      </c>
      <c r="DG4" s="228">
        <v>-0.09</v>
      </c>
      <c r="DH4" s="228">
        <v>35.75</v>
      </c>
      <c r="DI4" s="228">
        <v>36.630000000000003</v>
      </c>
      <c r="DJ4" s="228">
        <v>-0.88</v>
      </c>
      <c r="DK4" s="228">
        <v>-0.88</v>
      </c>
      <c r="DL4" s="228">
        <v>36.86</v>
      </c>
      <c r="DM4" s="228">
        <v>38.159999999999997</v>
      </c>
      <c r="DN4" s="228">
        <v>-1.3</v>
      </c>
      <c r="DO4" s="228">
        <v>-1.3</v>
      </c>
      <c r="DP4" s="228">
        <v>0.75</v>
      </c>
      <c r="DQ4" s="228">
        <v>0.8</v>
      </c>
      <c r="DR4" s="228">
        <v>-0.05</v>
      </c>
      <c r="DS4" s="229">
        <v>-6.25E-2</v>
      </c>
      <c r="DT4" s="228">
        <v>360</v>
      </c>
      <c r="DU4" s="228">
        <v>350</v>
      </c>
      <c r="DV4" s="228">
        <v>0.5</v>
      </c>
      <c r="DW4" s="228">
        <v>1.1000000000000001</v>
      </c>
      <c r="DX4" s="228">
        <v>-0.6</v>
      </c>
      <c r="DY4" s="229">
        <v>-0.54549999999999998</v>
      </c>
      <c r="DZ4" s="229">
        <v>1.23E-2</v>
      </c>
      <c r="EA4" s="230">
        <v>76114300</v>
      </c>
      <c r="EB4" s="229">
        <v>5.0000000000000001E-3</v>
      </c>
      <c r="EC4" s="229">
        <v>1.23E-2</v>
      </c>
      <c r="ED4" s="228">
        <v>1.26</v>
      </c>
      <c r="EE4" s="229">
        <v>3.5999999999999999E-3</v>
      </c>
      <c r="EF4" s="230">
        <v>2973593</v>
      </c>
      <c r="EG4" s="230">
        <v>1194094</v>
      </c>
      <c r="EH4" s="229">
        <v>1.4903</v>
      </c>
      <c r="EI4" s="229">
        <v>0.54500000000000004</v>
      </c>
      <c r="EJ4" s="231">
        <v>58008.46</v>
      </c>
      <c r="EK4" s="231">
        <v>26783.52</v>
      </c>
      <c r="EL4" s="231">
        <v>31285.02</v>
      </c>
      <c r="EM4" s="231">
        <v>18428</v>
      </c>
      <c r="EN4" s="231">
        <v>116077</v>
      </c>
      <c r="EO4" s="231">
        <v>269928.21999999997</v>
      </c>
      <c r="EP4" s="231">
        <v>-153851.22</v>
      </c>
      <c r="EQ4" s="229">
        <v>-0.56999999999999995</v>
      </c>
      <c r="ER4" s="231">
        <v>28630</v>
      </c>
      <c r="ES4" s="231">
        <v>19929</v>
      </c>
      <c r="ET4" s="231">
        <v>267651</v>
      </c>
      <c r="EU4" s="231">
        <v>122657000</v>
      </c>
      <c r="EV4" s="231">
        <v>316210</v>
      </c>
      <c r="EW4" s="231">
        <v>307283</v>
      </c>
      <c r="EX4" s="231">
        <v>8927</v>
      </c>
      <c r="EY4" s="229">
        <v>2.9100000000000001E-2</v>
      </c>
      <c r="EZ4" s="229">
        <v>0.73550000000000004</v>
      </c>
      <c r="FA4" s="227" t="s">
        <v>567</v>
      </c>
      <c r="FB4" s="161">
        <f t="shared" si="0"/>
        <v>942400</v>
      </c>
    </row>
    <row r="5" spans="1:158" ht="17.25" hidden="1" thickBot="1" x14ac:dyDescent="0.3">
      <c r="A5" s="226">
        <v>46050</v>
      </c>
      <c r="B5" s="227" t="s">
        <v>161</v>
      </c>
      <c r="C5" s="227" t="s">
        <v>579</v>
      </c>
      <c r="D5" s="228">
        <v>675</v>
      </c>
      <c r="E5" s="228">
        <v>885.4</v>
      </c>
      <c r="F5" s="228">
        <v>853.4</v>
      </c>
      <c r="G5" s="228">
        <v>32</v>
      </c>
      <c r="H5" s="229">
        <v>3.7499999999999999E-2</v>
      </c>
      <c r="I5" s="228">
        <v>882</v>
      </c>
      <c r="J5" s="228">
        <v>849.1</v>
      </c>
      <c r="K5" s="228">
        <v>32.9</v>
      </c>
      <c r="L5" s="229">
        <v>3.8699999999999998E-2</v>
      </c>
      <c r="M5" s="228">
        <v>885.4</v>
      </c>
      <c r="N5" s="228">
        <v>847.5</v>
      </c>
      <c r="O5" s="228">
        <v>37.9</v>
      </c>
      <c r="P5" s="229">
        <v>4.4699999999999997E-2</v>
      </c>
      <c r="Q5" s="228">
        <v>891.4</v>
      </c>
      <c r="R5" s="228">
        <v>853.4</v>
      </c>
      <c r="S5" s="228">
        <v>38</v>
      </c>
      <c r="T5" s="229">
        <v>4.4499999999999998E-2</v>
      </c>
      <c r="U5" s="228">
        <v>892.7</v>
      </c>
      <c r="V5" s="228">
        <v>857.2</v>
      </c>
      <c r="W5" s="228">
        <v>35.5</v>
      </c>
      <c r="X5" s="229">
        <v>4.1399999999999999E-2</v>
      </c>
      <c r="Y5" s="228">
        <v>3.4</v>
      </c>
      <c r="Z5" s="228">
        <v>4.3</v>
      </c>
      <c r="AA5" s="228">
        <v>-0.9</v>
      </c>
      <c r="AB5" s="229">
        <v>3.8999999999999998E-3</v>
      </c>
      <c r="AC5" s="228">
        <v>3.4</v>
      </c>
      <c r="AD5" s="228">
        <v>-1.6</v>
      </c>
      <c r="AE5" s="228">
        <v>5</v>
      </c>
      <c r="AF5" s="229">
        <v>3.8999999999999998E-3</v>
      </c>
      <c r="AG5" s="228">
        <v>9.4</v>
      </c>
      <c r="AH5" s="228">
        <v>4.3</v>
      </c>
      <c r="AI5" s="228">
        <v>5.0999999999999996</v>
      </c>
      <c r="AJ5" s="229">
        <v>1.0699999999999999E-2</v>
      </c>
      <c r="AK5" s="228">
        <v>10.7</v>
      </c>
      <c r="AL5" s="228">
        <v>8.1</v>
      </c>
      <c r="AM5" s="228">
        <v>2.6</v>
      </c>
      <c r="AN5" s="229">
        <v>1.21E-2</v>
      </c>
      <c r="AO5" s="228">
        <v>867.31</v>
      </c>
      <c r="AP5" s="228">
        <v>868.94</v>
      </c>
      <c r="AQ5" s="228">
        <v>0</v>
      </c>
      <c r="AR5" s="230">
        <v>3511350</v>
      </c>
      <c r="AS5" s="230">
        <v>11705175</v>
      </c>
      <c r="AT5" s="230">
        <v>-8193825</v>
      </c>
      <c r="AU5" s="229">
        <v>-0.7</v>
      </c>
      <c r="AV5" s="230">
        <v>3389850</v>
      </c>
      <c r="AW5" s="230">
        <v>4054050</v>
      </c>
      <c r="AX5" s="230">
        <v>-664200</v>
      </c>
      <c r="AY5" s="229">
        <v>-0.1638</v>
      </c>
      <c r="AZ5" s="230">
        <v>116775</v>
      </c>
      <c r="BA5" s="230">
        <v>7501950</v>
      </c>
      <c r="BB5" s="230">
        <v>-7385175</v>
      </c>
      <c r="BC5" s="229">
        <v>-0.98440000000000005</v>
      </c>
      <c r="BD5" s="230">
        <v>4725</v>
      </c>
      <c r="BE5" s="230">
        <v>149175</v>
      </c>
      <c r="BF5" s="230">
        <v>-144450</v>
      </c>
      <c r="BG5" s="229">
        <v>-0.96830000000000005</v>
      </c>
      <c r="BH5" s="230">
        <v>5582250</v>
      </c>
      <c r="BI5" s="230">
        <v>9842175</v>
      </c>
      <c r="BJ5" s="230">
        <v>-4259925</v>
      </c>
      <c r="BK5" s="229">
        <v>-0.43280000000000002</v>
      </c>
      <c r="BL5" s="230">
        <v>2714175</v>
      </c>
      <c r="BM5" s="230">
        <v>6736500</v>
      </c>
      <c r="BN5" s="230">
        <v>-4022325</v>
      </c>
      <c r="BO5" s="229">
        <v>-0.59709999999999996</v>
      </c>
      <c r="BP5" s="230">
        <v>11807775</v>
      </c>
      <c r="BQ5" s="230">
        <v>28283850</v>
      </c>
      <c r="BR5" s="230">
        <v>-16476075</v>
      </c>
      <c r="BS5" s="229">
        <v>-0.58250000000000002</v>
      </c>
      <c r="BT5" s="230">
        <v>1949349</v>
      </c>
      <c r="BU5" s="230">
        <v>3898418</v>
      </c>
      <c r="BV5" s="230">
        <v>-1949069</v>
      </c>
      <c r="BW5" s="229">
        <v>-0.5</v>
      </c>
      <c r="BX5" s="230">
        <v>21695850</v>
      </c>
      <c r="BY5" s="230">
        <v>21120075</v>
      </c>
      <c r="BZ5" s="230">
        <v>575775</v>
      </c>
      <c r="CA5" s="229">
        <v>2.7300000000000001E-2</v>
      </c>
      <c r="CB5" s="230">
        <v>21472425</v>
      </c>
      <c r="CC5" s="230">
        <v>905175</v>
      </c>
      <c r="CD5" s="230">
        <v>20567250</v>
      </c>
      <c r="CE5" s="229">
        <v>22.721800000000002</v>
      </c>
      <c r="CF5" s="230">
        <v>222075</v>
      </c>
      <c r="CG5" s="230">
        <v>20916225</v>
      </c>
      <c r="CH5" s="230">
        <v>-20694150</v>
      </c>
      <c r="CI5" s="229">
        <v>-0.98939999999999995</v>
      </c>
      <c r="CJ5" s="230">
        <v>1350</v>
      </c>
      <c r="CK5" s="230">
        <v>203850</v>
      </c>
      <c r="CL5" s="230">
        <v>-202500</v>
      </c>
      <c r="CM5" s="229">
        <v>-0.99339999999999995</v>
      </c>
      <c r="CN5" s="230">
        <v>2712150</v>
      </c>
      <c r="CO5" s="230">
        <v>2614275</v>
      </c>
      <c r="CP5" s="230">
        <v>97875</v>
      </c>
      <c r="CQ5" s="229">
        <v>3.7400000000000003E-2</v>
      </c>
      <c r="CR5" s="230">
        <v>1788075</v>
      </c>
      <c r="CS5" s="230">
        <v>1667250</v>
      </c>
      <c r="CT5" s="230">
        <v>120825</v>
      </c>
      <c r="CU5" s="229">
        <v>7.2499999999999995E-2</v>
      </c>
      <c r="CV5" s="230">
        <v>26196075</v>
      </c>
      <c r="CW5" s="230">
        <v>25401600</v>
      </c>
      <c r="CX5" s="230">
        <v>794475</v>
      </c>
      <c r="CY5" s="229">
        <v>3.1300000000000001E-2</v>
      </c>
      <c r="CZ5" s="228">
        <v>42.78</v>
      </c>
      <c r="DA5" s="228">
        <v>46.68</v>
      </c>
      <c r="DB5" s="228">
        <v>-3.9</v>
      </c>
      <c r="DC5" s="228">
        <v>-3.9</v>
      </c>
      <c r="DD5" s="228">
        <v>53.59</v>
      </c>
      <c r="DE5" s="228">
        <v>53.49</v>
      </c>
      <c r="DF5" s="228">
        <v>-10.81</v>
      </c>
      <c r="DG5" s="228">
        <v>0.1</v>
      </c>
      <c r="DH5" s="228">
        <v>42.11</v>
      </c>
      <c r="DI5" s="228">
        <v>45.95</v>
      </c>
      <c r="DJ5" s="228">
        <v>-3.84</v>
      </c>
      <c r="DK5" s="228">
        <v>-3.84</v>
      </c>
      <c r="DL5" s="228">
        <v>44.15</v>
      </c>
      <c r="DM5" s="228">
        <v>47.78</v>
      </c>
      <c r="DN5" s="228">
        <v>-3.63</v>
      </c>
      <c r="DO5" s="228">
        <v>-3.63</v>
      </c>
      <c r="DP5" s="228">
        <v>0.66</v>
      </c>
      <c r="DQ5" s="228">
        <v>0.64</v>
      </c>
      <c r="DR5" s="228">
        <v>0.02</v>
      </c>
      <c r="DS5" s="229">
        <v>3.1300000000000001E-2</v>
      </c>
      <c r="DT5" s="228">
        <v>900</v>
      </c>
      <c r="DU5" s="228">
        <v>800</v>
      </c>
      <c r="DV5" s="228">
        <v>0.49</v>
      </c>
      <c r="DW5" s="228">
        <v>0.68</v>
      </c>
      <c r="DX5" s="228">
        <v>-0.19</v>
      </c>
      <c r="DY5" s="229">
        <v>-0.27939999999999998</v>
      </c>
      <c r="DZ5" s="229">
        <v>1.03E-2</v>
      </c>
      <c r="EA5" s="230">
        <v>21120075</v>
      </c>
      <c r="EB5" s="229">
        <v>6.7999999999999996E-3</v>
      </c>
      <c r="EC5" s="229">
        <v>1.03E-2</v>
      </c>
      <c r="ED5" s="228">
        <v>1.63</v>
      </c>
      <c r="EE5" s="229">
        <v>1.9E-3</v>
      </c>
      <c r="EF5" s="230">
        <v>644265</v>
      </c>
      <c r="EG5" s="230">
        <v>1019998</v>
      </c>
      <c r="EH5" s="229">
        <v>-0.36840000000000001</v>
      </c>
      <c r="EI5" s="229">
        <v>0.33050000000000002</v>
      </c>
      <c r="EJ5" s="231">
        <v>51958.32</v>
      </c>
      <c r="EK5" s="231">
        <v>23203</v>
      </c>
      <c r="EL5" s="231">
        <v>30456.84</v>
      </c>
      <c r="EM5" s="231">
        <v>22486</v>
      </c>
      <c r="EN5" s="231">
        <v>105618.16</v>
      </c>
      <c r="EO5" s="231">
        <v>243891.27</v>
      </c>
      <c r="EP5" s="231">
        <v>-138273.10999999999</v>
      </c>
      <c r="EQ5" s="229">
        <v>-0.56689999999999996</v>
      </c>
      <c r="ER5" s="231">
        <v>25180</v>
      </c>
      <c r="ES5" s="231">
        <v>15172</v>
      </c>
      <c r="ET5" s="231">
        <v>192108</v>
      </c>
      <c r="EU5" s="231">
        <v>43791427</v>
      </c>
      <c r="EV5" s="231">
        <v>232460</v>
      </c>
      <c r="EW5" s="231">
        <v>218604</v>
      </c>
      <c r="EX5" s="231">
        <v>13856</v>
      </c>
      <c r="EY5" s="229">
        <v>6.3399999999999998E-2</v>
      </c>
      <c r="EZ5" s="229">
        <v>0.59819999999999995</v>
      </c>
      <c r="FA5" s="227" t="s">
        <v>555</v>
      </c>
      <c r="FB5" s="161">
        <f t="shared" si="0"/>
        <v>223425</v>
      </c>
    </row>
    <row r="6" spans="1:158" ht="17.25" hidden="1" thickBot="1" x14ac:dyDescent="0.3">
      <c r="A6" s="226">
        <v>46050</v>
      </c>
      <c r="B6" s="227" t="s">
        <v>215</v>
      </c>
      <c r="C6" s="227" t="s">
        <v>159</v>
      </c>
      <c r="D6" s="228">
        <v>309</v>
      </c>
      <c r="E6" s="231">
        <v>2004.4</v>
      </c>
      <c r="F6" s="231">
        <v>1969.6</v>
      </c>
      <c r="G6" s="228">
        <v>34.799999999999997</v>
      </c>
      <c r="H6" s="229">
        <v>1.77E-2</v>
      </c>
      <c r="I6" s="231">
        <v>1994.7</v>
      </c>
      <c r="J6" s="231">
        <v>1959.5</v>
      </c>
      <c r="K6" s="228">
        <v>35.200000000000003</v>
      </c>
      <c r="L6" s="229">
        <v>1.7999999999999999E-2</v>
      </c>
      <c r="M6" s="231">
        <v>2004.4</v>
      </c>
      <c r="N6" s="231">
        <v>1956.3</v>
      </c>
      <c r="O6" s="228">
        <v>48.1</v>
      </c>
      <c r="P6" s="229">
        <v>2.46E-2</v>
      </c>
      <c r="Q6" s="231">
        <v>2009.4</v>
      </c>
      <c r="R6" s="231">
        <v>1969.6</v>
      </c>
      <c r="S6" s="228">
        <v>39.799999999999997</v>
      </c>
      <c r="T6" s="229">
        <v>2.0199999999999999E-2</v>
      </c>
      <c r="U6" s="231">
        <v>2018.6</v>
      </c>
      <c r="V6" s="231">
        <v>1974.6</v>
      </c>
      <c r="W6" s="228">
        <v>44</v>
      </c>
      <c r="X6" s="229">
        <v>2.23E-2</v>
      </c>
      <c r="Y6" s="228">
        <v>9.6999999999999993</v>
      </c>
      <c r="Z6" s="228">
        <v>10.1</v>
      </c>
      <c r="AA6" s="228">
        <v>-0.4</v>
      </c>
      <c r="AB6" s="229">
        <v>4.8999999999999998E-3</v>
      </c>
      <c r="AC6" s="228">
        <v>9.6999999999999993</v>
      </c>
      <c r="AD6" s="228">
        <v>-3.2</v>
      </c>
      <c r="AE6" s="228">
        <v>12.9</v>
      </c>
      <c r="AF6" s="229">
        <v>4.8999999999999998E-3</v>
      </c>
      <c r="AG6" s="228">
        <v>14.7</v>
      </c>
      <c r="AH6" s="228">
        <v>10.1</v>
      </c>
      <c r="AI6" s="228">
        <v>4.5999999999999996</v>
      </c>
      <c r="AJ6" s="229">
        <v>7.4000000000000003E-3</v>
      </c>
      <c r="AK6" s="228">
        <v>23.9</v>
      </c>
      <c r="AL6" s="228">
        <v>15.1</v>
      </c>
      <c r="AM6" s="228">
        <v>8.8000000000000007</v>
      </c>
      <c r="AN6" s="229">
        <v>1.2E-2</v>
      </c>
      <c r="AO6" s="231">
        <v>1993.15</v>
      </c>
      <c r="AP6" s="231">
        <v>1992.59</v>
      </c>
      <c r="AQ6" s="228">
        <v>0</v>
      </c>
      <c r="AR6" s="230">
        <v>2976906</v>
      </c>
      <c r="AS6" s="230">
        <v>19855413</v>
      </c>
      <c r="AT6" s="230">
        <v>-16878507</v>
      </c>
      <c r="AU6" s="229">
        <v>-0.85009999999999997</v>
      </c>
      <c r="AV6" s="230">
        <v>2772966</v>
      </c>
      <c r="AW6" s="230">
        <v>8640567</v>
      </c>
      <c r="AX6" s="230">
        <v>-5867601</v>
      </c>
      <c r="AY6" s="229">
        <v>-0.67910000000000004</v>
      </c>
      <c r="AZ6" s="230">
        <v>175821</v>
      </c>
      <c r="BA6" s="230">
        <v>10893177</v>
      </c>
      <c r="BB6" s="230">
        <v>-10717356</v>
      </c>
      <c r="BC6" s="229">
        <v>-0.9839</v>
      </c>
      <c r="BD6" s="230">
        <v>28119</v>
      </c>
      <c r="BE6" s="230">
        <v>321669</v>
      </c>
      <c r="BF6" s="230">
        <v>-293550</v>
      </c>
      <c r="BG6" s="229">
        <v>-0.91259999999999997</v>
      </c>
      <c r="BH6" s="230">
        <v>8907852</v>
      </c>
      <c r="BI6" s="230">
        <v>38793096</v>
      </c>
      <c r="BJ6" s="230">
        <v>-29885244</v>
      </c>
      <c r="BK6" s="229">
        <v>-0.77039999999999997</v>
      </c>
      <c r="BL6" s="230">
        <v>6070923</v>
      </c>
      <c r="BM6" s="230">
        <v>20995314</v>
      </c>
      <c r="BN6" s="230">
        <v>-14924391</v>
      </c>
      <c r="BO6" s="229">
        <v>-0.71079999999999999</v>
      </c>
      <c r="BP6" s="230">
        <v>17955681</v>
      </c>
      <c r="BQ6" s="230">
        <v>79643823</v>
      </c>
      <c r="BR6" s="230">
        <v>-61688142</v>
      </c>
      <c r="BS6" s="229">
        <v>-0.77459999999999996</v>
      </c>
      <c r="BT6" s="230">
        <v>2215349</v>
      </c>
      <c r="BU6" s="230">
        <v>5762975</v>
      </c>
      <c r="BV6" s="230">
        <v>-3547626</v>
      </c>
      <c r="BW6" s="229">
        <v>-0.61560000000000004</v>
      </c>
      <c r="BX6" s="230">
        <v>20121462</v>
      </c>
      <c r="BY6" s="230">
        <v>20078511</v>
      </c>
      <c r="BZ6" s="230">
        <v>42951</v>
      </c>
      <c r="CA6" s="229">
        <v>2.0999999999999999E-3</v>
      </c>
      <c r="CB6" s="230">
        <v>19480287</v>
      </c>
      <c r="CC6" s="230">
        <v>1803015</v>
      </c>
      <c r="CD6" s="230">
        <v>17677272</v>
      </c>
      <c r="CE6" s="229">
        <v>9.8042999999999996</v>
      </c>
      <c r="CF6" s="230">
        <v>617382</v>
      </c>
      <c r="CG6" s="230">
        <v>19470399</v>
      </c>
      <c r="CH6" s="230">
        <v>-18853017</v>
      </c>
      <c r="CI6" s="229">
        <v>-0.96830000000000005</v>
      </c>
      <c r="CJ6" s="230">
        <v>23793</v>
      </c>
      <c r="CK6" s="230">
        <v>608112</v>
      </c>
      <c r="CL6" s="230">
        <v>-584319</v>
      </c>
      <c r="CM6" s="229">
        <v>-0.96089999999999998</v>
      </c>
      <c r="CN6" s="230">
        <v>5297805</v>
      </c>
      <c r="CO6" s="230">
        <v>4939056</v>
      </c>
      <c r="CP6" s="230">
        <v>358749</v>
      </c>
      <c r="CQ6" s="229">
        <v>7.2599999999999998E-2</v>
      </c>
      <c r="CR6" s="230">
        <v>5744928</v>
      </c>
      <c r="CS6" s="230">
        <v>5021559</v>
      </c>
      <c r="CT6" s="230">
        <v>723369</v>
      </c>
      <c r="CU6" s="229">
        <v>0.14410000000000001</v>
      </c>
      <c r="CV6" s="230">
        <v>31164195</v>
      </c>
      <c r="CW6" s="230">
        <v>30039126</v>
      </c>
      <c r="CX6" s="230">
        <v>1125069</v>
      </c>
      <c r="CY6" s="229">
        <v>3.7499999999999999E-2</v>
      </c>
      <c r="CZ6" s="228">
        <v>43.61</v>
      </c>
      <c r="DA6" s="228">
        <v>49.76</v>
      </c>
      <c r="DB6" s="228">
        <v>-6.15</v>
      </c>
      <c r="DC6" s="228">
        <v>-6.15</v>
      </c>
      <c r="DD6" s="228">
        <v>48.03</v>
      </c>
      <c r="DE6" s="228">
        <v>48.09</v>
      </c>
      <c r="DF6" s="228">
        <v>-4.42</v>
      </c>
      <c r="DG6" s="228">
        <v>-0.06</v>
      </c>
      <c r="DH6" s="228">
        <v>42.02</v>
      </c>
      <c r="DI6" s="228">
        <v>48.2</v>
      </c>
      <c r="DJ6" s="228">
        <v>-6.18</v>
      </c>
      <c r="DK6" s="228">
        <v>-6.18</v>
      </c>
      <c r="DL6" s="228">
        <v>45.94</v>
      </c>
      <c r="DM6" s="228">
        <v>52.22</v>
      </c>
      <c r="DN6" s="228">
        <v>-6.28</v>
      </c>
      <c r="DO6" s="228">
        <v>-6.28</v>
      </c>
      <c r="DP6" s="228">
        <v>1.08</v>
      </c>
      <c r="DQ6" s="228">
        <v>1.02</v>
      </c>
      <c r="DR6" s="228">
        <v>0.06</v>
      </c>
      <c r="DS6" s="229">
        <v>5.8799999999999998E-2</v>
      </c>
      <c r="DT6" s="231">
        <v>2200</v>
      </c>
      <c r="DU6" s="231">
        <v>2200</v>
      </c>
      <c r="DV6" s="228">
        <v>0.68</v>
      </c>
      <c r="DW6" s="228">
        <v>0.54</v>
      </c>
      <c r="DX6" s="228">
        <v>0.14000000000000001</v>
      </c>
      <c r="DY6" s="229">
        <v>0.25929999999999997</v>
      </c>
      <c r="DZ6" s="229">
        <v>3.1899999999999998E-2</v>
      </c>
      <c r="EA6" s="230">
        <v>20078511</v>
      </c>
      <c r="EB6" s="229">
        <v>2.5000000000000001E-3</v>
      </c>
      <c r="EC6" s="229">
        <v>3.1899999999999998E-2</v>
      </c>
      <c r="ED6" s="228">
        <v>-0.56000000000000005</v>
      </c>
      <c r="EE6" s="229">
        <v>-2.9999999999999997E-4</v>
      </c>
      <c r="EF6" s="230">
        <v>649441</v>
      </c>
      <c r="EG6" s="230">
        <v>878100</v>
      </c>
      <c r="EH6" s="229">
        <v>-0.26040000000000002</v>
      </c>
      <c r="EI6" s="229">
        <v>0.29320000000000002</v>
      </c>
      <c r="EJ6" s="231">
        <v>191510.64</v>
      </c>
      <c r="EK6" s="231">
        <v>120176.02</v>
      </c>
      <c r="EL6" s="231">
        <v>59337.41</v>
      </c>
      <c r="EM6" s="231">
        <v>54569</v>
      </c>
      <c r="EN6" s="231">
        <v>371024.07</v>
      </c>
      <c r="EO6" s="231">
        <v>1615622.82</v>
      </c>
      <c r="EP6" s="231">
        <v>-1244598.75</v>
      </c>
      <c r="EQ6" s="229">
        <v>-0.77039999999999997</v>
      </c>
      <c r="ER6" s="231">
        <v>112954</v>
      </c>
      <c r="ES6" s="231">
        <v>115585</v>
      </c>
      <c r="ET6" s="231">
        <v>403349</v>
      </c>
      <c r="EU6" s="231">
        <v>49117354</v>
      </c>
      <c r="EV6" s="231">
        <v>631888</v>
      </c>
      <c r="EW6" s="231">
        <v>602408</v>
      </c>
      <c r="EX6" s="231">
        <v>29480</v>
      </c>
      <c r="EY6" s="229">
        <v>4.8899999999999999E-2</v>
      </c>
      <c r="EZ6" s="229">
        <v>0.63449999999999995</v>
      </c>
      <c r="FA6" s="227" t="s">
        <v>555</v>
      </c>
      <c r="FB6" s="161">
        <f t="shared" si="0"/>
        <v>641175</v>
      </c>
    </row>
    <row r="7" spans="1:158" ht="17.25" hidden="1" thickBot="1" x14ac:dyDescent="0.3">
      <c r="A7" s="226">
        <v>46050</v>
      </c>
      <c r="B7" s="227" t="s">
        <v>161</v>
      </c>
      <c r="C7" s="227" t="s">
        <v>606</v>
      </c>
      <c r="D7" s="228">
        <v>600</v>
      </c>
      <c r="E7" s="228">
        <v>825.8</v>
      </c>
      <c r="F7" s="228">
        <v>804.4</v>
      </c>
      <c r="G7" s="228">
        <v>21.4</v>
      </c>
      <c r="H7" s="229">
        <v>2.6599999999999999E-2</v>
      </c>
      <c r="I7" s="228">
        <v>822.9</v>
      </c>
      <c r="J7" s="228">
        <v>799.1</v>
      </c>
      <c r="K7" s="228">
        <v>23.8</v>
      </c>
      <c r="L7" s="229">
        <v>2.98E-2</v>
      </c>
      <c r="M7" s="228">
        <v>825.8</v>
      </c>
      <c r="N7" s="228">
        <v>799.1</v>
      </c>
      <c r="O7" s="228">
        <v>26.7</v>
      </c>
      <c r="P7" s="229">
        <v>3.3399999999999999E-2</v>
      </c>
      <c r="Q7" s="228">
        <v>831</v>
      </c>
      <c r="R7" s="228">
        <v>804.4</v>
      </c>
      <c r="S7" s="228">
        <v>26.6</v>
      </c>
      <c r="T7" s="229">
        <v>3.3099999999999997E-2</v>
      </c>
      <c r="U7" s="228">
        <v>836.9</v>
      </c>
      <c r="V7" s="228">
        <v>809.7</v>
      </c>
      <c r="W7" s="228">
        <v>27.2</v>
      </c>
      <c r="X7" s="229">
        <v>3.3599999999999998E-2</v>
      </c>
      <c r="Y7" s="228">
        <v>2.9</v>
      </c>
      <c r="Z7" s="228">
        <v>5.3</v>
      </c>
      <c r="AA7" s="228">
        <v>-2.4</v>
      </c>
      <c r="AB7" s="229">
        <v>3.5000000000000001E-3</v>
      </c>
      <c r="AC7" s="228">
        <v>2.9</v>
      </c>
      <c r="AD7" s="228">
        <v>0</v>
      </c>
      <c r="AE7" s="228">
        <v>2.9</v>
      </c>
      <c r="AF7" s="229">
        <v>3.5000000000000001E-3</v>
      </c>
      <c r="AG7" s="228">
        <v>8.1</v>
      </c>
      <c r="AH7" s="228">
        <v>5.3</v>
      </c>
      <c r="AI7" s="228">
        <v>2.8</v>
      </c>
      <c r="AJ7" s="229">
        <v>9.7999999999999997E-3</v>
      </c>
      <c r="AK7" s="228">
        <v>14</v>
      </c>
      <c r="AL7" s="228">
        <v>10.6</v>
      </c>
      <c r="AM7" s="228">
        <v>3.4</v>
      </c>
      <c r="AN7" s="229">
        <v>1.7000000000000001E-2</v>
      </c>
      <c r="AO7" s="228">
        <v>813.46</v>
      </c>
      <c r="AP7" s="228">
        <v>815.93</v>
      </c>
      <c r="AQ7" s="228">
        <v>0</v>
      </c>
      <c r="AR7" s="230">
        <v>4390800</v>
      </c>
      <c r="AS7" s="230">
        <v>26002200</v>
      </c>
      <c r="AT7" s="230">
        <v>-21611400</v>
      </c>
      <c r="AU7" s="229">
        <v>-0.83109999999999995</v>
      </c>
      <c r="AV7" s="230">
        <v>4129200</v>
      </c>
      <c r="AW7" s="230">
        <v>10239000</v>
      </c>
      <c r="AX7" s="230">
        <v>-6109800</v>
      </c>
      <c r="AY7" s="229">
        <v>-0.59670000000000001</v>
      </c>
      <c r="AZ7" s="230">
        <v>222000</v>
      </c>
      <c r="BA7" s="230">
        <v>15366600</v>
      </c>
      <c r="BB7" s="230">
        <v>-15144600</v>
      </c>
      <c r="BC7" s="229">
        <v>-0.98560000000000003</v>
      </c>
      <c r="BD7" s="230">
        <v>39600</v>
      </c>
      <c r="BE7" s="230">
        <v>396600</v>
      </c>
      <c r="BF7" s="230">
        <v>-357000</v>
      </c>
      <c r="BG7" s="229">
        <v>-0.9002</v>
      </c>
      <c r="BH7" s="230">
        <v>12103800</v>
      </c>
      <c r="BI7" s="230">
        <v>45177000</v>
      </c>
      <c r="BJ7" s="230">
        <v>-33073200</v>
      </c>
      <c r="BK7" s="229">
        <v>-0.73209999999999997</v>
      </c>
      <c r="BL7" s="230">
        <v>6166800</v>
      </c>
      <c r="BM7" s="230">
        <v>26679000</v>
      </c>
      <c r="BN7" s="230">
        <v>-20512200</v>
      </c>
      <c r="BO7" s="229">
        <v>-0.76890000000000003</v>
      </c>
      <c r="BP7" s="230">
        <v>22661400</v>
      </c>
      <c r="BQ7" s="230">
        <v>97858200</v>
      </c>
      <c r="BR7" s="230">
        <v>-75196800</v>
      </c>
      <c r="BS7" s="229">
        <v>-0.76839999999999997</v>
      </c>
      <c r="BT7" s="230">
        <v>4723424</v>
      </c>
      <c r="BU7" s="230">
        <v>15184194</v>
      </c>
      <c r="BV7" s="230">
        <v>-10460770</v>
      </c>
      <c r="BW7" s="229">
        <v>-0.68889999999999996</v>
      </c>
      <c r="BX7" s="230">
        <v>22992000</v>
      </c>
      <c r="BY7" s="230">
        <v>22944000</v>
      </c>
      <c r="BZ7" s="230">
        <v>48000</v>
      </c>
      <c r="CA7" s="229">
        <v>2.0999999999999999E-3</v>
      </c>
      <c r="CB7" s="230">
        <v>22483800</v>
      </c>
      <c r="CC7" s="230">
        <v>795600</v>
      </c>
      <c r="CD7" s="230">
        <v>21688200</v>
      </c>
      <c r="CE7" s="229">
        <v>27.260200000000001</v>
      </c>
      <c r="CF7" s="230">
        <v>487800</v>
      </c>
      <c r="CG7" s="230">
        <v>22494000</v>
      </c>
      <c r="CH7" s="230">
        <v>-22006200</v>
      </c>
      <c r="CI7" s="229">
        <v>-0.97829999999999995</v>
      </c>
      <c r="CJ7" s="230">
        <v>20400</v>
      </c>
      <c r="CK7" s="230">
        <v>450000</v>
      </c>
      <c r="CL7" s="230">
        <v>-429600</v>
      </c>
      <c r="CM7" s="229">
        <v>-0.95469999999999999</v>
      </c>
      <c r="CN7" s="230">
        <v>6651000</v>
      </c>
      <c r="CO7" s="230">
        <v>5421000</v>
      </c>
      <c r="CP7" s="230">
        <v>1230000</v>
      </c>
      <c r="CQ7" s="229">
        <v>0.22689999999999999</v>
      </c>
      <c r="CR7" s="230">
        <v>5368800</v>
      </c>
      <c r="CS7" s="230">
        <v>4467600</v>
      </c>
      <c r="CT7" s="230">
        <v>901200</v>
      </c>
      <c r="CU7" s="229">
        <v>0.20169999999999999</v>
      </c>
      <c r="CV7" s="230">
        <v>35011800</v>
      </c>
      <c r="CW7" s="230">
        <v>32832600</v>
      </c>
      <c r="CX7" s="230">
        <v>2179200</v>
      </c>
      <c r="CY7" s="229">
        <v>6.6400000000000001E-2</v>
      </c>
      <c r="CZ7" s="228">
        <v>46.93</v>
      </c>
      <c r="DA7" s="228">
        <v>54.95</v>
      </c>
      <c r="DB7" s="228">
        <v>-8.02</v>
      </c>
      <c r="DC7" s="228">
        <v>-8.02</v>
      </c>
      <c r="DD7" s="228">
        <v>57.5</v>
      </c>
      <c r="DE7" s="228">
        <v>57.54</v>
      </c>
      <c r="DF7" s="228">
        <v>-10.57</v>
      </c>
      <c r="DG7" s="228">
        <v>-0.04</v>
      </c>
      <c r="DH7" s="228">
        <v>45.96</v>
      </c>
      <c r="DI7" s="228">
        <v>54.75</v>
      </c>
      <c r="DJ7" s="228">
        <v>-8.7899999999999991</v>
      </c>
      <c r="DK7" s="228">
        <v>-8.7899999999999991</v>
      </c>
      <c r="DL7" s="228">
        <v>48.86</v>
      </c>
      <c r="DM7" s="228">
        <v>55.33</v>
      </c>
      <c r="DN7" s="228">
        <v>-6.47</v>
      </c>
      <c r="DO7" s="228">
        <v>-6.47</v>
      </c>
      <c r="DP7" s="228">
        <v>0.81</v>
      </c>
      <c r="DQ7" s="228">
        <v>0.82</v>
      </c>
      <c r="DR7" s="228">
        <v>-0.01</v>
      </c>
      <c r="DS7" s="229">
        <v>-1.2200000000000001E-2</v>
      </c>
      <c r="DT7" s="231">
        <v>1000</v>
      </c>
      <c r="DU7" s="228">
        <v>800</v>
      </c>
      <c r="DV7" s="228">
        <v>0.51</v>
      </c>
      <c r="DW7" s="228">
        <v>0.59</v>
      </c>
      <c r="DX7" s="228">
        <v>-0.08</v>
      </c>
      <c r="DY7" s="229">
        <v>-0.1356</v>
      </c>
      <c r="DZ7" s="229">
        <v>2.2100000000000002E-2</v>
      </c>
      <c r="EA7" s="230">
        <v>22944000</v>
      </c>
      <c r="EB7" s="229">
        <v>6.3E-3</v>
      </c>
      <c r="EC7" s="229">
        <v>2.2100000000000002E-2</v>
      </c>
      <c r="ED7" s="228">
        <v>2.4700000000000002</v>
      </c>
      <c r="EE7" s="229">
        <v>3.0000000000000001E-3</v>
      </c>
      <c r="EF7" s="230">
        <v>1438575</v>
      </c>
      <c r="EG7" s="230">
        <v>2332050</v>
      </c>
      <c r="EH7" s="229">
        <v>-0.3831</v>
      </c>
      <c r="EI7" s="229">
        <v>0.30459999999999998</v>
      </c>
      <c r="EJ7" s="231">
        <v>108229.49</v>
      </c>
      <c r="EK7" s="231">
        <v>49030.25</v>
      </c>
      <c r="EL7" s="231">
        <v>35726.65</v>
      </c>
      <c r="EM7" s="231">
        <v>33597</v>
      </c>
      <c r="EN7" s="231">
        <v>192986.39</v>
      </c>
      <c r="EO7" s="231">
        <v>817898.82</v>
      </c>
      <c r="EP7" s="231">
        <v>-624912.43000000005</v>
      </c>
      <c r="EQ7" s="229">
        <v>-0.76400000000000001</v>
      </c>
      <c r="ER7" s="231">
        <v>60510</v>
      </c>
      <c r="ES7" s="231">
        <v>43799</v>
      </c>
      <c r="ET7" s="231">
        <v>189896</v>
      </c>
      <c r="EU7" s="231">
        <v>92816927</v>
      </c>
      <c r="EV7" s="231">
        <v>294205</v>
      </c>
      <c r="EW7" s="231">
        <v>270824</v>
      </c>
      <c r="EX7" s="231">
        <v>23381</v>
      </c>
      <c r="EY7" s="229">
        <v>8.6300000000000002E-2</v>
      </c>
      <c r="EZ7" s="229">
        <v>0.37719999999999998</v>
      </c>
      <c r="FA7" s="227" t="s">
        <v>555</v>
      </c>
      <c r="FB7" s="161">
        <f t="shared" si="0"/>
        <v>508200</v>
      </c>
    </row>
    <row r="8" spans="1:158" ht="17.25" hidden="1" thickBot="1" x14ac:dyDescent="0.3">
      <c r="A8" s="226">
        <v>46050</v>
      </c>
      <c r="B8" s="227" t="s">
        <v>215</v>
      </c>
      <c r="C8" s="227" t="s">
        <v>160</v>
      </c>
      <c r="D8" s="228">
        <v>475</v>
      </c>
      <c r="E8" s="231">
        <v>1386.9</v>
      </c>
      <c r="F8" s="231">
        <v>1371.3</v>
      </c>
      <c r="G8" s="228">
        <v>15.6</v>
      </c>
      <c r="H8" s="229">
        <v>1.14E-2</v>
      </c>
      <c r="I8" s="231">
        <v>1381.9</v>
      </c>
      <c r="J8" s="231">
        <v>1363.9</v>
      </c>
      <c r="K8" s="228">
        <v>18</v>
      </c>
      <c r="L8" s="229">
        <v>1.32E-2</v>
      </c>
      <c r="M8" s="231">
        <v>1386.9</v>
      </c>
      <c r="N8" s="231">
        <v>1362.5</v>
      </c>
      <c r="O8" s="228">
        <v>24.4</v>
      </c>
      <c r="P8" s="229">
        <v>1.7899999999999999E-2</v>
      </c>
      <c r="Q8" s="231">
        <v>1396.1</v>
      </c>
      <c r="R8" s="231">
        <v>1371.3</v>
      </c>
      <c r="S8" s="228">
        <v>24.8</v>
      </c>
      <c r="T8" s="229">
        <v>1.8100000000000002E-2</v>
      </c>
      <c r="U8" s="231">
        <v>1407.2</v>
      </c>
      <c r="V8" s="231">
        <v>1380.5</v>
      </c>
      <c r="W8" s="228">
        <v>26.7</v>
      </c>
      <c r="X8" s="229">
        <v>1.9300000000000001E-2</v>
      </c>
      <c r="Y8" s="228">
        <v>5</v>
      </c>
      <c r="Z8" s="228">
        <v>7.4</v>
      </c>
      <c r="AA8" s="228">
        <v>-2.4</v>
      </c>
      <c r="AB8" s="229">
        <v>3.5999999999999999E-3</v>
      </c>
      <c r="AC8" s="228">
        <v>5</v>
      </c>
      <c r="AD8" s="228">
        <v>-1.4</v>
      </c>
      <c r="AE8" s="228">
        <v>6.4</v>
      </c>
      <c r="AF8" s="229">
        <v>3.5999999999999999E-3</v>
      </c>
      <c r="AG8" s="228">
        <v>14.2</v>
      </c>
      <c r="AH8" s="228">
        <v>7.4</v>
      </c>
      <c r="AI8" s="228">
        <v>6.8</v>
      </c>
      <c r="AJ8" s="229">
        <v>1.03E-2</v>
      </c>
      <c r="AK8" s="228">
        <v>25.3</v>
      </c>
      <c r="AL8" s="228">
        <v>16.600000000000001</v>
      </c>
      <c r="AM8" s="228">
        <v>8.6999999999999993</v>
      </c>
      <c r="AN8" s="229">
        <v>1.83E-2</v>
      </c>
      <c r="AO8" s="231">
        <v>1382.62</v>
      </c>
      <c r="AP8" s="231">
        <v>1390.58</v>
      </c>
      <c r="AQ8" s="228">
        <v>0</v>
      </c>
      <c r="AR8" s="230">
        <v>3582450</v>
      </c>
      <c r="AS8" s="230">
        <v>16405550</v>
      </c>
      <c r="AT8" s="230">
        <v>-12823100</v>
      </c>
      <c r="AU8" s="229">
        <v>-0.78159999999999996</v>
      </c>
      <c r="AV8" s="230">
        <v>3444700</v>
      </c>
      <c r="AW8" s="230">
        <v>6678500</v>
      </c>
      <c r="AX8" s="230">
        <v>-3233800</v>
      </c>
      <c r="AY8" s="229">
        <v>-0.48420000000000002</v>
      </c>
      <c r="AZ8" s="230">
        <v>123500</v>
      </c>
      <c r="BA8" s="230">
        <v>9497150</v>
      </c>
      <c r="BB8" s="230">
        <v>-9373650</v>
      </c>
      <c r="BC8" s="229">
        <v>-0.98699999999999999</v>
      </c>
      <c r="BD8" s="230">
        <v>14250</v>
      </c>
      <c r="BE8" s="230">
        <v>229900</v>
      </c>
      <c r="BF8" s="230">
        <v>-215650</v>
      </c>
      <c r="BG8" s="229">
        <v>-0.93799999999999994</v>
      </c>
      <c r="BH8" s="230">
        <v>7506900</v>
      </c>
      <c r="BI8" s="230">
        <v>23655950</v>
      </c>
      <c r="BJ8" s="230">
        <v>-16149050</v>
      </c>
      <c r="BK8" s="229">
        <v>-0.68269999999999997</v>
      </c>
      <c r="BL8" s="230">
        <v>4658800</v>
      </c>
      <c r="BM8" s="230">
        <v>17942175</v>
      </c>
      <c r="BN8" s="230">
        <v>-13283375</v>
      </c>
      <c r="BO8" s="229">
        <v>-0.74029999999999996</v>
      </c>
      <c r="BP8" s="230">
        <v>15748150</v>
      </c>
      <c r="BQ8" s="230">
        <v>58003675</v>
      </c>
      <c r="BR8" s="230">
        <v>-42255525</v>
      </c>
      <c r="BS8" s="229">
        <v>-0.72850000000000004</v>
      </c>
      <c r="BT8" s="230">
        <v>3888581</v>
      </c>
      <c r="BU8" s="230">
        <v>4006173</v>
      </c>
      <c r="BV8" s="230">
        <v>-117592</v>
      </c>
      <c r="BW8" s="229">
        <v>-2.9399999999999999E-2</v>
      </c>
      <c r="BX8" s="230">
        <v>24829675</v>
      </c>
      <c r="BY8" s="230">
        <v>25401575</v>
      </c>
      <c r="BZ8" s="230">
        <v>-571900</v>
      </c>
      <c r="CA8" s="229">
        <v>-2.2499999999999999E-2</v>
      </c>
      <c r="CB8" s="230">
        <v>24102450</v>
      </c>
      <c r="CC8" s="230">
        <v>1813075</v>
      </c>
      <c r="CD8" s="230">
        <v>22289375</v>
      </c>
      <c r="CE8" s="229">
        <v>12.293699999999999</v>
      </c>
      <c r="CF8" s="230">
        <v>714400</v>
      </c>
      <c r="CG8" s="230">
        <v>24686225</v>
      </c>
      <c r="CH8" s="230">
        <v>-23971825</v>
      </c>
      <c r="CI8" s="229">
        <v>-0.97109999999999996</v>
      </c>
      <c r="CJ8" s="230">
        <v>12825</v>
      </c>
      <c r="CK8" s="230">
        <v>715350</v>
      </c>
      <c r="CL8" s="230">
        <v>-702525</v>
      </c>
      <c r="CM8" s="229">
        <v>-0.98209999999999997</v>
      </c>
      <c r="CN8" s="230">
        <v>4731950</v>
      </c>
      <c r="CO8" s="230">
        <v>3822325</v>
      </c>
      <c r="CP8" s="230">
        <v>909625</v>
      </c>
      <c r="CQ8" s="229">
        <v>0.23799999999999999</v>
      </c>
      <c r="CR8" s="230">
        <v>4473550</v>
      </c>
      <c r="CS8" s="230">
        <v>3995700</v>
      </c>
      <c r="CT8" s="230">
        <v>477850</v>
      </c>
      <c r="CU8" s="229">
        <v>0.1196</v>
      </c>
      <c r="CV8" s="230">
        <v>34035175</v>
      </c>
      <c r="CW8" s="230">
        <v>33219600</v>
      </c>
      <c r="CX8" s="230">
        <v>815575</v>
      </c>
      <c r="CY8" s="229">
        <v>2.46E-2</v>
      </c>
      <c r="CZ8" s="228">
        <v>32.409999999999997</v>
      </c>
      <c r="DA8" s="228">
        <v>36.08</v>
      </c>
      <c r="DB8" s="228">
        <v>-3.67</v>
      </c>
      <c r="DC8" s="228">
        <v>-3.67</v>
      </c>
      <c r="DD8" s="228">
        <v>36.58</v>
      </c>
      <c r="DE8" s="228">
        <v>36.64</v>
      </c>
      <c r="DF8" s="228">
        <v>-4.17</v>
      </c>
      <c r="DG8" s="228">
        <v>-0.06</v>
      </c>
      <c r="DH8" s="228">
        <v>31.27</v>
      </c>
      <c r="DI8" s="228">
        <v>34.770000000000003</v>
      </c>
      <c r="DJ8" s="228">
        <v>-3.5</v>
      </c>
      <c r="DK8" s="228">
        <v>-3.5</v>
      </c>
      <c r="DL8" s="228">
        <v>34.229999999999997</v>
      </c>
      <c r="DM8" s="228">
        <v>38.25</v>
      </c>
      <c r="DN8" s="228">
        <v>-4.0199999999999996</v>
      </c>
      <c r="DO8" s="228">
        <v>-4.0199999999999996</v>
      </c>
      <c r="DP8" s="228">
        <v>0.95</v>
      </c>
      <c r="DQ8" s="228">
        <v>1.05</v>
      </c>
      <c r="DR8" s="228">
        <v>-0.1</v>
      </c>
      <c r="DS8" s="229">
        <v>-9.5200000000000007E-2</v>
      </c>
      <c r="DT8" s="231">
        <v>1500</v>
      </c>
      <c r="DU8" s="231">
        <v>1400</v>
      </c>
      <c r="DV8" s="228">
        <v>0.62</v>
      </c>
      <c r="DW8" s="228">
        <v>0.76</v>
      </c>
      <c r="DX8" s="228">
        <v>-0.14000000000000001</v>
      </c>
      <c r="DY8" s="229">
        <v>-0.1842</v>
      </c>
      <c r="DZ8" s="229">
        <v>2.93E-2</v>
      </c>
      <c r="EA8" s="230">
        <v>25401575</v>
      </c>
      <c r="EB8" s="229">
        <v>6.6E-3</v>
      </c>
      <c r="EC8" s="229">
        <v>2.93E-2</v>
      </c>
      <c r="ED8" s="228">
        <v>7.96</v>
      </c>
      <c r="EE8" s="229">
        <v>5.7999999999999996E-3</v>
      </c>
      <c r="EF8" s="230">
        <v>2392464</v>
      </c>
      <c r="EG8" s="230">
        <v>1316287</v>
      </c>
      <c r="EH8" s="229">
        <v>0.81759999999999999</v>
      </c>
      <c r="EI8" s="229">
        <v>0.61529999999999996</v>
      </c>
      <c r="EJ8" s="231">
        <v>110054.48</v>
      </c>
      <c r="EK8" s="231">
        <v>63507.25</v>
      </c>
      <c r="EL8" s="231">
        <v>49544.26</v>
      </c>
      <c r="EM8" s="231">
        <v>40499</v>
      </c>
      <c r="EN8" s="231">
        <v>223105.99</v>
      </c>
      <c r="EO8" s="231">
        <v>798354.58</v>
      </c>
      <c r="EP8" s="231">
        <v>-575248.59</v>
      </c>
      <c r="EQ8" s="229">
        <v>-0.72050000000000003</v>
      </c>
      <c r="ER8" s="231">
        <v>68302</v>
      </c>
      <c r="ES8" s="231">
        <v>60176</v>
      </c>
      <c r="ET8" s="231">
        <v>344431</v>
      </c>
      <c r="EU8" s="231">
        <v>84394936</v>
      </c>
      <c r="EV8" s="231">
        <v>472909</v>
      </c>
      <c r="EW8" s="231">
        <v>457062</v>
      </c>
      <c r="EX8" s="231">
        <v>15847</v>
      </c>
      <c r="EY8" s="229">
        <v>3.4700000000000002E-2</v>
      </c>
      <c r="EZ8" s="229">
        <v>0.40329999999999999</v>
      </c>
      <c r="FA8" s="227" t="s">
        <v>556</v>
      </c>
      <c r="FB8" s="161">
        <f t="shared" si="0"/>
        <v>727225</v>
      </c>
    </row>
    <row r="9" spans="1:158" ht="17.25" hidden="1" thickBot="1" x14ac:dyDescent="0.3">
      <c r="A9" s="226">
        <v>46050</v>
      </c>
      <c r="B9" s="227" t="s">
        <v>170</v>
      </c>
      <c r="C9" s="227" t="s">
        <v>497</v>
      </c>
      <c r="D9" s="228">
        <v>125</v>
      </c>
      <c r="E9" s="231">
        <v>5703</v>
      </c>
      <c r="F9" s="231">
        <v>5750</v>
      </c>
      <c r="G9" s="228">
        <v>-47</v>
      </c>
      <c r="H9" s="229">
        <v>-8.2000000000000007E-3</v>
      </c>
      <c r="I9" s="231">
        <v>5722.5</v>
      </c>
      <c r="J9" s="231">
        <v>5754</v>
      </c>
      <c r="K9" s="228">
        <v>-31.5</v>
      </c>
      <c r="L9" s="229">
        <v>-5.4999999999999997E-3</v>
      </c>
      <c r="M9" s="231">
        <v>5703</v>
      </c>
      <c r="N9" s="231">
        <v>5753.5</v>
      </c>
      <c r="O9" s="228">
        <v>-50.5</v>
      </c>
      <c r="P9" s="229">
        <v>-8.8000000000000005E-3</v>
      </c>
      <c r="Q9" s="231">
        <v>5718</v>
      </c>
      <c r="R9" s="231">
        <v>5750</v>
      </c>
      <c r="S9" s="228">
        <v>-32</v>
      </c>
      <c r="T9" s="229">
        <v>-5.5999999999999999E-3</v>
      </c>
      <c r="U9" s="231">
        <v>5740</v>
      </c>
      <c r="V9" s="231">
        <v>5750</v>
      </c>
      <c r="W9" s="228">
        <v>-10</v>
      </c>
      <c r="X9" s="229">
        <v>-1.6999999999999999E-3</v>
      </c>
      <c r="Y9" s="228">
        <v>-19.5</v>
      </c>
      <c r="Z9" s="228">
        <v>-4</v>
      </c>
      <c r="AA9" s="228">
        <v>-15.5</v>
      </c>
      <c r="AB9" s="229">
        <v>-3.3999999999999998E-3</v>
      </c>
      <c r="AC9" s="228">
        <v>-19.5</v>
      </c>
      <c r="AD9" s="228">
        <v>-0.5</v>
      </c>
      <c r="AE9" s="228">
        <v>-19</v>
      </c>
      <c r="AF9" s="229">
        <v>-3.3999999999999998E-3</v>
      </c>
      <c r="AG9" s="228">
        <v>-4.5</v>
      </c>
      <c r="AH9" s="228">
        <v>-4</v>
      </c>
      <c r="AI9" s="228">
        <v>-0.5</v>
      </c>
      <c r="AJ9" s="229">
        <v>-8.0000000000000004E-4</v>
      </c>
      <c r="AK9" s="228">
        <v>17.5</v>
      </c>
      <c r="AL9" s="228">
        <v>-4</v>
      </c>
      <c r="AM9" s="228">
        <v>21.5</v>
      </c>
      <c r="AN9" s="229">
        <v>3.0999999999999999E-3</v>
      </c>
      <c r="AO9" s="231">
        <v>5705.68</v>
      </c>
      <c r="AP9" s="231">
        <v>5704.89</v>
      </c>
      <c r="AQ9" s="228">
        <v>0</v>
      </c>
      <c r="AR9" s="230">
        <v>132250</v>
      </c>
      <c r="AS9" s="230">
        <v>688875</v>
      </c>
      <c r="AT9" s="230">
        <v>-556625</v>
      </c>
      <c r="AU9" s="229">
        <v>-0.80800000000000005</v>
      </c>
      <c r="AV9" s="230">
        <v>129875</v>
      </c>
      <c r="AW9" s="230">
        <v>334000</v>
      </c>
      <c r="AX9" s="230">
        <v>-204125</v>
      </c>
      <c r="AY9" s="229">
        <v>-0.61119999999999997</v>
      </c>
      <c r="AZ9" s="230">
        <v>2250</v>
      </c>
      <c r="BA9" s="230">
        <v>354125</v>
      </c>
      <c r="BB9" s="230">
        <v>-351875</v>
      </c>
      <c r="BC9" s="229">
        <v>-0.99360000000000004</v>
      </c>
      <c r="BD9" s="228">
        <v>125</v>
      </c>
      <c r="BE9" s="228">
        <v>750</v>
      </c>
      <c r="BF9" s="228">
        <v>-625</v>
      </c>
      <c r="BG9" s="229">
        <v>-0.83330000000000004</v>
      </c>
      <c r="BH9" s="230">
        <v>109375</v>
      </c>
      <c r="BI9" s="230">
        <v>589000</v>
      </c>
      <c r="BJ9" s="230">
        <v>-479625</v>
      </c>
      <c r="BK9" s="229">
        <v>-0.81430000000000002</v>
      </c>
      <c r="BL9" s="230">
        <v>93375</v>
      </c>
      <c r="BM9" s="230">
        <v>1019000</v>
      </c>
      <c r="BN9" s="230">
        <v>-925625</v>
      </c>
      <c r="BO9" s="229">
        <v>-0.90839999999999999</v>
      </c>
      <c r="BP9" s="230">
        <v>335000</v>
      </c>
      <c r="BQ9" s="230">
        <v>2296875</v>
      </c>
      <c r="BR9" s="230">
        <v>-1961875</v>
      </c>
      <c r="BS9" s="229">
        <v>-0.85409999999999997</v>
      </c>
      <c r="BT9" s="230">
        <v>171730</v>
      </c>
      <c r="BU9" s="230">
        <v>118419</v>
      </c>
      <c r="BV9" s="230">
        <v>53311</v>
      </c>
      <c r="BW9" s="229">
        <v>0.45019999999999999</v>
      </c>
      <c r="BX9" s="230">
        <v>1243750</v>
      </c>
      <c r="BY9" s="230">
        <v>1260125</v>
      </c>
      <c r="BZ9" s="230">
        <v>-16375</v>
      </c>
      <c r="CA9" s="229">
        <v>-1.2999999999999999E-2</v>
      </c>
      <c r="CB9" s="230">
        <v>1241000</v>
      </c>
      <c r="CC9" s="230">
        <v>130750</v>
      </c>
      <c r="CD9" s="230">
        <v>1110250</v>
      </c>
      <c r="CE9" s="229">
        <v>8.4914000000000005</v>
      </c>
      <c r="CF9" s="230">
        <v>2625</v>
      </c>
      <c r="CG9" s="230">
        <v>1258375</v>
      </c>
      <c r="CH9" s="230">
        <v>-1255750</v>
      </c>
      <c r="CI9" s="229">
        <v>-0.99790000000000001</v>
      </c>
      <c r="CJ9" s="228">
        <v>125</v>
      </c>
      <c r="CK9" s="230">
        <v>1750</v>
      </c>
      <c r="CL9" s="230">
        <v>-1625</v>
      </c>
      <c r="CM9" s="229">
        <v>-0.92859999999999998</v>
      </c>
      <c r="CN9" s="230">
        <v>61125</v>
      </c>
      <c r="CO9" s="230">
        <v>39500</v>
      </c>
      <c r="CP9" s="230">
        <v>21625</v>
      </c>
      <c r="CQ9" s="229">
        <v>0.54749999999999999</v>
      </c>
      <c r="CR9" s="230">
        <v>56250</v>
      </c>
      <c r="CS9" s="230">
        <v>31750</v>
      </c>
      <c r="CT9" s="230">
        <v>24500</v>
      </c>
      <c r="CU9" s="229">
        <v>0.77170000000000005</v>
      </c>
      <c r="CV9" s="230">
        <v>1361125</v>
      </c>
      <c r="CW9" s="230">
        <v>1331375</v>
      </c>
      <c r="CX9" s="230">
        <v>29750</v>
      </c>
      <c r="CY9" s="229">
        <v>2.23E-2</v>
      </c>
      <c r="CZ9" s="228">
        <v>28.34</v>
      </c>
      <c r="DA9" s="228">
        <v>29.33</v>
      </c>
      <c r="DB9" s="228">
        <v>-0.99</v>
      </c>
      <c r="DC9" s="228">
        <v>-0.99</v>
      </c>
      <c r="DD9" s="228">
        <v>25.48</v>
      </c>
      <c r="DE9" s="228">
        <v>25.52</v>
      </c>
      <c r="DF9" s="228">
        <v>2.86</v>
      </c>
      <c r="DG9" s="228">
        <v>-0.04</v>
      </c>
      <c r="DH9" s="228">
        <v>28.48</v>
      </c>
      <c r="DI9" s="228">
        <v>28.72</v>
      </c>
      <c r="DJ9" s="228">
        <v>-0.24</v>
      </c>
      <c r="DK9" s="228">
        <v>-0.24</v>
      </c>
      <c r="DL9" s="228">
        <v>28.16</v>
      </c>
      <c r="DM9" s="228">
        <v>30.96</v>
      </c>
      <c r="DN9" s="228">
        <v>-2.8</v>
      </c>
      <c r="DO9" s="228">
        <v>-2.8</v>
      </c>
      <c r="DP9" s="228">
        <v>0.92</v>
      </c>
      <c r="DQ9" s="228">
        <v>0.8</v>
      </c>
      <c r="DR9" s="228">
        <v>0.12</v>
      </c>
      <c r="DS9" s="229">
        <v>0.15</v>
      </c>
      <c r="DT9" s="231">
        <v>5800</v>
      </c>
      <c r="DU9" s="231">
        <v>5800</v>
      </c>
      <c r="DV9" s="228">
        <v>0.85</v>
      </c>
      <c r="DW9" s="228">
        <v>1.73</v>
      </c>
      <c r="DX9" s="228">
        <v>-0.88</v>
      </c>
      <c r="DY9" s="229">
        <v>-0.50870000000000004</v>
      </c>
      <c r="DZ9" s="229">
        <v>2.2000000000000001E-3</v>
      </c>
      <c r="EA9" s="230">
        <v>1260125</v>
      </c>
      <c r="EB9" s="229">
        <v>2.5999999999999999E-3</v>
      </c>
      <c r="EC9" s="229">
        <v>2.2000000000000001E-3</v>
      </c>
      <c r="ED9" s="228">
        <v>-0.79</v>
      </c>
      <c r="EE9" s="229">
        <v>-1E-4</v>
      </c>
      <c r="EF9" s="230">
        <v>131931</v>
      </c>
      <c r="EG9" s="230">
        <v>70739</v>
      </c>
      <c r="EH9" s="229">
        <v>0.86499999999999999</v>
      </c>
      <c r="EI9" s="229">
        <v>0.76819999999999999</v>
      </c>
      <c r="EJ9" s="231">
        <v>6561.01</v>
      </c>
      <c r="EK9" s="231">
        <v>5401.95</v>
      </c>
      <c r="EL9" s="231">
        <v>7545.78</v>
      </c>
      <c r="EM9" s="231">
        <v>7890</v>
      </c>
      <c r="EN9" s="231">
        <v>19508.740000000002</v>
      </c>
      <c r="EO9" s="231">
        <v>130836.77</v>
      </c>
      <c r="EP9" s="231">
        <v>-111328.03</v>
      </c>
      <c r="EQ9" s="229">
        <v>-0.85089999999999999</v>
      </c>
      <c r="ER9" s="231">
        <v>3645</v>
      </c>
      <c r="ES9" s="231">
        <v>3147</v>
      </c>
      <c r="ET9" s="231">
        <v>70932</v>
      </c>
      <c r="EU9" s="231">
        <v>7334235</v>
      </c>
      <c r="EV9" s="231">
        <v>77724</v>
      </c>
      <c r="EW9" s="231">
        <v>76580</v>
      </c>
      <c r="EX9" s="231">
        <v>1144</v>
      </c>
      <c r="EY9" s="229">
        <v>1.49E-2</v>
      </c>
      <c r="EZ9" s="229">
        <v>0.18559999999999999</v>
      </c>
      <c r="FA9" s="227" t="s">
        <v>568</v>
      </c>
      <c r="FB9" s="161">
        <f t="shared" si="0"/>
        <v>2750</v>
      </c>
    </row>
    <row r="10" spans="1:158" ht="17.25" hidden="1" thickBot="1" x14ac:dyDescent="0.3">
      <c r="A10" s="226">
        <v>46050</v>
      </c>
      <c r="B10" s="227" t="s">
        <v>184</v>
      </c>
      <c r="C10" s="227" t="s">
        <v>680</v>
      </c>
      <c r="D10" s="228">
        <v>100</v>
      </c>
      <c r="E10" s="231">
        <v>5650</v>
      </c>
      <c r="F10" s="231">
        <v>5555.5</v>
      </c>
      <c r="G10" s="228">
        <v>94.5</v>
      </c>
      <c r="H10" s="229">
        <v>1.7000000000000001E-2</v>
      </c>
      <c r="I10" s="231">
        <v>5614</v>
      </c>
      <c r="J10" s="231">
        <v>5510</v>
      </c>
      <c r="K10" s="228">
        <v>104</v>
      </c>
      <c r="L10" s="229">
        <v>1.89E-2</v>
      </c>
      <c r="M10" s="231">
        <v>5650</v>
      </c>
      <c r="N10" s="231">
        <v>5511.5</v>
      </c>
      <c r="O10" s="228">
        <v>138.5</v>
      </c>
      <c r="P10" s="229">
        <v>2.5100000000000001E-2</v>
      </c>
      <c r="Q10" s="231">
        <v>5637</v>
      </c>
      <c r="R10" s="231">
        <v>5555.5</v>
      </c>
      <c r="S10" s="228">
        <v>81.5</v>
      </c>
      <c r="T10" s="229">
        <v>1.47E-2</v>
      </c>
      <c r="U10" s="228">
        <v>0</v>
      </c>
      <c r="V10" s="231">
        <v>5574.5</v>
      </c>
      <c r="W10" s="228">
        <v>0</v>
      </c>
      <c r="X10" s="229">
        <v>0</v>
      </c>
      <c r="Y10" s="228">
        <v>36</v>
      </c>
      <c r="Z10" s="228">
        <v>45.5</v>
      </c>
      <c r="AA10" s="228">
        <v>-9.5</v>
      </c>
      <c r="AB10" s="229">
        <v>6.4000000000000003E-3</v>
      </c>
      <c r="AC10" s="228">
        <v>36</v>
      </c>
      <c r="AD10" s="228">
        <v>1.5</v>
      </c>
      <c r="AE10" s="228">
        <v>34.5</v>
      </c>
      <c r="AF10" s="229">
        <v>6.4000000000000003E-3</v>
      </c>
      <c r="AG10" s="228">
        <v>23</v>
      </c>
      <c r="AH10" s="228">
        <v>45.5</v>
      </c>
      <c r="AI10" s="228">
        <v>-22.5</v>
      </c>
      <c r="AJ10" s="229">
        <v>4.1000000000000003E-3</v>
      </c>
      <c r="AK10" s="228">
        <v>0</v>
      </c>
      <c r="AL10" s="228">
        <v>64.5</v>
      </c>
      <c r="AM10" s="228">
        <v>0</v>
      </c>
      <c r="AN10" s="229">
        <v>0</v>
      </c>
      <c r="AO10" s="231">
        <v>5610.1</v>
      </c>
      <c r="AP10" s="231">
        <v>5587.05</v>
      </c>
      <c r="AQ10" s="228">
        <v>0</v>
      </c>
      <c r="AR10" s="230">
        <v>221200</v>
      </c>
      <c r="AS10" s="230">
        <v>1449700</v>
      </c>
      <c r="AT10" s="230">
        <v>-1228500</v>
      </c>
      <c r="AU10" s="229">
        <v>-0.84740000000000004</v>
      </c>
      <c r="AV10" s="230">
        <v>207300</v>
      </c>
      <c r="AW10" s="230">
        <v>558200</v>
      </c>
      <c r="AX10" s="230">
        <v>-350900</v>
      </c>
      <c r="AY10" s="229">
        <v>-0.62860000000000005</v>
      </c>
      <c r="AZ10" s="230">
        <v>13900</v>
      </c>
      <c r="BA10" s="230">
        <v>884000</v>
      </c>
      <c r="BB10" s="230">
        <v>-870100</v>
      </c>
      <c r="BC10" s="229">
        <v>-0.98429999999999995</v>
      </c>
      <c r="BD10" s="228">
        <v>0</v>
      </c>
      <c r="BE10" s="230">
        <v>7500</v>
      </c>
      <c r="BF10" s="228">
        <v>0</v>
      </c>
      <c r="BG10" s="229">
        <v>0</v>
      </c>
      <c r="BH10" s="230">
        <v>156400</v>
      </c>
      <c r="BI10" s="230">
        <v>528400</v>
      </c>
      <c r="BJ10" s="230">
        <v>-372000</v>
      </c>
      <c r="BK10" s="229">
        <v>-0.70399999999999996</v>
      </c>
      <c r="BL10" s="230">
        <v>60200</v>
      </c>
      <c r="BM10" s="230">
        <v>472900</v>
      </c>
      <c r="BN10" s="230">
        <v>-412700</v>
      </c>
      <c r="BO10" s="229">
        <v>-0.87270000000000003</v>
      </c>
      <c r="BP10" s="230">
        <v>437800</v>
      </c>
      <c r="BQ10" s="230">
        <v>2451000</v>
      </c>
      <c r="BR10" s="230">
        <v>-2013200</v>
      </c>
      <c r="BS10" s="229">
        <v>-0.82140000000000002</v>
      </c>
      <c r="BT10" s="230">
        <v>163575</v>
      </c>
      <c r="BU10" s="230">
        <v>720716</v>
      </c>
      <c r="BV10" s="230">
        <v>-557141</v>
      </c>
      <c r="BW10" s="229">
        <v>-0.77300000000000002</v>
      </c>
      <c r="BX10" s="230">
        <v>1329600</v>
      </c>
      <c r="BY10" s="230">
        <v>1309400</v>
      </c>
      <c r="BZ10" s="230">
        <v>20200</v>
      </c>
      <c r="CA10" s="229">
        <v>1.54E-2</v>
      </c>
      <c r="CB10" s="230">
        <v>1296500</v>
      </c>
      <c r="CC10" s="230">
        <v>85000</v>
      </c>
      <c r="CD10" s="230">
        <v>1211500</v>
      </c>
      <c r="CE10" s="229">
        <v>14.2529</v>
      </c>
      <c r="CF10" s="230">
        <v>33100</v>
      </c>
      <c r="CG10" s="230">
        <v>1280200</v>
      </c>
      <c r="CH10" s="230">
        <v>-1247100</v>
      </c>
      <c r="CI10" s="229">
        <v>-0.97409999999999997</v>
      </c>
      <c r="CJ10" s="228">
        <v>0</v>
      </c>
      <c r="CK10" s="230">
        <v>29200</v>
      </c>
      <c r="CL10" s="230">
        <v>-29200</v>
      </c>
      <c r="CM10" s="229">
        <v>-1</v>
      </c>
      <c r="CN10" s="230">
        <v>113200</v>
      </c>
      <c r="CO10" s="230">
        <v>90900</v>
      </c>
      <c r="CP10" s="230">
        <v>22300</v>
      </c>
      <c r="CQ10" s="229">
        <v>0.24529999999999999</v>
      </c>
      <c r="CR10" s="230">
        <v>91300</v>
      </c>
      <c r="CS10" s="230">
        <v>85500</v>
      </c>
      <c r="CT10" s="230">
        <v>5800</v>
      </c>
      <c r="CU10" s="229">
        <v>6.7799999999999999E-2</v>
      </c>
      <c r="CV10" s="230">
        <v>1534100</v>
      </c>
      <c r="CW10" s="230">
        <v>1485800</v>
      </c>
      <c r="CX10" s="230">
        <v>48300</v>
      </c>
      <c r="CY10" s="229">
        <v>3.2500000000000001E-2</v>
      </c>
      <c r="CZ10" s="228">
        <v>41.45</v>
      </c>
      <c r="DA10" s="228">
        <v>45.82</v>
      </c>
      <c r="DB10" s="228">
        <v>-4.37</v>
      </c>
      <c r="DC10" s="228">
        <v>-4.37</v>
      </c>
      <c r="DD10" s="228">
        <v>50.71</v>
      </c>
      <c r="DE10" s="228">
        <v>50.78</v>
      </c>
      <c r="DF10" s="228">
        <v>-9.26</v>
      </c>
      <c r="DG10" s="228">
        <v>-7.0000000000000007E-2</v>
      </c>
      <c r="DH10" s="228">
        <v>40.9</v>
      </c>
      <c r="DI10" s="228">
        <v>43.23</v>
      </c>
      <c r="DJ10" s="228">
        <v>-2.33</v>
      </c>
      <c r="DK10" s="228">
        <v>-2.33</v>
      </c>
      <c r="DL10" s="228">
        <v>42.89</v>
      </c>
      <c r="DM10" s="228">
        <v>48.99</v>
      </c>
      <c r="DN10" s="228">
        <v>-6.1</v>
      </c>
      <c r="DO10" s="228">
        <v>-6.1</v>
      </c>
      <c r="DP10" s="228">
        <v>0.81</v>
      </c>
      <c r="DQ10" s="228">
        <v>0.94</v>
      </c>
      <c r="DR10" s="228">
        <v>-0.13</v>
      </c>
      <c r="DS10" s="229">
        <v>-0.13830000000000001</v>
      </c>
      <c r="DT10" s="231">
        <v>6200</v>
      </c>
      <c r="DU10" s="231">
        <v>5600</v>
      </c>
      <c r="DV10" s="228">
        <v>0.38</v>
      </c>
      <c r="DW10" s="228">
        <v>0.89</v>
      </c>
      <c r="DX10" s="228">
        <v>-0.51</v>
      </c>
      <c r="DY10" s="229">
        <v>-0.57299999999999995</v>
      </c>
      <c r="DZ10" s="229">
        <v>2.4899999999999999E-2</v>
      </c>
      <c r="EA10" s="230">
        <v>1309400</v>
      </c>
      <c r="EB10" s="229">
        <v>-2.3E-3</v>
      </c>
      <c r="EC10" s="229">
        <v>2.4899999999999999E-2</v>
      </c>
      <c r="ED10" s="228">
        <v>-23.05</v>
      </c>
      <c r="EE10" s="229">
        <v>-4.1000000000000003E-3</v>
      </c>
      <c r="EF10" s="230">
        <v>61106</v>
      </c>
      <c r="EG10" s="230">
        <v>411969</v>
      </c>
      <c r="EH10" s="229">
        <v>-0.85170000000000001</v>
      </c>
      <c r="EI10" s="229">
        <v>0.37359999999999999</v>
      </c>
      <c r="EJ10" s="231">
        <v>9537.61</v>
      </c>
      <c r="EK10" s="231">
        <v>3387.85</v>
      </c>
      <c r="EL10" s="231">
        <v>12406.33</v>
      </c>
      <c r="EM10" s="231">
        <v>11837</v>
      </c>
      <c r="EN10" s="231">
        <v>25331.79</v>
      </c>
      <c r="EO10" s="231">
        <v>138409.32999999999</v>
      </c>
      <c r="EP10" s="231">
        <v>-113077.54</v>
      </c>
      <c r="EQ10" s="229">
        <v>-0.81699999999999995</v>
      </c>
      <c r="ER10" s="231">
        <v>6808</v>
      </c>
      <c r="ES10" s="231">
        <v>5428</v>
      </c>
      <c r="ET10" s="231">
        <v>75118</v>
      </c>
      <c r="EU10" s="231">
        <v>3257355</v>
      </c>
      <c r="EV10" s="231">
        <v>87354</v>
      </c>
      <c r="EW10" s="231">
        <v>83334</v>
      </c>
      <c r="EX10" s="231">
        <v>4020</v>
      </c>
      <c r="EY10" s="229">
        <v>4.82E-2</v>
      </c>
      <c r="EZ10" s="229">
        <v>0.47099999999999997</v>
      </c>
      <c r="FA10" s="227" t="s">
        <v>555</v>
      </c>
      <c r="FB10" s="161">
        <f t="shared" si="0"/>
        <v>33100</v>
      </c>
    </row>
    <row r="11" spans="1:158" ht="17.25" hidden="1" thickBot="1" x14ac:dyDescent="0.3">
      <c r="A11" s="226">
        <v>46050</v>
      </c>
      <c r="B11" s="227" t="s">
        <v>157</v>
      </c>
      <c r="C11" s="227" t="s">
        <v>164</v>
      </c>
      <c r="D11" s="228">
        <v>1050</v>
      </c>
      <c r="E11" s="228">
        <v>537.25</v>
      </c>
      <c r="F11" s="228">
        <v>536.15</v>
      </c>
      <c r="G11" s="228">
        <v>1.1000000000000001</v>
      </c>
      <c r="H11" s="229">
        <v>2.0999999999999999E-3</v>
      </c>
      <c r="I11" s="228">
        <v>533.95000000000005</v>
      </c>
      <c r="J11" s="228">
        <v>532.25</v>
      </c>
      <c r="K11" s="228">
        <v>1.7</v>
      </c>
      <c r="L11" s="229">
        <v>3.2000000000000002E-3</v>
      </c>
      <c r="M11" s="228">
        <v>537.25</v>
      </c>
      <c r="N11" s="228">
        <v>532.45000000000005</v>
      </c>
      <c r="O11" s="228">
        <v>4.8</v>
      </c>
      <c r="P11" s="229">
        <v>8.9999999999999993E-3</v>
      </c>
      <c r="Q11" s="228">
        <v>541</v>
      </c>
      <c r="R11" s="228">
        <v>536.15</v>
      </c>
      <c r="S11" s="228">
        <v>4.8499999999999996</v>
      </c>
      <c r="T11" s="229">
        <v>8.9999999999999993E-3</v>
      </c>
      <c r="U11" s="228">
        <v>543.75</v>
      </c>
      <c r="V11" s="228">
        <v>539.20000000000005</v>
      </c>
      <c r="W11" s="228">
        <v>4.55</v>
      </c>
      <c r="X11" s="229">
        <v>8.3999999999999995E-3</v>
      </c>
      <c r="Y11" s="228">
        <v>3.3</v>
      </c>
      <c r="Z11" s="228">
        <v>3.9</v>
      </c>
      <c r="AA11" s="228">
        <v>-0.6</v>
      </c>
      <c r="AB11" s="229">
        <v>6.1999999999999998E-3</v>
      </c>
      <c r="AC11" s="228">
        <v>3.3</v>
      </c>
      <c r="AD11" s="228">
        <v>0.2</v>
      </c>
      <c r="AE11" s="228">
        <v>3.1</v>
      </c>
      <c r="AF11" s="229">
        <v>6.1999999999999998E-3</v>
      </c>
      <c r="AG11" s="228">
        <v>7.05</v>
      </c>
      <c r="AH11" s="228">
        <v>3.9</v>
      </c>
      <c r="AI11" s="228">
        <v>3.15</v>
      </c>
      <c r="AJ11" s="229">
        <v>1.32E-2</v>
      </c>
      <c r="AK11" s="228">
        <v>9.8000000000000007</v>
      </c>
      <c r="AL11" s="228">
        <v>6.95</v>
      </c>
      <c r="AM11" s="228">
        <v>2.85</v>
      </c>
      <c r="AN11" s="229">
        <v>1.84E-2</v>
      </c>
      <c r="AO11" s="228">
        <v>536.97</v>
      </c>
      <c r="AP11" s="228">
        <v>540.95000000000005</v>
      </c>
      <c r="AQ11" s="228">
        <v>0</v>
      </c>
      <c r="AR11" s="230">
        <v>3140550</v>
      </c>
      <c r="AS11" s="230">
        <v>33334350</v>
      </c>
      <c r="AT11" s="230">
        <v>-30193800</v>
      </c>
      <c r="AU11" s="229">
        <v>-0.90580000000000005</v>
      </c>
      <c r="AV11" s="230">
        <v>2976750</v>
      </c>
      <c r="AW11" s="230">
        <v>14717850</v>
      </c>
      <c r="AX11" s="230">
        <v>-11741100</v>
      </c>
      <c r="AY11" s="229">
        <v>-0.79769999999999996</v>
      </c>
      <c r="AZ11" s="230">
        <v>148050</v>
      </c>
      <c r="BA11" s="230">
        <v>18373950</v>
      </c>
      <c r="BB11" s="230">
        <v>-18225900</v>
      </c>
      <c r="BC11" s="229">
        <v>-0.9919</v>
      </c>
      <c r="BD11" s="230">
        <v>15750</v>
      </c>
      <c r="BE11" s="230">
        <v>242550</v>
      </c>
      <c r="BF11" s="230">
        <v>-226800</v>
      </c>
      <c r="BG11" s="229">
        <v>-0.93510000000000004</v>
      </c>
      <c r="BH11" s="230">
        <v>5127150</v>
      </c>
      <c r="BI11" s="230">
        <v>17158050</v>
      </c>
      <c r="BJ11" s="230">
        <v>-12030900</v>
      </c>
      <c r="BK11" s="229">
        <v>-0.70120000000000005</v>
      </c>
      <c r="BL11" s="230">
        <v>3006150</v>
      </c>
      <c r="BM11" s="230">
        <v>18364500</v>
      </c>
      <c r="BN11" s="230">
        <v>-15358350</v>
      </c>
      <c r="BO11" s="229">
        <v>-0.83630000000000004</v>
      </c>
      <c r="BP11" s="230">
        <v>11273850</v>
      </c>
      <c r="BQ11" s="230">
        <v>68856900</v>
      </c>
      <c r="BR11" s="230">
        <v>-57583050</v>
      </c>
      <c r="BS11" s="229">
        <v>-0.83630000000000004</v>
      </c>
      <c r="BT11" s="230">
        <v>2629663</v>
      </c>
      <c r="BU11" s="230">
        <v>3676579</v>
      </c>
      <c r="BV11" s="230">
        <v>-1046916</v>
      </c>
      <c r="BW11" s="229">
        <v>-0.2848</v>
      </c>
      <c r="BX11" s="230">
        <v>46623150</v>
      </c>
      <c r="BY11" s="230">
        <v>46406850</v>
      </c>
      <c r="BZ11" s="230">
        <v>216300</v>
      </c>
      <c r="CA11" s="229">
        <v>4.7000000000000002E-3</v>
      </c>
      <c r="CB11" s="230">
        <v>45960600</v>
      </c>
      <c r="CC11" s="230">
        <v>1749300</v>
      </c>
      <c r="CD11" s="230">
        <v>44211300</v>
      </c>
      <c r="CE11" s="229">
        <v>25.273700000000002</v>
      </c>
      <c r="CF11" s="230">
        <v>648900</v>
      </c>
      <c r="CG11" s="230">
        <v>45789450</v>
      </c>
      <c r="CH11" s="230">
        <v>-45140550</v>
      </c>
      <c r="CI11" s="229">
        <v>-0.98580000000000001</v>
      </c>
      <c r="CJ11" s="230">
        <v>13650</v>
      </c>
      <c r="CK11" s="230">
        <v>617400</v>
      </c>
      <c r="CL11" s="230">
        <v>-603750</v>
      </c>
      <c r="CM11" s="229">
        <v>-0.97789999999999999</v>
      </c>
      <c r="CN11" s="230">
        <v>7437150</v>
      </c>
      <c r="CO11" s="230">
        <v>6732600</v>
      </c>
      <c r="CP11" s="230">
        <v>704550</v>
      </c>
      <c r="CQ11" s="229">
        <v>0.1046</v>
      </c>
      <c r="CR11" s="230">
        <v>8604750</v>
      </c>
      <c r="CS11" s="230">
        <v>8423100</v>
      </c>
      <c r="CT11" s="230">
        <v>181650</v>
      </c>
      <c r="CU11" s="229">
        <v>2.1600000000000001E-2</v>
      </c>
      <c r="CV11" s="230">
        <v>62665050</v>
      </c>
      <c r="CW11" s="230">
        <v>61562550</v>
      </c>
      <c r="CX11" s="230">
        <v>1102500</v>
      </c>
      <c r="CY11" s="229">
        <v>1.7899999999999999E-2</v>
      </c>
      <c r="CZ11" s="228">
        <v>29.49</v>
      </c>
      <c r="DA11" s="228">
        <v>31.34</v>
      </c>
      <c r="DB11" s="228">
        <v>-1.85</v>
      </c>
      <c r="DC11" s="228">
        <v>-1.85</v>
      </c>
      <c r="DD11" s="228">
        <v>31.86</v>
      </c>
      <c r="DE11" s="228">
        <v>31.94</v>
      </c>
      <c r="DF11" s="228">
        <v>-2.37</v>
      </c>
      <c r="DG11" s="228">
        <v>-0.08</v>
      </c>
      <c r="DH11" s="228">
        <v>28.97</v>
      </c>
      <c r="DI11" s="228">
        <v>30</v>
      </c>
      <c r="DJ11" s="228">
        <v>-1.03</v>
      </c>
      <c r="DK11" s="228">
        <v>-1.03</v>
      </c>
      <c r="DL11" s="228">
        <v>30.37</v>
      </c>
      <c r="DM11" s="228">
        <v>32.619999999999997</v>
      </c>
      <c r="DN11" s="228">
        <v>-2.25</v>
      </c>
      <c r="DO11" s="228">
        <v>-2.25</v>
      </c>
      <c r="DP11" s="228">
        <v>1.1599999999999999</v>
      </c>
      <c r="DQ11" s="228">
        <v>1.25</v>
      </c>
      <c r="DR11" s="228">
        <v>-0.09</v>
      </c>
      <c r="DS11" s="229">
        <v>-7.1999999999999995E-2</v>
      </c>
      <c r="DT11" s="228">
        <v>550</v>
      </c>
      <c r="DU11" s="228">
        <v>520</v>
      </c>
      <c r="DV11" s="228">
        <v>0.59</v>
      </c>
      <c r="DW11" s="228">
        <v>1.07</v>
      </c>
      <c r="DX11" s="228">
        <v>-0.48</v>
      </c>
      <c r="DY11" s="229">
        <v>-0.4486</v>
      </c>
      <c r="DZ11" s="229">
        <v>1.4200000000000001E-2</v>
      </c>
      <c r="EA11" s="230">
        <v>46406850</v>
      </c>
      <c r="EB11" s="229">
        <v>7.0000000000000001E-3</v>
      </c>
      <c r="EC11" s="229">
        <v>1.4200000000000001E-2</v>
      </c>
      <c r="ED11" s="228">
        <v>3.98</v>
      </c>
      <c r="EE11" s="229">
        <v>7.4000000000000003E-3</v>
      </c>
      <c r="EF11" s="230">
        <v>1895439</v>
      </c>
      <c r="EG11" s="230">
        <v>2247630</v>
      </c>
      <c r="EH11" s="229">
        <v>-0.15670000000000001</v>
      </c>
      <c r="EI11" s="229">
        <v>0.7208</v>
      </c>
      <c r="EJ11" s="231">
        <v>29164.33</v>
      </c>
      <c r="EK11" s="231">
        <v>16082.77</v>
      </c>
      <c r="EL11" s="231">
        <v>16870.650000000001</v>
      </c>
      <c r="EM11" s="231">
        <v>31474</v>
      </c>
      <c r="EN11" s="231">
        <v>62117.75</v>
      </c>
      <c r="EO11" s="231">
        <v>373952.81</v>
      </c>
      <c r="EP11" s="231">
        <v>-311835.06</v>
      </c>
      <c r="EQ11" s="229">
        <v>-0.83389999999999997</v>
      </c>
      <c r="ER11" s="231">
        <v>41861</v>
      </c>
      <c r="ES11" s="231">
        <v>46858</v>
      </c>
      <c r="ET11" s="231">
        <v>250508</v>
      </c>
      <c r="EU11" s="231">
        <v>79841849</v>
      </c>
      <c r="EV11" s="231">
        <v>339227</v>
      </c>
      <c r="EW11" s="231">
        <v>332637</v>
      </c>
      <c r="EX11" s="231">
        <v>6590</v>
      </c>
      <c r="EY11" s="229">
        <v>1.9800000000000002E-2</v>
      </c>
      <c r="EZ11" s="229">
        <v>0.78490000000000004</v>
      </c>
      <c r="FA11" s="227" t="s">
        <v>555</v>
      </c>
      <c r="FB11" s="161">
        <f t="shared" si="0"/>
        <v>662550</v>
      </c>
    </row>
    <row r="12" spans="1:158" ht="17.25" hidden="1" thickBot="1" x14ac:dyDescent="0.3">
      <c r="A12" s="226">
        <v>46050</v>
      </c>
      <c r="B12" s="227" t="s">
        <v>175</v>
      </c>
      <c r="C12" s="227" t="s">
        <v>609</v>
      </c>
      <c r="D12" s="228">
        <v>250</v>
      </c>
      <c r="E12" s="231">
        <v>2629.1</v>
      </c>
      <c r="F12" s="231">
        <v>2551.4</v>
      </c>
      <c r="G12" s="228">
        <v>77.7</v>
      </c>
      <c r="H12" s="229">
        <v>3.0499999999999999E-2</v>
      </c>
      <c r="I12" s="231">
        <v>2615.1</v>
      </c>
      <c r="J12" s="231">
        <v>2543.1</v>
      </c>
      <c r="K12" s="228">
        <v>72</v>
      </c>
      <c r="L12" s="229">
        <v>2.8299999999999999E-2</v>
      </c>
      <c r="M12" s="231">
        <v>2629.1</v>
      </c>
      <c r="N12" s="231">
        <v>2539.5</v>
      </c>
      <c r="O12" s="228">
        <v>89.6</v>
      </c>
      <c r="P12" s="229">
        <v>3.5299999999999998E-2</v>
      </c>
      <c r="Q12" s="231">
        <v>2625</v>
      </c>
      <c r="R12" s="231">
        <v>2551.4</v>
      </c>
      <c r="S12" s="228">
        <v>73.599999999999994</v>
      </c>
      <c r="T12" s="229">
        <v>2.8799999999999999E-2</v>
      </c>
      <c r="U12" s="231">
        <v>2618</v>
      </c>
      <c r="V12" s="231">
        <v>2554</v>
      </c>
      <c r="W12" s="228">
        <v>64</v>
      </c>
      <c r="X12" s="229">
        <v>2.5100000000000001E-2</v>
      </c>
      <c r="Y12" s="228">
        <v>14</v>
      </c>
      <c r="Z12" s="228">
        <v>8.3000000000000007</v>
      </c>
      <c r="AA12" s="228">
        <v>5.7</v>
      </c>
      <c r="AB12" s="229">
        <v>5.4000000000000003E-3</v>
      </c>
      <c r="AC12" s="228">
        <v>14</v>
      </c>
      <c r="AD12" s="228">
        <v>-3.6</v>
      </c>
      <c r="AE12" s="228">
        <v>17.600000000000001</v>
      </c>
      <c r="AF12" s="229">
        <v>5.4000000000000003E-3</v>
      </c>
      <c r="AG12" s="228">
        <v>9.9</v>
      </c>
      <c r="AH12" s="228">
        <v>8.3000000000000007</v>
      </c>
      <c r="AI12" s="228">
        <v>1.6</v>
      </c>
      <c r="AJ12" s="229">
        <v>3.8E-3</v>
      </c>
      <c r="AK12" s="228">
        <v>2.9</v>
      </c>
      <c r="AL12" s="228">
        <v>10.9</v>
      </c>
      <c r="AM12" s="228">
        <v>-8</v>
      </c>
      <c r="AN12" s="229">
        <v>1.1000000000000001E-3</v>
      </c>
      <c r="AO12" s="231">
        <v>2615.8200000000002</v>
      </c>
      <c r="AP12" s="231">
        <v>2611.5500000000002</v>
      </c>
      <c r="AQ12" s="228">
        <v>0</v>
      </c>
      <c r="AR12" s="230">
        <v>785500</v>
      </c>
      <c r="AS12" s="230">
        <v>2177000</v>
      </c>
      <c r="AT12" s="230">
        <v>-1391500</v>
      </c>
      <c r="AU12" s="229">
        <v>-0.63919999999999999</v>
      </c>
      <c r="AV12" s="230">
        <v>747750</v>
      </c>
      <c r="AW12" s="230">
        <v>1000000</v>
      </c>
      <c r="AX12" s="230">
        <v>-252250</v>
      </c>
      <c r="AY12" s="229">
        <v>-0.25230000000000002</v>
      </c>
      <c r="AZ12" s="230">
        <v>33500</v>
      </c>
      <c r="BA12" s="230">
        <v>1147000</v>
      </c>
      <c r="BB12" s="230">
        <v>-1113500</v>
      </c>
      <c r="BC12" s="229">
        <v>-0.9708</v>
      </c>
      <c r="BD12" s="230">
        <v>4250</v>
      </c>
      <c r="BE12" s="230">
        <v>30000</v>
      </c>
      <c r="BF12" s="230">
        <v>-25750</v>
      </c>
      <c r="BG12" s="229">
        <v>-0.85829999999999995</v>
      </c>
      <c r="BH12" s="230">
        <v>3581000</v>
      </c>
      <c r="BI12" s="230">
        <v>2941250</v>
      </c>
      <c r="BJ12" s="230">
        <v>639750</v>
      </c>
      <c r="BK12" s="229">
        <v>0.2175</v>
      </c>
      <c r="BL12" s="230">
        <v>1264500</v>
      </c>
      <c r="BM12" s="230">
        <v>2708500</v>
      </c>
      <c r="BN12" s="230">
        <v>-1444000</v>
      </c>
      <c r="BO12" s="229">
        <v>-0.53310000000000002</v>
      </c>
      <c r="BP12" s="230">
        <v>5631000</v>
      </c>
      <c r="BQ12" s="230">
        <v>7826750</v>
      </c>
      <c r="BR12" s="230">
        <v>-2195750</v>
      </c>
      <c r="BS12" s="229">
        <v>-0.28050000000000003</v>
      </c>
      <c r="BT12" s="230">
        <v>611098</v>
      </c>
      <c r="BU12" s="230">
        <v>482478</v>
      </c>
      <c r="BV12" s="230">
        <v>128620</v>
      </c>
      <c r="BW12" s="229">
        <v>0.2666</v>
      </c>
      <c r="BX12" s="230">
        <v>3017000</v>
      </c>
      <c r="BY12" s="230">
        <v>3060500</v>
      </c>
      <c r="BZ12" s="230">
        <v>-43500</v>
      </c>
      <c r="CA12" s="229">
        <v>-1.4200000000000001E-2</v>
      </c>
      <c r="CB12" s="230">
        <v>2953250</v>
      </c>
      <c r="CC12" s="230">
        <v>594750</v>
      </c>
      <c r="CD12" s="230">
        <v>2358500</v>
      </c>
      <c r="CE12" s="229">
        <v>3.9655</v>
      </c>
      <c r="CF12" s="230">
        <v>60250</v>
      </c>
      <c r="CG12" s="230">
        <v>3006250</v>
      </c>
      <c r="CH12" s="230">
        <v>-2946000</v>
      </c>
      <c r="CI12" s="229">
        <v>-0.98</v>
      </c>
      <c r="CJ12" s="230">
        <v>3500</v>
      </c>
      <c r="CK12" s="230">
        <v>54250</v>
      </c>
      <c r="CL12" s="230">
        <v>-50750</v>
      </c>
      <c r="CM12" s="229">
        <v>-0.9355</v>
      </c>
      <c r="CN12" s="230">
        <v>971750</v>
      </c>
      <c r="CO12" s="230">
        <v>738250</v>
      </c>
      <c r="CP12" s="230">
        <v>233500</v>
      </c>
      <c r="CQ12" s="229">
        <v>0.31630000000000003</v>
      </c>
      <c r="CR12" s="230">
        <v>695250</v>
      </c>
      <c r="CS12" s="230">
        <v>711500</v>
      </c>
      <c r="CT12" s="230">
        <v>-16250</v>
      </c>
      <c r="CU12" s="229">
        <v>-2.2800000000000001E-2</v>
      </c>
      <c r="CV12" s="230">
        <v>4684000</v>
      </c>
      <c r="CW12" s="230">
        <v>4510250</v>
      </c>
      <c r="CX12" s="230">
        <v>173750</v>
      </c>
      <c r="CY12" s="229">
        <v>3.85E-2</v>
      </c>
      <c r="CZ12" s="228">
        <v>38.590000000000003</v>
      </c>
      <c r="DA12" s="228">
        <v>40</v>
      </c>
      <c r="DB12" s="228">
        <v>-1.41</v>
      </c>
      <c r="DC12" s="228">
        <v>-1.41</v>
      </c>
      <c r="DD12" s="228">
        <v>52.52</v>
      </c>
      <c r="DE12" s="228">
        <v>52.49</v>
      </c>
      <c r="DF12" s="228">
        <v>-13.93</v>
      </c>
      <c r="DG12" s="228">
        <v>0.03</v>
      </c>
      <c r="DH12" s="228">
        <v>37.94</v>
      </c>
      <c r="DI12" s="228">
        <v>38.520000000000003</v>
      </c>
      <c r="DJ12" s="228">
        <v>-0.57999999999999996</v>
      </c>
      <c r="DK12" s="228">
        <v>-0.57999999999999996</v>
      </c>
      <c r="DL12" s="228">
        <v>40.450000000000003</v>
      </c>
      <c r="DM12" s="228">
        <v>41.53</v>
      </c>
      <c r="DN12" s="228">
        <v>-1.08</v>
      </c>
      <c r="DO12" s="228">
        <v>-1.08</v>
      </c>
      <c r="DP12" s="228">
        <v>0.72</v>
      </c>
      <c r="DQ12" s="228">
        <v>0.96</v>
      </c>
      <c r="DR12" s="228">
        <v>-0.24</v>
      </c>
      <c r="DS12" s="229">
        <v>-0.25</v>
      </c>
      <c r="DT12" s="231">
        <v>2800</v>
      </c>
      <c r="DU12" s="231">
        <v>2500</v>
      </c>
      <c r="DV12" s="228">
        <v>0.35</v>
      </c>
      <c r="DW12" s="228">
        <v>0.92</v>
      </c>
      <c r="DX12" s="228">
        <v>-0.56999999999999995</v>
      </c>
      <c r="DY12" s="229">
        <v>-0.61960000000000004</v>
      </c>
      <c r="DZ12" s="229">
        <v>2.1100000000000001E-2</v>
      </c>
      <c r="EA12" s="230">
        <v>3060500</v>
      </c>
      <c r="EB12" s="229">
        <v>-1.6000000000000001E-3</v>
      </c>
      <c r="EC12" s="229">
        <v>2.1100000000000001E-2</v>
      </c>
      <c r="ED12" s="228">
        <v>-4.2699999999999996</v>
      </c>
      <c r="EE12" s="229">
        <v>-1.6000000000000001E-3</v>
      </c>
      <c r="EF12" s="230">
        <v>204489</v>
      </c>
      <c r="EG12" s="230">
        <v>108739</v>
      </c>
      <c r="EH12" s="229">
        <v>0.88049999999999995</v>
      </c>
      <c r="EI12" s="229">
        <v>0.33460000000000001</v>
      </c>
      <c r="EJ12" s="231">
        <v>99719.46</v>
      </c>
      <c r="EK12" s="231">
        <v>31751.64</v>
      </c>
      <c r="EL12" s="231">
        <v>20545.580000000002</v>
      </c>
      <c r="EM12" s="231">
        <v>12426</v>
      </c>
      <c r="EN12" s="231">
        <v>152016.68</v>
      </c>
      <c r="EO12" s="231">
        <v>202177.14</v>
      </c>
      <c r="EP12" s="231">
        <v>-50160.46</v>
      </c>
      <c r="EQ12" s="229">
        <v>-0.24809999999999999</v>
      </c>
      <c r="ER12" s="231">
        <v>27042</v>
      </c>
      <c r="ES12" s="231">
        <v>16988</v>
      </c>
      <c r="ET12" s="231">
        <v>79317</v>
      </c>
      <c r="EU12" s="231">
        <v>9673308</v>
      </c>
      <c r="EV12" s="231">
        <v>123346</v>
      </c>
      <c r="EW12" s="231">
        <v>115850</v>
      </c>
      <c r="EX12" s="231">
        <v>7496</v>
      </c>
      <c r="EY12" s="229">
        <v>6.4699999999999994E-2</v>
      </c>
      <c r="EZ12" s="229">
        <v>0.48420000000000002</v>
      </c>
      <c r="FA12" s="227" t="s">
        <v>556</v>
      </c>
      <c r="FB12" s="161">
        <f t="shared" si="0"/>
        <v>63750</v>
      </c>
    </row>
    <row r="13" spans="1:158" ht="17.25" hidden="1" thickBot="1" x14ac:dyDescent="0.3">
      <c r="A13" s="226">
        <v>46050</v>
      </c>
      <c r="B13" s="227" t="s">
        <v>227</v>
      </c>
      <c r="C13" s="227" t="s">
        <v>598</v>
      </c>
      <c r="D13" s="228">
        <v>350</v>
      </c>
      <c r="E13" s="231">
        <v>2098.5</v>
      </c>
      <c r="F13" s="231">
        <v>2069.1999999999998</v>
      </c>
      <c r="G13" s="228">
        <v>29.3</v>
      </c>
      <c r="H13" s="229">
        <v>1.4200000000000001E-2</v>
      </c>
      <c r="I13" s="231">
        <v>2091</v>
      </c>
      <c r="J13" s="231">
        <v>2060.6</v>
      </c>
      <c r="K13" s="228">
        <v>30.4</v>
      </c>
      <c r="L13" s="229">
        <v>1.4800000000000001E-2</v>
      </c>
      <c r="M13" s="231">
        <v>2098.5</v>
      </c>
      <c r="N13" s="231">
        <v>2056.3000000000002</v>
      </c>
      <c r="O13" s="228">
        <v>42.2</v>
      </c>
      <c r="P13" s="229">
        <v>2.0500000000000001E-2</v>
      </c>
      <c r="Q13" s="231">
        <v>2110.8000000000002</v>
      </c>
      <c r="R13" s="231">
        <v>2069.1999999999998</v>
      </c>
      <c r="S13" s="228">
        <v>41.6</v>
      </c>
      <c r="T13" s="229">
        <v>2.01E-2</v>
      </c>
      <c r="U13" s="231">
        <v>2118.1</v>
      </c>
      <c r="V13" s="231">
        <v>2082.1999999999998</v>
      </c>
      <c r="W13" s="228">
        <v>35.9</v>
      </c>
      <c r="X13" s="229">
        <v>1.72E-2</v>
      </c>
      <c r="Y13" s="228">
        <v>7.5</v>
      </c>
      <c r="Z13" s="228">
        <v>8.6</v>
      </c>
      <c r="AA13" s="228">
        <v>-1.1000000000000001</v>
      </c>
      <c r="AB13" s="229">
        <v>3.5999999999999999E-3</v>
      </c>
      <c r="AC13" s="228">
        <v>7.5</v>
      </c>
      <c r="AD13" s="228">
        <v>-4.3</v>
      </c>
      <c r="AE13" s="228">
        <v>11.8</v>
      </c>
      <c r="AF13" s="229">
        <v>3.5999999999999999E-3</v>
      </c>
      <c r="AG13" s="228">
        <v>19.8</v>
      </c>
      <c r="AH13" s="228">
        <v>8.6</v>
      </c>
      <c r="AI13" s="228">
        <v>11.2</v>
      </c>
      <c r="AJ13" s="229">
        <v>9.4999999999999998E-3</v>
      </c>
      <c r="AK13" s="228">
        <v>27.1</v>
      </c>
      <c r="AL13" s="228">
        <v>21.6</v>
      </c>
      <c r="AM13" s="228">
        <v>5.5</v>
      </c>
      <c r="AN13" s="229">
        <v>1.2999999999999999E-2</v>
      </c>
      <c r="AO13" s="231">
        <v>2093.34</v>
      </c>
      <c r="AP13" s="231">
        <v>2105.48</v>
      </c>
      <c r="AQ13" s="228">
        <v>0</v>
      </c>
      <c r="AR13" s="230">
        <v>1439550</v>
      </c>
      <c r="AS13" s="230">
        <v>11552100</v>
      </c>
      <c r="AT13" s="230">
        <v>-10112550</v>
      </c>
      <c r="AU13" s="229">
        <v>-0.87539999999999996</v>
      </c>
      <c r="AV13" s="230">
        <v>1400000</v>
      </c>
      <c r="AW13" s="230">
        <v>5431650</v>
      </c>
      <c r="AX13" s="230">
        <v>-4031650</v>
      </c>
      <c r="AY13" s="229">
        <v>-0.74229999999999996</v>
      </c>
      <c r="AZ13" s="230">
        <v>38500</v>
      </c>
      <c r="BA13" s="230">
        <v>6098400</v>
      </c>
      <c r="BB13" s="230">
        <v>-6059900</v>
      </c>
      <c r="BC13" s="229">
        <v>-0.99370000000000003</v>
      </c>
      <c r="BD13" s="230">
        <v>1050</v>
      </c>
      <c r="BE13" s="230">
        <v>22050</v>
      </c>
      <c r="BF13" s="230">
        <v>-21000</v>
      </c>
      <c r="BG13" s="229">
        <v>-0.95240000000000002</v>
      </c>
      <c r="BH13" s="230">
        <v>2648800</v>
      </c>
      <c r="BI13" s="230">
        <v>9697800</v>
      </c>
      <c r="BJ13" s="230">
        <v>-7049000</v>
      </c>
      <c r="BK13" s="229">
        <v>-0.72689999999999999</v>
      </c>
      <c r="BL13" s="230">
        <v>859950</v>
      </c>
      <c r="BM13" s="230">
        <v>3780350</v>
      </c>
      <c r="BN13" s="230">
        <v>-2920400</v>
      </c>
      <c r="BO13" s="229">
        <v>-0.77249999999999996</v>
      </c>
      <c r="BP13" s="230">
        <v>4948300</v>
      </c>
      <c r="BQ13" s="230">
        <v>25030250</v>
      </c>
      <c r="BR13" s="230">
        <v>-20081950</v>
      </c>
      <c r="BS13" s="229">
        <v>-0.80230000000000001</v>
      </c>
      <c r="BT13" s="230">
        <v>884363</v>
      </c>
      <c r="BU13" s="230">
        <v>2743168</v>
      </c>
      <c r="BV13" s="230">
        <v>-1858805</v>
      </c>
      <c r="BW13" s="229">
        <v>-0.67759999999999998</v>
      </c>
      <c r="BX13" s="230">
        <v>9858100</v>
      </c>
      <c r="BY13" s="230">
        <v>10278800</v>
      </c>
      <c r="BZ13" s="230">
        <v>-420700</v>
      </c>
      <c r="CA13" s="229">
        <v>-4.0899999999999999E-2</v>
      </c>
      <c r="CB13" s="230">
        <v>9811550</v>
      </c>
      <c r="CC13" s="230">
        <v>201950</v>
      </c>
      <c r="CD13" s="230">
        <v>9609600</v>
      </c>
      <c r="CE13" s="229">
        <v>47.584099999999999</v>
      </c>
      <c r="CF13" s="230">
        <v>45500</v>
      </c>
      <c r="CG13" s="230">
        <v>10248700</v>
      </c>
      <c r="CH13" s="230">
        <v>-10203200</v>
      </c>
      <c r="CI13" s="229">
        <v>-0.99560000000000004</v>
      </c>
      <c r="CJ13" s="230">
        <v>1050</v>
      </c>
      <c r="CK13" s="230">
        <v>30100</v>
      </c>
      <c r="CL13" s="230">
        <v>-29050</v>
      </c>
      <c r="CM13" s="229">
        <v>-0.96509999999999996</v>
      </c>
      <c r="CN13" s="230">
        <v>1069950</v>
      </c>
      <c r="CO13" s="230">
        <v>1116500</v>
      </c>
      <c r="CP13" s="230">
        <v>-46550</v>
      </c>
      <c r="CQ13" s="229">
        <v>-4.1700000000000001E-2</v>
      </c>
      <c r="CR13" s="230">
        <v>587300</v>
      </c>
      <c r="CS13" s="230">
        <v>532350</v>
      </c>
      <c r="CT13" s="230">
        <v>54950</v>
      </c>
      <c r="CU13" s="229">
        <v>0.1032</v>
      </c>
      <c r="CV13" s="230">
        <v>11515350</v>
      </c>
      <c r="CW13" s="230">
        <v>11927650</v>
      </c>
      <c r="CX13" s="230">
        <v>-412300</v>
      </c>
      <c r="CY13" s="229">
        <v>-3.4599999999999999E-2</v>
      </c>
      <c r="CZ13" s="228">
        <v>29.11</v>
      </c>
      <c r="DA13" s="228">
        <v>32.61</v>
      </c>
      <c r="DB13" s="228">
        <v>-3.5</v>
      </c>
      <c r="DC13" s="228">
        <v>-3.5</v>
      </c>
      <c r="DD13" s="228">
        <v>32.409999999999997</v>
      </c>
      <c r="DE13" s="228">
        <v>32.43</v>
      </c>
      <c r="DF13" s="228">
        <v>-3.3</v>
      </c>
      <c r="DG13" s="228">
        <v>-0.02</v>
      </c>
      <c r="DH13" s="228">
        <v>28.88</v>
      </c>
      <c r="DI13" s="228">
        <v>32.68</v>
      </c>
      <c r="DJ13" s="228">
        <v>-3.8</v>
      </c>
      <c r="DK13" s="228">
        <v>-3.8</v>
      </c>
      <c r="DL13" s="228">
        <v>29.8</v>
      </c>
      <c r="DM13" s="228">
        <v>32.35</v>
      </c>
      <c r="DN13" s="228">
        <v>-2.5499999999999998</v>
      </c>
      <c r="DO13" s="228">
        <v>-2.5499999999999998</v>
      </c>
      <c r="DP13" s="228">
        <v>0.55000000000000004</v>
      </c>
      <c r="DQ13" s="228">
        <v>0.48</v>
      </c>
      <c r="DR13" s="228">
        <v>7.0000000000000007E-2</v>
      </c>
      <c r="DS13" s="229">
        <v>0.14580000000000001</v>
      </c>
      <c r="DT13" s="231">
        <v>2100</v>
      </c>
      <c r="DU13" s="231">
        <v>2000</v>
      </c>
      <c r="DV13" s="228">
        <v>0.32</v>
      </c>
      <c r="DW13" s="228">
        <v>0.39</v>
      </c>
      <c r="DX13" s="228">
        <v>-7.0000000000000007E-2</v>
      </c>
      <c r="DY13" s="229">
        <v>-0.17949999999999999</v>
      </c>
      <c r="DZ13" s="229">
        <v>4.7000000000000002E-3</v>
      </c>
      <c r="EA13" s="230">
        <v>10278800</v>
      </c>
      <c r="EB13" s="229">
        <v>5.8999999999999999E-3</v>
      </c>
      <c r="EC13" s="229">
        <v>4.7000000000000002E-3</v>
      </c>
      <c r="ED13" s="228">
        <v>12.14</v>
      </c>
      <c r="EE13" s="229">
        <v>5.7999999999999996E-3</v>
      </c>
      <c r="EF13" s="230">
        <v>523099</v>
      </c>
      <c r="EG13" s="230">
        <v>1530638</v>
      </c>
      <c r="EH13" s="229">
        <v>-0.65820000000000001</v>
      </c>
      <c r="EI13" s="229">
        <v>0.59150000000000003</v>
      </c>
      <c r="EJ13" s="231">
        <v>57952.15</v>
      </c>
      <c r="EK13" s="231">
        <v>17585.32</v>
      </c>
      <c r="EL13" s="231">
        <v>30139.51</v>
      </c>
      <c r="EM13" s="231">
        <v>23436</v>
      </c>
      <c r="EN13" s="231">
        <v>105676.98</v>
      </c>
      <c r="EO13" s="231">
        <v>522155.88</v>
      </c>
      <c r="EP13" s="231">
        <v>-416478.9</v>
      </c>
      <c r="EQ13" s="229">
        <v>-0.79759999999999998</v>
      </c>
      <c r="ER13" s="231">
        <v>22888</v>
      </c>
      <c r="ES13" s="231">
        <v>11610</v>
      </c>
      <c r="ET13" s="231">
        <v>206878</v>
      </c>
      <c r="EU13" s="231">
        <v>23068453</v>
      </c>
      <c r="EV13" s="231">
        <v>241376</v>
      </c>
      <c r="EW13" s="231">
        <v>246825</v>
      </c>
      <c r="EX13" s="231">
        <v>-5449</v>
      </c>
      <c r="EY13" s="229">
        <v>-2.2100000000000002E-2</v>
      </c>
      <c r="EZ13" s="229">
        <v>0.49919999999999998</v>
      </c>
      <c r="FA13" s="227" t="s">
        <v>556</v>
      </c>
      <c r="FB13" s="161">
        <f t="shared" si="0"/>
        <v>46550</v>
      </c>
    </row>
    <row r="14" spans="1:158" ht="17.25" hidden="1" thickBot="1" x14ac:dyDescent="0.3">
      <c r="A14" s="226">
        <v>46050</v>
      </c>
      <c r="B14" s="227" t="s">
        <v>170</v>
      </c>
      <c r="C14" s="227" t="s">
        <v>165</v>
      </c>
      <c r="D14" s="228">
        <v>125</v>
      </c>
      <c r="E14" s="231">
        <v>6892</v>
      </c>
      <c r="F14" s="231">
        <v>6831.5</v>
      </c>
      <c r="G14" s="228">
        <v>60.5</v>
      </c>
      <c r="H14" s="229">
        <v>8.8999999999999999E-3</v>
      </c>
      <c r="I14" s="231">
        <v>6877.5</v>
      </c>
      <c r="J14" s="231">
        <v>6793.5</v>
      </c>
      <c r="K14" s="228">
        <v>84</v>
      </c>
      <c r="L14" s="229">
        <v>1.24E-2</v>
      </c>
      <c r="M14" s="231">
        <v>6892</v>
      </c>
      <c r="N14" s="231">
        <v>6804</v>
      </c>
      <c r="O14" s="228">
        <v>88</v>
      </c>
      <c r="P14" s="229">
        <v>1.29E-2</v>
      </c>
      <c r="Q14" s="231">
        <v>6935.5</v>
      </c>
      <c r="R14" s="231">
        <v>6831.5</v>
      </c>
      <c r="S14" s="228">
        <v>104</v>
      </c>
      <c r="T14" s="229">
        <v>1.52E-2</v>
      </c>
      <c r="U14" s="231">
        <v>6979</v>
      </c>
      <c r="V14" s="231">
        <v>6883</v>
      </c>
      <c r="W14" s="228">
        <v>96</v>
      </c>
      <c r="X14" s="229">
        <v>1.3899999999999999E-2</v>
      </c>
      <c r="Y14" s="228">
        <v>14.5</v>
      </c>
      <c r="Z14" s="228">
        <v>38</v>
      </c>
      <c r="AA14" s="228">
        <v>-23.5</v>
      </c>
      <c r="AB14" s="229">
        <v>2.0999999999999999E-3</v>
      </c>
      <c r="AC14" s="228">
        <v>14.5</v>
      </c>
      <c r="AD14" s="228">
        <v>10.5</v>
      </c>
      <c r="AE14" s="228">
        <v>4</v>
      </c>
      <c r="AF14" s="229">
        <v>2.0999999999999999E-3</v>
      </c>
      <c r="AG14" s="228">
        <v>58</v>
      </c>
      <c r="AH14" s="228">
        <v>38</v>
      </c>
      <c r="AI14" s="228">
        <v>20</v>
      </c>
      <c r="AJ14" s="229">
        <v>8.3999999999999995E-3</v>
      </c>
      <c r="AK14" s="228">
        <v>101.5</v>
      </c>
      <c r="AL14" s="228">
        <v>89.5</v>
      </c>
      <c r="AM14" s="228">
        <v>12</v>
      </c>
      <c r="AN14" s="229">
        <v>1.4800000000000001E-2</v>
      </c>
      <c r="AO14" s="231">
        <v>6878.77</v>
      </c>
      <c r="AP14" s="231">
        <v>6914.38</v>
      </c>
      <c r="AQ14" s="228">
        <v>0</v>
      </c>
      <c r="AR14" s="230">
        <v>420625</v>
      </c>
      <c r="AS14" s="230">
        <v>1942750</v>
      </c>
      <c r="AT14" s="230">
        <v>-1522125</v>
      </c>
      <c r="AU14" s="229">
        <v>-0.78349999999999997</v>
      </c>
      <c r="AV14" s="230">
        <v>408625</v>
      </c>
      <c r="AW14" s="230">
        <v>887750</v>
      </c>
      <c r="AX14" s="230">
        <v>-479125</v>
      </c>
      <c r="AY14" s="229">
        <v>-0.53969999999999996</v>
      </c>
      <c r="AZ14" s="230">
        <v>9250</v>
      </c>
      <c r="BA14" s="230">
        <v>1037625</v>
      </c>
      <c r="BB14" s="230">
        <v>-1028375</v>
      </c>
      <c r="BC14" s="229">
        <v>-0.99109999999999998</v>
      </c>
      <c r="BD14" s="230">
        <v>2750</v>
      </c>
      <c r="BE14" s="230">
        <v>17375</v>
      </c>
      <c r="BF14" s="230">
        <v>-14625</v>
      </c>
      <c r="BG14" s="229">
        <v>-0.8417</v>
      </c>
      <c r="BH14" s="230">
        <v>1618125</v>
      </c>
      <c r="BI14" s="230">
        <v>2212375</v>
      </c>
      <c r="BJ14" s="230">
        <v>-594250</v>
      </c>
      <c r="BK14" s="229">
        <v>-0.26860000000000001</v>
      </c>
      <c r="BL14" s="230">
        <v>502125</v>
      </c>
      <c r="BM14" s="230">
        <v>1128500</v>
      </c>
      <c r="BN14" s="230">
        <v>-626375</v>
      </c>
      <c r="BO14" s="229">
        <v>-0.55510000000000004</v>
      </c>
      <c r="BP14" s="230">
        <v>2540875</v>
      </c>
      <c r="BQ14" s="230">
        <v>5283625</v>
      </c>
      <c r="BR14" s="230">
        <v>-2742750</v>
      </c>
      <c r="BS14" s="229">
        <v>-0.51910000000000001</v>
      </c>
      <c r="BT14" s="230">
        <v>404947</v>
      </c>
      <c r="BU14" s="230">
        <v>519541</v>
      </c>
      <c r="BV14" s="230">
        <v>-114594</v>
      </c>
      <c r="BW14" s="229">
        <v>-0.22059999999999999</v>
      </c>
      <c r="BX14" s="230">
        <v>3771625</v>
      </c>
      <c r="BY14" s="230">
        <v>3873875</v>
      </c>
      <c r="BZ14" s="230">
        <v>-102250</v>
      </c>
      <c r="CA14" s="229">
        <v>-2.64E-2</v>
      </c>
      <c r="CB14" s="230">
        <v>3726125</v>
      </c>
      <c r="CC14" s="230">
        <v>468625</v>
      </c>
      <c r="CD14" s="230">
        <v>3257500</v>
      </c>
      <c r="CE14" s="229">
        <v>6.9512</v>
      </c>
      <c r="CF14" s="230">
        <v>44000</v>
      </c>
      <c r="CG14" s="230">
        <v>3829375</v>
      </c>
      <c r="CH14" s="230">
        <v>-3785375</v>
      </c>
      <c r="CI14" s="229">
        <v>-0.98850000000000005</v>
      </c>
      <c r="CJ14" s="230">
        <v>1500</v>
      </c>
      <c r="CK14" s="230">
        <v>44500</v>
      </c>
      <c r="CL14" s="230">
        <v>-43000</v>
      </c>
      <c r="CM14" s="229">
        <v>-0.96630000000000005</v>
      </c>
      <c r="CN14" s="230">
        <v>641875</v>
      </c>
      <c r="CO14" s="230">
        <v>427250</v>
      </c>
      <c r="CP14" s="230">
        <v>214625</v>
      </c>
      <c r="CQ14" s="229">
        <v>0.50229999999999997</v>
      </c>
      <c r="CR14" s="230">
        <v>487625</v>
      </c>
      <c r="CS14" s="230">
        <v>342375</v>
      </c>
      <c r="CT14" s="230">
        <v>145250</v>
      </c>
      <c r="CU14" s="229">
        <v>0.42420000000000002</v>
      </c>
      <c r="CV14" s="230">
        <v>4901125</v>
      </c>
      <c r="CW14" s="230">
        <v>4643500</v>
      </c>
      <c r="CX14" s="230">
        <v>257625</v>
      </c>
      <c r="CY14" s="229">
        <v>5.5500000000000001E-2</v>
      </c>
      <c r="CZ14" s="228">
        <v>26.2</v>
      </c>
      <c r="DA14" s="228">
        <v>25.63</v>
      </c>
      <c r="DB14" s="228">
        <v>0.56999999999999995</v>
      </c>
      <c r="DC14" s="228">
        <v>0.56999999999999995</v>
      </c>
      <c r="DD14" s="228">
        <v>24.9</v>
      </c>
      <c r="DE14" s="228">
        <v>24.91</v>
      </c>
      <c r="DF14" s="228">
        <v>1.3</v>
      </c>
      <c r="DG14" s="228">
        <v>-0.01</v>
      </c>
      <c r="DH14" s="228">
        <v>26.02</v>
      </c>
      <c r="DI14" s="228">
        <v>25.75</v>
      </c>
      <c r="DJ14" s="228">
        <v>0.27</v>
      </c>
      <c r="DK14" s="228">
        <v>0.27</v>
      </c>
      <c r="DL14" s="228">
        <v>26.78</v>
      </c>
      <c r="DM14" s="228">
        <v>25.44</v>
      </c>
      <c r="DN14" s="228">
        <v>1.34</v>
      </c>
      <c r="DO14" s="228">
        <v>1.34</v>
      </c>
      <c r="DP14" s="228">
        <v>0.76</v>
      </c>
      <c r="DQ14" s="228">
        <v>0.8</v>
      </c>
      <c r="DR14" s="228">
        <v>-0.04</v>
      </c>
      <c r="DS14" s="229">
        <v>-0.05</v>
      </c>
      <c r="DT14" s="231">
        <v>7000</v>
      </c>
      <c r="DU14" s="231">
        <v>6800</v>
      </c>
      <c r="DV14" s="228">
        <v>0.31</v>
      </c>
      <c r="DW14" s="228">
        <v>0.51</v>
      </c>
      <c r="DX14" s="228">
        <v>-0.2</v>
      </c>
      <c r="DY14" s="229">
        <v>-0.39219999999999999</v>
      </c>
      <c r="DZ14" s="229">
        <v>1.21E-2</v>
      </c>
      <c r="EA14" s="230">
        <v>3873875</v>
      </c>
      <c r="EB14" s="229">
        <v>6.3E-3</v>
      </c>
      <c r="EC14" s="229">
        <v>1.21E-2</v>
      </c>
      <c r="ED14" s="228">
        <v>35.61</v>
      </c>
      <c r="EE14" s="229">
        <v>5.1999999999999998E-3</v>
      </c>
      <c r="EF14" s="230">
        <v>273255</v>
      </c>
      <c r="EG14" s="230">
        <v>306357</v>
      </c>
      <c r="EH14" s="229">
        <v>-0.1081</v>
      </c>
      <c r="EI14" s="229">
        <v>0.67479999999999996</v>
      </c>
      <c r="EJ14" s="231">
        <v>116573.81</v>
      </c>
      <c r="EK14" s="231">
        <v>34179.39</v>
      </c>
      <c r="EL14" s="231">
        <v>28939.64</v>
      </c>
      <c r="EM14" s="231">
        <v>18503</v>
      </c>
      <c r="EN14" s="231">
        <v>179692.84</v>
      </c>
      <c r="EO14" s="231">
        <v>367197.53</v>
      </c>
      <c r="EP14" s="231">
        <v>-187504.69</v>
      </c>
      <c r="EQ14" s="229">
        <v>-0.51060000000000005</v>
      </c>
      <c r="ER14" s="231">
        <v>46059</v>
      </c>
      <c r="ES14" s="231">
        <v>33070</v>
      </c>
      <c r="ET14" s="231">
        <v>259961</v>
      </c>
      <c r="EU14" s="231">
        <v>15524629</v>
      </c>
      <c r="EV14" s="231">
        <v>339089</v>
      </c>
      <c r="EW14" s="231">
        <v>318725</v>
      </c>
      <c r="EX14" s="231">
        <v>20364</v>
      </c>
      <c r="EY14" s="229">
        <v>6.3899999999999998E-2</v>
      </c>
      <c r="EZ14" s="229">
        <v>0.31569999999999998</v>
      </c>
      <c r="FA14" s="227" t="s">
        <v>556</v>
      </c>
      <c r="FB14" s="161">
        <f t="shared" si="0"/>
        <v>45500</v>
      </c>
    </row>
    <row r="15" spans="1:158" ht="17.25" hidden="1" thickBot="1" x14ac:dyDescent="0.3">
      <c r="A15" s="226">
        <v>46050</v>
      </c>
      <c r="B15" s="227" t="s">
        <v>162</v>
      </c>
      <c r="C15" s="227" t="s">
        <v>167</v>
      </c>
      <c r="D15" s="228">
        <v>5000</v>
      </c>
      <c r="E15" s="228">
        <v>193.64</v>
      </c>
      <c r="F15" s="228">
        <v>192.87</v>
      </c>
      <c r="G15" s="228">
        <v>0.77</v>
      </c>
      <c r="H15" s="229">
        <v>4.0000000000000001E-3</v>
      </c>
      <c r="I15" s="228">
        <v>195.33</v>
      </c>
      <c r="J15" s="228">
        <v>193</v>
      </c>
      <c r="K15" s="228">
        <v>2.33</v>
      </c>
      <c r="L15" s="229">
        <v>1.21E-2</v>
      </c>
      <c r="M15" s="228">
        <v>193.64</v>
      </c>
      <c r="N15" s="228">
        <v>193</v>
      </c>
      <c r="O15" s="228">
        <v>0.64</v>
      </c>
      <c r="P15" s="229">
        <v>3.3E-3</v>
      </c>
      <c r="Q15" s="228">
        <v>191.96</v>
      </c>
      <c r="R15" s="228">
        <v>192.87</v>
      </c>
      <c r="S15" s="228">
        <v>-0.91</v>
      </c>
      <c r="T15" s="229">
        <v>-4.7000000000000002E-3</v>
      </c>
      <c r="U15" s="228">
        <v>190.8</v>
      </c>
      <c r="V15" s="228">
        <v>191.91</v>
      </c>
      <c r="W15" s="228">
        <v>-1.1100000000000001</v>
      </c>
      <c r="X15" s="229">
        <v>-5.7999999999999996E-3</v>
      </c>
      <c r="Y15" s="228">
        <v>-1.69</v>
      </c>
      <c r="Z15" s="228">
        <v>-0.13</v>
      </c>
      <c r="AA15" s="228">
        <v>-1.56</v>
      </c>
      <c r="AB15" s="229">
        <v>-8.6999999999999994E-3</v>
      </c>
      <c r="AC15" s="228">
        <v>-1.69</v>
      </c>
      <c r="AD15" s="228">
        <v>0</v>
      </c>
      <c r="AE15" s="228">
        <v>-1.69</v>
      </c>
      <c r="AF15" s="229">
        <v>-8.6999999999999994E-3</v>
      </c>
      <c r="AG15" s="228">
        <v>-3.37</v>
      </c>
      <c r="AH15" s="228">
        <v>-0.13</v>
      </c>
      <c r="AI15" s="228">
        <v>-3.24</v>
      </c>
      <c r="AJ15" s="229">
        <v>-1.7299999999999999E-2</v>
      </c>
      <c r="AK15" s="228">
        <v>-4.53</v>
      </c>
      <c r="AL15" s="228">
        <v>-1.0900000000000001</v>
      </c>
      <c r="AM15" s="228">
        <v>-3.44</v>
      </c>
      <c r="AN15" s="229">
        <v>-2.3199999999999998E-2</v>
      </c>
      <c r="AO15" s="228">
        <v>191.26</v>
      </c>
      <c r="AP15" s="228">
        <v>190.05</v>
      </c>
      <c r="AQ15" s="228">
        <v>0</v>
      </c>
      <c r="AR15" s="230">
        <v>49035000</v>
      </c>
      <c r="AS15" s="230">
        <v>76010000</v>
      </c>
      <c r="AT15" s="230">
        <v>-26975000</v>
      </c>
      <c r="AU15" s="229">
        <v>-0.35489999999999999</v>
      </c>
      <c r="AV15" s="230">
        <v>46120000</v>
      </c>
      <c r="AW15" s="230">
        <v>30785000</v>
      </c>
      <c r="AX15" s="230">
        <v>15335000</v>
      </c>
      <c r="AY15" s="229">
        <v>0.49809999999999999</v>
      </c>
      <c r="AZ15" s="230">
        <v>2805000</v>
      </c>
      <c r="BA15" s="230">
        <v>44360000</v>
      </c>
      <c r="BB15" s="230">
        <v>-41555000</v>
      </c>
      <c r="BC15" s="229">
        <v>-0.93679999999999997</v>
      </c>
      <c r="BD15" s="230">
        <v>110000</v>
      </c>
      <c r="BE15" s="230">
        <v>865000</v>
      </c>
      <c r="BF15" s="230">
        <v>-755000</v>
      </c>
      <c r="BG15" s="229">
        <v>-0.87280000000000002</v>
      </c>
      <c r="BH15" s="230">
        <v>88750000</v>
      </c>
      <c r="BI15" s="230">
        <v>91570000</v>
      </c>
      <c r="BJ15" s="230">
        <v>-2820000</v>
      </c>
      <c r="BK15" s="229">
        <v>-3.0800000000000001E-2</v>
      </c>
      <c r="BL15" s="230">
        <v>31730000</v>
      </c>
      <c r="BM15" s="230">
        <v>44570000</v>
      </c>
      <c r="BN15" s="230">
        <v>-12840000</v>
      </c>
      <c r="BO15" s="229">
        <v>-0.28810000000000002</v>
      </c>
      <c r="BP15" s="230">
        <v>169515000</v>
      </c>
      <c r="BQ15" s="230">
        <v>212150000</v>
      </c>
      <c r="BR15" s="230">
        <v>-42635000</v>
      </c>
      <c r="BS15" s="229">
        <v>-0.20100000000000001</v>
      </c>
      <c r="BT15" s="230">
        <v>21273162</v>
      </c>
      <c r="BU15" s="230">
        <v>23855749</v>
      </c>
      <c r="BV15" s="230">
        <v>-2582587</v>
      </c>
      <c r="BW15" s="229">
        <v>-0.10829999999999999</v>
      </c>
      <c r="BX15" s="230">
        <v>159230000</v>
      </c>
      <c r="BY15" s="230">
        <v>163195000</v>
      </c>
      <c r="BZ15" s="230">
        <v>-3965000</v>
      </c>
      <c r="CA15" s="229">
        <v>-2.4299999999999999E-2</v>
      </c>
      <c r="CB15" s="230">
        <v>157470000</v>
      </c>
      <c r="CC15" s="230">
        <v>12830000</v>
      </c>
      <c r="CD15" s="230">
        <v>144640000</v>
      </c>
      <c r="CE15" s="229">
        <v>11.2736</v>
      </c>
      <c r="CF15" s="230">
        <v>1685000</v>
      </c>
      <c r="CG15" s="230">
        <v>161885000</v>
      </c>
      <c r="CH15" s="230">
        <v>-160200000</v>
      </c>
      <c r="CI15" s="229">
        <v>-0.98960000000000004</v>
      </c>
      <c r="CJ15" s="230">
        <v>75000</v>
      </c>
      <c r="CK15" s="230">
        <v>1310000</v>
      </c>
      <c r="CL15" s="230">
        <v>-1235000</v>
      </c>
      <c r="CM15" s="229">
        <v>-0.94269999999999998</v>
      </c>
      <c r="CN15" s="230">
        <v>38600000</v>
      </c>
      <c r="CO15" s="230">
        <v>35335000</v>
      </c>
      <c r="CP15" s="230">
        <v>3265000</v>
      </c>
      <c r="CQ15" s="229">
        <v>9.2399999999999996E-2</v>
      </c>
      <c r="CR15" s="230">
        <v>23435000</v>
      </c>
      <c r="CS15" s="230">
        <v>20330000</v>
      </c>
      <c r="CT15" s="230">
        <v>3105000</v>
      </c>
      <c r="CU15" s="229">
        <v>0.1527</v>
      </c>
      <c r="CV15" s="230">
        <v>221265000</v>
      </c>
      <c r="CW15" s="230">
        <v>218860000</v>
      </c>
      <c r="CX15" s="230">
        <v>2405000</v>
      </c>
      <c r="CY15" s="229">
        <v>1.0999999999999999E-2</v>
      </c>
      <c r="CZ15" s="228">
        <v>39.049999999999997</v>
      </c>
      <c r="DA15" s="228">
        <v>39.520000000000003</v>
      </c>
      <c r="DB15" s="228">
        <v>-0.47</v>
      </c>
      <c r="DC15" s="228">
        <v>-0.47</v>
      </c>
      <c r="DD15" s="228">
        <v>35.119999999999997</v>
      </c>
      <c r="DE15" s="228">
        <v>35.17</v>
      </c>
      <c r="DF15" s="228">
        <v>3.93</v>
      </c>
      <c r="DG15" s="228">
        <v>-0.05</v>
      </c>
      <c r="DH15" s="228">
        <v>38.81</v>
      </c>
      <c r="DI15" s="228">
        <v>39.04</v>
      </c>
      <c r="DJ15" s="228">
        <v>-0.23</v>
      </c>
      <c r="DK15" s="228">
        <v>-0.23</v>
      </c>
      <c r="DL15" s="228">
        <v>39.729999999999997</v>
      </c>
      <c r="DM15" s="228">
        <v>40.69</v>
      </c>
      <c r="DN15" s="228">
        <v>-0.96</v>
      </c>
      <c r="DO15" s="228">
        <v>-0.96</v>
      </c>
      <c r="DP15" s="228">
        <v>0.61</v>
      </c>
      <c r="DQ15" s="228">
        <v>0.57999999999999996</v>
      </c>
      <c r="DR15" s="228">
        <v>0.03</v>
      </c>
      <c r="DS15" s="229">
        <v>5.1700000000000003E-2</v>
      </c>
      <c r="DT15" s="228">
        <v>200</v>
      </c>
      <c r="DU15" s="228">
        <v>180</v>
      </c>
      <c r="DV15" s="228">
        <v>0.36</v>
      </c>
      <c r="DW15" s="228">
        <v>0.49</v>
      </c>
      <c r="DX15" s="228">
        <v>-0.13</v>
      </c>
      <c r="DY15" s="229">
        <v>-0.26529999999999998</v>
      </c>
      <c r="DZ15" s="229">
        <v>1.11E-2</v>
      </c>
      <c r="EA15" s="230">
        <v>163195000</v>
      </c>
      <c r="EB15" s="229">
        <v>-8.6999999999999994E-3</v>
      </c>
      <c r="EC15" s="229">
        <v>1.11E-2</v>
      </c>
      <c r="ED15" s="228">
        <v>-1.21</v>
      </c>
      <c r="EE15" s="229">
        <v>-6.3E-3</v>
      </c>
      <c r="EF15" s="230">
        <v>8123397</v>
      </c>
      <c r="EG15" s="230">
        <v>11922019</v>
      </c>
      <c r="EH15" s="229">
        <v>-0.31859999999999999</v>
      </c>
      <c r="EI15" s="229">
        <v>0.38190000000000002</v>
      </c>
      <c r="EJ15" s="231">
        <v>183614.86</v>
      </c>
      <c r="EK15" s="231">
        <v>59890.91</v>
      </c>
      <c r="EL15" s="231">
        <v>93747.88</v>
      </c>
      <c r="EM15" s="231">
        <v>28600</v>
      </c>
      <c r="EN15" s="231">
        <v>337253.65</v>
      </c>
      <c r="EO15" s="231">
        <v>413394.79</v>
      </c>
      <c r="EP15" s="231">
        <v>-76141.14</v>
      </c>
      <c r="EQ15" s="229">
        <v>-0.1842</v>
      </c>
      <c r="ER15" s="231">
        <v>77286</v>
      </c>
      <c r="ES15" s="231">
        <v>42480</v>
      </c>
      <c r="ET15" s="231">
        <v>308303</v>
      </c>
      <c r="EU15" s="231">
        <v>423719104</v>
      </c>
      <c r="EV15" s="231">
        <v>428069</v>
      </c>
      <c r="EW15" s="231">
        <v>422358</v>
      </c>
      <c r="EX15" s="231">
        <v>5711</v>
      </c>
      <c r="EY15" s="229">
        <v>1.35E-2</v>
      </c>
      <c r="EZ15" s="229">
        <v>0.5222</v>
      </c>
      <c r="FA15" s="227" t="s">
        <v>556</v>
      </c>
      <c r="FB15" s="161">
        <f t="shared" si="0"/>
        <v>1760000</v>
      </c>
    </row>
    <row r="16" spans="1:158" ht="17.25" hidden="1" thickBot="1" x14ac:dyDescent="0.3">
      <c r="A16" s="226">
        <v>46050</v>
      </c>
      <c r="B16" s="227" t="s">
        <v>168</v>
      </c>
      <c r="C16" s="227" t="s">
        <v>169</v>
      </c>
      <c r="D16" s="228">
        <v>250</v>
      </c>
      <c r="E16" s="231">
        <v>2513.9</v>
      </c>
      <c r="F16" s="231">
        <v>2630</v>
      </c>
      <c r="G16" s="228">
        <v>-116.1</v>
      </c>
      <c r="H16" s="229">
        <v>-4.41E-2</v>
      </c>
      <c r="I16" s="231">
        <v>2511.8000000000002</v>
      </c>
      <c r="J16" s="231">
        <v>2622.8</v>
      </c>
      <c r="K16" s="228">
        <v>-111</v>
      </c>
      <c r="L16" s="229">
        <v>-4.2299999999999997E-2</v>
      </c>
      <c r="M16" s="231">
        <v>2513.9</v>
      </c>
      <c r="N16" s="231">
        <v>2617.1999999999998</v>
      </c>
      <c r="O16" s="228">
        <v>-103.3</v>
      </c>
      <c r="P16" s="229">
        <v>-3.95E-2</v>
      </c>
      <c r="Q16" s="231">
        <v>2524.5</v>
      </c>
      <c r="R16" s="231">
        <v>2630</v>
      </c>
      <c r="S16" s="228">
        <v>-105.5</v>
      </c>
      <c r="T16" s="229">
        <v>-4.0099999999999997E-2</v>
      </c>
      <c r="U16" s="231">
        <v>2539.1999999999998</v>
      </c>
      <c r="V16" s="231">
        <v>2642</v>
      </c>
      <c r="W16" s="228">
        <v>-102.8</v>
      </c>
      <c r="X16" s="229">
        <v>-3.8899999999999997E-2</v>
      </c>
      <c r="Y16" s="228">
        <v>2.1</v>
      </c>
      <c r="Z16" s="228">
        <v>7.2</v>
      </c>
      <c r="AA16" s="228">
        <v>-5.0999999999999996</v>
      </c>
      <c r="AB16" s="229">
        <v>8.0000000000000004E-4</v>
      </c>
      <c r="AC16" s="228">
        <v>2.1</v>
      </c>
      <c r="AD16" s="228">
        <v>-5.6</v>
      </c>
      <c r="AE16" s="228">
        <v>7.7</v>
      </c>
      <c r="AF16" s="229">
        <v>8.0000000000000004E-4</v>
      </c>
      <c r="AG16" s="228">
        <v>12.7</v>
      </c>
      <c r="AH16" s="228">
        <v>7.2</v>
      </c>
      <c r="AI16" s="228">
        <v>5.5</v>
      </c>
      <c r="AJ16" s="229">
        <v>5.1000000000000004E-3</v>
      </c>
      <c r="AK16" s="228">
        <v>27.4</v>
      </c>
      <c r="AL16" s="228">
        <v>19.2</v>
      </c>
      <c r="AM16" s="228">
        <v>8.1999999999999993</v>
      </c>
      <c r="AN16" s="229">
        <v>1.09E-2</v>
      </c>
      <c r="AO16" s="231">
        <v>2496.25</v>
      </c>
      <c r="AP16" s="231">
        <v>2506.37</v>
      </c>
      <c r="AQ16" s="228">
        <v>0</v>
      </c>
      <c r="AR16" s="230">
        <v>5946250</v>
      </c>
      <c r="AS16" s="230">
        <v>11851000</v>
      </c>
      <c r="AT16" s="230">
        <v>-5904750</v>
      </c>
      <c r="AU16" s="229">
        <v>-0.49819999999999998</v>
      </c>
      <c r="AV16" s="230">
        <v>5643750</v>
      </c>
      <c r="AW16" s="230">
        <v>3261250</v>
      </c>
      <c r="AX16" s="230">
        <v>2382500</v>
      </c>
      <c r="AY16" s="229">
        <v>0.73050000000000004</v>
      </c>
      <c r="AZ16" s="230">
        <v>286000</v>
      </c>
      <c r="BA16" s="230">
        <v>8476250</v>
      </c>
      <c r="BB16" s="230">
        <v>-8190250</v>
      </c>
      <c r="BC16" s="229">
        <v>-0.96630000000000005</v>
      </c>
      <c r="BD16" s="230">
        <v>16500</v>
      </c>
      <c r="BE16" s="230">
        <v>113500</v>
      </c>
      <c r="BF16" s="230">
        <v>-97000</v>
      </c>
      <c r="BG16" s="229">
        <v>-0.85460000000000003</v>
      </c>
      <c r="BH16" s="230">
        <v>25592000</v>
      </c>
      <c r="BI16" s="230">
        <v>27665000</v>
      </c>
      <c r="BJ16" s="230">
        <v>-2073000</v>
      </c>
      <c r="BK16" s="229">
        <v>-7.4899999999999994E-2</v>
      </c>
      <c r="BL16" s="230">
        <v>17952000</v>
      </c>
      <c r="BM16" s="230">
        <v>26697750</v>
      </c>
      <c r="BN16" s="230">
        <v>-8745750</v>
      </c>
      <c r="BO16" s="229">
        <v>-0.3276</v>
      </c>
      <c r="BP16" s="230">
        <v>49490250</v>
      </c>
      <c r="BQ16" s="230">
        <v>66213750</v>
      </c>
      <c r="BR16" s="230">
        <v>-16723500</v>
      </c>
      <c r="BS16" s="229">
        <v>-0.25259999999999999</v>
      </c>
      <c r="BT16" s="230">
        <v>3591437</v>
      </c>
      <c r="BU16" s="230">
        <v>3944578</v>
      </c>
      <c r="BV16" s="230">
        <v>-353141</v>
      </c>
      <c r="BW16" s="229">
        <v>-8.9499999999999996E-2</v>
      </c>
      <c r="BX16" s="230">
        <v>14101250</v>
      </c>
      <c r="BY16" s="230">
        <v>13042750</v>
      </c>
      <c r="BZ16" s="230">
        <v>1058500</v>
      </c>
      <c r="CA16" s="229">
        <v>8.1199999999999994E-2</v>
      </c>
      <c r="CB16" s="230">
        <v>13817500</v>
      </c>
      <c r="CC16" s="230">
        <v>676500</v>
      </c>
      <c r="CD16" s="230">
        <v>13141000</v>
      </c>
      <c r="CE16" s="229">
        <v>19.425000000000001</v>
      </c>
      <c r="CF16" s="230">
        <v>273500</v>
      </c>
      <c r="CG16" s="230">
        <v>12903500</v>
      </c>
      <c r="CH16" s="230">
        <v>-12630000</v>
      </c>
      <c r="CI16" s="229">
        <v>-0.9788</v>
      </c>
      <c r="CJ16" s="230">
        <v>10250</v>
      </c>
      <c r="CK16" s="230">
        <v>139250</v>
      </c>
      <c r="CL16" s="230">
        <v>-129000</v>
      </c>
      <c r="CM16" s="229">
        <v>-0.9264</v>
      </c>
      <c r="CN16" s="230">
        <v>4972250</v>
      </c>
      <c r="CO16" s="230">
        <v>2915250</v>
      </c>
      <c r="CP16" s="230">
        <v>2057000</v>
      </c>
      <c r="CQ16" s="229">
        <v>0.7056</v>
      </c>
      <c r="CR16" s="230">
        <v>3173250</v>
      </c>
      <c r="CS16" s="230">
        <v>2652500</v>
      </c>
      <c r="CT16" s="230">
        <v>520750</v>
      </c>
      <c r="CU16" s="229">
        <v>0.1963</v>
      </c>
      <c r="CV16" s="230">
        <v>22246750</v>
      </c>
      <c r="CW16" s="230">
        <v>18610500</v>
      </c>
      <c r="CX16" s="230">
        <v>3636250</v>
      </c>
      <c r="CY16" s="229">
        <v>0.19539999999999999</v>
      </c>
      <c r="CZ16" s="228">
        <v>25.33</v>
      </c>
      <c r="DA16" s="228">
        <v>28.19</v>
      </c>
      <c r="DB16" s="228">
        <v>-2.86</v>
      </c>
      <c r="DC16" s="228">
        <v>-2.86</v>
      </c>
      <c r="DD16" s="228">
        <v>26.1</v>
      </c>
      <c r="DE16" s="228">
        <v>25.51</v>
      </c>
      <c r="DF16" s="228">
        <v>-0.77</v>
      </c>
      <c r="DG16" s="228">
        <v>0.59</v>
      </c>
      <c r="DH16" s="228">
        <v>25.1</v>
      </c>
      <c r="DI16" s="228">
        <v>27.08</v>
      </c>
      <c r="DJ16" s="228">
        <v>-1.98</v>
      </c>
      <c r="DK16" s="228">
        <v>-1.98</v>
      </c>
      <c r="DL16" s="228">
        <v>25.65</v>
      </c>
      <c r="DM16" s="228">
        <v>29.42</v>
      </c>
      <c r="DN16" s="228">
        <v>-3.77</v>
      </c>
      <c r="DO16" s="228">
        <v>-3.77</v>
      </c>
      <c r="DP16" s="228">
        <v>0.64</v>
      </c>
      <c r="DQ16" s="228">
        <v>0.91</v>
      </c>
      <c r="DR16" s="228">
        <v>-0.27</v>
      </c>
      <c r="DS16" s="229">
        <v>-0.29670000000000002</v>
      </c>
      <c r="DT16" s="231">
        <v>2800</v>
      </c>
      <c r="DU16" s="231">
        <v>2500</v>
      </c>
      <c r="DV16" s="228">
        <v>0.7</v>
      </c>
      <c r="DW16" s="228">
        <v>0.97</v>
      </c>
      <c r="DX16" s="228">
        <v>-0.27</v>
      </c>
      <c r="DY16" s="229">
        <v>-0.27839999999999998</v>
      </c>
      <c r="DZ16" s="229">
        <v>2.01E-2</v>
      </c>
      <c r="EA16" s="230">
        <v>13042750</v>
      </c>
      <c r="EB16" s="229">
        <v>4.1999999999999997E-3</v>
      </c>
      <c r="EC16" s="229">
        <v>2.01E-2</v>
      </c>
      <c r="ED16" s="228">
        <v>10.119999999999999</v>
      </c>
      <c r="EE16" s="229">
        <v>4.1000000000000003E-3</v>
      </c>
      <c r="EF16" s="230">
        <v>1378036</v>
      </c>
      <c r="EG16" s="230">
        <v>1382121</v>
      </c>
      <c r="EH16" s="229">
        <v>-3.0000000000000001E-3</v>
      </c>
      <c r="EI16" s="229">
        <v>0.38369999999999999</v>
      </c>
      <c r="EJ16" s="231">
        <v>685954.25</v>
      </c>
      <c r="EK16" s="231">
        <v>448667.65</v>
      </c>
      <c r="EL16" s="231">
        <v>148467.75</v>
      </c>
      <c r="EM16" s="231">
        <v>42166</v>
      </c>
      <c r="EN16" s="231">
        <v>1283089.6499999999</v>
      </c>
      <c r="EO16" s="231">
        <v>1788962.96</v>
      </c>
      <c r="EP16" s="231">
        <v>-505873.31</v>
      </c>
      <c r="EQ16" s="229">
        <v>-0.2828</v>
      </c>
      <c r="ER16" s="231">
        <v>136104</v>
      </c>
      <c r="ES16" s="231">
        <v>79329</v>
      </c>
      <c r="ET16" s="231">
        <v>354523</v>
      </c>
      <c r="EU16" s="231">
        <v>49389162</v>
      </c>
      <c r="EV16" s="231">
        <v>569956</v>
      </c>
      <c r="EW16" s="231">
        <v>493509</v>
      </c>
      <c r="EX16" s="231">
        <v>76447</v>
      </c>
      <c r="EY16" s="229">
        <v>0.15490000000000001</v>
      </c>
      <c r="EZ16" s="229">
        <v>0.45040000000000002</v>
      </c>
      <c r="FA16" s="227" t="s">
        <v>567</v>
      </c>
      <c r="FB16" s="161">
        <f t="shared" si="0"/>
        <v>283750</v>
      </c>
    </row>
    <row r="17" spans="1:158" ht="17.25" hidden="1" thickBot="1" x14ac:dyDescent="0.3">
      <c r="A17" s="226">
        <v>46050</v>
      </c>
      <c r="B17" s="227" t="s">
        <v>184</v>
      </c>
      <c r="C17" s="227" t="s">
        <v>503</v>
      </c>
      <c r="D17" s="228">
        <v>425</v>
      </c>
      <c r="E17" s="231">
        <v>1456.2</v>
      </c>
      <c r="F17" s="231">
        <v>1397.7</v>
      </c>
      <c r="G17" s="228">
        <v>58.5</v>
      </c>
      <c r="H17" s="229">
        <v>4.19E-2</v>
      </c>
      <c r="I17" s="231">
        <v>1452.9</v>
      </c>
      <c r="J17" s="231">
        <v>1400.5</v>
      </c>
      <c r="K17" s="228">
        <v>52.4</v>
      </c>
      <c r="L17" s="229">
        <v>3.7400000000000003E-2</v>
      </c>
      <c r="M17" s="231">
        <v>1456.2</v>
      </c>
      <c r="N17" s="231">
        <v>1399</v>
      </c>
      <c r="O17" s="228">
        <v>57.2</v>
      </c>
      <c r="P17" s="229">
        <v>4.0899999999999999E-2</v>
      </c>
      <c r="Q17" s="231">
        <v>1452.1</v>
      </c>
      <c r="R17" s="231">
        <v>1397.7</v>
      </c>
      <c r="S17" s="228">
        <v>54.4</v>
      </c>
      <c r="T17" s="229">
        <v>3.8899999999999997E-2</v>
      </c>
      <c r="U17" s="231">
        <v>1447.8</v>
      </c>
      <c r="V17" s="231">
        <v>1396.2</v>
      </c>
      <c r="W17" s="228">
        <v>51.6</v>
      </c>
      <c r="X17" s="229">
        <v>3.6999999999999998E-2</v>
      </c>
      <c r="Y17" s="228">
        <v>3.3</v>
      </c>
      <c r="Z17" s="228">
        <v>-2.8</v>
      </c>
      <c r="AA17" s="228">
        <v>6.1</v>
      </c>
      <c r="AB17" s="229">
        <v>2.3E-3</v>
      </c>
      <c r="AC17" s="228">
        <v>3.3</v>
      </c>
      <c r="AD17" s="228">
        <v>-1.5</v>
      </c>
      <c r="AE17" s="228">
        <v>4.8</v>
      </c>
      <c r="AF17" s="229">
        <v>2.3E-3</v>
      </c>
      <c r="AG17" s="228">
        <v>-0.8</v>
      </c>
      <c r="AH17" s="228">
        <v>-2.8</v>
      </c>
      <c r="AI17" s="228">
        <v>2</v>
      </c>
      <c r="AJ17" s="229">
        <v>-5.9999999999999995E-4</v>
      </c>
      <c r="AK17" s="228">
        <v>-5.0999999999999996</v>
      </c>
      <c r="AL17" s="228">
        <v>-4.3</v>
      </c>
      <c r="AM17" s="228">
        <v>-0.8</v>
      </c>
      <c r="AN17" s="229">
        <v>-3.5000000000000001E-3</v>
      </c>
      <c r="AO17" s="231">
        <v>1442.44</v>
      </c>
      <c r="AP17" s="231">
        <v>1438.37</v>
      </c>
      <c r="AQ17" s="228">
        <v>0</v>
      </c>
      <c r="AR17" s="230">
        <v>1834725</v>
      </c>
      <c r="AS17" s="230">
        <v>3526225</v>
      </c>
      <c r="AT17" s="230">
        <v>-1691500</v>
      </c>
      <c r="AU17" s="229">
        <v>-0.47970000000000002</v>
      </c>
      <c r="AV17" s="230">
        <v>1767575</v>
      </c>
      <c r="AW17" s="230">
        <v>1568675</v>
      </c>
      <c r="AX17" s="230">
        <v>198900</v>
      </c>
      <c r="AY17" s="229">
        <v>0.1268</v>
      </c>
      <c r="AZ17" s="230">
        <v>63750</v>
      </c>
      <c r="BA17" s="230">
        <v>1878075</v>
      </c>
      <c r="BB17" s="230">
        <v>-1814325</v>
      </c>
      <c r="BC17" s="229">
        <v>-0.96609999999999996</v>
      </c>
      <c r="BD17" s="230">
        <v>3400</v>
      </c>
      <c r="BE17" s="230">
        <v>79475</v>
      </c>
      <c r="BF17" s="230">
        <v>-76075</v>
      </c>
      <c r="BG17" s="229">
        <v>-0.95720000000000005</v>
      </c>
      <c r="BH17" s="230">
        <v>1929925</v>
      </c>
      <c r="BI17" s="230">
        <v>1919300</v>
      </c>
      <c r="BJ17" s="230">
        <v>10625</v>
      </c>
      <c r="BK17" s="229">
        <v>5.4999999999999997E-3</v>
      </c>
      <c r="BL17" s="230">
        <v>1080775</v>
      </c>
      <c r="BM17" s="230">
        <v>1037425</v>
      </c>
      <c r="BN17" s="230">
        <v>43350</v>
      </c>
      <c r="BO17" s="229">
        <v>4.1799999999999997E-2</v>
      </c>
      <c r="BP17" s="230">
        <v>4845425</v>
      </c>
      <c r="BQ17" s="230">
        <v>6482950</v>
      </c>
      <c r="BR17" s="230">
        <v>-1637525</v>
      </c>
      <c r="BS17" s="229">
        <v>-0.25259999999999999</v>
      </c>
      <c r="BT17" s="230">
        <v>429248</v>
      </c>
      <c r="BU17" s="230">
        <v>451966</v>
      </c>
      <c r="BV17" s="230">
        <v>-22718</v>
      </c>
      <c r="BW17" s="229">
        <v>-5.0299999999999997E-2</v>
      </c>
      <c r="BX17" s="230">
        <v>7198225</v>
      </c>
      <c r="BY17" s="230">
        <v>7237750</v>
      </c>
      <c r="BZ17" s="230">
        <v>-39525</v>
      </c>
      <c r="CA17" s="229">
        <v>-5.4999999999999997E-3</v>
      </c>
      <c r="CB17" s="230">
        <v>7067750</v>
      </c>
      <c r="CC17" s="230">
        <v>251600</v>
      </c>
      <c r="CD17" s="230">
        <v>6816150</v>
      </c>
      <c r="CE17" s="229">
        <v>27.091200000000001</v>
      </c>
      <c r="CF17" s="230">
        <v>127500</v>
      </c>
      <c r="CG17" s="230">
        <v>7110675</v>
      </c>
      <c r="CH17" s="230">
        <v>-6983175</v>
      </c>
      <c r="CI17" s="229">
        <v>-0.98209999999999997</v>
      </c>
      <c r="CJ17" s="230">
        <v>2975</v>
      </c>
      <c r="CK17" s="230">
        <v>127075</v>
      </c>
      <c r="CL17" s="230">
        <v>-124100</v>
      </c>
      <c r="CM17" s="229">
        <v>-0.97660000000000002</v>
      </c>
      <c r="CN17" s="230">
        <v>1094375</v>
      </c>
      <c r="CO17" s="230">
        <v>753525</v>
      </c>
      <c r="CP17" s="230">
        <v>340850</v>
      </c>
      <c r="CQ17" s="229">
        <v>0.45229999999999998</v>
      </c>
      <c r="CR17" s="230">
        <v>701675</v>
      </c>
      <c r="CS17" s="230">
        <v>598825</v>
      </c>
      <c r="CT17" s="230">
        <v>102850</v>
      </c>
      <c r="CU17" s="229">
        <v>0.17180000000000001</v>
      </c>
      <c r="CV17" s="230">
        <v>8994275</v>
      </c>
      <c r="CW17" s="230">
        <v>8590100</v>
      </c>
      <c r="CX17" s="230">
        <v>404175</v>
      </c>
      <c r="CY17" s="229">
        <v>4.7100000000000003E-2</v>
      </c>
      <c r="CZ17" s="228">
        <v>31.78</v>
      </c>
      <c r="DA17" s="228">
        <v>33.130000000000003</v>
      </c>
      <c r="DB17" s="228">
        <v>-1.35</v>
      </c>
      <c r="DC17" s="228">
        <v>-1.35</v>
      </c>
      <c r="DD17" s="228">
        <v>34.6</v>
      </c>
      <c r="DE17" s="228">
        <v>34.24</v>
      </c>
      <c r="DF17" s="228">
        <v>-2.82</v>
      </c>
      <c r="DG17" s="228">
        <v>0.36</v>
      </c>
      <c r="DH17" s="228">
        <v>31.16</v>
      </c>
      <c r="DI17" s="228">
        <v>32.549999999999997</v>
      </c>
      <c r="DJ17" s="228">
        <v>-1.39</v>
      </c>
      <c r="DK17" s="228">
        <v>-1.39</v>
      </c>
      <c r="DL17" s="228">
        <v>32.89</v>
      </c>
      <c r="DM17" s="228">
        <v>33.79</v>
      </c>
      <c r="DN17" s="228">
        <v>-0.9</v>
      </c>
      <c r="DO17" s="228">
        <v>-0.9</v>
      </c>
      <c r="DP17" s="228">
        <v>0.64</v>
      </c>
      <c r="DQ17" s="228">
        <v>0.79</v>
      </c>
      <c r="DR17" s="228">
        <v>-0.15</v>
      </c>
      <c r="DS17" s="229">
        <v>-0.18990000000000001</v>
      </c>
      <c r="DT17" s="231">
        <v>1600</v>
      </c>
      <c r="DU17" s="231">
        <v>1400</v>
      </c>
      <c r="DV17" s="228">
        <v>0.56000000000000005</v>
      </c>
      <c r="DW17" s="228">
        <v>0.54</v>
      </c>
      <c r="DX17" s="228">
        <v>0.02</v>
      </c>
      <c r="DY17" s="229">
        <v>3.6999999999999998E-2</v>
      </c>
      <c r="DZ17" s="229">
        <v>1.8100000000000002E-2</v>
      </c>
      <c r="EA17" s="230">
        <v>7237750</v>
      </c>
      <c r="EB17" s="229">
        <v>-2.8E-3</v>
      </c>
      <c r="EC17" s="229">
        <v>1.8100000000000002E-2</v>
      </c>
      <c r="ED17" s="228">
        <v>-4.07</v>
      </c>
      <c r="EE17" s="229">
        <v>-2.8E-3</v>
      </c>
      <c r="EF17" s="230">
        <v>168034</v>
      </c>
      <c r="EG17" s="230">
        <v>228425</v>
      </c>
      <c r="EH17" s="229">
        <v>-0.26440000000000002</v>
      </c>
      <c r="EI17" s="229">
        <v>0.39150000000000001</v>
      </c>
      <c r="EJ17" s="231">
        <v>29567.17</v>
      </c>
      <c r="EK17" s="231">
        <v>15358.84</v>
      </c>
      <c r="EL17" s="231">
        <v>26462.1</v>
      </c>
      <c r="EM17" s="231">
        <v>15716</v>
      </c>
      <c r="EN17" s="231">
        <v>71388.11</v>
      </c>
      <c r="EO17" s="231">
        <v>91182.89</v>
      </c>
      <c r="EP17" s="231">
        <v>-19794.78</v>
      </c>
      <c r="EQ17" s="229">
        <v>-0.21709999999999999</v>
      </c>
      <c r="ER17" s="231">
        <v>16519</v>
      </c>
      <c r="ES17" s="231">
        <v>9738</v>
      </c>
      <c r="ET17" s="231">
        <v>104815</v>
      </c>
      <c r="EU17" s="231">
        <v>18450534</v>
      </c>
      <c r="EV17" s="231">
        <v>131071</v>
      </c>
      <c r="EW17" s="231">
        <v>120766</v>
      </c>
      <c r="EX17" s="231">
        <v>10305</v>
      </c>
      <c r="EY17" s="229">
        <v>8.5300000000000001E-2</v>
      </c>
      <c r="EZ17" s="229">
        <v>0.48749999999999999</v>
      </c>
      <c r="FA17" s="227" t="s">
        <v>556</v>
      </c>
      <c r="FB17" s="161">
        <f t="shared" si="0"/>
        <v>130475</v>
      </c>
    </row>
    <row r="18" spans="1:158" ht="17.25" hidden="1" thickBot="1" x14ac:dyDescent="0.3">
      <c r="A18" s="226">
        <v>46050</v>
      </c>
      <c r="B18" s="227" t="s">
        <v>172</v>
      </c>
      <c r="C18" s="227" t="s">
        <v>495</v>
      </c>
      <c r="D18" s="228">
        <v>1000</v>
      </c>
      <c r="E18" s="228">
        <v>967.6</v>
      </c>
      <c r="F18" s="228">
        <v>968.3</v>
      </c>
      <c r="G18" s="228">
        <v>-0.7</v>
      </c>
      <c r="H18" s="229">
        <v>-6.9999999999999999E-4</v>
      </c>
      <c r="I18" s="228">
        <v>962.35</v>
      </c>
      <c r="J18" s="228">
        <v>963.55</v>
      </c>
      <c r="K18" s="228">
        <v>-1.2</v>
      </c>
      <c r="L18" s="229">
        <v>-1.1999999999999999E-3</v>
      </c>
      <c r="M18" s="228">
        <v>967.6</v>
      </c>
      <c r="N18" s="228">
        <v>963.35</v>
      </c>
      <c r="O18" s="228">
        <v>4.25</v>
      </c>
      <c r="P18" s="229">
        <v>4.4000000000000003E-3</v>
      </c>
      <c r="Q18" s="228">
        <v>972.45</v>
      </c>
      <c r="R18" s="228">
        <v>968.3</v>
      </c>
      <c r="S18" s="228">
        <v>4.1500000000000004</v>
      </c>
      <c r="T18" s="229">
        <v>4.3E-3</v>
      </c>
      <c r="U18" s="228">
        <v>975</v>
      </c>
      <c r="V18" s="228">
        <v>973.65</v>
      </c>
      <c r="W18" s="228">
        <v>1.35</v>
      </c>
      <c r="X18" s="229">
        <v>1.4E-3</v>
      </c>
      <c r="Y18" s="228">
        <v>5.25</v>
      </c>
      <c r="Z18" s="228">
        <v>4.75</v>
      </c>
      <c r="AA18" s="228">
        <v>0.5</v>
      </c>
      <c r="AB18" s="229">
        <v>5.4999999999999997E-3</v>
      </c>
      <c r="AC18" s="228">
        <v>5.25</v>
      </c>
      <c r="AD18" s="228">
        <v>-0.2</v>
      </c>
      <c r="AE18" s="228">
        <v>5.45</v>
      </c>
      <c r="AF18" s="229">
        <v>5.4999999999999997E-3</v>
      </c>
      <c r="AG18" s="228">
        <v>10.1</v>
      </c>
      <c r="AH18" s="228">
        <v>4.75</v>
      </c>
      <c r="AI18" s="228">
        <v>5.35</v>
      </c>
      <c r="AJ18" s="229">
        <v>1.0500000000000001E-2</v>
      </c>
      <c r="AK18" s="228">
        <v>12.65</v>
      </c>
      <c r="AL18" s="228">
        <v>10.1</v>
      </c>
      <c r="AM18" s="228">
        <v>2.5499999999999998</v>
      </c>
      <c r="AN18" s="229">
        <v>1.3100000000000001E-2</v>
      </c>
      <c r="AO18" s="228">
        <v>966.98</v>
      </c>
      <c r="AP18" s="228">
        <v>972.39</v>
      </c>
      <c r="AQ18" s="228">
        <v>0</v>
      </c>
      <c r="AR18" s="230">
        <v>3361000</v>
      </c>
      <c r="AS18" s="230">
        <v>13096000</v>
      </c>
      <c r="AT18" s="230">
        <v>-9735000</v>
      </c>
      <c r="AU18" s="229">
        <v>-0.74339999999999995</v>
      </c>
      <c r="AV18" s="230">
        <v>3282000</v>
      </c>
      <c r="AW18" s="230">
        <v>4191000</v>
      </c>
      <c r="AX18" s="230">
        <v>-909000</v>
      </c>
      <c r="AY18" s="229">
        <v>-0.21690000000000001</v>
      </c>
      <c r="AZ18" s="230">
        <v>75000</v>
      </c>
      <c r="BA18" s="230">
        <v>8774000</v>
      </c>
      <c r="BB18" s="230">
        <v>-8699000</v>
      </c>
      <c r="BC18" s="229">
        <v>-0.99150000000000005</v>
      </c>
      <c r="BD18" s="230">
        <v>4000</v>
      </c>
      <c r="BE18" s="230">
        <v>131000</v>
      </c>
      <c r="BF18" s="230">
        <v>-127000</v>
      </c>
      <c r="BG18" s="229">
        <v>-0.96950000000000003</v>
      </c>
      <c r="BH18" s="230">
        <v>4816000</v>
      </c>
      <c r="BI18" s="230">
        <v>11114000</v>
      </c>
      <c r="BJ18" s="230">
        <v>-6298000</v>
      </c>
      <c r="BK18" s="229">
        <v>-0.56669999999999998</v>
      </c>
      <c r="BL18" s="230">
        <v>2431000</v>
      </c>
      <c r="BM18" s="230">
        <v>10566000</v>
      </c>
      <c r="BN18" s="230">
        <v>-8135000</v>
      </c>
      <c r="BO18" s="229">
        <v>-0.76990000000000003</v>
      </c>
      <c r="BP18" s="230">
        <v>10608000</v>
      </c>
      <c r="BQ18" s="230">
        <v>34776000</v>
      </c>
      <c r="BR18" s="230">
        <v>-24168000</v>
      </c>
      <c r="BS18" s="229">
        <v>-0.69499999999999995</v>
      </c>
      <c r="BT18" s="230">
        <v>1429588</v>
      </c>
      <c r="BU18" s="230">
        <v>1863588</v>
      </c>
      <c r="BV18" s="230">
        <v>-434000</v>
      </c>
      <c r="BW18" s="229">
        <v>-0.2329</v>
      </c>
      <c r="BX18" s="230">
        <v>22985000</v>
      </c>
      <c r="BY18" s="230">
        <v>23570000</v>
      </c>
      <c r="BZ18" s="230">
        <v>-585000</v>
      </c>
      <c r="CA18" s="229">
        <v>-2.4799999999999999E-2</v>
      </c>
      <c r="CB18" s="230">
        <v>22728000</v>
      </c>
      <c r="CC18" s="230">
        <v>625000</v>
      </c>
      <c r="CD18" s="230">
        <v>22103000</v>
      </c>
      <c r="CE18" s="229">
        <v>35.364800000000002</v>
      </c>
      <c r="CF18" s="230">
        <v>254000</v>
      </c>
      <c r="CG18" s="230">
        <v>23337000</v>
      </c>
      <c r="CH18" s="230">
        <v>-23083000</v>
      </c>
      <c r="CI18" s="229">
        <v>-0.98909999999999998</v>
      </c>
      <c r="CJ18" s="230">
        <v>3000</v>
      </c>
      <c r="CK18" s="230">
        <v>233000</v>
      </c>
      <c r="CL18" s="230">
        <v>-230000</v>
      </c>
      <c r="CM18" s="229">
        <v>-0.98709999999999998</v>
      </c>
      <c r="CN18" s="230">
        <v>4267000</v>
      </c>
      <c r="CO18" s="230">
        <v>3499000</v>
      </c>
      <c r="CP18" s="230">
        <v>768000</v>
      </c>
      <c r="CQ18" s="229">
        <v>0.2195</v>
      </c>
      <c r="CR18" s="230">
        <v>3168000</v>
      </c>
      <c r="CS18" s="230">
        <v>2876000</v>
      </c>
      <c r="CT18" s="230">
        <v>292000</v>
      </c>
      <c r="CU18" s="229">
        <v>0.10150000000000001</v>
      </c>
      <c r="CV18" s="230">
        <v>30420000</v>
      </c>
      <c r="CW18" s="230">
        <v>29945000</v>
      </c>
      <c r="CX18" s="230">
        <v>475000</v>
      </c>
      <c r="CY18" s="229">
        <v>1.5900000000000001E-2</v>
      </c>
      <c r="CZ18" s="228">
        <v>30.19</v>
      </c>
      <c r="DA18" s="228">
        <v>30.7</v>
      </c>
      <c r="DB18" s="228">
        <v>-0.51</v>
      </c>
      <c r="DC18" s="228">
        <v>-0.51</v>
      </c>
      <c r="DD18" s="228">
        <v>35</v>
      </c>
      <c r="DE18" s="228">
        <v>35.08</v>
      </c>
      <c r="DF18" s="228">
        <v>-4.8099999999999996</v>
      </c>
      <c r="DG18" s="228">
        <v>-0.08</v>
      </c>
      <c r="DH18" s="228">
        <v>29.95</v>
      </c>
      <c r="DI18" s="228">
        <v>29.81</v>
      </c>
      <c r="DJ18" s="228">
        <v>0.14000000000000001</v>
      </c>
      <c r="DK18" s="228">
        <v>0.14000000000000001</v>
      </c>
      <c r="DL18" s="228">
        <v>30.68</v>
      </c>
      <c r="DM18" s="228">
        <v>31.55</v>
      </c>
      <c r="DN18" s="228">
        <v>-0.87</v>
      </c>
      <c r="DO18" s="228">
        <v>-0.87</v>
      </c>
      <c r="DP18" s="228">
        <v>0.74</v>
      </c>
      <c r="DQ18" s="228">
        <v>0.82</v>
      </c>
      <c r="DR18" s="228">
        <v>-0.08</v>
      </c>
      <c r="DS18" s="229">
        <v>-9.7600000000000006E-2</v>
      </c>
      <c r="DT18" s="231">
        <v>1000</v>
      </c>
      <c r="DU18" s="228">
        <v>950</v>
      </c>
      <c r="DV18" s="228">
        <v>0.5</v>
      </c>
      <c r="DW18" s="228">
        <v>0.95</v>
      </c>
      <c r="DX18" s="228">
        <v>-0.45</v>
      </c>
      <c r="DY18" s="229">
        <v>-0.47370000000000001</v>
      </c>
      <c r="DZ18" s="229">
        <v>1.12E-2</v>
      </c>
      <c r="EA18" s="230">
        <v>23570000</v>
      </c>
      <c r="EB18" s="229">
        <v>5.0000000000000001E-3</v>
      </c>
      <c r="EC18" s="229">
        <v>1.12E-2</v>
      </c>
      <c r="ED18" s="228">
        <v>5.41</v>
      </c>
      <c r="EE18" s="229">
        <v>5.5999999999999999E-3</v>
      </c>
      <c r="EF18" s="230">
        <v>807229</v>
      </c>
      <c r="EG18" s="230">
        <v>915481</v>
      </c>
      <c r="EH18" s="229">
        <v>-0.1182</v>
      </c>
      <c r="EI18" s="229">
        <v>0.56469999999999998</v>
      </c>
      <c r="EJ18" s="231">
        <v>49464.160000000003</v>
      </c>
      <c r="EK18" s="231">
        <v>23137.01</v>
      </c>
      <c r="EL18" s="231">
        <v>32504.57</v>
      </c>
      <c r="EM18" s="231">
        <v>22107</v>
      </c>
      <c r="EN18" s="231">
        <v>105105.74</v>
      </c>
      <c r="EO18" s="231">
        <v>339999.78</v>
      </c>
      <c r="EP18" s="231">
        <v>-234894.04</v>
      </c>
      <c r="EQ18" s="229">
        <v>-0.69089999999999996</v>
      </c>
      <c r="ER18" s="231">
        <v>43539</v>
      </c>
      <c r="ES18" s="231">
        <v>29835</v>
      </c>
      <c r="ET18" s="231">
        <v>222415</v>
      </c>
      <c r="EU18" s="231">
        <v>86371921</v>
      </c>
      <c r="EV18" s="231">
        <v>295789</v>
      </c>
      <c r="EW18" s="231">
        <v>291137</v>
      </c>
      <c r="EX18" s="231">
        <v>4652</v>
      </c>
      <c r="EY18" s="229">
        <v>1.6E-2</v>
      </c>
      <c r="EZ18" s="229">
        <v>0.35220000000000001</v>
      </c>
      <c r="FA18" s="227" t="s">
        <v>568</v>
      </c>
      <c r="FB18" s="161">
        <f t="shared" si="0"/>
        <v>257000</v>
      </c>
    </row>
    <row r="19" spans="1:158" ht="17.25" hidden="1" thickBot="1" x14ac:dyDescent="0.3">
      <c r="A19" s="226">
        <v>46050</v>
      </c>
      <c r="B19" s="227" t="s">
        <v>170</v>
      </c>
      <c r="C19" s="227" t="s">
        <v>171</v>
      </c>
      <c r="D19" s="228">
        <v>550</v>
      </c>
      <c r="E19" s="231">
        <v>1142</v>
      </c>
      <c r="F19" s="231">
        <v>1136.4000000000001</v>
      </c>
      <c r="G19" s="228">
        <v>5.6</v>
      </c>
      <c r="H19" s="229">
        <v>4.8999999999999998E-3</v>
      </c>
      <c r="I19" s="231">
        <v>1139.9000000000001</v>
      </c>
      <c r="J19" s="231">
        <v>1129.7</v>
      </c>
      <c r="K19" s="228">
        <v>10.199999999999999</v>
      </c>
      <c r="L19" s="229">
        <v>8.9999999999999993E-3</v>
      </c>
      <c r="M19" s="231">
        <v>1142</v>
      </c>
      <c r="N19" s="231">
        <v>1130.7</v>
      </c>
      <c r="O19" s="228">
        <v>11.3</v>
      </c>
      <c r="P19" s="229">
        <v>0.01</v>
      </c>
      <c r="Q19" s="231">
        <v>1149.2</v>
      </c>
      <c r="R19" s="231">
        <v>1136.4000000000001</v>
      </c>
      <c r="S19" s="228">
        <v>12.8</v>
      </c>
      <c r="T19" s="229">
        <v>1.1299999999999999E-2</v>
      </c>
      <c r="U19" s="228">
        <v>0</v>
      </c>
      <c r="V19" s="231">
        <v>1143</v>
      </c>
      <c r="W19" s="228">
        <v>0</v>
      </c>
      <c r="X19" s="229">
        <v>0</v>
      </c>
      <c r="Y19" s="228">
        <v>2.1</v>
      </c>
      <c r="Z19" s="228">
        <v>6.7</v>
      </c>
      <c r="AA19" s="228">
        <v>-4.5999999999999996</v>
      </c>
      <c r="AB19" s="229">
        <v>1.8E-3</v>
      </c>
      <c r="AC19" s="228">
        <v>2.1</v>
      </c>
      <c r="AD19" s="228">
        <v>1</v>
      </c>
      <c r="AE19" s="228">
        <v>1.1000000000000001</v>
      </c>
      <c r="AF19" s="229">
        <v>1.8E-3</v>
      </c>
      <c r="AG19" s="228">
        <v>9.3000000000000007</v>
      </c>
      <c r="AH19" s="228">
        <v>6.7</v>
      </c>
      <c r="AI19" s="228">
        <v>2.6</v>
      </c>
      <c r="AJ19" s="229">
        <v>8.2000000000000007E-3</v>
      </c>
      <c r="AK19" s="228">
        <v>0</v>
      </c>
      <c r="AL19" s="228">
        <v>13.3</v>
      </c>
      <c r="AM19" s="228">
        <v>0</v>
      </c>
      <c r="AN19" s="229">
        <v>0</v>
      </c>
      <c r="AO19" s="231">
        <v>1135.95</v>
      </c>
      <c r="AP19" s="231">
        <v>1141.7</v>
      </c>
      <c r="AQ19" s="228">
        <v>0</v>
      </c>
      <c r="AR19" s="230">
        <v>1249050</v>
      </c>
      <c r="AS19" s="230">
        <v>8305000</v>
      </c>
      <c r="AT19" s="230">
        <v>-7055950</v>
      </c>
      <c r="AU19" s="229">
        <v>-0.84960000000000002</v>
      </c>
      <c r="AV19" s="230">
        <v>1232550</v>
      </c>
      <c r="AW19" s="230">
        <v>3786200</v>
      </c>
      <c r="AX19" s="230">
        <v>-2553650</v>
      </c>
      <c r="AY19" s="229">
        <v>-0.67449999999999999</v>
      </c>
      <c r="AZ19" s="230">
        <v>16500</v>
      </c>
      <c r="BA19" s="230">
        <v>4487450</v>
      </c>
      <c r="BB19" s="230">
        <v>-4470950</v>
      </c>
      <c r="BC19" s="229">
        <v>-0.99629999999999996</v>
      </c>
      <c r="BD19" s="228">
        <v>0</v>
      </c>
      <c r="BE19" s="230">
        <v>31350</v>
      </c>
      <c r="BF19" s="228">
        <v>0</v>
      </c>
      <c r="BG19" s="229">
        <v>0</v>
      </c>
      <c r="BH19" s="230">
        <v>1102200</v>
      </c>
      <c r="BI19" s="230">
        <v>2519000</v>
      </c>
      <c r="BJ19" s="230">
        <v>-1416800</v>
      </c>
      <c r="BK19" s="229">
        <v>-0.56240000000000001</v>
      </c>
      <c r="BL19" s="230">
        <v>570900</v>
      </c>
      <c r="BM19" s="230">
        <v>1832050</v>
      </c>
      <c r="BN19" s="230">
        <v>-1261150</v>
      </c>
      <c r="BO19" s="229">
        <v>-0.68840000000000001</v>
      </c>
      <c r="BP19" s="230">
        <v>2922150</v>
      </c>
      <c r="BQ19" s="230">
        <v>12656050</v>
      </c>
      <c r="BR19" s="230">
        <v>-9733900</v>
      </c>
      <c r="BS19" s="229">
        <v>-0.76910000000000001</v>
      </c>
      <c r="BT19" s="230">
        <v>627152</v>
      </c>
      <c r="BU19" s="230">
        <v>668292</v>
      </c>
      <c r="BV19" s="230">
        <v>-41140</v>
      </c>
      <c r="BW19" s="229">
        <v>-6.1600000000000002E-2</v>
      </c>
      <c r="BX19" s="230">
        <v>20971500</v>
      </c>
      <c r="BY19" s="230">
        <v>21022650</v>
      </c>
      <c r="BZ19" s="230">
        <v>-51150</v>
      </c>
      <c r="CA19" s="229">
        <v>-2.3999999999999998E-3</v>
      </c>
      <c r="CB19" s="230">
        <v>20890100</v>
      </c>
      <c r="CC19" s="230">
        <v>1141250</v>
      </c>
      <c r="CD19" s="230">
        <v>19748850</v>
      </c>
      <c r="CE19" s="229">
        <v>17.304600000000001</v>
      </c>
      <c r="CF19" s="230">
        <v>81400</v>
      </c>
      <c r="CG19" s="230">
        <v>20946750</v>
      </c>
      <c r="CH19" s="230">
        <v>-20865350</v>
      </c>
      <c r="CI19" s="229">
        <v>-0.99609999999999999</v>
      </c>
      <c r="CJ19" s="228">
        <v>0</v>
      </c>
      <c r="CK19" s="230">
        <v>75900</v>
      </c>
      <c r="CL19" s="230">
        <v>-75900</v>
      </c>
      <c r="CM19" s="229">
        <v>-1</v>
      </c>
      <c r="CN19" s="230">
        <v>1297450</v>
      </c>
      <c r="CO19" s="230">
        <v>1033450</v>
      </c>
      <c r="CP19" s="230">
        <v>264000</v>
      </c>
      <c r="CQ19" s="229">
        <v>0.2555</v>
      </c>
      <c r="CR19" s="230">
        <v>1503150</v>
      </c>
      <c r="CS19" s="230">
        <v>1314500</v>
      </c>
      <c r="CT19" s="230">
        <v>188650</v>
      </c>
      <c r="CU19" s="229">
        <v>0.14349999999999999</v>
      </c>
      <c r="CV19" s="230">
        <v>23772100</v>
      </c>
      <c r="CW19" s="230">
        <v>23370600</v>
      </c>
      <c r="CX19" s="230">
        <v>401500</v>
      </c>
      <c r="CY19" s="229">
        <v>1.72E-2</v>
      </c>
      <c r="CZ19" s="228">
        <v>33.65</v>
      </c>
      <c r="DA19" s="228">
        <v>33.659999999999997</v>
      </c>
      <c r="DB19" s="228">
        <v>-0.01</v>
      </c>
      <c r="DC19" s="228">
        <v>-0.01</v>
      </c>
      <c r="DD19" s="228">
        <v>32.130000000000003</v>
      </c>
      <c r="DE19" s="228">
        <v>32.200000000000003</v>
      </c>
      <c r="DF19" s="228">
        <v>1.52</v>
      </c>
      <c r="DG19" s="228">
        <v>-7.0000000000000007E-2</v>
      </c>
      <c r="DH19" s="228">
        <v>32.61</v>
      </c>
      <c r="DI19" s="228">
        <v>32.869999999999997</v>
      </c>
      <c r="DJ19" s="228">
        <v>-0.26</v>
      </c>
      <c r="DK19" s="228">
        <v>-0.26</v>
      </c>
      <c r="DL19" s="228">
        <v>35.64</v>
      </c>
      <c r="DM19" s="228">
        <v>34.68</v>
      </c>
      <c r="DN19" s="228">
        <v>0.96</v>
      </c>
      <c r="DO19" s="228">
        <v>0.96</v>
      </c>
      <c r="DP19" s="228">
        <v>1.1599999999999999</v>
      </c>
      <c r="DQ19" s="228">
        <v>1.27</v>
      </c>
      <c r="DR19" s="228">
        <v>-0.11</v>
      </c>
      <c r="DS19" s="229">
        <v>-8.6599999999999996E-2</v>
      </c>
      <c r="DT19" s="231">
        <v>1200</v>
      </c>
      <c r="DU19" s="231">
        <v>1200</v>
      </c>
      <c r="DV19" s="228">
        <v>0.52</v>
      </c>
      <c r="DW19" s="228">
        <v>0.73</v>
      </c>
      <c r="DX19" s="228">
        <v>-0.21</v>
      </c>
      <c r="DY19" s="229">
        <v>-0.28770000000000001</v>
      </c>
      <c r="DZ19" s="229">
        <v>3.8999999999999998E-3</v>
      </c>
      <c r="EA19" s="230">
        <v>21022650</v>
      </c>
      <c r="EB19" s="229">
        <v>6.3E-3</v>
      </c>
      <c r="EC19" s="229">
        <v>3.8999999999999998E-3</v>
      </c>
      <c r="ED19" s="228">
        <v>5.75</v>
      </c>
      <c r="EE19" s="229">
        <v>5.1000000000000004E-3</v>
      </c>
      <c r="EF19" s="230">
        <v>364114</v>
      </c>
      <c r="EG19" s="230">
        <v>307623</v>
      </c>
      <c r="EH19" s="229">
        <v>0.18360000000000001</v>
      </c>
      <c r="EI19" s="229">
        <v>0.5806</v>
      </c>
      <c r="EJ19" s="231">
        <v>13286.84</v>
      </c>
      <c r="EK19" s="231">
        <v>6326.52</v>
      </c>
      <c r="EL19" s="231">
        <v>14189.52</v>
      </c>
      <c r="EM19" s="231">
        <v>21294</v>
      </c>
      <c r="EN19" s="231">
        <v>33802.879999999997</v>
      </c>
      <c r="EO19" s="231">
        <v>145077.37</v>
      </c>
      <c r="EP19" s="231">
        <v>-111274.49</v>
      </c>
      <c r="EQ19" s="229">
        <v>-0.76700000000000002</v>
      </c>
      <c r="ER19" s="231">
        <v>15658</v>
      </c>
      <c r="ES19" s="231">
        <v>17042</v>
      </c>
      <c r="ET19" s="231">
        <v>239500</v>
      </c>
      <c r="EU19" s="231">
        <v>41977935</v>
      </c>
      <c r="EV19" s="231">
        <v>272201</v>
      </c>
      <c r="EW19" s="231">
        <v>266446</v>
      </c>
      <c r="EX19" s="231">
        <v>5755</v>
      </c>
      <c r="EY19" s="229">
        <v>2.1600000000000001E-2</v>
      </c>
      <c r="EZ19" s="229">
        <v>0.56630000000000003</v>
      </c>
      <c r="FA19" s="227" t="s">
        <v>556</v>
      </c>
      <c r="FB19" s="161">
        <f t="shared" si="0"/>
        <v>81400</v>
      </c>
    </row>
    <row r="20" spans="1:158" ht="17.25" hidden="1" thickBot="1" x14ac:dyDescent="0.3">
      <c r="A20" s="226">
        <v>46050</v>
      </c>
      <c r="B20" s="227" t="s">
        <v>172</v>
      </c>
      <c r="C20" s="227" t="s">
        <v>173</v>
      </c>
      <c r="D20" s="228">
        <v>625</v>
      </c>
      <c r="E20" s="231">
        <v>1323.6</v>
      </c>
      <c r="F20" s="231">
        <v>1323</v>
      </c>
      <c r="G20" s="228">
        <v>0.6</v>
      </c>
      <c r="H20" s="229">
        <v>5.0000000000000001E-4</v>
      </c>
      <c r="I20" s="231">
        <v>1319.8</v>
      </c>
      <c r="J20" s="231">
        <v>1315.8</v>
      </c>
      <c r="K20" s="228">
        <v>4</v>
      </c>
      <c r="L20" s="229">
        <v>3.0000000000000001E-3</v>
      </c>
      <c r="M20" s="231">
        <v>1323.6</v>
      </c>
      <c r="N20" s="231">
        <v>1312.6</v>
      </c>
      <c r="O20" s="228">
        <v>11</v>
      </c>
      <c r="P20" s="229">
        <v>8.3999999999999995E-3</v>
      </c>
      <c r="Q20" s="231">
        <v>1329</v>
      </c>
      <c r="R20" s="231">
        <v>1323</v>
      </c>
      <c r="S20" s="228">
        <v>6</v>
      </c>
      <c r="T20" s="229">
        <v>4.4999999999999997E-3</v>
      </c>
      <c r="U20" s="231">
        <v>1341.6</v>
      </c>
      <c r="V20" s="231">
        <v>1333</v>
      </c>
      <c r="W20" s="228">
        <v>8.6</v>
      </c>
      <c r="X20" s="229">
        <v>6.4999999999999997E-3</v>
      </c>
      <c r="Y20" s="228">
        <v>3.8</v>
      </c>
      <c r="Z20" s="228">
        <v>7.2</v>
      </c>
      <c r="AA20" s="228">
        <v>-3.4</v>
      </c>
      <c r="AB20" s="229">
        <v>2.8999999999999998E-3</v>
      </c>
      <c r="AC20" s="228">
        <v>3.8</v>
      </c>
      <c r="AD20" s="228">
        <v>-3.2</v>
      </c>
      <c r="AE20" s="228">
        <v>7</v>
      </c>
      <c r="AF20" s="229">
        <v>2.8999999999999998E-3</v>
      </c>
      <c r="AG20" s="228">
        <v>9.1999999999999993</v>
      </c>
      <c r="AH20" s="228">
        <v>7.2</v>
      </c>
      <c r="AI20" s="228">
        <v>2</v>
      </c>
      <c r="AJ20" s="229">
        <v>7.0000000000000001E-3</v>
      </c>
      <c r="AK20" s="228">
        <v>21.8</v>
      </c>
      <c r="AL20" s="228">
        <v>17.2</v>
      </c>
      <c r="AM20" s="228">
        <v>4.5999999999999996</v>
      </c>
      <c r="AN20" s="229">
        <v>1.6500000000000001E-2</v>
      </c>
      <c r="AO20" s="231">
        <v>1343.74</v>
      </c>
      <c r="AP20" s="231">
        <v>1343.79</v>
      </c>
      <c r="AQ20" s="228">
        <v>0</v>
      </c>
      <c r="AR20" s="230">
        <v>16814375</v>
      </c>
      <c r="AS20" s="230">
        <v>69125000</v>
      </c>
      <c r="AT20" s="230">
        <v>-52310625</v>
      </c>
      <c r="AU20" s="229">
        <v>-0.75680000000000003</v>
      </c>
      <c r="AV20" s="230">
        <v>16259375</v>
      </c>
      <c r="AW20" s="230">
        <v>30458125</v>
      </c>
      <c r="AX20" s="230">
        <v>-14198750</v>
      </c>
      <c r="AY20" s="229">
        <v>-0.4662</v>
      </c>
      <c r="AZ20" s="230">
        <v>515625</v>
      </c>
      <c r="BA20" s="230">
        <v>38281875</v>
      </c>
      <c r="BB20" s="230">
        <v>-37766250</v>
      </c>
      <c r="BC20" s="229">
        <v>-0.98650000000000004</v>
      </c>
      <c r="BD20" s="230">
        <v>39375</v>
      </c>
      <c r="BE20" s="230">
        <v>385000</v>
      </c>
      <c r="BF20" s="230">
        <v>-345625</v>
      </c>
      <c r="BG20" s="229">
        <v>-0.89770000000000005</v>
      </c>
      <c r="BH20" s="230">
        <v>54004375</v>
      </c>
      <c r="BI20" s="230">
        <v>217629375</v>
      </c>
      <c r="BJ20" s="230">
        <v>-163625000</v>
      </c>
      <c r="BK20" s="229">
        <v>-0.75190000000000001</v>
      </c>
      <c r="BL20" s="230">
        <v>37140625</v>
      </c>
      <c r="BM20" s="230">
        <v>102958125</v>
      </c>
      <c r="BN20" s="230">
        <v>-65817500</v>
      </c>
      <c r="BO20" s="229">
        <v>-0.63929999999999998</v>
      </c>
      <c r="BP20" s="230">
        <v>107959375</v>
      </c>
      <c r="BQ20" s="230">
        <v>389712500</v>
      </c>
      <c r="BR20" s="230">
        <v>-281753125</v>
      </c>
      <c r="BS20" s="229">
        <v>-0.72299999999999998</v>
      </c>
      <c r="BT20" s="230">
        <v>16003571</v>
      </c>
      <c r="BU20" s="230">
        <v>28698217</v>
      </c>
      <c r="BV20" s="230">
        <v>-12694646</v>
      </c>
      <c r="BW20" s="229">
        <v>-0.44230000000000003</v>
      </c>
      <c r="BX20" s="230">
        <v>81479375</v>
      </c>
      <c r="BY20" s="230">
        <v>85845000</v>
      </c>
      <c r="BZ20" s="230">
        <v>-4365625</v>
      </c>
      <c r="CA20" s="229">
        <v>-5.0900000000000001E-2</v>
      </c>
      <c r="CB20" s="230">
        <v>78914375</v>
      </c>
      <c r="CC20" s="230">
        <v>12181250</v>
      </c>
      <c r="CD20" s="230">
        <v>66733125</v>
      </c>
      <c r="CE20" s="229">
        <v>5.4782999999999999</v>
      </c>
      <c r="CF20" s="230">
        <v>2538750</v>
      </c>
      <c r="CG20" s="230">
        <v>83531875</v>
      </c>
      <c r="CH20" s="230">
        <v>-80993125</v>
      </c>
      <c r="CI20" s="229">
        <v>-0.96960000000000002</v>
      </c>
      <c r="CJ20" s="230">
        <v>26250</v>
      </c>
      <c r="CK20" s="230">
        <v>2313125</v>
      </c>
      <c r="CL20" s="230">
        <v>-2286875</v>
      </c>
      <c r="CM20" s="229">
        <v>-0.98870000000000002</v>
      </c>
      <c r="CN20" s="230">
        <v>12759375</v>
      </c>
      <c r="CO20" s="230">
        <v>8644375</v>
      </c>
      <c r="CP20" s="230">
        <v>4115000</v>
      </c>
      <c r="CQ20" s="229">
        <v>0.47599999999999998</v>
      </c>
      <c r="CR20" s="230">
        <v>11201875</v>
      </c>
      <c r="CS20" s="230">
        <v>9972500</v>
      </c>
      <c r="CT20" s="230">
        <v>1229375</v>
      </c>
      <c r="CU20" s="229">
        <v>0.12330000000000001</v>
      </c>
      <c r="CV20" s="230">
        <v>105440625</v>
      </c>
      <c r="CW20" s="230">
        <v>104461875</v>
      </c>
      <c r="CX20" s="230">
        <v>978750</v>
      </c>
      <c r="CY20" s="229">
        <v>9.4000000000000004E-3</v>
      </c>
      <c r="CZ20" s="228">
        <v>23.19</v>
      </c>
      <c r="DA20" s="228">
        <v>24.06</v>
      </c>
      <c r="DB20" s="228">
        <v>-0.87</v>
      </c>
      <c r="DC20" s="228">
        <v>-0.87</v>
      </c>
      <c r="DD20" s="228">
        <v>26.29</v>
      </c>
      <c r="DE20" s="228">
        <v>26.35</v>
      </c>
      <c r="DF20" s="228">
        <v>-3.1</v>
      </c>
      <c r="DG20" s="228">
        <v>-0.06</v>
      </c>
      <c r="DH20" s="228">
        <v>22.88</v>
      </c>
      <c r="DI20" s="228">
        <v>23.69</v>
      </c>
      <c r="DJ20" s="228">
        <v>-0.81</v>
      </c>
      <c r="DK20" s="228">
        <v>-0.81</v>
      </c>
      <c r="DL20" s="228">
        <v>23.63</v>
      </c>
      <c r="DM20" s="228">
        <v>24.65</v>
      </c>
      <c r="DN20" s="228">
        <v>-1.02</v>
      </c>
      <c r="DO20" s="228">
        <v>-1.02</v>
      </c>
      <c r="DP20" s="228">
        <v>0.88</v>
      </c>
      <c r="DQ20" s="228">
        <v>1.1499999999999999</v>
      </c>
      <c r="DR20" s="228">
        <v>-0.27</v>
      </c>
      <c r="DS20" s="229">
        <v>-0.23480000000000001</v>
      </c>
      <c r="DT20" s="231">
        <v>1300</v>
      </c>
      <c r="DU20" s="231">
        <v>1250</v>
      </c>
      <c r="DV20" s="228">
        <v>0.69</v>
      </c>
      <c r="DW20" s="228">
        <v>0.47</v>
      </c>
      <c r="DX20" s="228">
        <v>0.22</v>
      </c>
      <c r="DY20" s="229">
        <v>0.46810000000000002</v>
      </c>
      <c r="DZ20" s="229">
        <v>3.15E-2</v>
      </c>
      <c r="EA20" s="230">
        <v>85845000</v>
      </c>
      <c r="EB20" s="229">
        <v>4.1000000000000003E-3</v>
      </c>
      <c r="EC20" s="229">
        <v>3.15E-2</v>
      </c>
      <c r="ED20" s="228">
        <v>0.05</v>
      </c>
      <c r="EE20" s="229">
        <v>0</v>
      </c>
      <c r="EF20" s="230">
        <v>9836558</v>
      </c>
      <c r="EG20" s="230">
        <v>15567070</v>
      </c>
      <c r="EH20" s="229">
        <v>-0.36809999999999998</v>
      </c>
      <c r="EI20" s="229">
        <v>0.61460000000000004</v>
      </c>
      <c r="EJ20" s="231">
        <v>758135.71</v>
      </c>
      <c r="EK20" s="231">
        <v>491248.67</v>
      </c>
      <c r="EL20" s="231">
        <v>225945.96</v>
      </c>
      <c r="EM20" s="231">
        <v>94297</v>
      </c>
      <c r="EN20" s="231">
        <v>1475330.34</v>
      </c>
      <c r="EO20" s="231">
        <v>5172489.55</v>
      </c>
      <c r="EP20" s="231">
        <v>-3697159.21</v>
      </c>
      <c r="EQ20" s="229">
        <v>-0.71479999999999999</v>
      </c>
      <c r="ER20" s="231">
        <v>174408</v>
      </c>
      <c r="ES20" s="231">
        <v>142746</v>
      </c>
      <c r="ET20" s="231">
        <v>1078603</v>
      </c>
      <c r="EU20" s="231">
        <v>296371456</v>
      </c>
      <c r="EV20" s="231">
        <v>1395756</v>
      </c>
      <c r="EW20" s="231">
        <v>1379501</v>
      </c>
      <c r="EX20" s="231">
        <v>16255</v>
      </c>
      <c r="EY20" s="229">
        <v>1.18E-2</v>
      </c>
      <c r="EZ20" s="229">
        <v>0.35580000000000001</v>
      </c>
      <c r="FA20" s="227" t="s">
        <v>556</v>
      </c>
      <c r="FB20" s="161">
        <f t="shared" si="0"/>
        <v>2565000</v>
      </c>
    </row>
    <row r="21" spans="1:158" ht="17.25" hidden="1" thickBot="1" x14ac:dyDescent="0.3">
      <c r="A21" s="226">
        <v>46050</v>
      </c>
      <c r="B21" s="227" t="s">
        <v>162</v>
      </c>
      <c r="C21" s="227" t="s">
        <v>174</v>
      </c>
      <c r="D21" s="228">
        <v>75</v>
      </c>
      <c r="E21" s="231">
        <v>9459</v>
      </c>
      <c r="F21" s="231">
        <v>9531.5</v>
      </c>
      <c r="G21" s="228">
        <v>-72.5</v>
      </c>
      <c r="H21" s="229">
        <v>-7.6E-3</v>
      </c>
      <c r="I21" s="231">
        <v>9433.5</v>
      </c>
      <c r="J21" s="231">
        <v>9492</v>
      </c>
      <c r="K21" s="228">
        <v>-58.5</v>
      </c>
      <c r="L21" s="229">
        <v>-6.1999999999999998E-3</v>
      </c>
      <c r="M21" s="231">
        <v>9459</v>
      </c>
      <c r="N21" s="231">
        <v>9490.5</v>
      </c>
      <c r="O21" s="228">
        <v>-31.5</v>
      </c>
      <c r="P21" s="229">
        <v>-3.3E-3</v>
      </c>
      <c r="Q21" s="231">
        <v>9497</v>
      </c>
      <c r="R21" s="231">
        <v>9531.5</v>
      </c>
      <c r="S21" s="228">
        <v>-34.5</v>
      </c>
      <c r="T21" s="229">
        <v>-3.5999999999999999E-3</v>
      </c>
      <c r="U21" s="231">
        <v>9449</v>
      </c>
      <c r="V21" s="231">
        <v>9568</v>
      </c>
      <c r="W21" s="228">
        <v>-119</v>
      </c>
      <c r="X21" s="229">
        <v>-1.24E-2</v>
      </c>
      <c r="Y21" s="228">
        <v>25.5</v>
      </c>
      <c r="Z21" s="228">
        <v>39.5</v>
      </c>
      <c r="AA21" s="228">
        <v>-14</v>
      </c>
      <c r="AB21" s="229">
        <v>2.7000000000000001E-3</v>
      </c>
      <c r="AC21" s="228">
        <v>25.5</v>
      </c>
      <c r="AD21" s="228">
        <v>-1.5</v>
      </c>
      <c r="AE21" s="228">
        <v>27</v>
      </c>
      <c r="AF21" s="229">
        <v>2.7000000000000001E-3</v>
      </c>
      <c r="AG21" s="228">
        <v>63.5</v>
      </c>
      <c r="AH21" s="228">
        <v>39.5</v>
      </c>
      <c r="AI21" s="228">
        <v>24</v>
      </c>
      <c r="AJ21" s="229">
        <v>6.7000000000000002E-3</v>
      </c>
      <c r="AK21" s="228">
        <v>15.5</v>
      </c>
      <c r="AL21" s="228">
        <v>76</v>
      </c>
      <c r="AM21" s="228">
        <v>-60.5</v>
      </c>
      <c r="AN21" s="229">
        <v>1.6000000000000001E-3</v>
      </c>
      <c r="AO21" s="231">
        <v>9376.32</v>
      </c>
      <c r="AP21" s="231">
        <v>9407.33</v>
      </c>
      <c r="AQ21" s="228">
        <v>0</v>
      </c>
      <c r="AR21" s="230">
        <v>642975</v>
      </c>
      <c r="AS21" s="230">
        <v>1189425</v>
      </c>
      <c r="AT21" s="230">
        <v>-546450</v>
      </c>
      <c r="AU21" s="229">
        <v>-0.45939999999999998</v>
      </c>
      <c r="AV21" s="230">
        <v>617925</v>
      </c>
      <c r="AW21" s="230">
        <v>483750</v>
      </c>
      <c r="AX21" s="230">
        <v>134175</v>
      </c>
      <c r="AY21" s="229">
        <v>0.27739999999999998</v>
      </c>
      <c r="AZ21" s="230">
        <v>24300</v>
      </c>
      <c r="BA21" s="230">
        <v>691500</v>
      </c>
      <c r="BB21" s="230">
        <v>-667200</v>
      </c>
      <c r="BC21" s="229">
        <v>-0.96489999999999998</v>
      </c>
      <c r="BD21" s="228">
        <v>750</v>
      </c>
      <c r="BE21" s="230">
        <v>14175</v>
      </c>
      <c r="BF21" s="230">
        <v>-13425</v>
      </c>
      <c r="BG21" s="229">
        <v>-0.94710000000000005</v>
      </c>
      <c r="BH21" s="230">
        <v>1376100</v>
      </c>
      <c r="BI21" s="230">
        <v>2164575</v>
      </c>
      <c r="BJ21" s="230">
        <v>-788475</v>
      </c>
      <c r="BK21" s="229">
        <v>-0.36430000000000001</v>
      </c>
      <c r="BL21" s="230">
        <v>1537275</v>
      </c>
      <c r="BM21" s="230">
        <v>1341075</v>
      </c>
      <c r="BN21" s="230">
        <v>196200</v>
      </c>
      <c r="BO21" s="229">
        <v>0.14630000000000001</v>
      </c>
      <c r="BP21" s="230">
        <v>3556350</v>
      </c>
      <c r="BQ21" s="230">
        <v>4695075</v>
      </c>
      <c r="BR21" s="230">
        <v>-1138725</v>
      </c>
      <c r="BS21" s="229">
        <v>-0.24249999999999999</v>
      </c>
      <c r="BT21" s="230">
        <v>360252</v>
      </c>
      <c r="BU21" s="230">
        <v>307406</v>
      </c>
      <c r="BV21" s="230">
        <v>52846</v>
      </c>
      <c r="BW21" s="229">
        <v>0.1719</v>
      </c>
      <c r="BX21" s="230">
        <v>3292275</v>
      </c>
      <c r="BY21" s="230">
        <v>3305700</v>
      </c>
      <c r="BZ21" s="230">
        <v>-13425</v>
      </c>
      <c r="CA21" s="229">
        <v>-4.1000000000000003E-3</v>
      </c>
      <c r="CB21" s="230">
        <v>3236700</v>
      </c>
      <c r="CC21" s="230">
        <v>155550</v>
      </c>
      <c r="CD21" s="230">
        <v>3081150</v>
      </c>
      <c r="CE21" s="229">
        <v>19.8081</v>
      </c>
      <c r="CF21" s="230">
        <v>54825</v>
      </c>
      <c r="CG21" s="230">
        <v>3252750</v>
      </c>
      <c r="CH21" s="230">
        <v>-3197925</v>
      </c>
      <c r="CI21" s="229">
        <v>-0.98309999999999997</v>
      </c>
      <c r="CJ21" s="228">
        <v>750</v>
      </c>
      <c r="CK21" s="230">
        <v>52950</v>
      </c>
      <c r="CL21" s="230">
        <v>-52200</v>
      </c>
      <c r="CM21" s="229">
        <v>-0.98580000000000001</v>
      </c>
      <c r="CN21" s="230">
        <v>509025</v>
      </c>
      <c r="CO21" s="230">
        <v>411600</v>
      </c>
      <c r="CP21" s="230">
        <v>97425</v>
      </c>
      <c r="CQ21" s="229">
        <v>0.23669999999999999</v>
      </c>
      <c r="CR21" s="230">
        <v>440625</v>
      </c>
      <c r="CS21" s="230">
        <v>340350</v>
      </c>
      <c r="CT21" s="230">
        <v>100275</v>
      </c>
      <c r="CU21" s="229">
        <v>0.29459999999999997</v>
      </c>
      <c r="CV21" s="230">
        <v>4241925</v>
      </c>
      <c r="CW21" s="230">
        <v>4057650</v>
      </c>
      <c r="CX21" s="230">
        <v>184275</v>
      </c>
      <c r="CY21" s="229">
        <v>4.5400000000000003E-2</v>
      </c>
      <c r="CZ21" s="228">
        <v>29.34</v>
      </c>
      <c r="DA21" s="228">
        <v>28.9</v>
      </c>
      <c r="DB21" s="228">
        <v>0.44</v>
      </c>
      <c r="DC21" s="228">
        <v>0.44</v>
      </c>
      <c r="DD21" s="228">
        <v>27.8</v>
      </c>
      <c r="DE21" s="228">
        <v>27.86</v>
      </c>
      <c r="DF21" s="228">
        <v>1.54</v>
      </c>
      <c r="DG21" s="228">
        <v>-0.06</v>
      </c>
      <c r="DH21" s="228">
        <v>28.45</v>
      </c>
      <c r="DI21" s="228">
        <v>27.88</v>
      </c>
      <c r="DJ21" s="228">
        <v>0.56999999999999995</v>
      </c>
      <c r="DK21" s="228">
        <v>0.56999999999999995</v>
      </c>
      <c r="DL21" s="228">
        <v>30.13</v>
      </c>
      <c r="DM21" s="228">
        <v>30.04</v>
      </c>
      <c r="DN21" s="228">
        <v>0.09</v>
      </c>
      <c r="DO21" s="228">
        <v>0.09</v>
      </c>
      <c r="DP21" s="228">
        <v>0.87</v>
      </c>
      <c r="DQ21" s="228">
        <v>0.83</v>
      </c>
      <c r="DR21" s="228">
        <v>0.04</v>
      </c>
      <c r="DS21" s="229">
        <v>4.82E-2</v>
      </c>
      <c r="DT21" s="231">
        <v>10000</v>
      </c>
      <c r="DU21" s="231">
        <v>8800</v>
      </c>
      <c r="DV21" s="228">
        <v>1.1200000000000001</v>
      </c>
      <c r="DW21" s="228">
        <v>0.62</v>
      </c>
      <c r="DX21" s="228">
        <v>0.5</v>
      </c>
      <c r="DY21" s="229">
        <v>0.80649999999999999</v>
      </c>
      <c r="DZ21" s="229">
        <v>1.6899999999999998E-2</v>
      </c>
      <c r="EA21" s="230">
        <v>3305700</v>
      </c>
      <c r="EB21" s="229">
        <v>4.0000000000000001E-3</v>
      </c>
      <c r="EC21" s="229">
        <v>1.6899999999999998E-2</v>
      </c>
      <c r="ED21" s="228">
        <v>31.01</v>
      </c>
      <c r="EE21" s="229">
        <v>3.3E-3</v>
      </c>
      <c r="EF21" s="230">
        <v>159254</v>
      </c>
      <c r="EG21" s="230">
        <v>133114</v>
      </c>
      <c r="EH21" s="229">
        <v>0.19639999999999999</v>
      </c>
      <c r="EI21" s="229">
        <v>0.44209999999999999</v>
      </c>
      <c r="EJ21" s="231">
        <v>138328.70000000001</v>
      </c>
      <c r="EK21" s="231">
        <v>140738.60999999999</v>
      </c>
      <c r="EL21" s="231">
        <v>60295.44</v>
      </c>
      <c r="EM21" s="231">
        <v>34587</v>
      </c>
      <c r="EN21" s="231">
        <v>339362.75</v>
      </c>
      <c r="EO21" s="231">
        <v>447474.89</v>
      </c>
      <c r="EP21" s="231">
        <v>-108112.14</v>
      </c>
      <c r="EQ21" s="229">
        <v>-0.24160000000000001</v>
      </c>
      <c r="ER21" s="231">
        <v>50569</v>
      </c>
      <c r="ES21" s="231">
        <v>39433</v>
      </c>
      <c r="ET21" s="231">
        <v>311437</v>
      </c>
      <c r="EU21" s="231">
        <v>15906526</v>
      </c>
      <c r="EV21" s="231">
        <v>401439</v>
      </c>
      <c r="EW21" s="231">
        <v>386621</v>
      </c>
      <c r="EX21" s="231">
        <v>14818</v>
      </c>
      <c r="EY21" s="229">
        <v>3.8300000000000001E-2</v>
      </c>
      <c r="EZ21" s="229">
        <v>0.26669999999999999</v>
      </c>
      <c r="FA21" s="227" t="s">
        <v>568</v>
      </c>
      <c r="FB21" s="161">
        <f t="shared" si="0"/>
        <v>55575</v>
      </c>
    </row>
    <row r="22" spans="1:158" ht="17.25" hidden="1" thickBot="1" x14ac:dyDescent="0.3">
      <c r="A22" s="226">
        <v>46050</v>
      </c>
      <c r="B22" s="227" t="s">
        <v>175</v>
      </c>
      <c r="C22" s="227" t="s">
        <v>176</v>
      </c>
      <c r="D22" s="228">
        <v>250</v>
      </c>
      <c r="E22" s="231">
        <v>1951.2</v>
      </c>
      <c r="F22" s="231">
        <v>1927.7</v>
      </c>
      <c r="G22" s="228">
        <v>23.5</v>
      </c>
      <c r="H22" s="229">
        <v>1.2200000000000001E-2</v>
      </c>
      <c r="I22" s="231">
        <v>1940.3</v>
      </c>
      <c r="J22" s="231">
        <v>1917.7</v>
      </c>
      <c r="K22" s="228">
        <v>22.6</v>
      </c>
      <c r="L22" s="229">
        <v>1.18E-2</v>
      </c>
      <c r="M22" s="231">
        <v>1951.2</v>
      </c>
      <c r="N22" s="231">
        <v>1916.1</v>
      </c>
      <c r="O22" s="228">
        <v>35.1</v>
      </c>
      <c r="P22" s="229">
        <v>1.83E-2</v>
      </c>
      <c r="Q22" s="231">
        <v>1963.9</v>
      </c>
      <c r="R22" s="231">
        <v>1927.7</v>
      </c>
      <c r="S22" s="228">
        <v>36.200000000000003</v>
      </c>
      <c r="T22" s="229">
        <v>1.8800000000000001E-2</v>
      </c>
      <c r="U22" s="231">
        <v>1974.9</v>
      </c>
      <c r="V22" s="231">
        <v>1945.3</v>
      </c>
      <c r="W22" s="228">
        <v>29.6</v>
      </c>
      <c r="X22" s="229">
        <v>1.52E-2</v>
      </c>
      <c r="Y22" s="228">
        <v>10.9</v>
      </c>
      <c r="Z22" s="228">
        <v>10</v>
      </c>
      <c r="AA22" s="228">
        <v>0.9</v>
      </c>
      <c r="AB22" s="229">
        <v>5.5999999999999999E-3</v>
      </c>
      <c r="AC22" s="228">
        <v>10.9</v>
      </c>
      <c r="AD22" s="228">
        <v>-1.6</v>
      </c>
      <c r="AE22" s="228">
        <v>12.5</v>
      </c>
      <c r="AF22" s="229">
        <v>5.5999999999999999E-3</v>
      </c>
      <c r="AG22" s="228">
        <v>23.6</v>
      </c>
      <c r="AH22" s="228">
        <v>10</v>
      </c>
      <c r="AI22" s="228">
        <v>13.6</v>
      </c>
      <c r="AJ22" s="229">
        <v>1.2200000000000001E-2</v>
      </c>
      <c r="AK22" s="228">
        <v>34.6</v>
      </c>
      <c r="AL22" s="228">
        <v>27.6</v>
      </c>
      <c r="AM22" s="228">
        <v>7</v>
      </c>
      <c r="AN22" s="229">
        <v>1.78E-2</v>
      </c>
      <c r="AO22" s="231">
        <v>1944.16</v>
      </c>
      <c r="AP22" s="231">
        <v>1956.53</v>
      </c>
      <c r="AQ22" s="228">
        <v>0</v>
      </c>
      <c r="AR22" s="230">
        <v>1352250</v>
      </c>
      <c r="AS22" s="230">
        <v>10168750</v>
      </c>
      <c r="AT22" s="230">
        <v>-8816500</v>
      </c>
      <c r="AU22" s="229">
        <v>-0.86699999999999999</v>
      </c>
      <c r="AV22" s="230">
        <v>1282500</v>
      </c>
      <c r="AW22" s="230">
        <v>4680000</v>
      </c>
      <c r="AX22" s="230">
        <v>-3397500</v>
      </c>
      <c r="AY22" s="229">
        <v>-0.72599999999999998</v>
      </c>
      <c r="AZ22" s="230">
        <v>60000</v>
      </c>
      <c r="BA22" s="230">
        <v>5371000</v>
      </c>
      <c r="BB22" s="230">
        <v>-5311000</v>
      </c>
      <c r="BC22" s="229">
        <v>-0.98880000000000001</v>
      </c>
      <c r="BD22" s="230">
        <v>9750</v>
      </c>
      <c r="BE22" s="230">
        <v>117750</v>
      </c>
      <c r="BF22" s="230">
        <v>-108000</v>
      </c>
      <c r="BG22" s="229">
        <v>-0.91720000000000002</v>
      </c>
      <c r="BH22" s="230">
        <v>1815750</v>
      </c>
      <c r="BI22" s="230">
        <v>4855500</v>
      </c>
      <c r="BJ22" s="230">
        <v>-3039750</v>
      </c>
      <c r="BK22" s="229">
        <v>-0.626</v>
      </c>
      <c r="BL22" s="230">
        <v>1032250</v>
      </c>
      <c r="BM22" s="230">
        <v>4490000</v>
      </c>
      <c r="BN22" s="230">
        <v>-3457750</v>
      </c>
      <c r="BO22" s="229">
        <v>-0.77010000000000001</v>
      </c>
      <c r="BP22" s="230">
        <v>4200250</v>
      </c>
      <c r="BQ22" s="230">
        <v>19514250</v>
      </c>
      <c r="BR22" s="230">
        <v>-15314000</v>
      </c>
      <c r="BS22" s="229">
        <v>-0.78480000000000005</v>
      </c>
      <c r="BT22" s="230">
        <v>3730150</v>
      </c>
      <c r="BU22" s="230">
        <v>4763923</v>
      </c>
      <c r="BV22" s="230">
        <v>-1033773</v>
      </c>
      <c r="BW22" s="229">
        <v>-0.217</v>
      </c>
      <c r="BX22" s="230">
        <v>14877250</v>
      </c>
      <c r="BY22" s="230">
        <v>14950000</v>
      </c>
      <c r="BZ22" s="230">
        <v>-72750</v>
      </c>
      <c r="CA22" s="229">
        <v>-4.8999999999999998E-3</v>
      </c>
      <c r="CB22" s="230">
        <v>14592250</v>
      </c>
      <c r="CC22" s="230">
        <v>1911500</v>
      </c>
      <c r="CD22" s="230">
        <v>12680750</v>
      </c>
      <c r="CE22" s="229">
        <v>6.6338999999999997</v>
      </c>
      <c r="CF22" s="230">
        <v>278000</v>
      </c>
      <c r="CG22" s="230">
        <v>14690500</v>
      </c>
      <c r="CH22" s="230">
        <v>-14412500</v>
      </c>
      <c r="CI22" s="229">
        <v>-0.98109999999999997</v>
      </c>
      <c r="CJ22" s="230">
        <v>7000</v>
      </c>
      <c r="CK22" s="230">
        <v>259500</v>
      </c>
      <c r="CL22" s="230">
        <v>-252500</v>
      </c>
      <c r="CM22" s="229">
        <v>-0.97299999999999998</v>
      </c>
      <c r="CN22" s="230">
        <v>1799500</v>
      </c>
      <c r="CO22" s="230">
        <v>1588750</v>
      </c>
      <c r="CP22" s="230">
        <v>210750</v>
      </c>
      <c r="CQ22" s="229">
        <v>0.13270000000000001</v>
      </c>
      <c r="CR22" s="230">
        <v>1930500</v>
      </c>
      <c r="CS22" s="230">
        <v>1680750</v>
      </c>
      <c r="CT22" s="230">
        <v>249750</v>
      </c>
      <c r="CU22" s="229">
        <v>0.14860000000000001</v>
      </c>
      <c r="CV22" s="230">
        <v>18607250</v>
      </c>
      <c r="CW22" s="230">
        <v>18219500</v>
      </c>
      <c r="CX22" s="230">
        <v>387750</v>
      </c>
      <c r="CY22" s="229">
        <v>2.1299999999999999E-2</v>
      </c>
      <c r="CZ22" s="228">
        <v>28.77</v>
      </c>
      <c r="DA22" s="228">
        <v>29.6</v>
      </c>
      <c r="DB22" s="228">
        <v>-0.83</v>
      </c>
      <c r="DC22" s="228">
        <v>-0.83</v>
      </c>
      <c r="DD22" s="228">
        <v>27.82</v>
      </c>
      <c r="DE22" s="228">
        <v>27.84</v>
      </c>
      <c r="DF22" s="228">
        <v>0.95</v>
      </c>
      <c r="DG22" s="228">
        <v>-0.02</v>
      </c>
      <c r="DH22" s="228">
        <v>28.06</v>
      </c>
      <c r="DI22" s="228">
        <v>28.89</v>
      </c>
      <c r="DJ22" s="228">
        <v>-0.83</v>
      </c>
      <c r="DK22" s="228">
        <v>-0.83</v>
      </c>
      <c r="DL22" s="228">
        <v>30.01</v>
      </c>
      <c r="DM22" s="228">
        <v>30.55</v>
      </c>
      <c r="DN22" s="228">
        <v>-0.54</v>
      </c>
      <c r="DO22" s="228">
        <v>-0.54</v>
      </c>
      <c r="DP22" s="228">
        <v>1.07</v>
      </c>
      <c r="DQ22" s="228">
        <v>1.06</v>
      </c>
      <c r="DR22" s="228">
        <v>0.01</v>
      </c>
      <c r="DS22" s="229">
        <v>9.4000000000000004E-3</v>
      </c>
      <c r="DT22" s="231">
        <v>2000</v>
      </c>
      <c r="DU22" s="231">
        <v>1820</v>
      </c>
      <c r="DV22" s="228">
        <v>0.56999999999999995</v>
      </c>
      <c r="DW22" s="228">
        <v>0.92</v>
      </c>
      <c r="DX22" s="228">
        <v>-0.35</v>
      </c>
      <c r="DY22" s="229">
        <v>-0.38040000000000002</v>
      </c>
      <c r="DZ22" s="229">
        <v>1.9199999999999998E-2</v>
      </c>
      <c r="EA22" s="230">
        <v>14950000</v>
      </c>
      <c r="EB22" s="229">
        <v>6.4999999999999997E-3</v>
      </c>
      <c r="EC22" s="229">
        <v>1.9199999999999998E-2</v>
      </c>
      <c r="ED22" s="228">
        <v>12.37</v>
      </c>
      <c r="EE22" s="229">
        <v>6.4000000000000003E-3</v>
      </c>
      <c r="EF22" s="230">
        <v>3143617</v>
      </c>
      <c r="EG22" s="230">
        <v>2915475</v>
      </c>
      <c r="EH22" s="229">
        <v>7.8299999999999995E-2</v>
      </c>
      <c r="EI22" s="229">
        <v>0.84279999999999999</v>
      </c>
      <c r="EJ22" s="231">
        <v>37564.9</v>
      </c>
      <c r="EK22" s="231">
        <v>19781.900000000001</v>
      </c>
      <c r="EL22" s="231">
        <v>26299.72</v>
      </c>
      <c r="EM22" s="231">
        <v>39149</v>
      </c>
      <c r="EN22" s="231">
        <v>83646.52</v>
      </c>
      <c r="EO22" s="231">
        <v>382954.14</v>
      </c>
      <c r="EP22" s="231">
        <v>-299307.62</v>
      </c>
      <c r="EQ22" s="229">
        <v>-0.78159999999999996</v>
      </c>
      <c r="ER22" s="231">
        <v>36623</v>
      </c>
      <c r="ES22" s="231">
        <v>37102</v>
      </c>
      <c r="ET22" s="231">
        <v>290322</v>
      </c>
      <c r="EU22" s="231">
        <v>65701623</v>
      </c>
      <c r="EV22" s="231">
        <v>364047</v>
      </c>
      <c r="EW22" s="231">
        <v>353042</v>
      </c>
      <c r="EX22" s="231">
        <v>11005</v>
      </c>
      <c r="EY22" s="229">
        <v>3.1199999999999999E-2</v>
      </c>
      <c r="EZ22" s="229">
        <v>0.28320000000000001</v>
      </c>
      <c r="FA22" s="227" t="s">
        <v>556</v>
      </c>
      <c r="FB22" s="161">
        <f t="shared" si="0"/>
        <v>285000</v>
      </c>
    </row>
    <row r="23" spans="1:158" ht="17.25" hidden="1" thickBot="1" x14ac:dyDescent="0.3">
      <c r="A23" s="226">
        <v>46050</v>
      </c>
      <c r="B23" s="227" t="s">
        <v>175</v>
      </c>
      <c r="C23" s="227" t="s">
        <v>690</v>
      </c>
      <c r="D23" s="228">
        <v>50</v>
      </c>
      <c r="E23" s="231">
        <v>10732</v>
      </c>
      <c r="F23" s="231">
        <v>10678</v>
      </c>
      <c r="G23" s="228">
        <v>54</v>
      </c>
      <c r="H23" s="229">
        <v>5.1000000000000004E-3</v>
      </c>
      <c r="I23" s="231">
        <v>10704</v>
      </c>
      <c r="J23" s="231">
        <v>10609</v>
      </c>
      <c r="K23" s="228">
        <v>95</v>
      </c>
      <c r="L23" s="229">
        <v>8.9999999999999993E-3</v>
      </c>
      <c r="M23" s="231">
        <v>10732</v>
      </c>
      <c r="N23" s="231">
        <v>10626</v>
      </c>
      <c r="O23" s="228">
        <v>106</v>
      </c>
      <c r="P23" s="229">
        <v>0.01</v>
      </c>
      <c r="Q23" s="231">
        <v>10706</v>
      </c>
      <c r="R23" s="231">
        <v>10678</v>
      </c>
      <c r="S23" s="228">
        <v>28</v>
      </c>
      <c r="T23" s="229">
        <v>2.5999999999999999E-3</v>
      </c>
      <c r="U23" s="228">
        <v>0</v>
      </c>
      <c r="V23" s="231">
        <v>10667</v>
      </c>
      <c r="W23" s="228">
        <v>0</v>
      </c>
      <c r="X23" s="229">
        <v>0</v>
      </c>
      <c r="Y23" s="228">
        <v>28</v>
      </c>
      <c r="Z23" s="228">
        <v>69</v>
      </c>
      <c r="AA23" s="228">
        <v>-41</v>
      </c>
      <c r="AB23" s="229">
        <v>2.5999999999999999E-3</v>
      </c>
      <c r="AC23" s="228">
        <v>28</v>
      </c>
      <c r="AD23" s="228">
        <v>17</v>
      </c>
      <c r="AE23" s="228">
        <v>11</v>
      </c>
      <c r="AF23" s="229">
        <v>2.5999999999999999E-3</v>
      </c>
      <c r="AG23" s="228">
        <v>2</v>
      </c>
      <c r="AH23" s="228">
        <v>69</v>
      </c>
      <c r="AI23" s="228">
        <v>-67</v>
      </c>
      <c r="AJ23" s="229">
        <v>2.0000000000000001E-4</v>
      </c>
      <c r="AK23" s="228">
        <v>0</v>
      </c>
      <c r="AL23" s="228">
        <v>58</v>
      </c>
      <c r="AM23" s="228">
        <v>0</v>
      </c>
      <c r="AN23" s="229">
        <v>0</v>
      </c>
      <c r="AO23" s="231">
        <v>10709.13</v>
      </c>
      <c r="AP23" s="231">
        <v>10770</v>
      </c>
      <c r="AQ23" s="228">
        <v>0</v>
      </c>
      <c r="AR23" s="230">
        <v>33400</v>
      </c>
      <c r="AS23" s="230">
        <v>189100</v>
      </c>
      <c r="AT23" s="230">
        <v>-155700</v>
      </c>
      <c r="AU23" s="229">
        <v>-0.82340000000000002</v>
      </c>
      <c r="AV23" s="230">
        <v>33200</v>
      </c>
      <c r="AW23" s="230">
        <v>91000</v>
      </c>
      <c r="AX23" s="230">
        <v>-57800</v>
      </c>
      <c r="AY23" s="229">
        <v>-0.63519999999999999</v>
      </c>
      <c r="AZ23" s="228">
        <v>200</v>
      </c>
      <c r="BA23" s="230">
        <v>98000</v>
      </c>
      <c r="BB23" s="230">
        <v>-97800</v>
      </c>
      <c r="BC23" s="229">
        <v>-0.998</v>
      </c>
      <c r="BD23" s="228">
        <v>0</v>
      </c>
      <c r="BE23" s="228">
        <v>100</v>
      </c>
      <c r="BF23" s="228">
        <v>0</v>
      </c>
      <c r="BG23" s="229">
        <v>0</v>
      </c>
      <c r="BH23" s="230">
        <v>43400</v>
      </c>
      <c r="BI23" s="230">
        <v>151450</v>
      </c>
      <c r="BJ23" s="230">
        <v>-108050</v>
      </c>
      <c r="BK23" s="229">
        <v>-0.71340000000000003</v>
      </c>
      <c r="BL23" s="230">
        <v>15800</v>
      </c>
      <c r="BM23" s="230">
        <v>296700</v>
      </c>
      <c r="BN23" s="230">
        <v>-280900</v>
      </c>
      <c r="BO23" s="229">
        <v>-0.94669999999999999</v>
      </c>
      <c r="BP23" s="230">
        <v>92600</v>
      </c>
      <c r="BQ23" s="230">
        <v>637250</v>
      </c>
      <c r="BR23" s="230">
        <v>-544650</v>
      </c>
      <c r="BS23" s="229">
        <v>-0.85470000000000002</v>
      </c>
      <c r="BT23" s="230">
        <v>52190</v>
      </c>
      <c r="BU23" s="230">
        <v>77480</v>
      </c>
      <c r="BV23" s="230">
        <v>-25290</v>
      </c>
      <c r="BW23" s="229">
        <v>-0.32640000000000002</v>
      </c>
      <c r="BX23" s="230">
        <v>203500</v>
      </c>
      <c r="BY23" s="230">
        <v>205900</v>
      </c>
      <c r="BZ23" s="230">
        <v>-2400</v>
      </c>
      <c r="CA23" s="229">
        <v>-1.17E-2</v>
      </c>
      <c r="CB23" s="230">
        <v>202350</v>
      </c>
      <c r="CC23" s="230">
        <v>21100</v>
      </c>
      <c r="CD23" s="230">
        <v>181250</v>
      </c>
      <c r="CE23" s="229">
        <v>8.59</v>
      </c>
      <c r="CF23" s="230">
        <v>1150</v>
      </c>
      <c r="CG23" s="230">
        <v>204800</v>
      </c>
      <c r="CH23" s="230">
        <v>-203650</v>
      </c>
      <c r="CI23" s="229">
        <v>-0.99439999999999995</v>
      </c>
      <c r="CJ23" s="228">
        <v>0</v>
      </c>
      <c r="CK23" s="230">
        <v>1100</v>
      </c>
      <c r="CL23" s="230">
        <v>-1100</v>
      </c>
      <c r="CM23" s="229">
        <v>-1</v>
      </c>
      <c r="CN23" s="230">
        <v>29300</v>
      </c>
      <c r="CO23" s="230">
        <v>11500</v>
      </c>
      <c r="CP23" s="230">
        <v>17800</v>
      </c>
      <c r="CQ23" s="229">
        <v>1.5478000000000001</v>
      </c>
      <c r="CR23" s="230">
        <v>20900</v>
      </c>
      <c r="CS23" s="230">
        <v>11100</v>
      </c>
      <c r="CT23" s="230">
        <v>9800</v>
      </c>
      <c r="CU23" s="229">
        <v>0.88290000000000002</v>
      </c>
      <c r="CV23" s="230">
        <v>253700</v>
      </c>
      <c r="CW23" s="230">
        <v>228500</v>
      </c>
      <c r="CX23" s="230">
        <v>25200</v>
      </c>
      <c r="CY23" s="229">
        <v>0.1103</v>
      </c>
      <c r="CZ23" s="228">
        <v>32.56</v>
      </c>
      <c r="DA23" s="228">
        <v>34.36</v>
      </c>
      <c r="DB23" s="228">
        <v>-1.8</v>
      </c>
      <c r="DC23" s="228">
        <v>-1.8</v>
      </c>
      <c r="DD23" s="228">
        <v>38.18</v>
      </c>
      <c r="DE23" s="228">
        <v>38.270000000000003</v>
      </c>
      <c r="DF23" s="228">
        <v>-5.62</v>
      </c>
      <c r="DG23" s="228">
        <v>-0.09</v>
      </c>
      <c r="DH23" s="228">
        <v>32.53</v>
      </c>
      <c r="DI23" s="228">
        <v>33.450000000000003</v>
      </c>
      <c r="DJ23" s="228">
        <v>-0.92</v>
      </c>
      <c r="DK23" s="228">
        <v>-0.92</v>
      </c>
      <c r="DL23" s="228">
        <v>32.619999999999997</v>
      </c>
      <c r="DM23" s="228">
        <v>34.82</v>
      </c>
      <c r="DN23" s="228">
        <v>-2.2000000000000002</v>
      </c>
      <c r="DO23" s="228">
        <v>-2.2000000000000002</v>
      </c>
      <c r="DP23" s="228">
        <v>0.71</v>
      </c>
      <c r="DQ23" s="228">
        <v>0.97</v>
      </c>
      <c r="DR23" s="228">
        <v>-0.26</v>
      </c>
      <c r="DS23" s="229">
        <v>-0.26800000000000002</v>
      </c>
      <c r="DT23" s="231">
        <v>11000</v>
      </c>
      <c r="DU23" s="231">
        <v>10500</v>
      </c>
      <c r="DV23" s="228">
        <v>0.36</v>
      </c>
      <c r="DW23" s="228">
        <v>1.96</v>
      </c>
      <c r="DX23" s="228">
        <v>-1.6</v>
      </c>
      <c r="DY23" s="229">
        <v>-0.81630000000000003</v>
      </c>
      <c r="DZ23" s="229">
        <v>5.7000000000000002E-3</v>
      </c>
      <c r="EA23" s="230">
        <v>205900</v>
      </c>
      <c r="EB23" s="229">
        <v>-2.3999999999999998E-3</v>
      </c>
      <c r="EC23" s="229">
        <v>5.7000000000000002E-3</v>
      </c>
      <c r="ED23" s="228">
        <v>60.87</v>
      </c>
      <c r="EE23" s="229">
        <v>5.7000000000000002E-3</v>
      </c>
      <c r="EF23" s="230">
        <v>28366</v>
      </c>
      <c r="EG23" s="230">
        <v>42061</v>
      </c>
      <c r="EH23" s="229">
        <v>-0.3256</v>
      </c>
      <c r="EI23" s="229">
        <v>0.54349999999999998</v>
      </c>
      <c r="EJ23" s="231">
        <v>4979.0200000000004</v>
      </c>
      <c r="EK23" s="231">
        <v>1701.92</v>
      </c>
      <c r="EL23" s="231">
        <v>3576.97</v>
      </c>
      <c r="EM23" s="231">
        <v>2958</v>
      </c>
      <c r="EN23" s="231">
        <v>10257.91</v>
      </c>
      <c r="EO23" s="231">
        <v>67409.03</v>
      </c>
      <c r="EP23" s="231">
        <v>-57151.12</v>
      </c>
      <c r="EQ23" s="229">
        <v>-0.8478</v>
      </c>
      <c r="ER23" s="231">
        <v>3310</v>
      </c>
      <c r="ES23" s="231">
        <v>2159</v>
      </c>
      <c r="ET23" s="231">
        <v>21839</v>
      </c>
      <c r="EU23" s="231">
        <v>5401993</v>
      </c>
      <c r="EV23" s="231">
        <v>27309</v>
      </c>
      <c r="EW23" s="231">
        <v>24423</v>
      </c>
      <c r="EX23" s="231">
        <v>2886</v>
      </c>
      <c r="EY23" s="229">
        <v>0.1182</v>
      </c>
      <c r="EZ23" s="229">
        <v>4.7E-2</v>
      </c>
      <c r="FA23" s="227" t="s">
        <v>556</v>
      </c>
      <c r="FB23" s="161">
        <f t="shared" si="0"/>
        <v>1150</v>
      </c>
    </row>
    <row r="24" spans="1:158" ht="17.25" hidden="1" thickBot="1" x14ac:dyDescent="0.3">
      <c r="A24" s="226">
        <v>46050</v>
      </c>
      <c r="B24" s="227" t="s">
        <v>175</v>
      </c>
      <c r="C24" s="227" t="s">
        <v>177</v>
      </c>
      <c r="D24" s="228">
        <v>750</v>
      </c>
      <c r="E24" s="228">
        <v>938.65</v>
      </c>
      <c r="F24" s="228">
        <v>921.25</v>
      </c>
      <c r="G24" s="228">
        <v>17.399999999999999</v>
      </c>
      <c r="H24" s="229">
        <v>1.89E-2</v>
      </c>
      <c r="I24" s="228">
        <v>935.15</v>
      </c>
      <c r="J24" s="228">
        <v>914.7</v>
      </c>
      <c r="K24" s="228">
        <v>20.45</v>
      </c>
      <c r="L24" s="229">
        <v>2.24E-2</v>
      </c>
      <c r="M24" s="228">
        <v>938.65</v>
      </c>
      <c r="N24" s="228">
        <v>914.7</v>
      </c>
      <c r="O24" s="228">
        <v>23.95</v>
      </c>
      <c r="P24" s="229">
        <v>2.6200000000000001E-2</v>
      </c>
      <c r="Q24" s="228">
        <v>944.55</v>
      </c>
      <c r="R24" s="228">
        <v>921.25</v>
      </c>
      <c r="S24" s="228">
        <v>23.3</v>
      </c>
      <c r="T24" s="229">
        <v>2.53E-2</v>
      </c>
      <c r="U24" s="228">
        <v>951</v>
      </c>
      <c r="V24" s="228">
        <v>927.5</v>
      </c>
      <c r="W24" s="228">
        <v>23.5</v>
      </c>
      <c r="X24" s="229">
        <v>2.53E-2</v>
      </c>
      <c r="Y24" s="228">
        <v>3.5</v>
      </c>
      <c r="Z24" s="228">
        <v>6.55</v>
      </c>
      <c r="AA24" s="228">
        <v>-3.05</v>
      </c>
      <c r="AB24" s="229">
        <v>3.7000000000000002E-3</v>
      </c>
      <c r="AC24" s="228">
        <v>3.5</v>
      </c>
      <c r="AD24" s="228">
        <v>0</v>
      </c>
      <c r="AE24" s="228">
        <v>3.5</v>
      </c>
      <c r="AF24" s="229">
        <v>3.7000000000000002E-3</v>
      </c>
      <c r="AG24" s="228">
        <v>9.4</v>
      </c>
      <c r="AH24" s="228">
        <v>6.55</v>
      </c>
      <c r="AI24" s="228">
        <v>2.85</v>
      </c>
      <c r="AJ24" s="229">
        <v>1.01E-2</v>
      </c>
      <c r="AK24" s="228">
        <v>15.85</v>
      </c>
      <c r="AL24" s="228">
        <v>12.8</v>
      </c>
      <c r="AM24" s="228">
        <v>3.05</v>
      </c>
      <c r="AN24" s="229">
        <v>1.6899999999999998E-2</v>
      </c>
      <c r="AO24" s="228">
        <v>934.11</v>
      </c>
      <c r="AP24" s="228">
        <v>938.05</v>
      </c>
      <c r="AQ24" s="228">
        <v>0</v>
      </c>
      <c r="AR24" s="230">
        <v>6682500</v>
      </c>
      <c r="AS24" s="230">
        <v>45214500</v>
      </c>
      <c r="AT24" s="230">
        <v>-38532000</v>
      </c>
      <c r="AU24" s="229">
        <v>-0.85219999999999996</v>
      </c>
      <c r="AV24" s="230">
        <v>6399000</v>
      </c>
      <c r="AW24" s="230">
        <v>17956500</v>
      </c>
      <c r="AX24" s="230">
        <v>-11557500</v>
      </c>
      <c r="AY24" s="229">
        <v>-0.64359999999999995</v>
      </c>
      <c r="AZ24" s="230">
        <v>249000</v>
      </c>
      <c r="BA24" s="230">
        <v>26229000</v>
      </c>
      <c r="BB24" s="230">
        <v>-25980000</v>
      </c>
      <c r="BC24" s="229">
        <v>-0.99050000000000005</v>
      </c>
      <c r="BD24" s="230">
        <v>34500</v>
      </c>
      <c r="BE24" s="230">
        <v>1029000</v>
      </c>
      <c r="BF24" s="230">
        <v>-994500</v>
      </c>
      <c r="BG24" s="229">
        <v>-0.96650000000000003</v>
      </c>
      <c r="BH24" s="230">
        <v>17435250</v>
      </c>
      <c r="BI24" s="230">
        <v>28551750</v>
      </c>
      <c r="BJ24" s="230">
        <v>-11116500</v>
      </c>
      <c r="BK24" s="229">
        <v>-0.38929999999999998</v>
      </c>
      <c r="BL24" s="230">
        <v>7923750</v>
      </c>
      <c r="BM24" s="230">
        <v>22440000</v>
      </c>
      <c r="BN24" s="230">
        <v>-14516250</v>
      </c>
      <c r="BO24" s="229">
        <v>-0.64690000000000003</v>
      </c>
      <c r="BP24" s="230">
        <v>32041500</v>
      </c>
      <c r="BQ24" s="230">
        <v>96206250</v>
      </c>
      <c r="BR24" s="230">
        <v>-64164750</v>
      </c>
      <c r="BS24" s="229">
        <v>-0.66690000000000005</v>
      </c>
      <c r="BT24" s="230">
        <v>6479718</v>
      </c>
      <c r="BU24" s="230">
        <v>15853119</v>
      </c>
      <c r="BV24" s="230">
        <v>-9373401</v>
      </c>
      <c r="BW24" s="229">
        <v>-0.59130000000000005</v>
      </c>
      <c r="BX24" s="230">
        <v>92005500</v>
      </c>
      <c r="BY24" s="230">
        <v>93801750</v>
      </c>
      <c r="BZ24" s="230">
        <v>-1796250</v>
      </c>
      <c r="CA24" s="229">
        <v>-1.9099999999999999E-2</v>
      </c>
      <c r="CB24" s="230">
        <v>88494000</v>
      </c>
      <c r="CC24" s="230">
        <v>9519000</v>
      </c>
      <c r="CD24" s="230">
        <v>78975000</v>
      </c>
      <c r="CE24" s="229">
        <v>8.2965999999999998</v>
      </c>
      <c r="CF24" s="230">
        <v>3490500</v>
      </c>
      <c r="CG24" s="230">
        <v>90333750</v>
      </c>
      <c r="CH24" s="230">
        <v>-86843250</v>
      </c>
      <c r="CI24" s="229">
        <v>-0.96140000000000003</v>
      </c>
      <c r="CJ24" s="230">
        <v>21000</v>
      </c>
      <c r="CK24" s="230">
        <v>3468000</v>
      </c>
      <c r="CL24" s="230">
        <v>-3447000</v>
      </c>
      <c r="CM24" s="229">
        <v>-0.99390000000000001</v>
      </c>
      <c r="CN24" s="230">
        <v>10672500</v>
      </c>
      <c r="CO24" s="230">
        <v>9326250</v>
      </c>
      <c r="CP24" s="230">
        <v>1346250</v>
      </c>
      <c r="CQ24" s="229">
        <v>0.1444</v>
      </c>
      <c r="CR24" s="230">
        <v>12360750</v>
      </c>
      <c r="CS24" s="230">
        <v>11468250</v>
      </c>
      <c r="CT24" s="230">
        <v>892500</v>
      </c>
      <c r="CU24" s="229">
        <v>7.7799999999999994E-2</v>
      </c>
      <c r="CV24" s="230">
        <v>115038750</v>
      </c>
      <c r="CW24" s="230">
        <v>114596250</v>
      </c>
      <c r="CX24" s="230">
        <v>442500</v>
      </c>
      <c r="CY24" s="229">
        <v>3.8999999999999998E-3</v>
      </c>
      <c r="CZ24" s="228">
        <v>32.14</v>
      </c>
      <c r="DA24" s="228">
        <v>33.28</v>
      </c>
      <c r="DB24" s="228">
        <v>-1.1399999999999999</v>
      </c>
      <c r="DC24" s="228">
        <v>-1.1399999999999999</v>
      </c>
      <c r="DD24" s="228">
        <v>30.75</v>
      </c>
      <c r="DE24" s="228">
        <v>30.68</v>
      </c>
      <c r="DF24" s="228">
        <v>1.39</v>
      </c>
      <c r="DG24" s="228">
        <v>7.0000000000000007E-2</v>
      </c>
      <c r="DH24" s="228">
        <v>31.43</v>
      </c>
      <c r="DI24" s="228">
        <v>32.549999999999997</v>
      </c>
      <c r="DJ24" s="228">
        <v>-1.1200000000000001</v>
      </c>
      <c r="DK24" s="228">
        <v>-1.1200000000000001</v>
      </c>
      <c r="DL24" s="228">
        <v>33.68</v>
      </c>
      <c r="DM24" s="228">
        <v>34.06</v>
      </c>
      <c r="DN24" s="228">
        <v>-0.38</v>
      </c>
      <c r="DO24" s="228">
        <v>-0.38</v>
      </c>
      <c r="DP24" s="228">
        <v>1.1599999999999999</v>
      </c>
      <c r="DQ24" s="228">
        <v>1.23</v>
      </c>
      <c r="DR24" s="228">
        <v>-7.0000000000000007E-2</v>
      </c>
      <c r="DS24" s="229">
        <v>-5.6899999999999999E-2</v>
      </c>
      <c r="DT24" s="228">
        <v>950</v>
      </c>
      <c r="DU24" s="228">
        <v>900</v>
      </c>
      <c r="DV24" s="228">
        <v>0.45</v>
      </c>
      <c r="DW24" s="228">
        <v>0.79</v>
      </c>
      <c r="DX24" s="228">
        <v>-0.34</v>
      </c>
      <c r="DY24" s="229">
        <v>-0.4304</v>
      </c>
      <c r="DZ24" s="229">
        <v>3.8199999999999998E-2</v>
      </c>
      <c r="EA24" s="230">
        <v>93801750</v>
      </c>
      <c r="EB24" s="229">
        <v>6.3E-3</v>
      </c>
      <c r="EC24" s="229">
        <v>3.8199999999999998E-2</v>
      </c>
      <c r="ED24" s="228">
        <v>3.94</v>
      </c>
      <c r="EE24" s="229">
        <v>4.1999999999999997E-3</v>
      </c>
      <c r="EF24" s="230">
        <v>4152851</v>
      </c>
      <c r="EG24" s="230">
        <v>10818025</v>
      </c>
      <c r="EH24" s="229">
        <v>-0.61609999999999998</v>
      </c>
      <c r="EI24" s="229">
        <v>0.64090000000000003</v>
      </c>
      <c r="EJ24" s="231">
        <v>178406.31</v>
      </c>
      <c r="EK24" s="231">
        <v>73377.36</v>
      </c>
      <c r="EL24" s="231">
        <v>62434.95</v>
      </c>
      <c r="EM24" s="231">
        <v>68610</v>
      </c>
      <c r="EN24" s="231">
        <v>314218.62</v>
      </c>
      <c r="EO24" s="231">
        <v>913825.14</v>
      </c>
      <c r="EP24" s="231">
        <v>-599606.52</v>
      </c>
      <c r="EQ24" s="229">
        <v>-0.65620000000000001</v>
      </c>
      <c r="ER24" s="231">
        <v>105380</v>
      </c>
      <c r="ES24" s="231">
        <v>115706</v>
      </c>
      <c r="ET24" s="231">
        <v>863818</v>
      </c>
      <c r="EU24" s="231">
        <v>317526833</v>
      </c>
      <c r="EV24" s="231">
        <v>1084903</v>
      </c>
      <c r="EW24" s="231">
        <v>1063984</v>
      </c>
      <c r="EX24" s="231">
        <v>20919</v>
      </c>
      <c r="EY24" s="229">
        <v>1.9699999999999999E-2</v>
      </c>
      <c r="EZ24" s="229">
        <v>0.36230000000000001</v>
      </c>
      <c r="FA24" s="227" t="s">
        <v>556</v>
      </c>
      <c r="FB24" s="161">
        <f t="shared" si="0"/>
        <v>3511500</v>
      </c>
    </row>
    <row r="25" spans="1:158" ht="17.25" hidden="1" thickBot="1" x14ac:dyDescent="0.3">
      <c r="A25" s="226">
        <v>46050</v>
      </c>
      <c r="B25" s="227" t="s">
        <v>172</v>
      </c>
      <c r="C25" s="227" t="s">
        <v>179</v>
      </c>
      <c r="D25" s="228">
        <v>3600</v>
      </c>
      <c r="E25" s="228">
        <v>154.37</v>
      </c>
      <c r="F25" s="228">
        <v>149.81</v>
      </c>
      <c r="G25" s="228">
        <v>4.5599999999999996</v>
      </c>
      <c r="H25" s="229">
        <v>3.04E-2</v>
      </c>
      <c r="I25" s="228">
        <v>153.35</v>
      </c>
      <c r="J25" s="228">
        <v>149.02000000000001</v>
      </c>
      <c r="K25" s="228">
        <v>4.33</v>
      </c>
      <c r="L25" s="229">
        <v>2.9100000000000001E-2</v>
      </c>
      <c r="M25" s="228">
        <v>154.37</v>
      </c>
      <c r="N25" s="228">
        <v>148.6</v>
      </c>
      <c r="O25" s="228">
        <v>5.77</v>
      </c>
      <c r="P25" s="229">
        <v>3.8800000000000001E-2</v>
      </c>
      <c r="Q25" s="228">
        <v>155.36000000000001</v>
      </c>
      <c r="R25" s="228">
        <v>149.81</v>
      </c>
      <c r="S25" s="228">
        <v>5.55</v>
      </c>
      <c r="T25" s="229">
        <v>3.6999999999999998E-2</v>
      </c>
      <c r="U25" s="228">
        <v>156.22</v>
      </c>
      <c r="V25" s="228">
        <v>150.9</v>
      </c>
      <c r="W25" s="228">
        <v>5.32</v>
      </c>
      <c r="X25" s="229">
        <v>3.5299999999999998E-2</v>
      </c>
      <c r="Y25" s="228">
        <v>1.02</v>
      </c>
      <c r="Z25" s="228">
        <v>0.79</v>
      </c>
      <c r="AA25" s="228">
        <v>0.23</v>
      </c>
      <c r="AB25" s="229">
        <v>6.7000000000000002E-3</v>
      </c>
      <c r="AC25" s="228">
        <v>1.02</v>
      </c>
      <c r="AD25" s="228">
        <v>-0.42</v>
      </c>
      <c r="AE25" s="228">
        <v>1.44</v>
      </c>
      <c r="AF25" s="229">
        <v>6.7000000000000002E-3</v>
      </c>
      <c r="AG25" s="228">
        <v>2.0099999999999998</v>
      </c>
      <c r="AH25" s="228">
        <v>0.79</v>
      </c>
      <c r="AI25" s="228">
        <v>1.22</v>
      </c>
      <c r="AJ25" s="229">
        <v>1.3100000000000001E-2</v>
      </c>
      <c r="AK25" s="228">
        <v>2.87</v>
      </c>
      <c r="AL25" s="228">
        <v>1.88</v>
      </c>
      <c r="AM25" s="228">
        <v>0.99</v>
      </c>
      <c r="AN25" s="229">
        <v>1.8700000000000001E-2</v>
      </c>
      <c r="AO25" s="228">
        <v>153.77000000000001</v>
      </c>
      <c r="AP25" s="228">
        <v>154.43</v>
      </c>
      <c r="AQ25" s="228">
        <v>0</v>
      </c>
      <c r="AR25" s="230">
        <v>20581200</v>
      </c>
      <c r="AS25" s="230">
        <v>117234000</v>
      </c>
      <c r="AT25" s="230">
        <v>-96652800</v>
      </c>
      <c r="AU25" s="229">
        <v>-0.82440000000000002</v>
      </c>
      <c r="AV25" s="230">
        <v>19249200</v>
      </c>
      <c r="AW25" s="230">
        <v>53892000</v>
      </c>
      <c r="AX25" s="230">
        <v>-34642800</v>
      </c>
      <c r="AY25" s="229">
        <v>-0.64280000000000004</v>
      </c>
      <c r="AZ25" s="230">
        <v>1173600</v>
      </c>
      <c r="BA25" s="230">
        <v>60868800</v>
      </c>
      <c r="BB25" s="230">
        <v>-59695200</v>
      </c>
      <c r="BC25" s="229">
        <v>-0.98070000000000002</v>
      </c>
      <c r="BD25" s="230">
        <v>158400</v>
      </c>
      <c r="BE25" s="230">
        <v>2473200</v>
      </c>
      <c r="BF25" s="230">
        <v>-2314800</v>
      </c>
      <c r="BG25" s="229">
        <v>-0.93600000000000005</v>
      </c>
      <c r="BH25" s="230">
        <v>34948800</v>
      </c>
      <c r="BI25" s="230">
        <v>34995600</v>
      </c>
      <c r="BJ25" s="230">
        <v>-46800</v>
      </c>
      <c r="BK25" s="229">
        <v>-1.2999999999999999E-3</v>
      </c>
      <c r="BL25" s="230">
        <v>11203200</v>
      </c>
      <c r="BM25" s="230">
        <v>29941200</v>
      </c>
      <c r="BN25" s="230">
        <v>-18738000</v>
      </c>
      <c r="BO25" s="229">
        <v>-0.62580000000000002</v>
      </c>
      <c r="BP25" s="230">
        <v>66733200</v>
      </c>
      <c r="BQ25" s="230">
        <v>182170800</v>
      </c>
      <c r="BR25" s="230">
        <v>-115437600</v>
      </c>
      <c r="BS25" s="229">
        <v>-0.63370000000000004</v>
      </c>
      <c r="BT25" s="230">
        <v>14036970</v>
      </c>
      <c r="BU25" s="230">
        <v>13187887</v>
      </c>
      <c r="BV25" s="230">
        <v>849083</v>
      </c>
      <c r="BW25" s="229">
        <v>6.4399999999999999E-2</v>
      </c>
      <c r="BX25" s="230">
        <v>104637600</v>
      </c>
      <c r="BY25" s="230">
        <v>105235200</v>
      </c>
      <c r="BZ25" s="230">
        <v>-597600</v>
      </c>
      <c r="CA25" s="229">
        <v>-5.7000000000000002E-3</v>
      </c>
      <c r="CB25" s="230">
        <v>101376000</v>
      </c>
      <c r="CC25" s="230">
        <v>7063200</v>
      </c>
      <c r="CD25" s="230">
        <v>94312800</v>
      </c>
      <c r="CE25" s="229">
        <v>13.3527</v>
      </c>
      <c r="CF25" s="230">
        <v>3139200</v>
      </c>
      <c r="CG25" s="230">
        <v>102135600</v>
      </c>
      <c r="CH25" s="230">
        <v>-98996400</v>
      </c>
      <c r="CI25" s="229">
        <v>-0.96930000000000005</v>
      </c>
      <c r="CJ25" s="230">
        <v>122400</v>
      </c>
      <c r="CK25" s="230">
        <v>3099600</v>
      </c>
      <c r="CL25" s="230">
        <v>-2977200</v>
      </c>
      <c r="CM25" s="229">
        <v>-0.96050000000000002</v>
      </c>
      <c r="CN25" s="230">
        <v>15454800</v>
      </c>
      <c r="CO25" s="230">
        <v>9288000</v>
      </c>
      <c r="CP25" s="230">
        <v>6166800</v>
      </c>
      <c r="CQ25" s="229">
        <v>0.66400000000000003</v>
      </c>
      <c r="CR25" s="230">
        <v>13230000</v>
      </c>
      <c r="CS25" s="230">
        <v>11001600</v>
      </c>
      <c r="CT25" s="230">
        <v>2228400</v>
      </c>
      <c r="CU25" s="229">
        <v>0.2026</v>
      </c>
      <c r="CV25" s="230">
        <v>133322400</v>
      </c>
      <c r="CW25" s="230">
        <v>125524800</v>
      </c>
      <c r="CX25" s="230">
        <v>7797600</v>
      </c>
      <c r="CY25" s="229">
        <v>6.2100000000000002E-2</v>
      </c>
      <c r="CZ25" s="228">
        <v>34.93</v>
      </c>
      <c r="DA25" s="228">
        <v>35.08</v>
      </c>
      <c r="DB25" s="228">
        <v>-0.15</v>
      </c>
      <c r="DC25" s="228">
        <v>-0.15</v>
      </c>
      <c r="DD25" s="228">
        <v>41.19</v>
      </c>
      <c r="DE25" s="228">
        <v>41.09</v>
      </c>
      <c r="DF25" s="228">
        <v>-6.26</v>
      </c>
      <c r="DG25" s="228">
        <v>0.1</v>
      </c>
      <c r="DH25" s="228">
        <v>34.43</v>
      </c>
      <c r="DI25" s="228">
        <v>34.26</v>
      </c>
      <c r="DJ25" s="228">
        <v>0.17</v>
      </c>
      <c r="DK25" s="228">
        <v>0.17</v>
      </c>
      <c r="DL25" s="228">
        <v>36.5</v>
      </c>
      <c r="DM25" s="228">
        <v>35.94</v>
      </c>
      <c r="DN25" s="228">
        <v>0.56000000000000005</v>
      </c>
      <c r="DO25" s="228">
        <v>0.56000000000000005</v>
      </c>
      <c r="DP25" s="228">
        <v>0.86</v>
      </c>
      <c r="DQ25" s="228">
        <v>1.18</v>
      </c>
      <c r="DR25" s="228">
        <v>-0.32</v>
      </c>
      <c r="DS25" s="229">
        <v>-0.2712</v>
      </c>
      <c r="DT25" s="228">
        <v>155</v>
      </c>
      <c r="DU25" s="228">
        <v>150</v>
      </c>
      <c r="DV25" s="228">
        <v>0.32</v>
      </c>
      <c r="DW25" s="228">
        <v>0.86</v>
      </c>
      <c r="DX25" s="228">
        <v>-0.54</v>
      </c>
      <c r="DY25" s="229">
        <v>-0.62790000000000001</v>
      </c>
      <c r="DZ25" s="229">
        <v>3.1199999999999999E-2</v>
      </c>
      <c r="EA25" s="230">
        <v>105235200</v>
      </c>
      <c r="EB25" s="229">
        <v>6.4000000000000003E-3</v>
      </c>
      <c r="EC25" s="229">
        <v>3.1199999999999999E-2</v>
      </c>
      <c r="ED25" s="228">
        <v>0.66</v>
      </c>
      <c r="EE25" s="229">
        <v>4.3E-3</v>
      </c>
      <c r="EF25" s="230">
        <v>7632985</v>
      </c>
      <c r="EG25" s="230">
        <v>6310825</v>
      </c>
      <c r="EH25" s="229">
        <v>0.20949999999999999</v>
      </c>
      <c r="EI25" s="229">
        <v>0.54379999999999995</v>
      </c>
      <c r="EJ25" s="231">
        <v>56749.8</v>
      </c>
      <c r="EK25" s="231">
        <v>16686.88</v>
      </c>
      <c r="EL25" s="231">
        <v>31657.75</v>
      </c>
      <c r="EM25" s="231">
        <v>16757</v>
      </c>
      <c r="EN25" s="231">
        <v>105094.43</v>
      </c>
      <c r="EO25" s="231">
        <v>275611.92</v>
      </c>
      <c r="EP25" s="231">
        <v>-170517.49</v>
      </c>
      <c r="EQ25" s="229">
        <v>-0.61870000000000003</v>
      </c>
      <c r="ER25" s="231">
        <v>24209</v>
      </c>
      <c r="ES25" s="231">
        <v>19769</v>
      </c>
      <c r="ET25" s="231">
        <v>161562</v>
      </c>
      <c r="EU25" s="231">
        <v>144289555</v>
      </c>
      <c r="EV25" s="231">
        <v>205540</v>
      </c>
      <c r="EW25" s="231">
        <v>188472</v>
      </c>
      <c r="EX25" s="231">
        <v>17068</v>
      </c>
      <c r="EY25" s="229">
        <v>9.06E-2</v>
      </c>
      <c r="EZ25" s="229">
        <v>0.92400000000000004</v>
      </c>
      <c r="FA25" s="227" t="s">
        <v>556</v>
      </c>
      <c r="FB25" s="161">
        <f t="shared" si="0"/>
        <v>3261600</v>
      </c>
    </row>
    <row r="26" spans="1:158" ht="17.25" hidden="1" thickBot="1" x14ac:dyDescent="0.3">
      <c r="A26" s="226">
        <v>46050</v>
      </c>
      <c r="B26" s="227" t="s">
        <v>172</v>
      </c>
      <c r="C26" s="227" t="s">
        <v>180</v>
      </c>
      <c r="D26" s="228">
        <v>2925</v>
      </c>
      <c r="E26" s="228">
        <v>308.2</v>
      </c>
      <c r="F26" s="228">
        <v>304.10000000000002</v>
      </c>
      <c r="G26" s="228">
        <v>4.0999999999999996</v>
      </c>
      <c r="H26" s="229">
        <v>1.35E-2</v>
      </c>
      <c r="I26" s="228">
        <v>306.2</v>
      </c>
      <c r="J26" s="228">
        <v>302</v>
      </c>
      <c r="K26" s="228">
        <v>4.2</v>
      </c>
      <c r="L26" s="229">
        <v>1.3899999999999999E-2</v>
      </c>
      <c r="M26" s="228">
        <v>308.2</v>
      </c>
      <c r="N26" s="228">
        <v>301.85000000000002</v>
      </c>
      <c r="O26" s="228">
        <v>6.35</v>
      </c>
      <c r="P26" s="229">
        <v>2.1000000000000001E-2</v>
      </c>
      <c r="Q26" s="228">
        <v>310.10000000000002</v>
      </c>
      <c r="R26" s="228">
        <v>304.10000000000002</v>
      </c>
      <c r="S26" s="228">
        <v>6</v>
      </c>
      <c r="T26" s="229">
        <v>1.9699999999999999E-2</v>
      </c>
      <c r="U26" s="228">
        <v>311.8</v>
      </c>
      <c r="V26" s="228">
        <v>306.10000000000002</v>
      </c>
      <c r="W26" s="228">
        <v>5.7</v>
      </c>
      <c r="X26" s="229">
        <v>1.8599999999999998E-2</v>
      </c>
      <c r="Y26" s="228">
        <v>2</v>
      </c>
      <c r="Z26" s="228">
        <v>2.1</v>
      </c>
      <c r="AA26" s="228">
        <v>-0.1</v>
      </c>
      <c r="AB26" s="229">
        <v>6.4999999999999997E-3</v>
      </c>
      <c r="AC26" s="228">
        <v>2</v>
      </c>
      <c r="AD26" s="228">
        <v>-0.15</v>
      </c>
      <c r="AE26" s="228">
        <v>2.15</v>
      </c>
      <c r="AF26" s="229">
        <v>6.4999999999999997E-3</v>
      </c>
      <c r="AG26" s="228">
        <v>3.9</v>
      </c>
      <c r="AH26" s="228">
        <v>2.1</v>
      </c>
      <c r="AI26" s="228">
        <v>1.8</v>
      </c>
      <c r="AJ26" s="229">
        <v>1.2699999999999999E-2</v>
      </c>
      <c r="AK26" s="228">
        <v>5.6</v>
      </c>
      <c r="AL26" s="228">
        <v>4.0999999999999996</v>
      </c>
      <c r="AM26" s="228">
        <v>1.5</v>
      </c>
      <c r="AN26" s="229">
        <v>1.83E-2</v>
      </c>
      <c r="AO26" s="228">
        <v>305.26</v>
      </c>
      <c r="AP26" s="228">
        <v>307.27999999999997</v>
      </c>
      <c r="AQ26" s="228">
        <v>0</v>
      </c>
      <c r="AR26" s="230">
        <v>19009575</v>
      </c>
      <c r="AS26" s="230">
        <v>49871250</v>
      </c>
      <c r="AT26" s="230">
        <v>-30861675</v>
      </c>
      <c r="AU26" s="229">
        <v>-0.61880000000000002</v>
      </c>
      <c r="AV26" s="230">
        <v>18281250</v>
      </c>
      <c r="AW26" s="230">
        <v>20401875</v>
      </c>
      <c r="AX26" s="230">
        <v>-2120625</v>
      </c>
      <c r="AY26" s="229">
        <v>-0.10390000000000001</v>
      </c>
      <c r="AZ26" s="230">
        <v>658125</v>
      </c>
      <c r="BA26" s="230">
        <v>28931175</v>
      </c>
      <c r="BB26" s="230">
        <v>-28273050</v>
      </c>
      <c r="BC26" s="229">
        <v>-0.97729999999999995</v>
      </c>
      <c r="BD26" s="230">
        <v>70200</v>
      </c>
      <c r="BE26" s="230">
        <v>538200</v>
      </c>
      <c r="BF26" s="230">
        <v>-468000</v>
      </c>
      <c r="BG26" s="229">
        <v>-0.86960000000000004</v>
      </c>
      <c r="BH26" s="230">
        <v>33406425</v>
      </c>
      <c r="BI26" s="230">
        <v>44623800</v>
      </c>
      <c r="BJ26" s="230">
        <v>-11217375</v>
      </c>
      <c r="BK26" s="229">
        <v>-0.25140000000000001</v>
      </c>
      <c r="BL26" s="230">
        <v>15174900</v>
      </c>
      <c r="BM26" s="230">
        <v>31756725</v>
      </c>
      <c r="BN26" s="230">
        <v>-16581825</v>
      </c>
      <c r="BO26" s="229">
        <v>-0.5222</v>
      </c>
      <c r="BP26" s="230">
        <v>67590900</v>
      </c>
      <c r="BQ26" s="230">
        <v>126251775</v>
      </c>
      <c r="BR26" s="230">
        <v>-58660875</v>
      </c>
      <c r="BS26" s="229">
        <v>-0.46460000000000001</v>
      </c>
      <c r="BT26" s="230">
        <v>10715040</v>
      </c>
      <c r="BU26" s="230">
        <v>12423708</v>
      </c>
      <c r="BV26" s="230">
        <v>-1708668</v>
      </c>
      <c r="BW26" s="229">
        <v>-0.13750000000000001</v>
      </c>
      <c r="BX26" s="230">
        <v>83994300</v>
      </c>
      <c r="BY26" s="230">
        <v>83459025</v>
      </c>
      <c r="BZ26" s="230">
        <v>535275</v>
      </c>
      <c r="CA26" s="229">
        <v>6.4000000000000003E-3</v>
      </c>
      <c r="CB26" s="230">
        <v>82461600</v>
      </c>
      <c r="CC26" s="230">
        <v>4358250</v>
      </c>
      <c r="CD26" s="230">
        <v>78103350</v>
      </c>
      <c r="CE26" s="229">
        <v>17.9208</v>
      </c>
      <c r="CF26" s="230">
        <v>1494675</v>
      </c>
      <c r="CG26" s="230">
        <v>82037475</v>
      </c>
      <c r="CH26" s="230">
        <v>-80542800</v>
      </c>
      <c r="CI26" s="229">
        <v>-0.98180000000000001</v>
      </c>
      <c r="CJ26" s="230">
        <v>38025</v>
      </c>
      <c r="CK26" s="230">
        <v>1421550</v>
      </c>
      <c r="CL26" s="230">
        <v>-1383525</v>
      </c>
      <c r="CM26" s="229">
        <v>-0.97330000000000005</v>
      </c>
      <c r="CN26" s="230">
        <v>21229650</v>
      </c>
      <c r="CO26" s="230">
        <v>19416150</v>
      </c>
      <c r="CP26" s="230">
        <v>1813500</v>
      </c>
      <c r="CQ26" s="229">
        <v>9.3399999999999997E-2</v>
      </c>
      <c r="CR26" s="230">
        <v>21016125</v>
      </c>
      <c r="CS26" s="230">
        <v>20083050</v>
      </c>
      <c r="CT26" s="230">
        <v>933075</v>
      </c>
      <c r="CU26" s="229">
        <v>4.65E-2</v>
      </c>
      <c r="CV26" s="230">
        <v>126240075</v>
      </c>
      <c r="CW26" s="230">
        <v>122958225</v>
      </c>
      <c r="CX26" s="230">
        <v>3281850</v>
      </c>
      <c r="CY26" s="229">
        <v>2.6700000000000002E-2</v>
      </c>
      <c r="CZ26" s="228">
        <v>34.96</v>
      </c>
      <c r="DA26" s="228">
        <v>35.270000000000003</v>
      </c>
      <c r="DB26" s="228">
        <v>-0.31</v>
      </c>
      <c r="DC26" s="228">
        <v>-0.31</v>
      </c>
      <c r="DD26" s="228">
        <v>33.19</v>
      </c>
      <c r="DE26" s="228">
        <v>33.22</v>
      </c>
      <c r="DF26" s="228">
        <v>1.77</v>
      </c>
      <c r="DG26" s="228">
        <v>-0.03</v>
      </c>
      <c r="DH26" s="228">
        <v>34.479999999999997</v>
      </c>
      <c r="DI26" s="228">
        <v>34.39</v>
      </c>
      <c r="DJ26" s="228">
        <v>0.09</v>
      </c>
      <c r="DK26" s="228">
        <v>0.09</v>
      </c>
      <c r="DL26" s="228">
        <v>36.04</v>
      </c>
      <c r="DM26" s="228">
        <v>36.58</v>
      </c>
      <c r="DN26" s="228">
        <v>-0.54</v>
      </c>
      <c r="DO26" s="228">
        <v>-0.54</v>
      </c>
      <c r="DP26" s="228">
        <v>0.99</v>
      </c>
      <c r="DQ26" s="228">
        <v>1.03</v>
      </c>
      <c r="DR26" s="228">
        <v>-0.04</v>
      </c>
      <c r="DS26" s="229">
        <v>-3.8800000000000001E-2</v>
      </c>
      <c r="DT26" s="228">
        <v>300</v>
      </c>
      <c r="DU26" s="228">
        <v>300</v>
      </c>
      <c r="DV26" s="228">
        <v>0.45</v>
      </c>
      <c r="DW26" s="228">
        <v>0.71</v>
      </c>
      <c r="DX26" s="228">
        <v>-0.26</v>
      </c>
      <c r="DY26" s="229">
        <v>-0.36620000000000003</v>
      </c>
      <c r="DZ26" s="229">
        <v>1.8200000000000001E-2</v>
      </c>
      <c r="EA26" s="230">
        <v>83459025</v>
      </c>
      <c r="EB26" s="229">
        <v>6.1999999999999998E-3</v>
      </c>
      <c r="EC26" s="229">
        <v>1.8200000000000001E-2</v>
      </c>
      <c r="ED26" s="228">
        <v>2.02</v>
      </c>
      <c r="EE26" s="229">
        <v>6.6E-3</v>
      </c>
      <c r="EF26" s="230">
        <v>5638089</v>
      </c>
      <c r="EG26" s="230">
        <v>6457322</v>
      </c>
      <c r="EH26" s="229">
        <v>-0.12690000000000001</v>
      </c>
      <c r="EI26" s="229">
        <v>0.5262</v>
      </c>
      <c r="EJ26" s="231">
        <v>107784.3</v>
      </c>
      <c r="EK26" s="231">
        <v>45801.04</v>
      </c>
      <c r="EL26" s="231">
        <v>58043.16</v>
      </c>
      <c r="EM26" s="231">
        <v>20590</v>
      </c>
      <c r="EN26" s="231">
        <v>211628.5</v>
      </c>
      <c r="EO26" s="231">
        <v>384205.09</v>
      </c>
      <c r="EP26" s="231">
        <v>-172576.59</v>
      </c>
      <c r="EQ26" s="229">
        <v>-0.44919999999999999</v>
      </c>
      <c r="ER26" s="231">
        <v>67034</v>
      </c>
      <c r="ES26" s="231">
        <v>61655</v>
      </c>
      <c r="ET26" s="231">
        <v>258900</v>
      </c>
      <c r="EU26" s="231">
        <v>279476623</v>
      </c>
      <c r="EV26" s="231">
        <v>387589</v>
      </c>
      <c r="EW26" s="231">
        <v>374154</v>
      </c>
      <c r="EX26" s="231">
        <v>13435</v>
      </c>
      <c r="EY26" s="229">
        <v>3.5900000000000001E-2</v>
      </c>
      <c r="EZ26" s="229">
        <v>0.45169999999999999</v>
      </c>
      <c r="FA26" s="227" t="s">
        <v>555</v>
      </c>
      <c r="FB26" s="161">
        <f t="shared" si="0"/>
        <v>1532700</v>
      </c>
    </row>
    <row r="27" spans="1:158" ht="17.25" hidden="1" thickBot="1" x14ac:dyDescent="0.3">
      <c r="A27" s="226">
        <v>46050</v>
      </c>
      <c r="B27" s="227" t="s">
        <v>172</v>
      </c>
      <c r="C27" s="227" t="s">
        <v>602</v>
      </c>
      <c r="D27" s="228">
        <v>5200</v>
      </c>
      <c r="E27" s="228">
        <v>167.87</v>
      </c>
      <c r="F27" s="228">
        <v>164.13</v>
      </c>
      <c r="G27" s="228">
        <v>3.74</v>
      </c>
      <c r="H27" s="229">
        <v>2.2800000000000001E-2</v>
      </c>
      <c r="I27" s="228">
        <v>167.34</v>
      </c>
      <c r="J27" s="228">
        <v>163.16999999999999</v>
      </c>
      <c r="K27" s="228">
        <v>4.17</v>
      </c>
      <c r="L27" s="229">
        <v>2.5600000000000001E-2</v>
      </c>
      <c r="M27" s="228">
        <v>167.87</v>
      </c>
      <c r="N27" s="228">
        <v>163.12</v>
      </c>
      <c r="O27" s="228">
        <v>4.75</v>
      </c>
      <c r="P27" s="229">
        <v>2.9100000000000001E-2</v>
      </c>
      <c r="Q27" s="228">
        <v>168.96</v>
      </c>
      <c r="R27" s="228">
        <v>164.13</v>
      </c>
      <c r="S27" s="228">
        <v>4.83</v>
      </c>
      <c r="T27" s="229">
        <v>2.9399999999999999E-2</v>
      </c>
      <c r="U27" s="228">
        <v>168.8</v>
      </c>
      <c r="V27" s="228">
        <v>165.44</v>
      </c>
      <c r="W27" s="228">
        <v>3.36</v>
      </c>
      <c r="X27" s="229">
        <v>2.0299999999999999E-2</v>
      </c>
      <c r="Y27" s="228">
        <v>0.53</v>
      </c>
      <c r="Z27" s="228">
        <v>0.96</v>
      </c>
      <c r="AA27" s="228">
        <v>-0.43</v>
      </c>
      <c r="AB27" s="229">
        <v>3.2000000000000002E-3</v>
      </c>
      <c r="AC27" s="228">
        <v>0.53</v>
      </c>
      <c r="AD27" s="228">
        <v>-0.05</v>
      </c>
      <c r="AE27" s="228">
        <v>0.57999999999999996</v>
      </c>
      <c r="AF27" s="229">
        <v>3.2000000000000002E-3</v>
      </c>
      <c r="AG27" s="228">
        <v>1.62</v>
      </c>
      <c r="AH27" s="228">
        <v>0.96</v>
      </c>
      <c r="AI27" s="228">
        <v>0.66</v>
      </c>
      <c r="AJ27" s="229">
        <v>9.7000000000000003E-3</v>
      </c>
      <c r="AK27" s="228">
        <v>1.46</v>
      </c>
      <c r="AL27" s="228">
        <v>2.27</v>
      </c>
      <c r="AM27" s="228">
        <v>-0.81</v>
      </c>
      <c r="AN27" s="229">
        <v>8.6999999999999994E-3</v>
      </c>
      <c r="AO27" s="228">
        <v>166.19</v>
      </c>
      <c r="AP27" s="228">
        <v>167.26</v>
      </c>
      <c r="AQ27" s="228">
        <v>0</v>
      </c>
      <c r="AR27" s="230">
        <v>19531200</v>
      </c>
      <c r="AS27" s="230">
        <v>42993600</v>
      </c>
      <c r="AT27" s="230">
        <v>-23462400</v>
      </c>
      <c r="AU27" s="229">
        <v>-0.54569999999999996</v>
      </c>
      <c r="AV27" s="230">
        <v>18356000</v>
      </c>
      <c r="AW27" s="230">
        <v>17134000</v>
      </c>
      <c r="AX27" s="230">
        <v>1222000</v>
      </c>
      <c r="AY27" s="229">
        <v>7.1300000000000002E-2</v>
      </c>
      <c r="AZ27" s="230">
        <v>1128400</v>
      </c>
      <c r="BA27" s="230">
        <v>25402000</v>
      </c>
      <c r="BB27" s="230">
        <v>-24273600</v>
      </c>
      <c r="BC27" s="229">
        <v>-0.9556</v>
      </c>
      <c r="BD27" s="230">
        <v>46800</v>
      </c>
      <c r="BE27" s="230">
        <v>457600</v>
      </c>
      <c r="BF27" s="230">
        <v>-410800</v>
      </c>
      <c r="BG27" s="229">
        <v>-0.89770000000000005</v>
      </c>
      <c r="BH27" s="230">
        <v>26582400</v>
      </c>
      <c r="BI27" s="230">
        <v>24752000</v>
      </c>
      <c r="BJ27" s="230">
        <v>1830400</v>
      </c>
      <c r="BK27" s="229">
        <v>7.3899999999999993E-2</v>
      </c>
      <c r="BL27" s="230">
        <v>17622800</v>
      </c>
      <c r="BM27" s="230">
        <v>13759200</v>
      </c>
      <c r="BN27" s="230">
        <v>3863600</v>
      </c>
      <c r="BO27" s="229">
        <v>0.28079999999999999</v>
      </c>
      <c r="BP27" s="230">
        <v>63736400</v>
      </c>
      <c r="BQ27" s="230">
        <v>81504800</v>
      </c>
      <c r="BR27" s="230">
        <v>-17768400</v>
      </c>
      <c r="BS27" s="229">
        <v>-0.218</v>
      </c>
      <c r="BT27" s="230">
        <v>15678319</v>
      </c>
      <c r="BU27" s="230">
        <v>18677487</v>
      </c>
      <c r="BV27" s="230">
        <v>-2999168</v>
      </c>
      <c r="BW27" s="229">
        <v>-0.16059999999999999</v>
      </c>
      <c r="BX27" s="230">
        <v>50611600</v>
      </c>
      <c r="BY27" s="230">
        <v>51979200</v>
      </c>
      <c r="BZ27" s="230">
        <v>-1367600</v>
      </c>
      <c r="CA27" s="229">
        <v>-2.63E-2</v>
      </c>
      <c r="CB27" s="230">
        <v>49561200</v>
      </c>
      <c r="CC27" s="230">
        <v>3967600</v>
      </c>
      <c r="CD27" s="230">
        <v>45593600</v>
      </c>
      <c r="CE27" s="229">
        <v>11.4915</v>
      </c>
      <c r="CF27" s="230">
        <v>1019200</v>
      </c>
      <c r="CG27" s="230">
        <v>51116000</v>
      </c>
      <c r="CH27" s="230">
        <v>-50096800</v>
      </c>
      <c r="CI27" s="229">
        <v>-0.98009999999999997</v>
      </c>
      <c r="CJ27" s="230">
        <v>31200</v>
      </c>
      <c r="CK27" s="230">
        <v>863200</v>
      </c>
      <c r="CL27" s="230">
        <v>-832000</v>
      </c>
      <c r="CM27" s="229">
        <v>-0.96389999999999998</v>
      </c>
      <c r="CN27" s="230">
        <v>14846000</v>
      </c>
      <c r="CO27" s="230">
        <v>13899600</v>
      </c>
      <c r="CP27" s="230">
        <v>946400</v>
      </c>
      <c r="CQ27" s="229">
        <v>6.8099999999999994E-2</v>
      </c>
      <c r="CR27" s="230">
        <v>12656800</v>
      </c>
      <c r="CS27" s="230">
        <v>8242000</v>
      </c>
      <c r="CT27" s="230">
        <v>4414800</v>
      </c>
      <c r="CU27" s="229">
        <v>0.53559999999999997</v>
      </c>
      <c r="CV27" s="230">
        <v>78114400</v>
      </c>
      <c r="CW27" s="230">
        <v>74120800</v>
      </c>
      <c r="CX27" s="230">
        <v>3993600</v>
      </c>
      <c r="CY27" s="229">
        <v>5.3900000000000003E-2</v>
      </c>
      <c r="CZ27" s="228">
        <v>37.450000000000003</v>
      </c>
      <c r="DA27" s="228">
        <v>37.880000000000003</v>
      </c>
      <c r="DB27" s="228">
        <v>-0.43</v>
      </c>
      <c r="DC27" s="228">
        <v>-0.43</v>
      </c>
      <c r="DD27" s="228">
        <v>39.020000000000003</v>
      </c>
      <c r="DE27" s="228">
        <v>39</v>
      </c>
      <c r="DF27" s="228">
        <v>-1.57</v>
      </c>
      <c r="DG27" s="228">
        <v>0.02</v>
      </c>
      <c r="DH27" s="228">
        <v>36.46</v>
      </c>
      <c r="DI27" s="228">
        <v>37.82</v>
      </c>
      <c r="DJ27" s="228">
        <v>-1.36</v>
      </c>
      <c r="DK27" s="228">
        <v>-1.36</v>
      </c>
      <c r="DL27" s="228">
        <v>38.94</v>
      </c>
      <c r="DM27" s="228">
        <v>38.020000000000003</v>
      </c>
      <c r="DN27" s="228">
        <v>0.92</v>
      </c>
      <c r="DO27" s="228">
        <v>0.92</v>
      </c>
      <c r="DP27" s="228">
        <v>0.85</v>
      </c>
      <c r="DQ27" s="228">
        <v>0.59</v>
      </c>
      <c r="DR27" s="228">
        <v>0.26</v>
      </c>
      <c r="DS27" s="229">
        <v>0.44069999999999998</v>
      </c>
      <c r="DT27" s="228">
        <v>170</v>
      </c>
      <c r="DU27" s="228">
        <v>160</v>
      </c>
      <c r="DV27" s="228">
        <v>0.66</v>
      </c>
      <c r="DW27" s="228">
        <v>0.56000000000000005</v>
      </c>
      <c r="DX27" s="228">
        <v>0.1</v>
      </c>
      <c r="DY27" s="229">
        <v>0.17860000000000001</v>
      </c>
      <c r="DZ27" s="229">
        <v>2.0799999999999999E-2</v>
      </c>
      <c r="EA27" s="230">
        <v>51979200</v>
      </c>
      <c r="EB27" s="229">
        <v>6.4999999999999997E-3</v>
      </c>
      <c r="EC27" s="229">
        <v>2.0799999999999999E-2</v>
      </c>
      <c r="ED27" s="228">
        <v>1.07</v>
      </c>
      <c r="EE27" s="229">
        <v>6.4000000000000003E-3</v>
      </c>
      <c r="EF27" s="230">
        <v>7456884</v>
      </c>
      <c r="EG27" s="230">
        <v>7745087</v>
      </c>
      <c r="EH27" s="229">
        <v>-3.7199999999999997E-2</v>
      </c>
      <c r="EI27" s="229">
        <v>0.47560000000000002</v>
      </c>
      <c r="EJ27" s="231">
        <v>46739.29</v>
      </c>
      <c r="EK27" s="231">
        <v>28293.45</v>
      </c>
      <c r="EL27" s="231">
        <v>32472.01</v>
      </c>
      <c r="EM27" s="231">
        <v>10708</v>
      </c>
      <c r="EN27" s="231">
        <v>107504.75</v>
      </c>
      <c r="EO27" s="231">
        <v>133484.20000000001</v>
      </c>
      <c r="EP27" s="231">
        <v>-25979.45</v>
      </c>
      <c r="EQ27" s="229">
        <v>-0.1946</v>
      </c>
      <c r="ER27" s="231">
        <v>25216</v>
      </c>
      <c r="ES27" s="231">
        <v>19492</v>
      </c>
      <c r="ET27" s="231">
        <v>84973</v>
      </c>
      <c r="EU27" s="231">
        <v>181770921</v>
      </c>
      <c r="EV27" s="231">
        <v>129681</v>
      </c>
      <c r="EW27" s="231">
        <v>121638</v>
      </c>
      <c r="EX27" s="231">
        <v>8043</v>
      </c>
      <c r="EY27" s="229">
        <v>6.6100000000000006E-2</v>
      </c>
      <c r="EZ27" s="229">
        <v>0.42970000000000003</v>
      </c>
      <c r="FA27" s="227" t="s">
        <v>556</v>
      </c>
      <c r="FB27" s="161">
        <f t="shared" si="0"/>
        <v>1050400</v>
      </c>
    </row>
    <row r="28" spans="1:158" ht="17.25" hidden="1" thickBot="1" x14ac:dyDescent="0.3">
      <c r="A28" s="226">
        <v>46050</v>
      </c>
      <c r="B28" s="227" t="s">
        <v>181</v>
      </c>
      <c r="C28" s="227" t="s">
        <v>182</v>
      </c>
      <c r="D28" s="228">
        <v>30</v>
      </c>
      <c r="E28" s="231">
        <v>59866.400000000001</v>
      </c>
      <c r="F28" s="231">
        <v>59629.599999999999</v>
      </c>
      <c r="G28" s="228">
        <v>236.8</v>
      </c>
      <c r="H28" s="229">
        <v>4.0000000000000001E-3</v>
      </c>
      <c r="I28" s="231">
        <v>59598.8</v>
      </c>
      <c r="J28" s="231">
        <v>59205.45</v>
      </c>
      <c r="K28" s="228">
        <v>393.35</v>
      </c>
      <c r="L28" s="229">
        <v>6.6E-3</v>
      </c>
      <c r="M28" s="231">
        <v>59866.400000000001</v>
      </c>
      <c r="N28" s="231">
        <v>59139.6</v>
      </c>
      <c r="O28" s="228">
        <v>726.8</v>
      </c>
      <c r="P28" s="229">
        <v>1.23E-2</v>
      </c>
      <c r="Q28" s="231">
        <v>60243.8</v>
      </c>
      <c r="R28" s="231">
        <v>59629.599999999999</v>
      </c>
      <c r="S28" s="228">
        <v>614.20000000000005</v>
      </c>
      <c r="T28" s="229">
        <v>1.03E-2</v>
      </c>
      <c r="U28" s="231">
        <v>60580.2</v>
      </c>
      <c r="V28" s="231">
        <v>60003.8</v>
      </c>
      <c r="W28" s="228">
        <v>576.4</v>
      </c>
      <c r="X28" s="229">
        <v>9.5999999999999992E-3</v>
      </c>
      <c r="Y28" s="228">
        <v>267.60000000000002</v>
      </c>
      <c r="Z28" s="228">
        <v>424.15</v>
      </c>
      <c r="AA28" s="228">
        <v>-156.55000000000001</v>
      </c>
      <c r="AB28" s="229">
        <v>4.4999999999999997E-3</v>
      </c>
      <c r="AC28" s="228">
        <v>267.60000000000002</v>
      </c>
      <c r="AD28" s="228">
        <v>-65.849999999999994</v>
      </c>
      <c r="AE28" s="228">
        <v>333.45</v>
      </c>
      <c r="AF28" s="229">
        <v>4.4999999999999997E-3</v>
      </c>
      <c r="AG28" s="228">
        <v>645</v>
      </c>
      <c r="AH28" s="228">
        <v>424.15</v>
      </c>
      <c r="AI28" s="228">
        <v>220.85</v>
      </c>
      <c r="AJ28" s="229">
        <v>1.0800000000000001E-2</v>
      </c>
      <c r="AK28" s="228">
        <v>981.4</v>
      </c>
      <c r="AL28" s="228">
        <v>798.35</v>
      </c>
      <c r="AM28" s="228">
        <v>183.05</v>
      </c>
      <c r="AN28" s="229">
        <v>1.6500000000000001E-2</v>
      </c>
      <c r="AO28" s="231">
        <v>59790.44</v>
      </c>
      <c r="AP28" s="231">
        <v>60171.86</v>
      </c>
      <c r="AQ28" s="228">
        <v>0</v>
      </c>
      <c r="AR28" s="230">
        <v>1036890</v>
      </c>
      <c r="AS28" s="230">
        <v>2348310</v>
      </c>
      <c r="AT28" s="230">
        <v>-1311420</v>
      </c>
      <c r="AU28" s="229">
        <v>-0.5585</v>
      </c>
      <c r="AV28" s="230">
        <v>975510</v>
      </c>
      <c r="AW28" s="230">
        <v>973890</v>
      </c>
      <c r="AX28" s="230">
        <v>1620</v>
      </c>
      <c r="AY28" s="229">
        <v>1.6999999999999999E-3</v>
      </c>
      <c r="AZ28" s="230">
        <v>51180</v>
      </c>
      <c r="BA28" s="230">
        <v>1296540</v>
      </c>
      <c r="BB28" s="230">
        <v>-1245360</v>
      </c>
      <c r="BC28" s="229">
        <v>-0.96050000000000002</v>
      </c>
      <c r="BD28" s="230">
        <v>10200</v>
      </c>
      <c r="BE28" s="230">
        <v>77880</v>
      </c>
      <c r="BF28" s="230">
        <v>-67680</v>
      </c>
      <c r="BG28" s="229">
        <v>-0.86899999999999999</v>
      </c>
      <c r="BH28" s="230">
        <v>28086600</v>
      </c>
      <c r="BI28" s="230">
        <v>1232352300</v>
      </c>
      <c r="BJ28" s="230">
        <v>-1204265700</v>
      </c>
      <c r="BK28" s="229">
        <v>-0.97719999999999996</v>
      </c>
      <c r="BL28" s="230">
        <v>26540100</v>
      </c>
      <c r="BM28" s="230">
        <v>1056011190</v>
      </c>
      <c r="BN28" s="230">
        <v>-1029471090</v>
      </c>
      <c r="BO28" s="229">
        <v>-0.97489999999999999</v>
      </c>
      <c r="BP28" s="230">
        <v>55663590</v>
      </c>
      <c r="BQ28" s="230">
        <v>2290711800</v>
      </c>
      <c r="BR28" s="230">
        <v>-2235048210</v>
      </c>
      <c r="BS28" s="229">
        <v>-0.97570000000000001</v>
      </c>
      <c r="BT28" s="228">
        <v>0</v>
      </c>
      <c r="BU28" s="228">
        <v>0</v>
      </c>
      <c r="BV28" s="228">
        <v>0</v>
      </c>
      <c r="BW28" s="229">
        <v>0</v>
      </c>
      <c r="BX28" s="230">
        <v>1444380</v>
      </c>
      <c r="BY28" s="230">
        <v>1350090</v>
      </c>
      <c r="BZ28" s="230">
        <v>94290</v>
      </c>
      <c r="CA28" s="229">
        <v>6.9800000000000001E-2</v>
      </c>
      <c r="CB28" s="230">
        <v>1332720</v>
      </c>
      <c r="CC28" s="230">
        <v>547500</v>
      </c>
      <c r="CD28" s="230">
        <v>785220</v>
      </c>
      <c r="CE28" s="229">
        <v>1.4341999999999999</v>
      </c>
      <c r="CF28" s="230">
        <v>108210</v>
      </c>
      <c r="CG28" s="230">
        <v>1240290</v>
      </c>
      <c r="CH28" s="230">
        <v>-1132080</v>
      </c>
      <c r="CI28" s="229">
        <v>-0.91279999999999994</v>
      </c>
      <c r="CJ28" s="230">
        <v>3450</v>
      </c>
      <c r="CK28" s="230">
        <v>109800</v>
      </c>
      <c r="CL28" s="230">
        <v>-106350</v>
      </c>
      <c r="CM28" s="229">
        <v>-0.96860000000000002</v>
      </c>
      <c r="CN28" s="230">
        <v>7888220</v>
      </c>
      <c r="CO28" s="230">
        <v>6388315</v>
      </c>
      <c r="CP28" s="230">
        <v>1499905</v>
      </c>
      <c r="CQ28" s="229">
        <v>0.23480000000000001</v>
      </c>
      <c r="CR28" s="230">
        <v>8986070</v>
      </c>
      <c r="CS28" s="230">
        <v>7158625</v>
      </c>
      <c r="CT28" s="230">
        <v>1827445</v>
      </c>
      <c r="CU28" s="229">
        <v>0.25530000000000003</v>
      </c>
      <c r="CV28" s="230">
        <v>18318670</v>
      </c>
      <c r="CW28" s="230">
        <v>14897030</v>
      </c>
      <c r="CX28" s="230">
        <v>3421640</v>
      </c>
      <c r="CY28" s="229">
        <v>0.22969999999999999</v>
      </c>
      <c r="CZ28" s="228">
        <v>14.3</v>
      </c>
      <c r="DA28" s="228">
        <v>15.2</v>
      </c>
      <c r="DB28" s="228">
        <v>-0.9</v>
      </c>
      <c r="DC28" s="228">
        <v>-0.9</v>
      </c>
      <c r="DD28" s="228">
        <v>15.5</v>
      </c>
      <c r="DE28" s="228">
        <v>15.52</v>
      </c>
      <c r="DF28" s="228">
        <v>-1.2</v>
      </c>
      <c r="DG28" s="228">
        <v>-0.02</v>
      </c>
      <c r="DH28" s="228">
        <v>13.52</v>
      </c>
      <c r="DI28" s="228">
        <v>14.43</v>
      </c>
      <c r="DJ28" s="228">
        <v>-0.91</v>
      </c>
      <c r="DK28" s="228">
        <v>-0.91</v>
      </c>
      <c r="DL28" s="228">
        <v>15.13</v>
      </c>
      <c r="DM28" s="228">
        <v>16.11</v>
      </c>
      <c r="DN28" s="228">
        <v>-0.98</v>
      </c>
      <c r="DO28" s="228">
        <v>-0.98</v>
      </c>
      <c r="DP28" s="228">
        <v>1.1399999999999999</v>
      </c>
      <c r="DQ28" s="228">
        <v>1.1200000000000001</v>
      </c>
      <c r="DR28" s="228">
        <v>0.02</v>
      </c>
      <c r="DS28" s="229">
        <v>1.7899999999999999E-2</v>
      </c>
      <c r="DT28" s="231">
        <v>60000</v>
      </c>
      <c r="DU28" s="231">
        <v>60000</v>
      </c>
      <c r="DV28" s="228">
        <v>0.94</v>
      </c>
      <c r="DW28" s="228">
        <v>0.86</v>
      </c>
      <c r="DX28" s="228">
        <v>0.08</v>
      </c>
      <c r="DY28" s="229">
        <v>9.2999999999999999E-2</v>
      </c>
      <c r="DZ28" s="229">
        <v>7.7299999999999994E-2</v>
      </c>
      <c r="EA28" s="230">
        <v>1350090</v>
      </c>
      <c r="EB28" s="229">
        <v>6.3E-3</v>
      </c>
      <c r="EC28" s="229">
        <v>7.7299999999999994E-2</v>
      </c>
      <c r="ED28" s="228">
        <v>381.42</v>
      </c>
      <c r="EE28" s="229">
        <v>6.4000000000000003E-3</v>
      </c>
      <c r="EF28" s="228">
        <v>0</v>
      </c>
      <c r="EG28" s="228">
        <v>0</v>
      </c>
      <c r="EH28" s="229">
        <v>0</v>
      </c>
      <c r="EI28" s="229">
        <v>0</v>
      </c>
      <c r="EJ28" s="231">
        <v>17302703.649999999</v>
      </c>
      <c r="EK28" s="231">
        <v>15629947.24</v>
      </c>
      <c r="EL28" s="231">
        <v>620227.66</v>
      </c>
      <c r="EM28" s="228">
        <v>0</v>
      </c>
      <c r="EN28" s="231">
        <v>33552878.550000001</v>
      </c>
      <c r="EO28" s="231">
        <v>1348544346.99</v>
      </c>
      <c r="EP28" s="231">
        <v>-1314991468.4400001</v>
      </c>
      <c r="EQ28" s="229">
        <v>-0.97509999999999997</v>
      </c>
      <c r="ER28" s="231">
        <v>4787512</v>
      </c>
      <c r="ES28" s="231">
        <v>5223463</v>
      </c>
      <c r="ET28" s="231">
        <v>865131</v>
      </c>
      <c r="EU28" s="228">
        <v>0</v>
      </c>
      <c r="EV28" s="231">
        <v>10876106</v>
      </c>
      <c r="EW28" s="231">
        <v>8825225</v>
      </c>
      <c r="EX28" s="231">
        <v>2050881</v>
      </c>
      <c r="EY28" s="229">
        <v>0.2324</v>
      </c>
      <c r="EZ28" s="229">
        <v>0</v>
      </c>
      <c r="FA28" s="227" t="s">
        <v>555</v>
      </c>
      <c r="FB28" s="161">
        <f t="shared" si="0"/>
        <v>111660</v>
      </c>
    </row>
    <row r="29" spans="1:158" ht="17.25" thickBot="1" x14ac:dyDescent="0.3">
      <c r="A29" s="226">
        <v>46050</v>
      </c>
      <c r="B29" s="227" t="s">
        <v>184</v>
      </c>
      <c r="C29" s="227" t="s">
        <v>670</v>
      </c>
      <c r="D29" s="228">
        <v>350</v>
      </c>
      <c r="E29" s="231">
        <v>1576.6</v>
      </c>
      <c r="F29" s="231">
        <v>1474</v>
      </c>
      <c r="G29" s="228">
        <v>102.6</v>
      </c>
      <c r="H29" s="229">
        <v>6.9599999999999995E-2</v>
      </c>
      <c r="I29" s="231">
        <v>1570</v>
      </c>
      <c r="J29" s="231">
        <v>1469.4</v>
      </c>
      <c r="K29" s="228">
        <v>100.6</v>
      </c>
      <c r="L29" s="229">
        <v>6.8500000000000005E-2</v>
      </c>
      <c r="M29" s="231">
        <v>1576.6</v>
      </c>
      <c r="N29" s="231">
        <v>1466.4</v>
      </c>
      <c r="O29" s="228">
        <v>110.2</v>
      </c>
      <c r="P29" s="229">
        <v>7.5200000000000003E-2</v>
      </c>
      <c r="Q29" s="231">
        <v>1584.4</v>
      </c>
      <c r="R29" s="231">
        <v>1474</v>
      </c>
      <c r="S29" s="228">
        <v>110.4</v>
      </c>
      <c r="T29" s="229">
        <v>7.4899999999999994E-2</v>
      </c>
      <c r="U29" s="231">
        <v>1592.7</v>
      </c>
      <c r="V29" s="231">
        <v>1482.6</v>
      </c>
      <c r="W29" s="228">
        <v>110.1</v>
      </c>
      <c r="X29" s="229">
        <v>7.4300000000000005E-2</v>
      </c>
      <c r="Y29" s="228">
        <v>6.6</v>
      </c>
      <c r="Z29" s="228">
        <v>4.5999999999999996</v>
      </c>
      <c r="AA29" s="228">
        <v>2</v>
      </c>
      <c r="AB29" s="229">
        <v>4.1999999999999997E-3</v>
      </c>
      <c r="AC29" s="228">
        <v>6.6</v>
      </c>
      <c r="AD29" s="228">
        <v>-3</v>
      </c>
      <c r="AE29" s="228">
        <v>9.6</v>
      </c>
      <c r="AF29" s="229">
        <v>4.1999999999999997E-3</v>
      </c>
      <c r="AG29" s="228">
        <v>14.4</v>
      </c>
      <c r="AH29" s="228">
        <v>4.5999999999999996</v>
      </c>
      <c r="AI29" s="228">
        <v>9.8000000000000007</v>
      </c>
      <c r="AJ29" s="229">
        <v>9.1999999999999998E-3</v>
      </c>
      <c r="AK29" s="228">
        <v>22.7</v>
      </c>
      <c r="AL29" s="228">
        <v>13.2</v>
      </c>
      <c r="AM29" s="228">
        <v>9.5</v>
      </c>
      <c r="AN29" s="229">
        <v>1.4500000000000001E-2</v>
      </c>
      <c r="AO29" s="231">
        <v>1541.88</v>
      </c>
      <c r="AP29" s="231">
        <v>1547.82</v>
      </c>
      <c r="AQ29" s="228">
        <v>0</v>
      </c>
      <c r="AR29" s="230">
        <v>3045350</v>
      </c>
      <c r="AS29" s="230">
        <v>6147400</v>
      </c>
      <c r="AT29" s="230">
        <v>-3102050</v>
      </c>
      <c r="AU29" s="229">
        <v>-0.50460000000000005</v>
      </c>
      <c r="AV29" s="230">
        <v>2880850</v>
      </c>
      <c r="AW29" s="230">
        <v>2713900</v>
      </c>
      <c r="AX29" s="230">
        <v>166950</v>
      </c>
      <c r="AY29" s="229">
        <v>6.1499999999999999E-2</v>
      </c>
      <c r="AZ29" s="230">
        <v>139300</v>
      </c>
      <c r="BA29" s="230">
        <v>3343550</v>
      </c>
      <c r="BB29" s="230">
        <v>-3204250</v>
      </c>
      <c r="BC29" s="229">
        <v>-0.95830000000000004</v>
      </c>
      <c r="BD29" s="230">
        <v>25200</v>
      </c>
      <c r="BE29" s="230">
        <v>89950</v>
      </c>
      <c r="BF29" s="230">
        <v>-64750</v>
      </c>
      <c r="BG29" s="229">
        <v>-0.7198</v>
      </c>
      <c r="BH29" s="230">
        <v>9658600</v>
      </c>
      <c r="BI29" s="230">
        <v>5113850</v>
      </c>
      <c r="BJ29" s="230">
        <v>4544750</v>
      </c>
      <c r="BK29" s="229">
        <v>0.88870000000000005</v>
      </c>
      <c r="BL29" s="230">
        <v>2152150</v>
      </c>
      <c r="BM29" s="230">
        <v>2107000</v>
      </c>
      <c r="BN29" s="230">
        <v>45150</v>
      </c>
      <c r="BO29" s="229">
        <v>2.1399999999999999E-2</v>
      </c>
      <c r="BP29" s="230">
        <v>14856100</v>
      </c>
      <c r="BQ29" s="230">
        <v>13368250</v>
      </c>
      <c r="BR29" s="230">
        <v>1487850</v>
      </c>
      <c r="BS29" s="229">
        <v>0.1113</v>
      </c>
      <c r="BT29" s="230">
        <v>2744771</v>
      </c>
      <c r="BU29" s="230">
        <v>1398687</v>
      </c>
      <c r="BV29" s="230">
        <v>1346084</v>
      </c>
      <c r="BW29" s="229">
        <v>0.96240000000000003</v>
      </c>
      <c r="BX29" s="230">
        <v>5093550</v>
      </c>
      <c r="BY29" s="230">
        <v>4793600</v>
      </c>
      <c r="BZ29" s="230">
        <v>299950</v>
      </c>
      <c r="CA29" s="229">
        <v>6.2600000000000003E-2</v>
      </c>
      <c r="CB29" s="230">
        <v>4865350</v>
      </c>
      <c r="CC29" s="230">
        <v>411250</v>
      </c>
      <c r="CD29" s="230">
        <v>4454100</v>
      </c>
      <c r="CE29" s="229">
        <v>10.8306</v>
      </c>
      <c r="CF29" s="230">
        <v>212800</v>
      </c>
      <c r="CG29" s="230">
        <v>4609500</v>
      </c>
      <c r="CH29" s="230">
        <v>-4396700</v>
      </c>
      <c r="CI29" s="229">
        <v>-0.95379999999999998</v>
      </c>
      <c r="CJ29" s="230">
        <v>15400</v>
      </c>
      <c r="CK29" s="230">
        <v>184100</v>
      </c>
      <c r="CL29" s="230">
        <v>-168700</v>
      </c>
      <c r="CM29" s="229">
        <v>-0.9163</v>
      </c>
      <c r="CN29" s="230">
        <v>2046100</v>
      </c>
      <c r="CO29" s="230">
        <v>1159900</v>
      </c>
      <c r="CP29" s="230">
        <v>886200</v>
      </c>
      <c r="CQ29" s="229">
        <v>0.76400000000000001</v>
      </c>
      <c r="CR29" s="230">
        <v>1504300</v>
      </c>
      <c r="CS29" s="230">
        <v>1155700</v>
      </c>
      <c r="CT29" s="230">
        <v>348600</v>
      </c>
      <c r="CU29" s="229">
        <v>0.30159999999999998</v>
      </c>
      <c r="CV29" s="230">
        <v>8643950</v>
      </c>
      <c r="CW29" s="230">
        <v>7109200</v>
      </c>
      <c r="CX29" s="230">
        <v>1534750</v>
      </c>
      <c r="CY29" s="229">
        <v>0.21590000000000001</v>
      </c>
      <c r="CZ29" s="228">
        <v>49.55</v>
      </c>
      <c r="DA29" s="228">
        <v>46.99</v>
      </c>
      <c r="DB29" s="228">
        <v>2.56</v>
      </c>
      <c r="DC29" s="228">
        <v>2.56</v>
      </c>
      <c r="DD29" s="228">
        <v>50.63</v>
      </c>
      <c r="DE29" s="228">
        <v>49.93</v>
      </c>
      <c r="DF29" s="228">
        <v>-1.08</v>
      </c>
      <c r="DG29" s="228">
        <v>0.7</v>
      </c>
      <c r="DH29" s="228">
        <v>49.38</v>
      </c>
      <c r="DI29" s="228">
        <v>46.51</v>
      </c>
      <c r="DJ29" s="228">
        <v>2.87</v>
      </c>
      <c r="DK29" s="228">
        <v>2.87</v>
      </c>
      <c r="DL29" s="228">
        <v>50.33</v>
      </c>
      <c r="DM29" s="228">
        <v>47.98</v>
      </c>
      <c r="DN29" s="228">
        <v>2.35</v>
      </c>
      <c r="DO29" s="228">
        <v>2.35</v>
      </c>
      <c r="DP29" s="228">
        <v>0.74</v>
      </c>
      <c r="DQ29" s="228">
        <v>1</v>
      </c>
      <c r="DR29" s="228">
        <v>-0.26</v>
      </c>
      <c r="DS29" s="229">
        <v>-0.26</v>
      </c>
      <c r="DT29" s="231">
        <v>1600</v>
      </c>
      <c r="DU29" s="231">
        <v>1300</v>
      </c>
      <c r="DV29" s="228">
        <v>0.22</v>
      </c>
      <c r="DW29" s="228">
        <v>0.41</v>
      </c>
      <c r="DX29" s="228">
        <v>-0.19</v>
      </c>
      <c r="DY29" s="229">
        <v>-0.46339999999999998</v>
      </c>
      <c r="DZ29" s="229">
        <v>4.48E-2</v>
      </c>
      <c r="EA29" s="230">
        <v>4793600</v>
      </c>
      <c r="EB29" s="229">
        <v>4.8999999999999998E-3</v>
      </c>
      <c r="EC29" s="229">
        <v>4.48E-2</v>
      </c>
      <c r="ED29" s="228">
        <v>5.94</v>
      </c>
      <c r="EE29" s="229">
        <v>3.8999999999999998E-3</v>
      </c>
      <c r="EF29" s="230">
        <v>874612</v>
      </c>
      <c r="EG29" s="230">
        <v>381489</v>
      </c>
      <c r="EH29" s="229">
        <v>1.2926</v>
      </c>
      <c r="EI29" s="229">
        <v>0.31859999999999999</v>
      </c>
      <c r="EJ29" s="231">
        <v>159288.97</v>
      </c>
      <c r="EK29" s="231">
        <v>31767.31</v>
      </c>
      <c r="EL29" s="231">
        <v>46969.62</v>
      </c>
      <c r="EM29" s="231">
        <v>11694</v>
      </c>
      <c r="EN29" s="231">
        <v>238025.9</v>
      </c>
      <c r="EO29" s="231">
        <v>197571.45</v>
      </c>
      <c r="EP29" s="231">
        <v>40454.449999999997</v>
      </c>
      <c r="EQ29" s="229">
        <v>0.20480000000000001</v>
      </c>
      <c r="ER29" s="231">
        <v>32380</v>
      </c>
      <c r="ES29" s="231">
        <v>21459</v>
      </c>
      <c r="ET29" s="231">
        <v>80324</v>
      </c>
      <c r="EU29" s="231">
        <v>13786716</v>
      </c>
      <c r="EV29" s="231">
        <v>134163</v>
      </c>
      <c r="EW29" s="231">
        <v>104849</v>
      </c>
      <c r="EX29" s="231">
        <v>29314</v>
      </c>
      <c r="EY29" s="229">
        <v>0.27960000000000002</v>
      </c>
      <c r="EZ29" s="229">
        <v>0.627</v>
      </c>
      <c r="FA29" s="227" t="s">
        <v>555</v>
      </c>
      <c r="FB29" s="161">
        <f t="shared" si="0"/>
        <v>228200</v>
      </c>
    </row>
    <row r="30" spans="1:158" ht="17.25" hidden="1" thickBot="1" x14ac:dyDescent="0.3">
      <c r="A30" s="226">
        <v>46050</v>
      </c>
      <c r="B30" s="227" t="s">
        <v>184</v>
      </c>
      <c r="C30" s="227" t="s">
        <v>185</v>
      </c>
      <c r="D30" s="228">
        <v>1425</v>
      </c>
      <c r="E30" s="228">
        <v>455.95</v>
      </c>
      <c r="F30" s="228">
        <v>417.4</v>
      </c>
      <c r="G30" s="228">
        <v>38.549999999999997</v>
      </c>
      <c r="H30" s="229">
        <v>9.2399999999999996E-2</v>
      </c>
      <c r="I30" s="228">
        <v>453</v>
      </c>
      <c r="J30" s="228">
        <v>415.95</v>
      </c>
      <c r="K30" s="228">
        <v>37.049999999999997</v>
      </c>
      <c r="L30" s="229">
        <v>8.9099999999999999E-2</v>
      </c>
      <c r="M30" s="228">
        <v>455.95</v>
      </c>
      <c r="N30" s="228">
        <v>414.8</v>
      </c>
      <c r="O30" s="228">
        <v>41.15</v>
      </c>
      <c r="P30" s="229">
        <v>9.9199999999999997E-2</v>
      </c>
      <c r="Q30" s="228">
        <v>457.45</v>
      </c>
      <c r="R30" s="228">
        <v>417.4</v>
      </c>
      <c r="S30" s="228">
        <v>40.049999999999997</v>
      </c>
      <c r="T30" s="229">
        <v>9.6000000000000002E-2</v>
      </c>
      <c r="U30" s="228">
        <v>460.3</v>
      </c>
      <c r="V30" s="228">
        <v>419.65</v>
      </c>
      <c r="W30" s="228">
        <v>40.65</v>
      </c>
      <c r="X30" s="229">
        <v>9.69E-2</v>
      </c>
      <c r="Y30" s="228">
        <v>2.95</v>
      </c>
      <c r="Z30" s="228">
        <v>1.45</v>
      </c>
      <c r="AA30" s="228">
        <v>1.5</v>
      </c>
      <c r="AB30" s="229">
        <v>6.4999999999999997E-3</v>
      </c>
      <c r="AC30" s="228">
        <v>2.95</v>
      </c>
      <c r="AD30" s="228">
        <v>-1.1499999999999999</v>
      </c>
      <c r="AE30" s="228">
        <v>4.0999999999999996</v>
      </c>
      <c r="AF30" s="229">
        <v>6.4999999999999997E-3</v>
      </c>
      <c r="AG30" s="228">
        <v>4.45</v>
      </c>
      <c r="AH30" s="228">
        <v>1.45</v>
      </c>
      <c r="AI30" s="228">
        <v>3</v>
      </c>
      <c r="AJ30" s="229">
        <v>9.7999999999999997E-3</v>
      </c>
      <c r="AK30" s="228">
        <v>7.3</v>
      </c>
      <c r="AL30" s="228">
        <v>3.7</v>
      </c>
      <c r="AM30" s="228">
        <v>3.6</v>
      </c>
      <c r="AN30" s="229">
        <v>1.61E-2</v>
      </c>
      <c r="AO30" s="228">
        <v>443.62</v>
      </c>
      <c r="AP30" s="228">
        <v>443.54</v>
      </c>
      <c r="AQ30" s="228">
        <v>0</v>
      </c>
      <c r="AR30" s="230">
        <v>94034325</v>
      </c>
      <c r="AS30" s="230">
        <v>70687125</v>
      </c>
      <c r="AT30" s="230">
        <v>23347200</v>
      </c>
      <c r="AU30" s="229">
        <v>0.33029999999999998</v>
      </c>
      <c r="AV30" s="230">
        <v>86393475</v>
      </c>
      <c r="AW30" s="230">
        <v>30301200</v>
      </c>
      <c r="AX30" s="230">
        <v>56092275</v>
      </c>
      <c r="AY30" s="229">
        <v>1.8512</v>
      </c>
      <c r="AZ30" s="230">
        <v>6590625</v>
      </c>
      <c r="BA30" s="230">
        <v>38475000</v>
      </c>
      <c r="BB30" s="230">
        <v>-31884375</v>
      </c>
      <c r="BC30" s="229">
        <v>-0.82869999999999999</v>
      </c>
      <c r="BD30" s="230">
        <v>1050225</v>
      </c>
      <c r="BE30" s="230">
        <v>1910925</v>
      </c>
      <c r="BF30" s="230">
        <v>-860700</v>
      </c>
      <c r="BG30" s="229">
        <v>-0.45040000000000002</v>
      </c>
      <c r="BH30" s="230">
        <v>391621350</v>
      </c>
      <c r="BI30" s="230">
        <v>77997375</v>
      </c>
      <c r="BJ30" s="230">
        <v>313623975</v>
      </c>
      <c r="BK30" s="229">
        <v>4.0209999999999999</v>
      </c>
      <c r="BL30" s="230">
        <v>147642825</v>
      </c>
      <c r="BM30" s="230">
        <v>36356025</v>
      </c>
      <c r="BN30" s="230">
        <v>111286800</v>
      </c>
      <c r="BO30" s="229">
        <v>3.0609999999999999</v>
      </c>
      <c r="BP30" s="230">
        <v>633298500</v>
      </c>
      <c r="BQ30" s="230">
        <v>185040525</v>
      </c>
      <c r="BR30" s="230">
        <v>448257975</v>
      </c>
      <c r="BS30" s="229">
        <v>2.4224999999999999</v>
      </c>
      <c r="BT30" s="230">
        <v>78707632</v>
      </c>
      <c r="BU30" s="230">
        <v>15939786</v>
      </c>
      <c r="BV30" s="230">
        <v>62767846</v>
      </c>
      <c r="BW30" s="229">
        <v>3.9378000000000002</v>
      </c>
      <c r="BX30" s="230">
        <v>125400000</v>
      </c>
      <c r="BY30" s="230">
        <v>115295325</v>
      </c>
      <c r="BZ30" s="230">
        <v>10104675</v>
      </c>
      <c r="CA30" s="229">
        <v>8.7599999999999997E-2</v>
      </c>
      <c r="CB30" s="230">
        <v>119953650</v>
      </c>
      <c r="CC30" s="230">
        <v>4074075</v>
      </c>
      <c r="CD30" s="230">
        <v>115879575</v>
      </c>
      <c r="CE30" s="229">
        <v>28.443200000000001</v>
      </c>
      <c r="CF30" s="230">
        <v>5177025</v>
      </c>
      <c r="CG30" s="230">
        <v>110863575</v>
      </c>
      <c r="CH30" s="230">
        <v>-105686550</v>
      </c>
      <c r="CI30" s="229">
        <v>-0.95330000000000004</v>
      </c>
      <c r="CJ30" s="230">
        <v>269325</v>
      </c>
      <c r="CK30" s="230">
        <v>4431750</v>
      </c>
      <c r="CL30" s="230">
        <v>-4162425</v>
      </c>
      <c r="CM30" s="229">
        <v>-0.93920000000000003</v>
      </c>
      <c r="CN30" s="230">
        <v>47962650</v>
      </c>
      <c r="CO30" s="230">
        <v>26616150</v>
      </c>
      <c r="CP30" s="230">
        <v>21346500</v>
      </c>
      <c r="CQ30" s="229">
        <v>0.80200000000000005</v>
      </c>
      <c r="CR30" s="230">
        <v>32138025</v>
      </c>
      <c r="CS30" s="230">
        <v>18971025</v>
      </c>
      <c r="CT30" s="230">
        <v>13167000</v>
      </c>
      <c r="CU30" s="229">
        <v>0.69410000000000005</v>
      </c>
      <c r="CV30" s="230">
        <v>205500675</v>
      </c>
      <c r="CW30" s="230">
        <v>160882500</v>
      </c>
      <c r="CX30" s="230">
        <v>44618175</v>
      </c>
      <c r="CY30" s="229">
        <v>0.27729999999999999</v>
      </c>
      <c r="CZ30" s="228">
        <v>37.72</v>
      </c>
      <c r="DA30" s="228">
        <v>38.76</v>
      </c>
      <c r="DB30" s="228">
        <v>-1.04</v>
      </c>
      <c r="DC30" s="228">
        <v>-1.04</v>
      </c>
      <c r="DD30" s="228">
        <v>36.869999999999997</v>
      </c>
      <c r="DE30" s="228">
        <v>35.11</v>
      </c>
      <c r="DF30" s="228">
        <v>0.85</v>
      </c>
      <c r="DG30" s="228">
        <v>1.76</v>
      </c>
      <c r="DH30" s="228">
        <v>37.54</v>
      </c>
      <c r="DI30" s="228">
        <v>38.83</v>
      </c>
      <c r="DJ30" s="228">
        <v>-1.29</v>
      </c>
      <c r="DK30" s="228">
        <v>-1.29</v>
      </c>
      <c r="DL30" s="228">
        <v>38.19</v>
      </c>
      <c r="DM30" s="228">
        <v>38.61</v>
      </c>
      <c r="DN30" s="228">
        <v>-0.42</v>
      </c>
      <c r="DO30" s="228">
        <v>-0.42</v>
      </c>
      <c r="DP30" s="228">
        <v>0.67</v>
      </c>
      <c r="DQ30" s="228">
        <v>0.71</v>
      </c>
      <c r="DR30" s="228">
        <v>-0.04</v>
      </c>
      <c r="DS30" s="229">
        <v>-5.6300000000000003E-2</v>
      </c>
      <c r="DT30" s="228">
        <v>460</v>
      </c>
      <c r="DU30" s="228">
        <v>420</v>
      </c>
      <c r="DV30" s="228">
        <v>0.38</v>
      </c>
      <c r="DW30" s="228">
        <v>0.47</v>
      </c>
      <c r="DX30" s="228">
        <v>-0.09</v>
      </c>
      <c r="DY30" s="229">
        <v>-0.1915</v>
      </c>
      <c r="DZ30" s="229">
        <v>4.3400000000000001E-2</v>
      </c>
      <c r="EA30" s="230">
        <v>115295325</v>
      </c>
      <c r="EB30" s="229">
        <v>3.3E-3</v>
      </c>
      <c r="EC30" s="229">
        <v>4.3400000000000001E-2</v>
      </c>
      <c r="ED30" s="228">
        <v>-0.08</v>
      </c>
      <c r="EE30" s="229">
        <v>-2.0000000000000001E-4</v>
      </c>
      <c r="EF30" s="230">
        <v>34881412</v>
      </c>
      <c r="EG30" s="230">
        <v>8206883</v>
      </c>
      <c r="EH30" s="229">
        <v>3.2503000000000002</v>
      </c>
      <c r="EI30" s="229">
        <v>0.44319999999999998</v>
      </c>
      <c r="EJ30" s="231">
        <v>1826529.95</v>
      </c>
      <c r="EK30" s="231">
        <v>626067.66</v>
      </c>
      <c r="EL30" s="231">
        <v>417176.75</v>
      </c>
      <c r="EM30" s="231">
        <v>50464</v>
      </c>
      <c r="EN30" s="231">
        <v>2869774.36</v>
      </c>
      <c r="EO30" s="231">
        <v>780877.06</v>
      </c>
      <c r="EP30" s="231">
        <v>2088897.3</v>
      </c>
      <c r="EQ30" s="229">
        <v>2.6751</v>
      </c>
      <c r="ER30" s="231">
        <v>215938</v>
      </c>
      <c r="ES30" s="231">
        <v>133069</v>
      </c>
      <c r="ET30" s="231">
        <v>571851</v>
      </c>
      <c r="EU30" s="231">
        <v>535778534</v>
      </c>
      <c r="EV30" s="231">
        <v>920857</v>
      </c>
      <c r="EW30" s="231">
        <v>671303</v>
      </c>
      <c r="EX30" s="231">
        <v>249554</v>
      </c>
      <c r="EY30" s="229">
        <v>0.37169999999999997</v>
      </c>
      <c r="EZ30" s="229">
        <v>0.3836</v>
      </c>
      <c r="FA30" s="227" t="s">
        <v>555</v>
      </c>
      <c r="FB30" s="161">
        <f t="shared" si="0"/>
        <v>5446350</v>
      </c>
    </row>
    <row r="31" spans="1:158" ht="17.25" hidden="1" thickBot="1" x14ac:dyDescent="0.3">
      <c r="A31" s="226">
        <v>46050</v>
      </c>
      <c r="B31" s="227" t="s">
        <v>162</v>
      </c>
      <c r="C31" s="227" t="s">
        <v>187</v>
      </c>
      <c r="D31" s="228">
        <v>500</v>
      </c>
      <c r="E31" s="231">
        <v>1461.1</v>
      </c>
      <c r="F31" s="231">
        <v>1424.5</v>
      </c>
      <c r="G31" s="228">
        <v>36.6</v>
      </c>
      <c r="H31" s="229">
        <v>2.5700000000000001E-2</v>
      </c>
      <c r="I31" s="231">
        <v>1459.1</v>
      </c>
      <c r="J31" s="231">
        <v>1418.5</v>
      </c>
      <c r="K31" s="228">
        <v>40.6</v>
      </c>
      <c r="L31" s="229">
        <v>2.86E-2</v>
      </c>
      <c r="M31" s="231">
        <v>1461.1</v>
      </c>
      <c r="N31" s="231">
        <v>1417.2</v>
      </c>
      <c r="O31" s="228">
        <v>43.9</v>
      </c>
      <c r="P31" s="229">
        <v>3.1E-2</v>
      </c>
      <c r="Q31" s="231">
        <v>1467.5</v>
      </c>
      <c r="R31" s="231">
        <v>1424.5</v>
      </c>
      <c r="S31" s="228">
        <v>43</v>
      </c>
      <c r="T31" s="229">
        <v>3.0200000000000001E-2</v>
      </c>
      <c r="U31" s="231">
        <v>1464.4</v>
      </c>
      <c r="V31" s="231">
        <v>1430.3</v>
      </c>
      <c r="W31" s="228">
        <v>34.1</v>
      </c>
      <c r="X31" s="229">
        <v>2.3800000000000002E-2</v>
      </c>
      <c r="Y31" s="228">
        <v>2</v>
      </c>
      <c r="Z31" s="228">
        <v>6</v>
      </c>
      <c r="AA31" s="228">
        <v>-4</v>
      </c>
      <c r="AB31" s="229">
        <v>1.4E-3</v>
      </c>
      <c r="AC31" s="228">
        <v>2</v>
      </c>
      <c r="AD31" s="228">
        <v>-1.3</v>
      </c>
      <c r="AE31" s="228">
        <v>3.3</v>
      </c>
      <c r="AF31" s="229">
        <v>1.4E-3</v>
      </c>
      <c r="AG31" s="228">
        <v>8.4</v>
      </c>
      <c r="AH31" s="228">
        <v>6</v>
      </c>
      <c r="AI31" s="228">
        <v>2.4</v>
      </c>
      <c r="AJ31" s="229">
        <v>5.7999999999999996E-3</v>
      </c>
      <c r="AK31" s="228">
        <v>5.3</v>
      </c>
      <c r="AL31" s="228">
        <v>11.8</v>
      </c>
      <c r="AM31" s="228">
        <v>-6.5</v>
      </c>
      <c r="AN31" s="229">
        <v>3.5999999999999999E-3</v>
      </c>
      <c r="AO31" s="231">
        <v>1444.98</v>
      </c>
      <c r="AP31" s="231">
        <v>1450.88</v>
      </c>
      <c r="AQ31" s="228">
        <v>0</v>
      </c>
      <c r="AR31" s="230">
        <v>2604000</v>
      </c>
      <c r="AS31" s="230">
        <v>4590500</v>
      </c>
      <c r="AT31" s="230">
        <v>-1986500</v>
      </c>
      <c r="AU31" s="229">
        <v>-0.43269999999999997</v>
      </c>
      <c r="AV31" s="230">
        <v>2547500</v>
      </c>
      <c r="AW31" s="230">
        <v>1935500</v>
      </c>
      <c r="AX31" s="230">
        <v>612000</v>
      </c>
      <c r="AY31" s="229">
        <v>0.31619999999999998</v>
      </c>
      <c r="AZ31" s="230">
        <v>56000</v>
      </c>
      <c r="BA31" s="230">
        <v>2632000</v>
      </c>
      <c r="BB31" s="230">
        <v>-2576000</v>
      </c>
      <c r="BC31" s="229">
        <v>-0.97870000000000001</v>
      </c>
      <c r="BD31" s="228">
        <v>500</v>
      </c>
      <c r="BE31" s="230">
        <v>23000</v>
      </c>
      <c r="BF31" s="230">
        <v>-22500</v>
      </c>
      <c r="BG31" s="229">
        <v>-0.97829999999999995</v>
      </c>
      <c r="BH31" s="230">
        <v>5598000</v>
      </c>
      <c r="BI31" s="230">
        <v>4158000</v>
      </c>
      <c r="BJ31" s="230">
        <v>1440000</v>
      </c>
      <c r="BK31" s="229">
        <v>0.3463</v>
      </c>
      <c r="BL31" s="230">
        <v>1390500</v>
      </c>
      <c r="BM31" s="230">
        <v>2119500</v>
      </c>
      <c r="BN31" s="230">
        <v>-729000</v>
      </c>
      <c r="BO31" s="229">
        <v>-0.34389999999999998</v>
      </c>
      <c r="BP31" s="230">
        <v>9592500</v>
      </c>
      <c r="BQ31" s="230">
        <v>10868000</v>
      </c>
      <c r="BR31" s="230">
        <v>-1275500</v>
      </c>
      <c r="BS31" s="229">
        <v>-0.1174</v>
      </c>
      <c r="BT31" s="230">
        <v>1470605</v>
      </c>
      <c r="BU31" s="230">
        <v>675443</v>
      </c>
      <c r="BV31" s="230">
        <v>795162</v>
      </c>
      <c r="BW31" s="229">
        <v>1.1772</v>
      </c>
      <c r="BX31" s="230">
        <v>6755000</v>
      </c>
      <c r="BY31" s="230">
        <v>6707000</v>
      </c>
      <c r="BZ31" s="230">
        <v>48000</v>
      </c>
      <c r="CA31" s="229">
        <v>7.1999999999999998E-3</v>
      </c>
      <c r="CB31" s="230">
        <v>6688500</v>
      </c>
      <c r="CC31" s="230">
        <v>454000</v>
      </c>
      <c r="CD31" s="230">
        <v>6234500</v>
      </c>
      <c r="CE31" s="229">
        <v>13.7324</v>
      </c>
      <c r="CF31" s="230">
        <v>66000</v>
      </c>
      <c r="CG31" s="230">
        <v>6657500</v>
      </c>
      <c r="CH31" s="230">
        <v>-6591500</v>
      </c>
      <c r="CI31" s="229">
        <v>-0.99009999999999998</v>
      </c>
      <c r="CJ31" s="228">
        <v>500</v>
      </c>
      <c r="CK31" s="230">
        <v>49500</v>
      </c>
      <c r="CL31" s="230">
        <v>-49000</v>
      </c>
      <c r="CM31" s="229">
        <v>-0.9899</v>
      </c>
      <c r="CN31" s="230">
        <v>1466500</v>
      </c>
      <c r="CO31" s="230">
        <v>850500</v>
      </c>
      <c r="CP31" s="230">
        <v>616000</v>
      </c>
      <c r="CQ31" s="229">
        <v>0.72430000000000005</v>
      </c>
      <c r="CR31" s="230">
        <v>1020500</v>
      </c>
      <c r="CS31" s="230">
        <v>770500</v>
      </c>
      <c r="CT31" s="230">
        <v>250000</v>
      </c>
      <c r="CU31" s="229">
        <v>0.32450000000000001</v>
      </c>
      <c r="CV31" s="230">
        <v>9242000</v>
      </c>
      <c r="CW31" s="230">
        <v>8328000</v>
      </c>
      <c r="CX31" s="230">
        <v>914000</v>
      </c>
      <c r="CY31" s="229">
        <v>0.10979999999999999</v>
      </c>
      <c r="CZ31" s="228">
        <v>35.86</v>
      </c>
      <c r="DA31" s="228">
        <v>34.369999999999997</v>
      </c>
      <c r="DB31" s="228">
        <v>1.49</v>
      </c>
      <c r="DC31" s="228">
        <v>1.49</v>
      </c>
      <c r="DD31" s="228">
        <v>35.979999999999997</v>
      </c>
      <c r="DE31" s="228">
        <v>35.9</v>
      </c>
      <c r="DF31" s="228">
        <v>-0.12</v>
      </c>
      <c r="DG31" s="228">
        <v>0.08</v>
      </c>
      <c r="DH31" s="228">
        <v>35.549999999999997</v>
      </c>
      <c r="DI31" s="228">
        <v>33.799999999999997</v>
      </c>
      <c r="DJ31" s="228">
        <v>1.75</v>
      </c>
      <c r="DK31" s="228">
        <v>1.75</v>
      </c>
      <c r="DL31" s="228">
        <v>37.090000000000003</v>
      </c>
      <c r="DM31" s="228">
        <v>35.369999999999997</v>
      </c>
      <c r="DN31" s="228">
        <v>1.72</v>
      </c>
      <c r="DO31" s="228">
        <v>1.72</v>
      </c>
      <c r="DP31" s="228">
        <v>0.7</v>
      </c>
      <c r="DQ31" s="228">
        <v>0.91</v>
      </c>
      <c r="DR31" s="228">
        <v>-0.21</v>
      </c>
      <c r="DS31" s="229">
        <v>-0.23080000000000001</v>
      </c>
      <c r="DT31" s="231">
        <v>1500</v>
      </c>
      <c r="DU31" s="231">
        <v>1400</v>
      </c>
      <c r="DV31" s="228">
        <v>0.25</v>
      </c>
      <c r="DW31" s="228">
        <v>0.51</v>
      </c>
      <c r="DX31" s="228">
        <v>-0.26</v>
      </c>
      <c r="DY31" s="229">
        <v>-0.50980000000000003</v>
      </c>
      <c r="DZ31" s="229">
        <v>9.7999999999999997E-3</v>
      </c>
      <c r="EA31" s="230">
        <v>6707000</v>
      </c>
      <c r="EB31" s="229">
        <v>4.4000000000000003E-3</v>
      </c>
      <c r="EC31" s="229">
        <v>9.7999999999999997E-3</v>
      </c>
      <c r="ED31" s="228">
        <v>5.9</v>
      </c>
      <c r="EE31" s="229">
        <v>4.1000000000000003E-3</v>
      </c>
      <c r="EF31" s="230">
        <v>840488</v>
      </c>
      <c r="EG31" s="230">
        <v>311810</v>
      </c>
      <c r="EH31" s="229">
        <v>1.6955</v>
      </c>
      <c r="EI31" s="229">
        <v>0.57150000000000001</v>
      </c>
      <c r="EJ31" s="231">
        <v>85525.59</v>
      </c>
      <c r="EK31" s="231">
        <v>19475.77</v>
      </c>
      <c r="EL31" s="231">
        <v>37630.629999999997</v>
      </c>
      <c r="EM31" s="231">
        <v>12356</v>
      </c>
      <c r="EN31" s="231">
        <v>142631.99</v>
      </c>
      <c r="EO31" s="231">
        <v>156547.89000000001</v>
      </c>
      <c r="EP31" s="231">
        <v>-13915.9</v>
      </c>
      <c r="EQ31" s="229">
        <v>-8.8900000000000007E-2</v>
      </c>
      <c r="ER31" s="231">
        <v>22054</v>
      </c>
      <c r="ES31" s="231">
        <v>14140</v>
      </c>
      <c r="ET31" s="231">
        <v>98702</v>
      </c>
      <c r="EU31" s="231">
        <v>40107751</v>
      </c>
      <c r="EV31" s="231">
        <v>134896</v>
      </c>
      <c r="EW31" s="231">
        <v>118829</v>
      </c>
      <c r="EX31" s="231">
        <v>16067</v>
      </c>
      <c r="EY31" s="229">
        <v>0.13519999999999999</v>
      </c>
      <c r="EZ31" s="229">
        <v>0.23039999999999999</v>
      </c>
      <c r="FA31" s="227" t="s">
        <v>555</v>
      </c>
      <c r="FB31" s="161">
        <f t="shared" si="0"/>
        <v>66500</v>
      </c>
    </row>
    <row r="32" spans="1:158" ht="17.25" hidden="1" thickBot="1" x14ac:dyDescent="0.3">
      <c r="A32" s="226">
        <v>46050</v>
      </c>
      <c r="B32" s="227" t="s">
        <v>188</v>
      </c>
      <c r="C32" s="227" t="s">
        <v>189</v>
      </c>
      <c r="D32" s="228">
        <v>475</v>
      </c>
      <c r="E32" s="231">
        <v>1968.8</v>
      </c>
      <c r="F32" s="231">
        <v>1987.3</v>
      </c>
      <c r="G32" s="228">
        <v>-18.5</v>
      </c>
      <c r="H32" s="229">
        <v>-9.2999999999999992E-3</v>
      </c>
      <c r="I32" s="231">
        <v>1957.7</v>
      </c>
      <c r="J32" s="231">
        <v>1973.4</v>
      </c>
      <c r="K32" s="228">
        <v>-15.7</v>
      </c>
      <c r="L32" s="229">
        <v>-8.0000000000000002E-3</v>
      </c>
      <c r="M32" s="231">
        <v>1968.8</v>
      </c>
      <c r="N32" s="231">
        <v>1973</v>
      </c>
      <c r="O32" s="228">
        <v>-4.2</v>
      </c>
      <c r="P32" s="229">
        <v>-2.0999999999999999E-3</v>
      </c>
      <c r="Q32" s="231">
        <v>1980.3</v>
      </c>
      <c r="R32" s="231">
        <v>1987.3</v>
      </c>
      <c r="S32" s="228">
        <v>-7</v>
      </c>
      <c r="T32" s="229">
        <v>-3.5000000000000001E-3</v>
      </c>
      <c r="U32" s="231">
        <v>1988.3</v>
      </c>
      <c r="V32" s="231">
        <v>1999</v>
      </c>
      <c r="W32" s="228">
        <v>-10.7</v>
      </c>
      <c r="X32" s="229">
        <v>-5.4000000000000003E-3</v>
      </c>
      <c r="Y32" s="228">
        <v>11.1</v>
      </c>
      <c r="Z32" s="228">
        <v>13.9</v>
      </c>
      <c r="AA32" s="228">
        <v>-2.8</v>
      </c>
      <c r="AB32" s="229">
        <v>5.7000000000000002E-3</v>
      </c>
      <c r="AC32" s="228">
        <v>11.1</v>
      </c>
      <c r="AD32" s="228">
        <v>-0.4</v>
      </c>
      <c r="AE32" s="228">
        <v>11.5</v>
      </c>
      <c r="AF32" s="229">
        <v>5.7000000000000002E-3</v>
      </c>
      <c r="AG32" s="228">
        <v>22.6</v>
      </c>
      <c r="AH32" s="228">
        <v>13.9</v>
      </c>
      <c r="AI32" s="228">
        <v>8.6999999999999993</v>
      </c>
      <c r="AJ32" s="229">
        <v>1.15E-2</v>
      </c>
      <c r="AK32" s="228">
        <v>30.6</v>
      </c>
      <c r="AL32" s="228">
        <v>25.6</v>
      </c>
      <c r="AM32" s="228">
        <v>5</v>
      </c>
      <c r="AN32" s="229">
        <v>1.5599999999999999E-2</v>
      </c>
      <c r="AO32" s="231">
        <v>1969.05</v>
      </c>
      <c r="AP32" s="231">
        <v>1979.9</v>
      </c>
      <c r="AQ32" s="228">
        <v>0</v>
      </c>
      <c r="AR32" s="230">
        <v>7118825</v>
      </c>
      <c r="AS32" s="230">
        <v>25571625</v>
      </c>
      <c r="AT32" s="230">
        <v>-18452800</v>
      </c>
      <c r="AU32" s="229">
        <v>-0.72160000000000002</v>
      </c>
      <c r="AV32" s="230">
        <v>6505600</v>
      </c>
      <c r="AW32" s="230">
        <v>9968825</v>
      </c>
      <c r="AX32" s="230">
        <v>-3463225</v>
      </c>
      <c r="AY32" s="229">
        <v>-0.34739999999999999</v>
      </c>
      <c r="AZ32" s="230">
        <v>591375</v>
      </c>
      <c r="BA32" s="230">
        <v>15244175</v>
      </c>
      <c r="BB32" s="230">
        <v>-14652800</v>
      </c>
      <c r="BC32" s="229">
        <v>-0.96120000000000005</v>
      </c>
      <c r="BD32" s="230">
        <v>21850</v>
      </c>
      <c r="BE32" s="230">
        <v>358625</v>
      </c>
      <c r="BF32" s="230">
        <v>-336775</v>
      </c>
      <c r="BG32" s="229">
        <v>-0.93910000000000005</v>
      </c>
      <c r="BH32" s="230">
        <v>11901125</v>
      </c>
      <c r="BI32" s="230">
        <v>13281475</v>
      </c>
      <c r="BJ32" s="230">
        <v>-1380350</v>
      </c>
      <c r="BK32" s="229">
        <v>-0.10390000000000001</v>
      </c>
      <c r="BL32" s="230">
        <v>5676725</v>
      </c>
      <c r="BM32" s="230">
        <v>7170125</v>
      </c>
      <c r="BN32" s="230">
        <v>-1493400</v>
      </c>
      <c r="BO32" s="229">
        <v>-0.20830000000000001</v>
      </c>
      <c r="BP32" s="230">
        <v>24696675</v>
      </c>
      <c r="BQ32" s="230">
        <v>46023225</v>
      </c>
      <c r="BR32" s="230">
        <v>-21326550</v>
      </c>
      <c r="BS32" s="229">
        <v>-0.46339999999999998</v>
      </c>
      <c r="BT32" s="230">
        <v>10258228</v>
      </c>
      <c r="BU32" s="230">
        <v>12038549</v>
      </c>
      <c r="BV32" s="230">
        <v>-1780321</v>
      </c>
      <c r="BW32" s="229">
        <v>-0.1479</v>
      </c>
      <c r="BX32" s="230">
        <v>55832925</v>
      </c>
      <c r="BY32" s="230">
        <v>54486300</v>
      </c>
      <c r="BZ32" s="230">
        <v>1346625</v>
      </c>
      <c r="CA32" s="229">
        <v>2.47E-2</v>
      </c>
      <c r="CB32" s="230">
        <v>53422775</v>
      </c>
      <c r="CC32" s="230">
        <v>6002100</v>
      </c>
      <c r="CD32" s="230">
        <v>47420675</v>
      </c>
      <c r="CE32" s="229">
        <v>7.9006999999999996</v>
      </c>
      <c r="CF32" s="230">
        <v>2392575</v>
      </c>
      <c r="CG32" s="230">
        <v>52471350</v>
      </c>
      <c r="CH32" s="230">
        <v>-50078775</v>
      </c>
      <c r="CI32" s="229">
        <v>-0.95440000000000003</v>
      </c>
      <c r="CJ32" s="230">
        <v>17575</v>
      </c>
      <c r="CK32" s="230">
        <v>2014950</v>
      </c>
      <c r="CL32" s="230">
        <v>-1997375</v>
      </c>
      <c r="CM32" s="229">
        <v>-0.99129999999999996</v>
      </c>
      <c r="CN32" s="230">
        <v>5147100</v>
      </c>
      <c r="CO32" s="230">
        <v>3077050</v>
      </c>
      <c r="CP32" s="230">
        <v>2070050</v>
      </c>
      <c r="CQ32" s="229">
        <v>0.67269999999999996</v>
      </c>
      <c r="CR32" s="230">
        <v>3752500</v>
      </c>
      <c r="CS32" s="230">
        <v>2347925</v>
      </c>
      <c r="CT32" s="230">
        <v>1404575</v>
      </c>
      <c r="CU32" s="229">
        <v>0.59819999999999995</v>
      </c>
      <c r="CV32" s="230">
        <v>64732525</v>
      </c>
      <c r="CW32" s="230">
        <v>59911275</v>
      </c>
      <c r="CX32" s="230">
        <v>4821250</v>
      </c>
      <c r="CY32" s="229">
        <v>8.0500000000000002E-2</v>
      </c>
      <c r="CZ32" s="228">
        <v>24.27</v>
      </c>
      <c r="DA32" s="228">
        <v>23.76</v>
      </c>
      <c r="DB32" s="228">
        <v>0.51</v>
      </c>
      <c r="DC32" s="228">
        <v>0.51</v>
      </c>
      <c r="DD32" s="228">
        <v>23.7</v>
      </c>
      <c r="DE32" s="228">
        <v>23.73</v>
      </c>
      <c r="DF32" s="228">
        <v>0.56999999999999995</v>
      </c>
      <c r="DG32" s="228">
        <v>-0.03</v>
      </c>
      <c r="DH32" s="228">
        <v>24.18</v>
      </c>
      <c r="DI32" s="228">
        <v>23.63</v>
      </c>
      <c r="DJ32" s="228">
        <v>0.55000000000000004</v>
      </c>
      <c r="DK32" s="228">
        <v>0.55000000000000004</v>
      </c>
      <c r="DL32" s="228">
        <v>24.47</v>
      </c>
      <c r="DM32" s="228">
        <v>23.96</v>
      </c>
      <c r="DN32" s="228">
        <v>0.51</v>
      </c>
      <c r="DO32" s="228">
        <v>0.51</v>
      </c>
      <c r="DP32" s="228">
        <v>0.73</v>
      </c>
      <c r="DQ32" s="228">
        <v>0.76</v>
      </c>
      <c r="DR32" s="228">
        <v>-0.03</v>
      </c>
      <c r="DS32" s="229">
        <v>-3.95E-2</v>
      </c>
      <c r="DT32" s="231">
        <v>2000</v>
      </c>
      <c r="DU32" s="231">
        <v>2000</v>
      </c>
      <c r="DV32" s="228">
        <v>0.48</v>
      </c>
      <c r="DW32" s="228">
        <v>0.54</v>
      </c>
      <c r="DX32" s="228">
        <v>-0.06</v>
      </c>
      <c r="DY32" s="229">
        <v>-0.1111</v>
      </c>
      <c r="DZ32" s="229">
        <v>4.3200000000000002E-2</v>
      </c>
      <c r="EA32" s="230">
        <v>54486300</v>
      </c>
      <c r="EB32" s="229">
        <v>5.7999999999999996E-3</v>
      </c>
      <c r="EC32" s="229">
        <v>4.3200000000000002E-2</v>
      </c>
      <c r="ED32" s="228">
        <v>10.85</v>
      </c>
      <c r="EE32" s="229">
        <v>5.4999999999999997E-3</v>
      </c>
      <c r="EF32" s="230">
        <v>7640722</v>
      </c>
      <c r="EG32" s="230">
        <v>7956646</v>
      </c>
      <c r="EH32" s="229">
        <v>-3.9699999999999999E-2</v>
      </c>
      <c r="EI32" s="229">
        <v>0.74480000000000002</v>
      </c>
      <c r="EJ32" s="231">
        <v>248264.07</v>
      </c>
      <c r="EK32" s="231">
        <v>110489.46</v>
      </c>
      <c r="EL32" s="231">
        <v>140240.88</v>
      </c>
      <c r="EM32" s="231">
        <v>61133</v>
      </c>
      <c r="EN32" s="231">
        <v>498994.41</v>
      </c>
      <c r="EO32" s="231">
        <v>924851.28</v>
      </c>
      <c r="EP32" s="231">
        <v>-425856.87</v>
      </c>
      <c r="EQ32" s="229">
        <v>-0.46050000000000002</v>
      </c>
      <c r="ER32" s="231">
        <v>106335</v>
      </c>
      <c r="ES32" s="231">
        <v>72966</v>
      </c>
      <c r="ET32" s="231">
        <v>1099517</v>
      </c>
      <c r="EU32" s="231">
        <v>367085962</v>
      </c>
      <c r="EV32" s="231">
        <v>1278819</v>
      </c>
      <c r="EW32" s="231">
        <v>1193582</v>
      </c>
      <c r="EX32" s="231">
        <v>85237</v>
      </c>
      <c r="EY32" s="229">
        <v>7.1400000000000005E-2</v>
      </c>
      <c r="EZ32" s="229">
        <v>0.17630000000000001</v>
      </c>
      <c r="FA32" s="227" t="s">
        <v>567</v>
      </c>
      <c r="FB32" s="161">
        <f t="shared" si="0"/>
        <v>2410150</v>
      </c>
    </row>
    <row r="33" spans="1:158" ht="17.25" hidden="1" thickBot="1" x14ac:dyDescent="0.3">
      <c r="A33" s="226">
        <v>46050</v>
      </c>
      <c r="B33" s="227" t="s">
        <v>184</v>
      </c>
      <c r="C33" s="227" t="s">
        <v>190</v>
      </c>
      <c r="D33" s="228">
        <v>2625</v>
      </c>
      <c r="E33" s="228">
        <v>260.8</v>
      </c>
      <c r="F33" s="228">
        <v>248.85</v>
      </c>
      <c r="G33" s="228">
        <v>11.95</v>
      </c>
      <c r="H33" s="229">
        <v>4.8000000000000001E-2</v>
      </c>
      <c r="I33" s="228">
        <v>259.64999999999998</v>
      </c>
      <c r="J33" s="228">
        <v>247.7</v>
      </c>
      <c r="K33" s="228">
        <v>11.95</v>
      </c>
      <c r="L33" s="229">
        <v>4.82E-2</v>
      </c>
      <c r="M33" s="228">
        <v>260.8</v>
      </c>
      <c r="N33" s="228">
        <v>247.4</v>
      </c>
      <c r="O33" s="228">
        <v>13.4</v>
      </c>
      <c r="P33" s="229">
        <v>5.4199999999999998E-2</v>
      </c>
      <c r="Q33" s="228">
        <v>262.64999999999998</v>
      </c>
      <c r="R33" s="228">
        <v>248.85</v>
      </c>
      <c r="S33" s="228">
        <v>13.8</v>
      </c>
      <c r="T33" s="229">
        <v>5.5500000000000001E-2</v>
      </c>
      <c r="U33" s="228">
        <v>264.05</v>
      </c>
      <c r="V33" s="228">
        <v>250.45</v>
      </c>
      <c r="W33" s="228">
        <v>13.6</v>
      </c>
      <c r="X33" s="229">
        <v>5.4300000000000001E-2</v>
      </c>
      <c r="Y33" s="228">
        <v>1.1499999999999999</v>
      </c>
      <c r="Z33" s="228">
        <v>1.1499999999999999</v>
      </c>
      <c r="AA33" s="228">
        <v>0</v>
      </c>
      <c r="AB33" s="229">
        <v>4.4000000000000003E-3</v>
      </c>
      <c r="AC33" s="228">
        <v>1.1499999999999999</v>
      </c>
      <c r="AD33" s="228">
        <v>-0.3</v>
      </c>
      <c r="AE33" s="228">
        <v>1.45</v>
      </c>
      <c r="AF33" s="229">
        <v>4.4000000000000003E-3</v>
      </c>
      <c r="AG33" s="228">
        <v>3</v>
      </c>
      <c r="AH33" s="228">
        <v>1.1499999999999999</v>
      </c>
      <c r="AI33" s="228">
        <v>1.85</v>
      </c>
      <c r="AJ33" s="229">
        <v>1.1599999999999999E-2</v>
      </c>
      <c r="AK33" s="228">
        <v>4.4000000000000004</v>
      </c>
      <c r="AL33" s="228">
        <v>2.75</v>
      </c>
      <c r="AM33" s="228">
        <v>1.65</v>
      </c>
      <c r="AN33" s="229">
        <v>1.6899999999999998E-2</v>
      </c>
      <c r="AO33" s="228">
        <v>255.79</v>
      </c>
      <c r="AP33" s="228">
        <v>257.39</v>
      </c>
      <c r="AQ33" s="228">
        <v>0</v>
      </c>
      <c r="AR33" s="230">
        <v>27307875</v>
      </c>
      <c r="AS33" s="230">
        <v>67158000</v>
      </c>
      <c r="AT33" s="230">
        <v>-39850125</v>
      </c>
      <c r="AU33" s="229">
        <v>-0.59340000000000004</v>
      </c>
      <c r="AV33" s="230">
        <v>25879875</v>
      </c>
      <c r="AW33" s="230">
        <v>31815000</v>
      </c>
      <c r="AX33" s="230">
        <v>-5935125</v>
      </c>
      <c r="AY33" s="229">
        <v>-0.18659999999999999</v>
      </c>
      <c r="AZ33" s="230">
        <v>1218000</v>
      </c>
      <c r="BA33" s="230">
        <v>34400625</v>
      </c>
      <c r="BB33" s="230">
        <v>-33182625</v>
      </c>
      <c r="BC33" s="229">
        <v>-0.96460000000000001</v>
      </c>
      <c r="BD33" s="230">
        <v>210000</v>
      </c>
      <c r="BE33" s="230">
        <v>942375</v>
      </c>
      <c r="BF33" s="230">
        <v>-732375</v>
      </c>
      <c r="BG33" s="229">
        <v>-0.7772</v>
      </c>
      <c r="BH33" s="230">
        <v>82094250</v>
      </c>
      <c r="BI33" s="230">
        <v>56702625</v>
      </c>
      <c r="BJ33" s="230">
        <v>25391625</v>
      </c>
      <c r="BK33" s="229">
        <v>0.44779999999999998</v>
      </c>
      <c r="BL33" s="230">
        <v>23709000</v>
      </c>
      <c r="BM33" s="230">
        <v>39571875</v>
      </c>
      <c r="BN33" s="230">
        <v>-15862875</v>
      </c>
      <c r="BO33" s="229">
        <v>-0.40089999999999998</v>
      </c>
      <c r="BP33" s="230">
        <v>133111125</v>
      </c>
      <c r="BQ33" s="230">
        <v>163432500</v>
      </c>
      <c r="BR33" s="230">
        <v>-30321375</v>
      </c>
      <c r="BS33" s="229">
        <v>-0.1855</v>
      </c>
      <c r="BT33" s="230">
        <v>8962395</v>
      </c>
      <c r="BU33" s="230">
        <v>10243974</v>
      </c>
      <c r="BV33" s="230">
        <v>-1281579</v>
      </c>
      <c r="BW33" s="229">
        <v>-0.12509999999999999</v>
      </c>
      <c r="BX33" s="230">
        <v>80054625</v>
      </c>
      <c r="BY33" s="230">
        <v>77490000</v>
      </c>
      <c r="BZ33" s="230">
        <v>2564625</v>
      </c>
      <c r="CA33" s="229">
        <v>3.3099999999999997E-2</v>
      </c>
      <c r="CB33" s="230">
        <v>78012375</v>
      </c>
      <c r="CC33" s="230">
        <v>5798625</v>
      </c>
      <c r="CD33" s="230">
        <v>72213750</v>
      </c>
      <c r="CE33" s="229">
        <v>12.4536</v>
      </c>
      <c r="CF33" s="230">
        <v>1939875</v>
      </c>
      <c r="CG33" s="230">
        <v>75657750</v>
      </c>
      <c r="CH33" s="230">
        <v>-73717875</v>
      </c>
      <c r="CI33" s="229">
        <v>-0.97440000000000004</v>
      </c>
      <c r="CJ33" s="230">
        <v>102375</v>
      </c>
      <c r="CK33" s="230">
        <v>1832250</v>
      </c>
      <c r="CL33" s="230">
        <v>-1729875</v>
      </c>
      <c r="CM33" s="229">
        <v>-0.94410000000000005</v>
      </c>
      <c r="CN33" s="230">
        <v>40036500</v>
      </c>
      <c r="CO33" s="230">
        <v>31542000</v>
      </c>
      <c r="CP33" s="230">
        <v>8494500</v>
      </c>
      <c r="CQ33" s="229">
        <v>0.26929999999999998</v>
      </c>
      <c r="CR33" s="230">
        <v>19007625</v>
      </c>
      <c r="CS33" s="230">
        <v>17117625</v>
      </c>
      <c r="CT33" s="230">
        <v>1890000</v>
      </c>
      <c r="CU33" s="229">
        <v>0.1104</v>
      </c>
      <c r="CV33" s="230">
        <v>139098750</v>
      </c>
      <c r="CW33" s="230">
        <v>126149625</v>
      </c>
      <c r="CX33" s="230">
        <v>12949125</v>
      </c>
      <c r="CY33" s="229">
        <v>0.1026</v>
      </c>
      <c r="CZ33" s="228">
        <v>39.200000000000003</v>
      </c>
      <c r="DA33" s="228">
        <v>39.28</v>
      </c>
      <c r="DB33" s="228">
        <v>-0.08</v>
      </c>
      <c r="DC33" s="228">
        <v>-0.08</v>
      </c>
      <c r="DD33" s="228">
        <v>45.92</v>
      </c>
      <c r="DE33" s="228">
        <v>45.59</v>
      </c>
      <c r="DF33" s="228">
        <v>-6.72</v>
      </c>
      <c r="DG33" s="228">
        <v>0.33</v>
      </c>
      <c r="DH33" s="228">
        <v>38.97</v>
      </c>
      <c r="DI33" s="228">
        <v>39.32</v>
      </c>
      <c r="DJ33" s="228">
        <v>-0.35</v>
      </c>
      <c r="DK33" s="228">
        <v>-0.35</v>
      </c>
      <c r="DL33" s="228">
        <v>39.99</v>
      </c>
      <c r="DM33" s="228">
        <v>39.22</v>
      </c>
      <c r="DN33" s="228">
        <v>0.77</v>
      </c>
      <c r="DO33" s="228">
        <v>0.77</v>
      </c>
      <c r="DP33" s="228">
        <v>0.47</v>
      </c>
      <c r="DQ33" s="228">
        <v>0.54</v>
      </c>
      <c r="DR33" s="228">
        <v>-7.0000000000000007E-2</v>
      </c>
      <c r="DS33" s="229">
        <v>-0.12959999999999999</v>
      </c>
      <c r="DT33" s="228">
        <v>300</v>
      </c>
      <c r="DU33" s="228">
        <v>250</v>
      </c>
      <c r="DV33" s="228">
        <v>0.28999999999999998</v>
      </c>
      <c r="DW33" s="228">
        <v>0.7</v>
      </c>
      <c r="DX33" s="228">
        <v>-0.41</v>
      </c>
      <c r="DY33" s="229">
        <v>-0.5857</v>
      </c>
      <c r="DZ33" s="229">
        <v>2.5499999999999998E-2</v>
      </c>
      <c r="EA33" s="230">
        <v>77490000</v>
      </c>
      <c r="EB33" s="229">
        <v>7.1000000000000004E-3</v>
      </c>
      <c r="EC33" s="229">
        <v>2.5499999999999998E-2</v>
      </c>
      <c r="ED33" s="228">
        <v>1.6</v>
      </c>
      <c r="EE33" s="229">
        <v>6.3E-3</v>
      </c>
      <c r="EF33" s="230">
        <v>2672754</v>
      </c>
      <c r="EG33" s="230">
        <v>3929281</v>
      </c>
      <c r="EH33" s="229">
        <v>-0.31979999999999997</v>
      </c>
      <c r="EI33" s="229">
        <v>0.29820000000000002</v>
      </c>
      <c r="EJ33" s="231">
        <v>227871.78</v>
      </c>
      <c r="EK33" s="231">
        <v>59632</v>
      </c>
      <c r="EL33" s="231">
        <v>69878.78</v>
      </c>
      <c r="EM33" s="231">
        <v>23090</v>
      </c>
      <c r="EN33" s="231">
        <v>357382.56</v>
      </c>
      <c r="EO33" s="231">
        <v>416974.61</v>
      </c>
      <c r="EP33" s="231">
        <v>-59592.05</v>
      </c>
      <c r="EQ33" s="229">
        <v>-0.1429</v>
      </c>
      <c r="ER33" s="231">
        <v>112352</v>
      </c>
      <c r="ES33" s="231">
        <v>47395</v>
      </c>
      <c r="ET33" s="231">
        <v>208822</v>
      </c>
      <c r="EU33" s="231">
        <v>192361942</v>
      </c>
      <c r="EV33" s="231">
        <v>368569</v>
      </c>
      <c r="EW33" s="231">
        <v>323844</v>
      </c>
      <c r="EX33" s="231">
        <v>44725</v>
      </c>
      <c r="EY33" s="229">
        <v>0.1381</v>
      </c>
      <c r="EZ33" s="229">
        <v>0.72309999999999997</v>
      </c>
      <c r="FA33" s="227" t="s">
        <v>555</v>
      </c>
      <c r="FB33" s="161">
        <f t="shared" si="0"/>
        <v>2042250</v>
      </c>
    </row>
    <row r="34" spans="1:158" ht="17.25" hidden="1" thickBot="1" x14ac:dyDescent="0.3">
      <c r="A34" s="226">
        <v>46050</v>
      </c>
      <c r="B34" s="227" t="s">
        <v>170</v>
      </c>
      <c r="C34" s="227" t="s">
        <v>191</v>
      </c>
      <c r="D34" s="228">
        <v>2500</v>
      </c>
      <c r="E34" s="228">
        <v>371.85</v>
      </c>
      <c r="F34" s="228">
        <v>367</v>
      </c>
      <c r="G34" s="228">
        <v>4.8499999999999996</v>
      </c>
      <c r="H34" s="229">
        <v>1.32E-2</v>
      </c>
      <c r="I34" s="228">
        <v>370.5</v>
      </c>
      <c r="J34" s="228">
        <v>365.25</v>
      </c>
      <c r="K34" s="228">
        <v>5.25</v>
      </c>
      <c r="L34" s="229">
        <v>1.44E-2</v>
      </c>
      <c r="M34" s="228">
        <v>371.85</v>
      </c>
      <c r="N34" s="228">
        <v>365.25</v>
      </c>
      <c r="O34" s="228">
        <v>6.6</v>
      </c>
      <c r="P34" s="229">
        <v>1.8100000000000002E-2</v>
      </c>
      <c r="Q34" s="228">
        <v>374.45</v>
      </c>
      <c r="R34" s="228">
        <v>367</v>
      </c>
      <c r="S34" s="228">
        <v>7.45</v>
      </c>
      <c r="T34" s="229">
        <v>2.0299999999999999E-2</v>
      </c>
      <c r="U34" s="228">
        <v>376.4</v>
      </c>
      <c r="V34" s="228">
        <v>369.8</v>
      </c>
      <c r="W34" s="228">
        <v>6.6</v>
      </c>
      <c r="X34" s="229">
        <v>1.78E-2</v>
      </c>
      <c r="Y34" s="228">
        <v>1.35</v>
      </c>
      <c r="Z34" s="228">
        <v>1.75</v>
      </c>
      <c r="AA34" s="228">
        <v>-0.4</v>
      </c>
      <c r="AB34" s="229">
        <v>3.5999999999999999E-3</v>
      </c>
      <c r="AC34" s="228">
        <v>1.35</v>
      </c>
      <c r="AD34" s="228">
        <v>0</v>
      </c>
      <c r="AE34" s="228">
        <v>1.35</v>
      </c>
      <c r="AF34" s="229">
        <v>3.5999999999999999E-3</v>
      </c>
      <c r="AG34" s="228">
        <v>3.95</v>
      </c>
      <c r="AH34" s="228">
        <v>1.75</v>
      </c>
      <c r="AI34" s="228">
        <v>2.2000000000000002</v>
      </c>
      <c r="AJ34" s="229">
        <v>1.0699999999999999E-2</v>
      </c>
      <c r="AK34" s="228">
        <v>5.9</v>
      </c>
      <c r="AL34" s="228">
        <v>4.55</v>
      </c>
      <c r="AM34" s="228">
        <v>1.35</v>
      </c>
      <c r="AN34" s="229">
        <v>1.5900000000000001E-2</v>
      </c>
      <c r="AO34" s="228">
        <v>369.13</v>
      </c>
      <c r="AP34" s="228">
        <v>371.6</v>
      </c>
      <c r="AQ34" s="228">
        <v>0</v>
      </c>
      <c r="AR34" s="230">
        <v>5705000</v>
      </c>
      <c r="AS34" s="230">
        <v>43482500</v>
      </c>
      <c r="AT34" s="230">
        <v>-37777500</v>
      </c>
      <c r="AU34" s="229">
        <v>-0.86880000000000002</v>
      </c>
      <c r="AV34" s="230">
        <v>5427500</v>
      </c>
      <c r="AW34" s="230">
        <v>21155000</v>
      </c>
      <c r="AX34" s="230">
        <v>-15727500</v>
      </c>
      <c r="AY34" s="229">
        <v>-0.74339999999999995</v>
      </c>
      <c r="AZ34" s="230">
        <v>267500</v>
      </c>
      <c r="BA34" s="230">
        <v>22000000</v>
      </c>
      <c r="BB34" s="230">
        <v>-21732500</v>
      </c>
      <c r="BC34" s="229">
        <v>-0.98780000000000001</v>
      </c>
      <c r="BD34" s="230">
        <v>10000</v>
      </c>
      <c r="BE34" s="230">
        <v>327500</v>
      </c>
      <c r="BF34" s="230">
        <v>-317500</v>
      </c>
      <c r="BG34" s="229">
        <v>-0.96950000000000003</v>
      </c>
      <c r="BH34" s="230">
        <v>10147500</v>
      </c>
      <c r="BI34" s="230">
        <v>20657500</v>
      </c>
      <c r="BJ34" s="230">
        <v>-10510000</v>
      </c>
      <c r="BK34" s="229">
        <v>-0.50880000000000003</v>
      </c>
      <c r="BL34" s="230">
        <v>3915000</v>
      </c>
      <c r="BM34" s="230">
        <v>14182500</v>
      </c>
      <c r="BN34" s="230">
        <v>-10267500</v>
      </c>
      <c r="BO34" s="229">
        <v>-0.72399999999999998</v>
      </c>
      <c r="BP34" s="230">
        <v>19767500</v>
      </c>
      <c r="BQ34" s="230">
        <v>78322500</v>
      </c>
      <c r="BR34" s="230">
        <v>-58555000</v>
      </c>
      <c r="BS34" s="229">
        <v>-0.74760000000000004</v>
      </c>
      <c r="BT34" s="230">
        <v>2574229</v>
      </c>
      <c r="BU34" s="230">
        <v>3514122</v>
      </c>
      <c r="BV34" s="230">
        <v>-939893</v>
      </c>
      <c r="BW34" s="229">
        <v>-0.26750000000000002</v>
      </c>
      <c r="BX34" s="230">
        <v>40265000</v>
      </c>
      <c r="BY34" s="230">
        <v>40430000</v>
      </c>
      <c r="BZ34" s="230">
        <v>-165000</v>
      </c>
      <c r="CA34" s="229">
        <v>-4.1000000000000003E-3</v>
      </c>
      <c r="CB34" s="230">
        <v>39562500</v>
      </c>
      <c r="CC34" s="230">
        <v>7080000</v>
      </c>
      <c r="CD34" s="230">
        <v>32482500</v>
      </c>
      <c r="CE34" s="229">
        <v>4.5879000000000003</v>
      </c>
      <c r="CF34" s="230">
        <v>697500</v>
      </c>
      <c r="CG34" s="230">
        <v>39787500</v>
      </c>
      <c r="CH34" s="230">
        <v>-39090000</v>
      </c>
      <c r="CI34" s="229">
        <v>-0.98250000000000004</v>
      </c>
      <c r="CJ34" s="230">
        <v>5000</v>
      </c>
      <c r="CK34" s="230">
        <v>642500</v>
      </c>
      <c r="CL34" s="230">
        <v>-637500</v>
      </c>
      <c r="CM34" s="229">
        <v>-0.99219999999999997</v>
      </c>
      <c r="CN34" s="230">
        <v>7542500</v>
      </c>
      <c r="CO34" s="230">
        <v>6320000</v>
      </c>
      <c r="CP34" s="230">
        <v>1222500</v>
      </c>
      <c r="CQ34" s="229">
        <v>0.19339999999999999</v>
      </c>
      <c r="CR34" s="230">
        <v>7360000</v>
      </c>
      <c r="CS34" s="230">
        <v>6485000</v>
      </c>
      <c r="CT34" s="230">
        <v>875000</v>
      </c>
      <c r="CU34" s="229">
        <v>0.13489999999999999</v>
      </c>
      <c r="CV34" s="230">
        <v>55167500</v>
      </c>
      <c r="CW34" s="230">
        <v>53235000</v>
      </c>
      <c r="CX34" s="230">
        <v>1932500</v>
      </c>
      <c r="CY34" s="229">
        <v>3.6299999999999999E-2</v>
      </c>
      <c r="CZ34" s="228">
        <v>31.21</v>
      </c>
      <c r="DA34" s="228">
        <v>32.21</v>
      </c>
      <c r="DB34" s="228">
        <v>-1</v>
      </c>
      <c r="DC34" s="228">
        <v>-1</v>
      </c>
      <c r="DD34" s="228">
        <v>37.1</v>
      </c>
      <c r="DE34" s="228">
        <v>37.15</v>
      </c>
      <c r="DF34" s="228">
        <v>-5.89</v>
      </c>
      <c r="DG34" s="228">
        <v>-0.05</v>
      </c>
      <c r="DH34" s="228">
        <v>30.54</v>
      </c>
      <c r="DI34" s="228">
        <v>31.53</v>
      </c>
      <c r="DJ34" s="228">
        <v>-0.99</v>
      </c>
      <c r="DK34" s="228">
        <v>-0.99</v>
      </c>
      <c r="DL34" s="228">
        <v>32.950000000000003</v>
      </c>
      <c r="DM34" s="228">
        <v>33.25</v>
      </c>
      <c r="DN34" s="228">
        <v>-0.3</v>
      </c>
      <c r="DO34" s="228">
        <v>-0.3</v>
      </c>
      <c r="DP34" s="228">
        <v>0.98</v>
      </c>
      <c r="DQ34" s="228">
        <v>1.03</v>
      </c>
      <c r="DR34" s="228">
        <v>-0.05</v>
      </c>
      <c r="DS34" s="229">
        <v>-4.8500000000000001E-2</v>
      </c>
      <c r="DT34" s="228">
        <v>400</v>
      </c>
      <c r="DU34" s="228">
        <v>350</v>
      </c>
      <c r="DV34" s="228">
        <v>0.39</v>
      </c>
      <c r="DW34" s="228">
        <v>0.69</v>
      </c>
      <c r="DX34" s="228">
        <v>-0.3</v>
      </c>
      <c r="DY34" s="229">
        <v>-0.43480000000000002</v>
      </c>
      <c r="DZ34" s="229">
        <v>1.7399999999999999E-2</v>
      </c>
      <c r="EA34" s="230">
        <v>40430000</v>
      </c>
      <c r="EB34" s="229">
        <v>7.0000000000000001E-3</v>
      </c>
      <c r="EC34" s="229">
        <v>1.7399999999999999E-2</v>
      </c>
      <c r="ED34" s="228">
        <v>2.4700000000000002</v>
      </c>
      <c r="EE34" s="229">
        <v>6.7000000000000002E-3</v>
      </c>
      <c r="EF34" s="230">
        <v>1513577</v>
      </c>
      <c r="EG34" s="230">
        <v>1892508</v>
      </c>
      <c r="EH34" s="229">
        <v>-0.20019999999999999</v>
      </c>
      <c r="EI34" s="229">
        <v>0.58799999999999997</v>
      </c>
      <c r="EJ34" s="231">
        <v>39874.370000000003</v>
      </c>
      <c r="EK34" s="231">
        <v>14254.24</v>
      </c>
      <c r="EL34" s="231">
        <v>21066.06</v>
      </c>
      <c r="EM34" s="231">
        <v>11909</v>
      </c>
      <c r="EN34" s="231">
        <v>75194.67</v>
      </c>
      <c r="EO34" s="231">
        <v>292887.15999999997</v>
      </c>
      <c r="EP34" s="231">
        <v>-217692.49</v>
      </c>
      <c r="EQ34" s="229">
        <v>-0.74329999999999996</v>
      </c>
      <c r="ER34" s="231">
        <v>29452</v>
      </c>
      <c r="ES34" s="231">
        <v>26930</v>
      </c>
      <c r="ET34" s="231">
        <v>149744</v>
      </c>
      <c r="EU34" s="231">
        <v>91057772</v>
      </c>
      <c r="EV34" s="231">
        <v>206126</v>
      </c>
      <c r="EW34" s="231">
        <v>197010</v>
      </c>
      <c r="EX34" s="231">
        <v>9116</v>
      </c>
      <c r="EY34" s="229">
        <v>4.6300000000000001E-2</v>
      </c>
      <c r="EZ34" s="229">
        <v>0.60589999999999999</v>
      </c>
      <c r="FA34" s="227" t="s">
        <v>556</v>
      </c>
      <c r="FB34" s="161">
        <f t="shared" si="0"/>
        <v>702500</v>
      </c>
    </row>
    <row r="35" spans="1:158" ht="17.25" hidden="1" thickBot="1" x14ac:dyDescent="0.3">
      <c r="A35" s="226">
        <v>46050</v>
      </c>
      <c r="B35" s="227" t="s">
        <v>184</v>
      </c>
      <c r="C35" s="227" t="s">
        <v>678</v>
      </c>
      <c r="D35" s="228">
        <v>325</v>
      </c>
      <c r="E35" s="231">
        <v>1711.9</v>
      </c>
      <c r="F35" s="231">
        <v>1675</v>
      </c>
      <c r="G35" s="228">
        <v>36.9</v>
      </c>
      <c r="H35" s="229">
        <v>2.1999999999999999E-2</v>
      </c>
      <c r="I35" s="231">
        <v>1701.5</v>
      </c>
      <c r="J35" s="231">
        <v>1667.5</v>
      </c>
      <c r="K35" s="228">
        <v>34</v>
      </c>
      <c r="L35" s="229">
        <v>2.0400000000000001E-2</v>
      </c>
      <c r="M35" s="231">
        <v>1711.9</v>
      </c>
      <c r="N35" s="231">
        <v>1668.7</v>
      </c>
      <c r="O35" s="228">
        <v>43.2</v>
      </c>
      <c r="P35" s="229">
        <v>2.5899999999999999E-2</v>
      </c>
      <c r="Q35" s="231">
        <v>1712.4</v>
      </c>
      <c r="R35" s="231">
        <v>1675</v>
      </c>
      <c r="S35" s="228">
        <v>37.4</v>
      </c>
      <c r="T35" s="229">
        <v>2.23E-2</v>
      </c>
      <c r="U35" s="228">
        <v>0</v>
      </c>
      <c r="V35" s="231">
        <v>1677.7</v>
      </c>
      <c r="W35" s="228">
        <v>0</v>
      </c>
      <c r="X35" s="229">
        <v>0</v>
      </c>
      <c r="Y35" s="228">
        <v>10.4</v>
      </c>
      <c r="Z35" s="228">
        <v>7.5</v>
      </c>
      <c r="AA35" s="228">
        <v>2.9</v>
      </c>
      <c r="AB35" s="229">
        <v>6.1000000000000004E-3</v>
      </c>
      <c r="AC35" s="228">
        <v>10.4</v>
      </c>
      <c r="AD35" s="228">
        <v>1.2</v>
      </c>
      <c r="AE35" s="228">
        <v>9.1999999999999993</v>
      </c>
      <c r="AF35" s="229">
        <v>6.1000000000000004E-3</v>
      </c>
      <c r="AG35" s="228">
        <v>10.9</v>
      </c>
      <c r="AH35" s="228">
        <v>7.5</v>
      </c>
      <c r="AI35" s="228">
        <v>3.4</v>
      </c>
      <c r="AJ35" s="229">
        <v>6.4000000000000003E-3</v>
      </c>
      <c r="AK35" s="228">
        <v>0</v>
      </c>
      <c r="AL35" s="228">
        <v>10.199999999999999</v>
      </c>
      <c r="AM35" s="228">
        <v>0</v>
      </c>
      <c r="AN35" s="229">
        <v>0</v>
      </c>
      <c r="AO35" s="231">
        <v>1688.93</v>
      </c>
      <c r="AP35" s="231">
        <v>1694.03</v>
      </c>
      <c r="AQ35" s="228">
        <v>0</v>
      </c>
      <c r="AR35" s="230">
        <v>741000</v>
      </c>
      <c r="AS35" s="230">
        <v>1432925</v>
      </c>
      <c r="AT35" s="230">
        <v>-691925</v>
      </c>
      <c r="AU35" s="229">
        <v>-0.4829</v>
      </c>
      <c r="AV35" s="230">
        <v>727025</v>
      </c>
      <c r="AW35" s="230">
        <v>600925</v>
      </c>
      <c r="AX35" s="230">
        <v>126100</v>
      </c>
      <c r="AY35" s="229">
        <v>0.20979999999999999</v>
      </c>
      <c r="AZ35" s="230">
        <v>13975</v>
      </c>
      <c r="BA35" s="230">
        <v>828100</v>
      </c>
      <c r="BB35" s="230">
        <v>-814125</v>
      </c>
      <c r="BC35" s="229">
        <v>-0.98309999999999997</v>
      </c>
      <c r="BD35" s="228">
        <v>0</v>
      </c>
      <c r="BE35" s="230">
        <v>3900</v>
      </c>
      <c r="BF35" s="228">
        <v>0</v>
      </c>
      <c r="BG35" s="229">
        <v>0</v>
      </c>
      <c r="BH35" s="230">
        <v>339950</v>
      </c>
      <c r="BI35" s="230">
        <v>655525</v>
      </c>
      <c r="BJ35" s="230">
        <v>-315575</v>
      </c>
      <c r="BK35" s="229">
        <v>-0.48139999999999999</v>
      </c>
      <c r="BL35" s="230">
        <v>309400</v>
      </c>
      <c r="BM35" s="230">
        <v>2197975</v>
      </c>
      <c r="BN35" s="230">
        <v>-1888575</v>
      </c>
      <c r="BO35" s="229">
        <v>-0.85919999999999996</v>
      </c>
      <c r="BP35" s="230">
        <v>1390350</v>
      </c>
      <c r="BQ35" s="230">
        <v>4286425</v>
      </c>
      <c r="BR35" s="230">
        <v>-2896075</v>
      </c>
      <c r="BS35" s="229">
        <v>-0.67559999999999998</v>
      </c>
      <c r="BT35" s="230">
        <v>618185</v>
      </c>
      <c r="BU35" s="230">
        <v>621834</v>
      </c>
      <c r="BV35" s="230">
        <v>-3649</v>
      </c>
      <c r="BW35" s="229">
        <v>-5.8999999999999999E-3</v>
      </c>
      <c r="BX35" s="230">
        <v>2493075</v>
      </c>
      <c r="BY35" s="230">
        <v>2364700</v>
      </c>
      <c r="BZ35" s="230">
        <v>128375</v>
      </c>
      <c r="CA35" s="229">
        <v>5.4300000000000001E-2</v>
      </c>
      <c r="CB35" s="230">
        <v>2485925</v>
      </c>
      <c r="CC35" s="230">
        <v>163150</v>
      </c>
      <c r="CD35" s="230">
        <v>2322775</v>
      </c>
      <c r="CE35" s="229">
        <v>14.2371</v>
      </c>
      <c r="CF35" s="230">
        <v>7150</v>
      </c>
      <c r="CG35" s="230">
        <v>2360800</v>
      </c>
      <c r="CH35" s="230">
        <v>-2353650</v>
      </c>
      <c r="CI35" s="229">
        <v>-0.997</v>
      </c>
      <c r="CJ35" s="228">
        <v>0</v>
      </c>
      <c r="CK35" s="230">
        <v>3900</v>
      </c>
      <c r="CL35" s="230">
        <v>-3900</v>
      </c>
      <c r="CM35" s="229">
        <v>-1</v>
      </c>
      <c r="CN35" s="230">
        <v>210275</v>
      </c>
      <c r="CO35" s="230">
        <v>101725</v>
      </c>
      <c r="CP35" s="230">
        <v>108550</v>
      </c>
      <c r="CQ35" s="229">
        <v>1.0670999999999999</v>
      </c>
      <c r="CR35" s="230">
        <v>212875</v>
      </c>
      <c r="CS35" s="230">
        <v>141700</v>
      </c>
      <c r="CT35" s="230">
        <v>71175</v>
      </c>
      <c r="CU35" s="229">
        <v>0.50229999999999997</v>
      </c>
      <c r="CV35" s="230">
        <v>2916225</v>
      </c>
      <c r="CW35" s="230">
        <v>2608125</v>
      </c>
      <c r="CX35" s="230">
        <v>308100</v>
      </c>
      <c r="CY35" s="229">
        <v>0.1181</v>
      </c>
      <c r="CZ35" s="228">
        <v>41.12</v>
      </c>
      <c r="DA35" s="228">
        <v>43</v>
      </c>
      <c r="DB35" s="228">
        <v>-1.88</v>
      </c>
      <c r="DC35" s="228">
        <v>-1.88</v>
      </c>
      <c r="DD35" s="228">
        <v>38.74</v>
      </c>
      <c r="DE35" s="228">
        <v>38.75</v>
      </c>
      <c r="DF35" s="228">
        <v>2.38</v>
      </c>
      <c r="DG35" s="228">
        <v>-0.01</v>
      </c>
      <c r="DH35" s="228">
        <v>37.909999999999997</v>
      </c>
      <c r="DI35" s="228">
        <v>39.380000000000003</v>
      </c>
      <c r="DJ35" s="228">
        <v>-1.47</v>
      </c>
      <c r="DK35" s="228">
        <v>-1.47</v>
      </c>
      <c r="DL35" s="228">
        <v>44.65</v>
      </c>
      <c r="DM35" s="228">
        <v>44.5</v>
      </c>
      <c r="DN35" s="228">
        <v>0.15</v>
      </c>
      <c r="DO35" s="228">
        <v>0.15</v>
      </c>
      <c r="DP35" s="228">
        <v>1.01</v>
      </c>
      <c r="DQ35" s="228">
        <v>1.39</v>
      </c>
      <c r="DR35" s="228">
        <v>-0.38</v>
      </c>
      <c r="DS35" s="229">
        <v>-0.27339999999999998</v>
      </c>
      <c r="DT35" s="231">
        <v>1720</v>
      </c>
      <c r="DU35" s="231">
        <v>1600</v>
      </c>
      <c r="DV35" s="228">
        <v>0.91</v>
      </c>
      <c r="DW35" s="228">
        <v>3.35</v>
      </c>
      <c r="DX35" s="228">
        <v>-2.44</v>
      </c>
      <c r="DY35" s="229">
        <v>-0.72840000000000005</v>
      </c>
      <c r="DZ35" s="229">
        <v>2.8999999999999998E-3</v>
      </c>
      <c r="EA35" s="230">
        <v>2364700</v>
      </c>
      <c r="EB35" s="229">
        <v>2.9999999999999997E-4</v>
      </c>
      <c r="EC35" s="229">
        <v>2.8999999999999998E-3</v>
      </c>
      <c r="ED35" s="228">
        <v>5.0999999999999996</v>
      </c>
      <c r="EE35" s="229">
        <v>3.0000000000000001E-3</v>
      </c>
      <c r="EF35" s="230">
        <v>376290</v>
      </c>
      <c r="EG35" s="230">
        <v>304534</v>
      </c>
      <c r="EH35" s="229">
        <v>0.2356</v>
      </c>
      <c r="EI35" s="229">
        <v>0.60870000000000002</v>
      </c>
      <c r="EJ35" s="231">
        <v>6165.52</v>
      </c>
      <c r="EK35" s="231">
        <v>5158.6099999999997</v>
      </c>
      <c r="EL35" s="231">
        <v>12515.68</v>
      </c>
      <c r="EM35" s="231">
        <v>7007</v>
      </c>
      <c r="EN35" s="231">
        <v>23839.81</v>
      </c>
      <c r="EO35" s="231">
        <v>72185.83</v>
      </c>
      <c r="EP35" s="231">
        <v>-48346.02</v>
      </c>
      <c r="EQ35" s="229">
        <v>-0.66969999999999996</v>
      </c>
      <c r="ER35" s="231">
        <v>3812</v>
      </c>
      <c r="ES35" s="231">
        <v>3432</v>
      </c>
      <c r="ET35" s="231">
        <v>42679</v>
      </c>
      <c r="EU35" s="231">
        <v>17213286</v>
      </c>
      <c r="EV35" s="231">
        <v>49923</v>
      </c>
      <c r="EW35" s="231">
        <v>43781</v>
      </c>
      <c r="EX35" s="231">
        <v>6142</v>
      </c>
      <c r="EY35" s="229">
        <v>0.14030000000000001</v>
      </c>
      <c r="EZ35" s="229">
        <v>0.1694</v>
      </c>
      <c r="FA35" s="227" t="s">
        <v>555</v>
      </c>
      <c r="FB35" s="161">
        <f t="shared" si="0"/>
        <v>7150</v>
      </c>
    </row>
    <row r="36" spans="1:158" ht="17.25" hidden="1" thickBot="1" x14ac:dyDescent="0.3">
      <c r="A36" s="226">
        <v>46050</v>
      </c>
      <c r="B36" s="227" t="s">
        <v>162</v>
      </c>
      <c r="C36" s="227" t="s">
        <v>192</v>
      </c>
      <c r="D36" s="228">
        <v>25</v>
      </c>
      <c r="E36" s="231">
        <v>36100</v>
      </c>
      <c r="F36" s="231">
        <v>35400</v>
      </c>
      <c r="G36" s="228">
        <v>700</v>
      </c>
      <c r="H36" s="229">
        <v>1.9800000000000002E-2</v>
      </c>
      <c r="I36" s="231">
        <v>36185</v>
      </c>
      <c r="J36" s="231">
        <v>35310</v>
      </c>
      <c r="K36" s="228">
        <v>875</v>
      </c>
      <c r="L36" s="229">
        <v>2.4799999999999999E-2</v>
      </c>
      <c r="M36" s="231">
        <v>36100</v>
      </c>
      <c r="N36" s="231">
        <v>35295</v>
      </c>
      <c r="O36" s="228">
        <v>805</v>
      </c>
      <c r="P36" s="229">
        <v>2.2800000000000001E-2</v>
      </c>
      <c r="Q36" s="231">
        <v>36250</v>
      </c>
      <c r="R36" s="231">
        <v>35400</v>
      </c>
      <c r="S36" s="228">
        <v>850</v>
      </c>
      <c r="T36" s="229">
        <v>2.4E-2</v>
      </c>
      <c r="U36" s="228">
        <v>0</v>
      </c>
      <c r="V36" s="231">
        <v>35585</v>
      </c>
      <c r="W36" s="228">
        <v>0</v>
      </c>
      <c r="X36" s="229">
        <v>0</v>
      </c>
      <c r="Y36" s="228">
        <v>-85</v>
      </c>
      <c r="Z36" s="228">
        <v>90</v>
      </c>
      <c r="AA36" s="228">
        <v>-175</v>
      </c>
      <c r="AB36" s="229">
        <v>-2.3E-3</v>
      </c>
      <c r="AC36" s="228">
        <v>-85</v>
      </c>
      <c r="AD36" s="228">
        <v>-15</v>
      </c>
      <c r="AE36" s="228">
        <v>-70</v>
      </c>
      <c r="AF36" s="229">
        <v>-2.3E-3</v>
      </c>
      <c r="AG36" s="228">
        <v>65</v>
      </c>
      <c r="AH36" s="228">
        <v>90</v>
      </c>
      <c r="AI36" s="228">
        <v>-25</v>
      </c>
      <c r="AJ36" s="229">
        <v>1.8E-3</v>
      </c>
      <c r="AK36" s="228">
        <v>0</v>
      </c>
      <c r="AL36" s="228">
        <v>275</v>
      </c>
      <c r="AM36" s="228">
        <v>0</v>
      </c>
      <c r="AN36" s="229">
        <v>0</v>
      </c>
      <c r="AO36" s="231">
        <v>35708.32</v>
      </c>
      <c r="AP36" s="231">
        <v>35976.94</v>
      </c>
      <c r="AQ36" s="228">
        <v>0</v>
      </c>
      <c r="AR36" s="230">
        <v>40875</v>
      </c>
      <c r="AS36" s="230">
        <v>146000</v>
      </c>
      <c r="AT36" s="230">
        <v>-105125</v>
      </c>
      <c r="AU36" s="229">
        <v>-0.72</v>
      </c>
      <c r="AV36" s="230">
        <v>38100</v>
      </c>
      <c r="AW36" s="230">
        <v>65150</v>
      </c>
      <c r="AX36" s="230">
        <v>-27050</v>
      </c>
      <c r="AY36" s="229">
        <v>-0.41520000000000001</v>
      </c>
      <c r="AZ36" s="230">
        <v>2775</v>
      </c>
      <c r="BA36" s="230">
        <v>80300</v>
      </c>
      <c r="BB36" s="230">
        <v>-77525</v>
      </c>
      <c r="BC36" s="229">
        <v>-0.96540000000000004</v>
      </c>
      <c r="BD36" s="228">
        <v>0</v>
      </c>
      <c r="BE36" s="228">
        <v>550</v>
      </c>
      <c r="BF36" s="228">
        <v>0</v>
      </c>
      <c r="BG36" s="229">
        <v>0</v>
      </c>
      <c r="BH36" s="230">
        <v>73175</v>
      </c>
      <c r="BI36" s="230">
        <v>414475</v>
      </c>
      <c r="BJ36" s="230">
        <v>-341300</v>
      </c>
      <c r="BK36" s="229">
        <v>-0.82350000000000001</v>
      </c>
      <c r="BL36" s="230">
        <v>24575</v>
      </c>
      <c r="BM36" s="230">
        <v>87500</v>
      </c>
      <c r="BN36" s="230">
        <v>-62925</v>
      </c>
      <c r="BO36" s="229">
        <v>-0.71909999999999996</v>
      </c>
      <c r="BP36" s="230">
        <v>138625</v>
      </c>
      <c r="BQ36" s="230">
        <v>647975</v>
      </c>
      <c r="BR36" s="230">
        <v>-509350</v>
      </c>
      <c r="BS36" s="229">
        <v>-0.78610000000000002</v>
      </c>
      <c r="BT36" s="230">
        <v>16044</v>
      </c>
      <c r="BU36" s="230">
        <v>19705</v>
      </c>
      <c r="BV36" s="230">
        <v>-3661</v>
      </c>
      <c r="BW36" s="229">
        <v>-0.18579999999999999</v>
      </c>
      <c r="BX36" s="230">
        <v>186700</v>
      </c>
      <c r="BY36" s="230">
        <v>184600</v>
      </c>
      <c r="BZ36" s="230">
        <v>2100</v>
      </c>
      <c r="CA36" s="229">
        <v>1.14E-2</v>
      </c>
      <c r="CB36" s="230">
        <v>183725</v>
      </c>
      <c r="CC36" s="230">
        <v>40350</v>
      </c>
      <c r="CD36" s="230">
        <v>143375</v>
      </c>
      <c r="CE36" s="229">
        <v>3.5533000000000001</v>
      </c>
      <c r="CF36" s="230">
        <v>2975</v>
      </c>
      <c r="CG36" s="230">
        <v>182975</v>
      </c>
      <c r="CH36" s="230">
        <v>-180000</v>
      </c>
      <c r="CI36" s="229">
        <v>-0.98370000000000002</v>
      </c>
      <c r="CJ36" s="228">
        <v>0</v>
      </c>
      <c r="CK36" s="230">
        <v>1625</v>
      </c>
      <c r="CL36" s="230">
        <v>-1625</v>
      </c>
      <c r="CM36" s="229">
        <v>-1</v>
      </c>
      <c r="CN36" s="230">
        <v>49900</v>
      </c>
      <c r="CO36" s="230">
        <v>35000</v>
      </c>
      <c r="CP36" s="230">
        <v>14900</v>
      </c>
      <c r="CQ36" s="229">
        <v>0.42570000000000002</v>
      </c>
      <c r="CR36" s="230">
        <v>36750</v>
      </c>
      <c r="CS36" s="230">
        <v>27700</v>
      </c>
      <c r="CT36" s="230">
        <v>9050</v>
      </c>
      <c r="CU36" s="229">
        <v>0.32669999999999999</v>
      </c>
      <c r="CV36" s="230">
        <v>273350</v>
      </c>
      <c r="CW36" s="230">
        <v>247300</v>
      </c>
      <c r="CX36" s="230">
        <v>26050</v>
      </c>
      <c r="CY36" s="229">
        <v>0.1053</v>
      </c>
      <c r="CZ36" s="228">
        <v>30.86</v>
      </c>
      <c r="DA36" s="228">
        <v>30.22</v>
      </c>
      <c r="DB36" s="228">
        <v>0.64</v>
      </c>
      <c r="DC36" s="228">
        <v>0.64</v>
      </c>
      <c r="DD36" s="228">
        <v>29.14</v>
      </c>
      <c r="DE36" s="228">
        <v>29.09</v>
      </c>
      <c r="DF36" s="228">
        <v>1.72</v>
      </c>
      <c r="DG36" s="228">
        <v>0.05</v>
      </c>
      <c r="DH36" s="228">
        <v>30.39</v>
      </c>
      <c r="DI36" s="228">
        <v>30.76</v>
      </c>
      <c r="DJ36" s="228">
        <v>-0.37</v>
      </c>
      <c r="DK36" s="228">
        <v>-0.37</v>
      </c>
      <c r="DL36" s="228">
        <v>32.25</v>
      </c>
      <c r="DM36" s="228">
        <v>29.51</v>
      </c>
      <c r="DN36" s="228">
        <v>2.74</v>
      </c>
      <c r="DO36" s="228">
        <v>2.74</v>
      </c>
      <c r="DP36" s="228">
        <v>0.74</v>
      </c>
      <c r="DQ36" s="228">
        <v>0.79</v>
      </c>
      <c r="DR36" s="228">
        <v>-0.05</v>
      </c>
      <c r="DS36" s="229">
        <v>-6.3299999999999995E-2</v>
      </c>
      <c r="DT36" s="231">
        <v>40000</v>
      </c>
      <c r="DU36" s="231">
        <v>37000</v>
      </c>
      <c r="DV36" s="228">
        <v>0.34</v>
      </c>
      <c r="DW36" s="228">
        <v>0.21</v>
      </c>
      <c r="DX36" s="228">
        <v>0.13</v>
      </c>
      <c r="DY36" s="229">
        <v>0.61899999999999999</v>
      </c>
      <c r="DZ36" s="229">
        <v>1.5900000000000001E-2</v>
      </c>
      <c r="EA36" s="230">
        <v>184600</v>
      </c>
      <c r="EB36" s="229">
        <v>4.1999999999999997E-3</v>
      </c>
      <c r="EC36" s="229">
        <v>1.5900000000000001E-2</v>
      </c>
      <c r="ED36" s="228">
        <v>268.62</v>
      </c>
      <c r="EE36" s="229">
        <v>7.4999999999999997E-3</v>
      </c>
      <c r="EF36" s="230">
        <v>6981</v>
      </c>
      <c r="EG36" s="230">
        <v>8068</v>
      </c>
      <c r="EH36" s="229">
        <v>-0.13469999999999999</v>
      </c>
      <c r="EI36" s="229">
        <v>0.43509999999999999</v>
      </c>
      <c r="EJ36" s="231">
        <v>28273.09</v>
      </c>
      <c r="EK36" s="231">
        <v>8424.92</v>
      </c>
      <c r="EL36" s="231">
        <v>14603.23</v>
      </c>
      <c r="EM36" s="231">
        <v>6343</v>
      </c>
      <c r="EN36" s="231">
        <v>51301.24</v>
      </c>
      <c r="EO36" s="231">
        <v>241803.49</v>
      </c>
      <c r="EP36" s="231">
        <v>-190502.25</v>
      </c>
      <c r="EQ36" s="229">
        <v>-0.78779999999999994</v>
      </c>
      <c r="ER36" s="231">
        <v>19570</v>
      </c>
      <c r="ES36" s="231">
        <v>12806</v>
      </c>
      <c r="ET36" s="231">
        <v>67403</v>
      </c>
      <c r="EU36" s="231">
        <v>882048</v>
      </c>
      <c r="EV36" s="231">
        <v>99779</v>
      </c>
      <c r="EW36" s="231">
        <v>88894</v>
      </c>
      <c r="EX36" s="231">
        <v>10885</v>
      </c>
      <c r="EY36" s="229">
        <v>0.12239999999999999</v>
      </c>
      <c r="EZ36" s="229">
        <v>0.30990000000000001</v>
      </c>
      <c r="FA36" s="227" t="s">
        <v>555</v>
      </c>
      <c r="FB36" s="161">
        <f t="shared" si="0"/>
        <v>2975</v>
      </c>
    </row>
    <row r="37" spans="1:158" ht="17.25" hidden="1" thickBot="1" x14ac:dyDescent="0.3">
      <c r="A37" s="226">
        <v>46050</v>
      </c>
      <c r="B37" s="227" t="s">
        <v>193</v>
      </c>
      <c r="C37" s="227" t="s">
        <v>194</v>
      </c>
      <c r="D37" s="228">
        <v>1975</v>
      </c>
      <c r="E37" s="228">
        <v>364.5</v>
      </c>
      <c r="F37" s="228">
        <v>359.05</v>
      </c>
      <c r="G37" s="228">
        <v>5.45</v>
      </c>
      <c r="H37" s="229">
        <v>1.52E-2</v>
      </c>
      <c r="I37" s="228">
        <v>362.35</v>
      </c>
      <c r="J37" s="228">
        <v>357.4</v>
      </c>
      <c r="K37" s="228">
        <v>4.95</v>
      </c>
      <c r="L37" s="229">
        <v>1.3899999999999999E-2</v>
      </c>
      <c r="M37" s="228">
        <v>364.5</v>
      </c>
      <c r="N37" s="228">
        <v>357.4</v>
      </c>
      <c r="O37" s="228">
        <v>7.1</v>
      </c>
      <c r="P37" s="229">
        <v>1.9900000000000001E-2</v>
      </c>
      <c r="Q37" s="228">
        <v>365.6</v>
      </c>
      <c r="R37" s="228">
        <v>359.05</v>
      </c>
      <c r="S37" s="228">
        <v>6.55</v>
      </c>
      <c r="T37" s="229">
        <v>1.8200000000000001E-2</v>
      </c>
      <c r="U37" s="228">
        <v>367.05</v>
      </c>
      <c r="V37" s="228">
        <v>361.2</v>
      </c>
      <c r="W37" s="228">
        <v>5.85</v>
      </c>
      <c r="X37" s="229">
        <v>1.6199999999999999E-2</v>
      </c>
      <c r="Y37" s="228">
        <v>2.15</v>
      </c>
      <c r="Z37" s="228">
        <v>1.65</v>
      </c>
      <c r="AA37" s="228">
        <v>0.5</v>
      </c>
      <c r="AB37" s="229">
        <v>5.8999999999999999E-3</v>
      </c>
      <c r="AC37" s="228">
        <v>2.15</v>
      </c>
      <c r="AD37" s="228">
        <v>0</v>
      </c>
      <c r="AE37" s="228">
        <v>2.15</v>
      </c>
      <c r="AF37" s="229">
        <v>5.8999999999999999E-3</v>
      </c>
      <c r="AG37" s="228">
        <v>3.25</v>
      </c>
      <c r="AH37" s="228">
        <v>1.65</v>
      </c>
      <c r="AI37" s="228">
        <v>1.6</v>
      </c>
      <c r="AJ37" s="229">
        <v>8.9999999999999993E-3</v>
      </c>
      <c r="AK37" s="228">
        <v>4.7</v>
      </c>
      <c r="AL37" s="228">
        <v>3.8</v>
      </c>
      <c r="AM37" s="228">
        <v>0.9</v>
      </c>
      <c r="AN37" s="229">
        <v>1.2999999999999999E-2</v>
      </c>
      <c r="AO37" s="228">
        <v>363.64</v>
      </c>
      <c r="AP37" s="228">
        <v>365.25</v>
      </c>
      <c r="AQ37" s="228">
        <v>0</v>
      </c>
      <c r="AR37" s="230">
        <v>11354275</v>
      </c>
      <c r="AS37" s="230">
        <v>51652175</v>
      </c>
      <c r="AT37" s="230">
        <v>-40297900</v>
      </c>
      <c r="AU37" s="229">
        <v>-0.7802</v>
      </c>
      <c r="AV37" s="230">
        <v>10789425</v>
      </c>
      <c r="AW37" s="230">
        <v>23856025</v>
      </c>
      <c r="AX37" s="230">
        <v>-13066600</v>
      </c>
      <c r="AY37" s="229">
        <v>-0.54769999999999996</v>
      </c>
      <c r="AZ37" s="230">
        <v>547075</v>
      </c>
      <c r="BA37" s="230">
        <v>27555200</v>
      </c>
      <c r="BB37" s="230">
        <v>-27008125</v>
      </c>
      <c r="BC37" s="229">
        <v>-0.98009999999999997</v>
      </c>
      <c r="BD37" s="230">
        <v>17775</v>
      </c>
      <c r="BE37" s="230">
        <v>240950</v>
      </c>
      <c r="BF37" s="230">
        <v>-223175</v>
      </c>
      <c r="BG37" s="229">
        <v>-0.92620000000000002</v>
      </c>
      <c r="BH37" s="230">
        <v>22552525</v>
      </c>
      <c r="BI37" s="230">
        <v>30598675</v>
      </c>
      <c r="BJ37" s="230">
        <v>-8046150</v>
      </c>
      <c r="BK37" s="229">
        <v>-0.26300000000000001</v>
      </c>
      <c r="BL37" s="230">
        <v>11174550</v>
      </c>
      <c r="BM37" s="230">
        <v>18480075</v>
      </c>
      <c r="BN37" s="230">
        <v>-7305525</v>
      </c>
      <c r="BO37" s="229">
        <v>-0.39529999999999998</v>
      </c>
      <c r="BP37" s="230">
        <v>45081350</v>
      </c>
      <c r="BQ37" s="230">
        <v>100730925</v>
      </c>
      <c r="BR37" s="230">
        <v>-55649575</v>
      </c>
      <c r="BS37" s="229">
        <v>-0.55249999999999999</v>
      </c>
      <c r="BT37" s="230">
        <v>12792630</v>
      </c>
      <c r="BU37" s="230">
        <v>12356803</v>
      </c>
      <c r="BV37" s="230">
        <v>435827</v>
      </c>
      <c r="BW37" s="229">
        <v>3.5299999999999998E-2</v>
      </c>
      <c r="BX37" s="230">
        <v>33962100</v>
      </c>
      <c r="BY37" s="230">
        <v>31368925</v>
      </c>
      <c r="BZ37" s="230">
        <v>2593175</v>
      </c>
      <c r="CA37" s="229">
        <v>8.2699999999999996E-2</v>
      </c>
      <c r="CB37" s="230">
        <v>33563150</v>
      </c>
      <c r="CC37" s="230">
        <v>8516200</v>
      </c>
      <c r="CD37" s="230">
        <v>25046950</v>
      </c>
      <c r="CE37" s="229">
        <v>2.9411</v>
      </c>
      <c r="CF37" s="230">
        <v>387100</v>
      </c>
      <c r="CG37" s="230">
        <v>30979850</v>
      </c>
      <c r="CH37" s="230">
        <v>-30592750</v>
      </c>
      <c r="CI37" s="229">
        <v>-0.98750000000000004</v>
      </c>
      <c r="CJ37" s="230">
        <v>11850</v>
      </c>
      <c r="CK37" s="230">
        <v>389075</v>
      </c>
      <c r="CL37" s="230">
        <v>-377225</v>
      </c>
      <c r="CM37" s="229">
        <v>-0.96950000000000003</v>
      </c>
      <c r="CN37" s="230">
        <v>8107375</v>
      </c>
      <c r="CO37" s="230">
        <v>7777550</v>
      </c>
      <c r="CP37" s="230">
        <v>329825</v>
      </c>
      <c r="CQ37" s="229">
        <v>4.24E-2</v>
      </c>
      <c r="CR37" s="230">
        <v>6618225</v>
      </c>
      <c r="CS37" s="230">
        <v>5308800</v>
      </c>
      <c r="CT37" s="230">
        <v>1309425</v>
      </c>
      <c r="CU37" s="229">
        <v>0.2467</v>
      </c>
      <c r="CV37" s="230">
        <v>48687700</v>
      </c>
      <c r="CW37" s="230">
        <v>44455275</v>
      </c>
      <c r="CX37" s="230">
        <v>4232425</v>
      </c>
      <c r="CY37" s="229">
        <v>9.5200000000000007E-2</v>
      </c>
      <c r="CZ37" s="228">
        <v>31.76</v>
      </c>
      <c r="DA37" s="228">
        <v>31.61</v>
      </c>
      <c r="DB37" s="228">
        <v>0.15</v>
      </c>
      <c r="DC37" s="228">
        <v>0.15</v>
      </c>
      <c r="DD37" s="228">
        <v>32.18</v>
      </c>
      <c r="DE37" s="228">
        <v>32.19</v>
      </c>
      <c r="DF37" s="228">
        <v>-0.42</v>
      </c>
      <c r="DG37" s="228">
        <v>-0.01</v>
      </c>
      <c r="DH37" s="228">
        <v>31.14</v>
      </c>
      <c r="DI37" s="228">
        <v>31.1</v>
      </c>
      <c r="DJ37" s="228">
        <v>0.04</v>
      </c>
      <c r="DK37" s="228">
        <v>0.04</v>
      </c>
      <c r="DL37" s="228">
        <v>33.01</v>
      </c>
      <c r="DM37" s="228">
        <v>32.35</v>
      </c>
      <c r="DN37" s="228">
        <v>0.66</v>
      </c>
      <c r="DO37" s="228">
        <v>0.66</v>
      </c>
      <c r="DP37" s="228">
        <v>0.82</v>
      </c>
      <c r="DQ37" s="228">
        <v>0.68</v>
      </c>
      <c r="DR37" s="228">
        <v>0.14000000000000001</v>
      </c>
      <c r="DS37" s="229">
        <v>0.2059</v>
      </c>
      <c r="DT37" s="228">
        <v>400</v>
      </c>
      <c r="DU37" s="228">
        <v>350</v>
      </c>
      <c r="DV37" s="228">
        <v>0.5</v>
      </c>
      <c r="DW37" s="228">
        <v>0.6</v>
      </c>
      <c r="DX37" s="228">
        <v>-0.1</v>
      </c>
      <c r="DY37" s="229">
        <v>-0.16669999999999999</v>
      </c>
      <c r="DZ37" s="229">
        <v>1.17E-2</v>
      </c>
      <c r="EA37" s="230">
        <v>31368925</v>
      </c>
      <c r="EB37" s="229">
        <v>3.0000000000000001E-3</v>
      </c>
      <c r="EC37" s="229">
        <v>1.17E-2</v>
      </c>
      <c r="ED37" s="228">
        <v>1.61</v>
      </c>
      <c r="EE37" s="229">
        <v>4.4000000000000003E-3</v>
      </c>
      <c r="EF37" s="230">
        <v>7333702</v>
      </c>
      <c r="EG37" s="230">
        <v>6530460</v>
      </c>
      <c r="EH37" s="229">
        <v>0.123</v>
      </c>
      <c r="EI37" s="229">
        <v>0.57330000000000003</v>
      </c>
      <c r="EJ37" s="231">
        <v>86774.89</v>
      </c>
      <c r="EK37" s="231">
        <v>39720.769999999997</v>
      </c>
      <c r="EL37" s="231">
        <v>41297.440000000002</v>
      </c>
      <c r="EM37" s="231">
        <v>14474</v>
      </c>
      <c r="EN37" s="231">
        <v>167793.1</v>
      </c>
      <c r="EO37" s="231">
        <v>362341.18</v>
      </c>
      <c r="EP37" s="231">
        <v>-194548.08</v>
      </c>
      <c r="EQ37" s="229">
        <v>-0.53690000000000004</v>
      </c>
      <c r="ER37" s="231">
        <v>30828</v>
      </c>
      <c r="ES37" s="231">
        <v>22805</v>
      </c>
      <c r="ET37" s="231">
        <v>123796</v>
      </c>
      <c r="EU37" s="231">
        <v>306020745</v>
      </c>
      <c r="EV37" s="231">
        <v>177430</v>
      </c>
      <c r="EW37" s="231">
        <v>160334</v>
      </c>
      <c r="EX37" s="231">
        <v>17096</v>
      </c>
      <c r="EY37" s="229">
        <v>0.1066</v>
      </c>
      <c r="EZ37" s="229">
        <v>0.15909999999999999</v>
      </c>
      <c r="FA37" s="227" t="s">
        <v>555</v>
      </c>
      <c r="FB37" s="161">
        <f t="shared" si="0"/>
        <v>398950</v>
      </c>
    </row>
    <row r="38" spans="1:158" ht="17.25" hidden="1" thickBot="1" x14ac:dyDescent="0.3">
      <c r="A38" s="226">
        <v>46050</v>
      </c>
      <c r="B38" s="227" t="s">
        <v>168</v>
      </c>
      <c r="C38" s="227" t="s">
        <v>195</v>
      </c>
      <c r="D38" s="228">
        <v>125</v>
      </c>
      <c r="E38" s="231">
        <v>5768.5</v>
      </c>
      <c r="F38" s="231">
        <v>5927</v>
      </c>
      <c r="G38" s="228">
        <v>-158.5</v>
      </c>
      <c r="H38" s="229">
        <v>-2.6700000000000002E-2</v>
      </c>
      <c r="I38" s="231">
        <v>5748.5</v>
      </c>
      <c r="J38" s="231">
        <v>5886</v>
      </c>
      <c r="K38" s="228">
        <v>-137.5</v>
      </c>
      <c r="L38" s="229">
        <v>-2.3400000000000001E-2</v>
      </c>
      <c r="M38" s="231">
        <v>5768.5</v>
      </c>
      <c r="N38" s="231">
        <v>5897.5</v>
      </c>
      <c r="O38" s="228">
        <v>-129</v>
      </c>
      <c r="P38" s="229">
        <v>-2.1899999999999999E-2</v>
      </c>
      <c r="Q38" s="231">
        <v>5805.5</v>
      </c>
      <c r="R38" s="231">
        <v>5927</v>
      </c>
      <c r="S38" s="228">
        <v>-121.5</v>
      </c>
      <c r="T38" s="229">
        <v>-2.0500000000000001E-2</v>
      </c>
      <c r="U38" s="228">
        <v>0</v>
      </c>
      <c r="V38" s="231">
        <v>5966.5</v>
      </c>
      <c r="W38" s="228">
        <v>0</v>
      </c>
      <c r="X38" s="229">
        <v>0</v>
      </c>
      <c r="Y38" s="228">
        <v>20</v>
      </c>
      <c r="Z38" s="228">
        <v>41</v>
      </c>
      <c r="AA38" s="228">
        <v>-21</v>
      </c>
      <c r="AB38" s="229">
        <v>3.5000000000000001E-3</v>
      </c>
      <c r="AC38" s="228">
        <v>20</v>
      </c>
      <c r="AD38" s="228">
        <v>11.5</v>
      </c>
      <c r="AE38" s="228">
        <v>8.5</v>
      </c>
      <c r="AF38" s="229">
        <v>3.5000000000000001E-3</v>
      </c>
      <c r="AG38" s="228">
        <v>57</v>
      </c>
      <c r="AH38" s="228">
        <v>41</v>
      </c>
      <c r="AI38" s="228">
        <v>16</v>
      </c>
      <c r="AJ38" s="229">
        <v>9.9000000000000008E-3</v>
      </c>
      <c r="AK38" s="228">
        <v>0</v>
      </c>
      <c r="AL38" s="228">
        <v>80.5</v>
      </c>
      <c r="AM38" s="228">
        <v>0</v>
      </c>
      <c r="AN38" s="229">
        <v>0</v>
      </c>
      <c r="AO38" s="231">
        <v>5781.93</v>
      </c>
      <c r="AP38" s="231">
        <v>5815.47</v>
      </c>
      <c r="AQ38" s="228">
        <v>0</v>
      </c>
      <c r="AR38" s="230">
        <v>500625</v>
      </c>
      <c r="AS38" s="230">
        <v>1730000</v>
      </c>
      <c r="AT38" s="230">
        <v>-1229375</v>
      </c>
      <c r="AU38" s="229">
        <v>-0.71060000000000001</v>
      </c>
      <c r="AV38" s="230">
        <v>491250</v>
      </c>
      <c r="AW38" s="230">
        <v>629500</v>
      </c>
      <c r="AX38" s="230">
        <v>-138250</v>
      </c>
      <c r="AY38" s="229">
        <v>-0.21959999999999999</v>
      </c>
      <c r="AZ38" s="230">
        <v>9375</v>
      </c>
      <c r="BA38" s="230">
        <v>1094625</v>
      </c>
      <c r="BB38" s="230">
        <v>-1085250</v>
      </c>
      <c r="BC38" s="229">
        <v>-0.99139999999999995</v>
      </c>
      <c r="BD38" s="228">
        <v>0</v>
      </c>
      <c r="BE38" s="230">
        <v>5875</v>
      </c>
      <c r="BF38" s="228">
        <v>0</v>
      </c>
      <c r="BG38" s="229">
        <v>0</v>
      </c>
      <c r="BH38" s="230">
        <v>1096250</v>
      </c>
      <c r="BI38" s="230">
        <v>778750</v>
      </c>
      <c r="BJ38" s="230">
        <v>317500</v>
      </c>
      <c r="BK38" s="229">
        <v>0.40770000000000001</v>
      </c>
      <c r="BL38" s="230">
        <v>578750</v>
      </c>
      <c r="BM38" s="230">
        <v>523250</v>
      </c>
      <c r="BN38" s="230">
        <v>55500</v>
      </c>
      <c r="BO38" s="229">
        <v>0.1061</v>
      </c>
      <c r="BP38" s="230">
        <v>2175625</v>
      </c>
      <c r="BQ38" s="230">
        <v>3032000</v>
      </c>
      <c r="BR38" s="230">
        <v>-856375</v>
      </c>
      <c r="BS38" s="229">
        <v>-0.28239999999999998</v>
      </c>
      <c r="BT38" s="230">
        <v>490242</v>
      </c>
      <c r="BU38" s="230">
        <v>1048617</v>
      </c>
      <c r="BV38" s="230">
        <v>-558375</v>
      </c>
      <c r="BW38" s="229">
        <v>-0.53249999999999997</v>
      </c>
      <c r="BX38" s="230">
        <v>3304000</v>
      </c>
      <c r="BY38" s="230">
        <v>3182750</v>
      </c>
      <c r="BZ38" s="230">
        <v>121250</v>
      </c>
      <c r="CA38" s="229">
        <v>3.8100000000000002E-2</v>
      </c>
      <c r="CB38" s="230">
        <v>3293750</v>
      </c>
      <c r="CC38" s="230">
        <v>261500</v>
      </c>
      <c r="CD38" s="230">
        <v>3032250</v>
      </c>
      <c r="CE38" s="229">
        <v>11.595599999999999</v>
      </c>
      <c r="CF38" s="230">
        <v>10250</v>
      </c>
      <c r="CG38" s="230">
        <v>3173875</v>
      </c>
      <c r="CH38" s="230">
        <v>-3163625</v>
      </c>
      <c r="CI38" s="229">
        <v>-0.99680000000000002</v>
      </c>
      <c r="CJ38" s="228">
        <v>0</v>
      </c>
      <c r="CK38" s="230">
        <v>8875</v>
      </c>
      <c r="CL38" s="230">
        <v>-8875</v>
      </c>
      <c r="CM38" s="229">
        <v>-1</v>
      </c>
      <c r="CN38" s="230">
        <v>413125</v>
      </c>
      <c r="CO38" s="230">
        <v>188875</v>
      </c>
      <c r="CP38" s="230">
        <v>224250</v>
      </c>
      <c r="CQ38" s="229">
        <v>1.1873</v>
      </c>
      <c r="CR38" s="230">
        <v>233875</v>
      </c>
      <c r="CS38" s="230">
        <v>130000</v>
      </c>
      <c r="CT38" s="230">
        <v>103875</v>
      </c>
      <c r="CU38" s="229">
        <v>0.79900000000000004</v>
      </c>
      <c r="CV38" s="230">
        <v>3951000</v>
      </c>
      <c r="CW38" s="230">
        <v>3501625</v>
      </c>
      <c r="CX38" s="230">
        <v>449375</v>
      </c>
      <c r="CY38" s="229">
        <v>0.1283</v>
      </c>
      <c r="CZ38" s="228">
        <v>30.06</v>
      </c>
      <c r="DA38" s="228">
        <v>28.35</v>
      </c>
      <c r="DB38" s="228">
        <v>1.71</v>
      </c>
      <c r="DC38" s="228">
        <v>1.71</v>
      </c>
      <c r="DD38" s="228">
        <v>23.8</v>
      </c>
      <c r="DE38" s="228">
        <v>23.65</v>
      </c>
      <c r="DF38" s="228">
        <v>6.26</v>
      </c>
      <c r="DG38" s="228">
        <v>0.15</v>
      </c>
      <c r="DH38" s="228">
        <v>29.52</v>
      </c>
      <c r="DI38" s="228">
        <v>28.06</v>
      </c>
      <c r="DJ38" s="228">
        <v>1.46</v>
      </c>
      <c r="DK38" s="228">
        <v>1.46</v>
      </c>
      <c r="DL38" s="228">
        <v>31.07</v>
      </c>
      <c r="DM38" s="228">
        <v>28.87</v>
      </c>
      <c r="DN38" s="228">
        <v>2.2000000000000002</v>
      </c>
      <c r="DO38" s="228">
        <v>2.2000000000000002</v>
      </c>
      <c r="DP38" s="228">
        <v>0.56999999999999995</v>
      </c>
      <c r="DQ38" s="228">
        <v>0.69</v>
      </c>
      <c r="DR38" s="228">
        <v>-0.12</v>
      </c>
      <c r="DS38" s="229">
        <v>-0.1739</v>
      </c>
      <c r="DT38" s="231">
        <v>6500</v>
      </c>
      <c r="DU38" s="231">
        <v>4900</v>
      </c>
      <c r="DV38" s="228">
        <v>0.53</v>
      </c>
      <c r="DW38" s="228">
        <v>0.67</v>
      </c>
      <c r="DX38" s="228">
        <v>-0.14000000000000001</v>
      </c>
      <c r="DY38" s="229">
        <v>-0.20899999999999999</v>
      </c>
      <c r="DZ38" s="229">
        <v>3.0999999999999999E-3</v>
      </c>
      <c r="EA38" s="230">
        <v>3182750</v>
      </c>
      <c r="EB38" s="229">
        <v>6.4000000000000003E-3</v>
      </c>
      <c r="EC38" s="229">
        <v>3.0999999999999999E-3</v>
      </c>
      <c r="ED38" s="228">
        <v>33.54</v>
      </c>
      <c r="EE38" s="229">
        <v>5.7999999999999996E-3</v>
      </c>
      <c r="EF38" s="230">
        <v>295760</v>
      </c>
      <c r="EG38" s="230">
        <v>714311</v>
      </c>
      <c r="EH38" s="229">
        <v>-0.58599999999999997</v>
      </c>
      <c r="EI38" s="229">
        <v>0.60329999999999995</v>
      </c>
      <c r="EJ38" s="231">
        <v>68929.19</v>
      </c>
      <c r="EK38" s="231">
        <v>33027.61</v>
      </c>
      <c r="EL38" s="231">
        <v>28948.93</v>
      </c>
      <c r="EM38" s="231">
        <v>17339</v>
      </c>
      <c r="EN38" s="231">
        <v>130905.73</v>
      </c>
      <c r="EO38" s="231">
        <v>180718.1</v>
      </c>
      <c r="EP38" s="231">
        <v>-49812.37</v>
      </c>
      <c r="EQ38" s="229">
        <v>-0.27560000000000001</v>
      </c>
      <c r="ER38" s="231">
        <v>25934</v>
      </c>
      <c r="ES38" s="231">
        <v>12980</v>
      </c>
      <c r="ET38" s="231">
        <v>190595</v>
      </c>
      <c r="EU38" s="231">
        <v>16370935</v>
      </c>
      <c r="EV38" s="231">
        <v>229509</v>
      </c>
      <c r="EW38" s="231">
        <v>207942</v>
      </c>
      <c r="EX38" s="231">
        <v>21567</v>
      </c>
      <c r="EY38" s="229">
        <v>0.1037</v>
      </c>
      <c r="EZ38" s="229">
        <v>0.24129999999999999</v>
      </c>
      <c r="FA38" s="227" t="s">
        <v>567</v>
      </c>
      <c r="FB38" s="161">
        <f t="shared" si="0"/>
        <v>10250</v>
      </c>
    </row>
    <row r="39" spans="1:158" ht="17.25" hidden="1" thickBot="1" x14ac:dyDescent="0.3">
      <c r="A39" s="226">
        <v>46050</v>
      </c>
      <c r="B39" s="227" t="s">
        <v>175</v>
      </c>
      <c r="C39" s="227" t="s">
        <v>584</v>
      </c>
      <c r="D39" s="228">
        <v>375</v>
      </c>
      <c r="E39" s="231">
        <v>2839.5</v>
      </c>
      <c r="F39" s="231">
        <v>2780.6</v>
      </c>
      <c r="G39" s="228">
        <v>58.9</v>
      </c>
      <c r="H39" s="229">
        <v>2.12E-2</v>
      </c>
      <c r="I39" s="231">
        <v>2821.5</v>
      </c>
      <c r="J39" s="231">
        <v>2761.2</v>
      </c>
      <c r="K39" s="228">
        <v>60.3</v>
      </c>
      <c r="L39" s="229">
        <v>2.18E-2</v>
      </c>
      <c r="M39" s="231">
        <v>2839.5</v>
      </c>
      <c r="N39" s="231">
        <v>2760.5</v>
      </c>
      <c r="O39" s="228">
        <v>79</v>
      </c>
      <c r="P39" s="229">
        <v>2.86E-2</v>
      </c>
      <c r="Q39" s="231">
        <v>2855.8</v>
      </c>
      <c r="R39" s="231">
        <v>2780.6</v>
      </c>
      <c r="S39" s="228">
        <v>75.2</v>
      </c>
      <c r="T39" s="229">
        <v>2.7E-2</v>
      </c>
      <c r="U39" s="231">
        <v>2870.5</v>
      </c>
      <c r="V39" s="231">
        <v>2793.6</v>
      </c>
      <c r="W39" s="228">
        <v>76.900000000000006</v>
      </c>
      <c r="X39" s="229">
        <v>2.75E-2</v>
      </c>
      <c r="Y39" s="228">
        <v>18</v>
      </c>
      <c r="Z39" s="228">
        <v>19.399999999999999</v>
      </c>
      <c r="AA39" s="228">
        <v>-1.4</v>
      </c>
      <c r="AB39" s="229">
        <v>6.4000000000000003E-3</v>
      </c>
      <c r="AC39" s="228">
        <v>18</v>
      </c>
      <c r="AD39" s="228">
        <v>-0.7</v>
      </c>
      <c r="AE39" s="228">
        <v>18.7</v>
      </c>
      <c r="AF39" s="229">
        <v>6.4000000000000003E-3</v>
      </c>
      <c r="AG39" s="228">
        <v>34.299999999999997</v>
      </c>
      <c r="AH39" s="228">
        <v>19.399999999999999</v>
      </c>
      <c r="AI39" s="228">
        <v>14.9</v>
      </c>
      <c r="AJ39" s="229">
        <v>1.2200000000000001E-2</v>
      </c>
      <c r="AK39" s="228">
        <v>49</v>
      </c>
      <c r="AL39" s="228">
        <v>32.4</v>
      </c>
      <c r="AM39" s="228">
        <v>16.600000000000001</v>
      </c>
      <c r="AN39" s="229">
        <v>1.7399999999999999E-2</v>
      </c>
      <c r="AO39" s="231">
        <v>2830.09</v>
      </c>
      <c r="AP39" s="231">
        <v>2846.18</v>
      </c>
      <c r="AQ39" s="228">
        <v>0</v>
      </c>
      <c r="AR39" s="230">
        <v>3354750</v>
      </c>
      <c r="AS39" s="230">
        <v>11458500</v>
      </c>
      <c r="AT39" s="230">
        <v>-8103750</v>
      </c>
      <c r="AU39" s="229">
        <v>-0.70720000000000005</v>
      </c>
      <c r="AV39" s="230">
        <v>3143625</v>
      </c>
      <c r="AW39" s="230">
        <v>4888500</v>
      </c>
      <c r="AX39" s="230">
        <v>-1744875</v>
      </c>
      <c r="AY39" s="229">
        <v>-0.3569</v>
      </c>
      <c r="AZ39" s="230">
        <v>173250</v>
      </c>
      <c r="BA39" s="230">
        <v>6358125</v>
      </c>
      <c r="BB39" s="230">
        <v>-6184875</v>
      </c>
      <c r="BC39" s="229">
        <v>-0.9728</v>
      </c>
      <c r="BD39" s="230">
        <v>37875</v>
      </c>
      <c r="BE39" s="230">
        <v>211875</v>
      </c>
      <c r="BF39" s="230">
        <v>-174000</v>
      </c>
      <c r="BG39" s="229">
        <v>-0.82120000000000004</v>
      </c>
      <c r="BH39" s="230">
        <v>10697250</v>
      </c>
      <c r="BI39" s="230">
        <v>17152875</v>
      </c>
      <c r="BJ39" s="230">
        <v>-6455625</v>
      </c>
      <c r="BK39" s="229">
        <v>-0.37640000000000001</v>
      </c>
      <c r="BL39" s="230">
        <v>4215375</v>
      </c>
      <c r="BM39" s="230">
        <v>8829375</v>
      </c>
      <c r="BN39" s="230">
        <v>-4614000</v>
      </c>
      <c r="BO39" s="229">
        <v>-0.52259999999999995</v>
      </c>
      <c r="BP39" s="230">
        <v>18267375</v>
      </c>
      <c r="BQ39" s="230">
        <v>37440750</v>
      </c>
      <c r="BR39" s="230">
        <v>-19173375</v>
      </c>
      <c r="BS39" s="229">
        <v>-0.5121</v>
      </c>
      <c r="BT39" s="230">
        <v>3409615</v>
      </c>
      <c r="BU39" s="230">
        <v>4092141</v>
      </c>
      <c r="BV39" s="230">
        <v>-682526</v>
      </c>
      <c r="BW39" s="229">
        <v>-0.1668</v>
      </c>
      <c r="BX39" s="230">
        <v>10045125</v>
      </c>
      <c r="BY39" s="230">
        <v>9631875</v>
      </c>
      <c r="BZ39" s="230">
        <v>413250</v>
      </c>
      <c r="CA39" s="229">
        <v>4.2900000000000001E-2</v>
      </c>
      <c r="CB39" s="230">
        <v>9729750</v>
      </c>
      <c r="CC39" s="230">
        <v>655500</v>
      </c>
      <c r="CD39" s="230">
        <v>9074250</v>
      </c>
      <c r="CE39" s="229">
        <v>13.8432</v>
      </c>
      <c r="CF39" s="230">
        <v>295875</v>
      </c>
      <c r="CG39" s="230">
        <v>9339375</v>
      </c>
      <c r="CH39" s="230">
        <v>-9043500</v>
      </c>
      <c r="CI39" s="229">
        <v>-0.96830000000000005</v>
      </c>
      <c r="CJ39" s="230">
        <v>19500</v>
      </c>
      <c r="CK39" s="230">
        <v>292500</v>
      </c>
      <c r="CL39" s="230">
        <v>-273000</v>
      </c>
      <c r="CM39" s="229">
        <v>-0.93330000000000002</v>
      </c>
      <c r="CN39" s="230">
        <v>4221750</v>
      </c>
      <c r="CO39" s="230">
        <v>2729250</v>
      </c>
      <c r="CP39" s="230">
        <v>1492500</v>
      </c>
      <c r="CQ39" s="229">
        <v>0.54690000000000005</v>
      </c>
      <c r="CR39" s="230">
        <v>2775750</v>
      </c>
      <c r="CS39" s="230">
        <v>2183625</v>
      </c>
      <c r="CT39" s="230">
        <v>592125</v>
      </c>
      <c r="CU39" s="229">
        <v>0.2712</v>
      </c>
      <c r="CV39" s="230">
        <v>17042625</v>
      </c>
      <c r="CW39" s="230">
        <v>14544750</v>
      </c>
      <c r="CX39" s="230">
        <v>2497875</v>
      </c>
      <c r="CY39" s="229">
        <v>0.17169999999999999</v>
      </c>
      <c r="CZ39" s="228">
        <v>44.05</v>
      </c>
      <c r="DA39" s="228">
        <v>45.52</v>
      </c>
      <c r="DB39" s="228">
        <v>-1.47</v>
      </c>
      <c r="DC39" s="228">
        <v>-1.47</v>
      </c>
      <c r="DD39" s="228">
        <v>58.21</v>
      </c>
      <c r="DE39" s="228">
        <v>58.28</v>
      </c>
      <c r="DF39" s="228">
        <v>-14.16</v>
      </c>
      <c r="DG39" s="228">
        <v>-7.0000000000000007E-2</v>
      </c>
      <c r="DH39" s="228">
        <v>43.64</v>
      </c>
      <c r="DI39" s="228">
        <v>44.57</v>
      </c>
      <c r="DJ39" s="228">
        <v>-0.93</v>
      </c>
      <c r="DK39" s="228">
        <v>-0.93</v>
      </c>
      <c r="DL39" s="228">
        <v>45.1</v>
      </c>
      <c r="DM39" s="228">
        <v>47.26</v>
      </c>
      <c r="DN39" s="228">
        <v>-2.16</v>
      </c>
      <c r="DO39" s="228">
        <v>-2.16</v>
      </c>
      <c r="DP39" s="228">
        <v>0.66</v>
      </c>
      <c r="DQ39" s="228">
        <v>0.8</v>
      </c>
      <c r="DR39" s="228">
        <v>-0.14000000000000001</v>
      </c>
      <c r="DS39" s="229">
        <v>-0.17499999999999999</v>
      </c>
      <c r="DT39" s="231">
        <v>2900</v>
      </c>
      <c r="DU39" s="231">
        <v>2700</v>
      </c>
      <c r="DV39" s="228">
        <v>0.39</v>
      </c>
      <c r="DW39" s="228">
        <v>0.51</v>
      </c>
      <c r="DX39" s="228">
        <v>-0.12</v>
      </c>
      <c r="DY39" s="229">
        <v>-0.23530000000000001</v>
      </c>
      <c r="DZ39" s="229">
        <v>3.1399999999999997E-2</v>
      </c>
      <c r="EA39" s="230">
        <v>9631875</v>
      </c>
      <c r="EB39" s="229">
        <v>5.7000000000000002E-3</v>
      </c>
      <c r="EC39" s="229">
        <v>3.1399999999999997E-2</v>
      </c>
      <c r="ED39" s="228">
        <v>16.09</v>
      </c>
      <c r="EE39" s="229">
        <v>5.7000000000000002E-3</v>
      </c>
      <c r="EF39" s="230">
        <v>1105372</v>
      </c>
      <c r="EG39" s="230">
        <v>1238671</v>
      </c>
      <c r="EH39" s="229">
        <v>-0.1076</v>
      </c>
      <c r="EI39" s="229">
        <v>0.32419999999999999</v>
      </c>
      <c r="EJ39" s="231">
        <v>322775.84999999998</v>
      </c>
      <c r="EK39" s="231">
        <v>116726.92</v>
      </c>
      <c r="EL39" s="231">
        <v>94983.49</v>
      </c>
      <c r="EM39" s="231">
        <v>24667</v>
      </c>
      <c r="EN39" s="231">
        <v>534486.26</v>
      </c>
      <c r="EO39" s="231">
        <v>1045856.54</v>
      </c>
      <c r="EP39" s="231">
        <v>-511370.28</v>
      </c>
      <c r="EQ39" s="229">
        <v>-0.4889</v>
      </c>
      <c r="ER39" s="231">
        <v>122636</v>
      </c>
      <c r="ES39" s="231">
        <v>72924</v>
      </c>
      <c r="ET39" s="231">
        <v>285286</v>
      </c>
      <c r="EU39" s="231">
        <v>61094861</v>
      </c>
      <c r="EV39" s="231">
        <v>480846</v>
      </c>
      <c r="EW39" s="231">
        <v>403747</v>
      </c>
      <c r="EX39" s="231">
        <v>77099</v>
      </c>
      <c r="EY39" s="229">
        <v>0.191</v>
      </c>
      <c r="EZ39" s="229">
        <v>0.27900000000000003</v>
      </c>
      <c r="FA39" s="227" t="s">
        <v>555</v>
      </c>
      <c r="FB39" s="161">
        <f t="shared" si="0"/>
        <v>315375</v>
      </c>
    </row>
    <row r="40" spans="1:158" ht="17.25" hidden="1" thickBot="1" x14ac:dyDescent="0.3">
      <c r="A40" s="226">
        <v>46050</v>
      </c>
      <c r="B40" s="227" t="s">
        <v>175</v>
      </c>
      <c r="C40" s="227" t="s">
        <v>611</v>
      </c>
      <c r="D40" s="228">
        <v>750</v>
      </c>
      <c r="E40" s="228">
        <v>710.65</v>
      </c>
      <c r="F40" s="228">
        <v>698.35</v>
      </c>
      <c r="G40" s="228">
        <v>12.3</v>
      </c>
      <c r="H40" s="229">
        <v>1.7600000000000001E-2</v>
      </c>
      <c r="I40" s="228">
        <v>709.4</v>
      </c>
      <c r="J40" s="228">
        <v>697.7</v>
      </c>
      <c r="K40" s="228">
        <v>11.7</v>
      </c>
      <c r="L40" s="229">
        <v>1.6799999999999999E-2</v>
      </c>
      <c r="M40" s="228">
        <v>710.65</v>
      </c>
      <c r="N40" s="228">
        <v>697.15</v>
      </c>
      <c r="O40" s="228">
        <v>13.5</v>
      </c>
      <c r="P40" s="229">
        <v>1.9400000000000001E-2</v>
      </c>
      <c r="Q40" s="228">
        <v>712.6</v>
      </c>
      <c r="R40" s="228">
        <v>698.35</v>
      </c>
      <c r="S40" s="228">
        <v>14.25</v>
      </c>
      <c r="T40" s="229">
        <v>2.0400000000000001E-2</v>
      </c>
      <c r="U40" s="228">
        <v>715.6</v>
      </c>
      <c r="V40" s="228">
        <v>702.6</v>
      </c>
      <c r="W40" s="228">
        <v>13</v>
      </c>
      <c r="X40" s="229">
        <v>1.8499999999999999E-2</v>
      </c>
      <c r="Y40" s="228">
        <v>1.25</v>
      </c>
      <c r="Z40" s="228">
        <v>0.65</v>
      </c>
      <c r="AA40" s="228">
        <v>0.6</v>
      </c>
      <c r="AB40" s="229">
        <v>1.8E-3</v>
      </c>
      <c r="AC40" s="228">
        <v>1.25</v>
      </c>
      <c r="AD40" s="228">
        <v>-0.55000000000000004</v>
      </c>
      <c r="AE40" s="228">
        <v>1.8</v>
      </c>
      <c r="AF40" s="229">
        <v>1.8E-3</v>
      </c>
      <c r="AG40" s="228">
        <v>3.2</v>
      </c>
      <c r="AH40" s="228">
        <v>0.65</v>
      </c>
      <c r="AI40" s="228">
        <v>2.5499999999999998</v>
      </c>
      <c r="AJ40" s="229">
        <v>4.4999999999999997E-3</v>
      </c>
      <c r="AK40" s="228">
        <v>6.2</v>
      </c>
      <c r="AL40" s="228">
        <v>4.9000000000000004</v>
      </c>
      <c r="AM40" s="228">
        <v>1.3</v>
      </c>
      <c r="AN40" s="229">
        <v>8.6999999999999994E-3</v>
      </c>
      <c r="AO40" s="228">
        <v>707.35</v>
      </c>
      <c r="AP40" s="228">
        <v>710.1</v>
      </c>
      <c r="AQ40" s="228">
        <v>0</v>
      </c>
      <c r="AR40" s="230">
        <v>1168500</v>
      </c>
      <c r="AS40" s="230">
        <v>7672500</v>
      </c>
      <c r="AT40" s="230">
        <v>-6504000</v>
      </c>
      <c r="AU40" s="229">
        <v>-0.84770000000000001</v>
      </c>
      <c r="AV40" s="230">
        <v>1086000</v>
      </c>
      <c r="AW40" s="230">
        <v>3042750</v>
      </c>
      <c r="AX40" s="230">
        <v>-1956750</v>
      </c>
      <c r="AY40" s="229">
        <v>-0.6431</v>
      </c>
      <c r="AZ40" s="230">
        <v>77250</v>
      </c>
      <c r="BA40" s="230">
        <v>4488000</v>
      </c>
      <c r="BB40" s="230">
        <v>-4410750</v>
      </c>
      <c r="BC40" s="229">
        <v>-0.98280000000000001</v>
      </c>
      <c r="BD40" s="230">
        <v>5250</v>
      </c>
      <c r="BE40" s="230">
        <v>141750</v>
      </c>
      <c r="BF40" s="230">
        <v>-136500</v>
      </c>
      <c r="BG40" s="229">
        <v>-0.96299999999999997</v>
      </c>
      <c r="BH40" s="230">
        <v>2283000</v>
      </c>
      <c r="BI40" s="230">
        <v>7050000</v>
      </c>
      <c r="BJ40" s="230">
        <v>-4767000</v>
      </c>
      <c r="BK40" s="229">
        <v>-0.67620000000000002</v>
      </c>
      <c r="BL40" s="230">
        <v>1252500</v>
      </c>
      <c r="BM40" s="230">
        <v>3472500</v>
      </c>
      <c r="BN40" s="230">
        <v>-2220000</v>
      </c>
      <c r="BO40" s="229">
        <v>-0.63929999999999998</v>
      </c>
      <c r="BP40" s="230">
        <v>4704000</v>
      </c>
      <c r="BQ40" s="230">
        <v>18195000</v>
      </c>
      <c r="BR40" s="230">
        <v>-13491000</v>
      </c>
      <c r="BS40" s="229">
        <v>-0.74150000000000005</v>
      </c>
      <c r="BT40" s="230">
        <v>942450</v>
      </c>
      <c r="BU40" s="230">
        <v>1918175</v>
      </c>
      <c r="BV40" s="230">
        <v>-975725</v>
      </c>
      <c r="BW40" s="229">
        <v>-0.50870000000000004</v>
      </c>
      <c r="BX40" s="230">
        <v>6781500</v>
      </c>
      <c r="BY40" s="230">
        <v>6741000</v>
      </c>
      <c r="BZ40" s="230">
        <v>40500</v>
      </c>
      <c r="CA40" s="229">
        <v>6.0000000000000001E-3</v>
      </c>
      <c r="CB40" s="230">
        <v>6519000</v>
      </c>
      <c r="CC40" s="230">
        <v>381750</v>
      </c>
      <c r="CD40" s="230">
        <v>6137250</v>
      </c>
      <c r="CE40" s="229">
        <v>16.076599999999999</v>
      </c>
      <c r="CF40" s="230">
        <v>258750</v>
      </c>
      <c r="CG40" s="230">
        <v>6492000</v>
      </c>
      <c r="CH40" s="230">
        <v>-6233250</v>
      </c>
      <c r="CI40" s="229">
        <v>-0.96009999999999995</v>
      </c>
      <c r="CJ40" s="230">
        <v>3750</v>
      </c>
      <c r="CK40" s="230">
        <v>249000</v>
      </c>
      <c r="CL40" s="230">
        <v>-245250</v>
      </c>
      <c r="CM40" s="229">
        <v>-0.9849</v>
      </c>
      <c r="CN40" s="230">
        <v>1799250</v>
      </c>
      <c r="CO40" s="230">
        <v>1436250</v>
      </c>
      <c r="CP40" s="230">
        <v>363000</v>
      </c>
      <c r="CQ40" s="229">
        <v>0.25269999999999998</v>
      </c>
      <c r="CR40" s="230">
        <v>1773750</v>
      </c>
      <c r="CS40" s="230">
        <v>1469250</v>
      </c>
      <c r="CT40" s="230">
        <v>304500</v>
      </c>
      <c r="CU40" s="229">
        <v>0.2072</v>
      </c>
      <c r="CV40" s="230">
        <v>10354500</v>
      </c>
      <c r="CW40" s="230">
        <v>9646500</v>
      </c>
      <c r="CX40" s="230">
        <v>708000</v>
      </c>
      <c r="CY40" s="229">
        <v>7.3400000000000007E-2</v>
      </c>
      <c r="CZ40" s="228">
        <v>33.619999999999997</v>
      </c>
      <c r="DA40" s="228">
        <v>34.869999999999997</v>
      </c>
      <c r="DB40" s="228">
        <v>-1.25</v>
      </c>
      <c r="DC40" s="228">
        <v>-1.25</v>
      </c>
      <c r="DD40" s="228">
        <v>39.85</v>
      </c>
      <c r="DE40" s="228">
        <v>39.880000000000003</v>
      </c>
      <c r="DF40" s="228">
        <v>-6.23</v>
      </c>
      <c r="DG40" s="228">
        <v>-0.03</v>
      </c>
      <c r="DH40" s="228">
        <v>33.22</v>
      </c>
      <c r="DI40" s="228">
        <v>35.049999999999997</v>
      </c>
      <c r="DJ40" s="228">
        <v>-1.83</v>
      </c>
      <c r="DK40" s="228">
        <v>-1.83</v>
      </c>
      <c r="DL40" s="228">
        <v>34.340000000000003</v>
      </c>
      <c r="DM40" s="228">
        <v>34.43</v>
      </c>
      <c r="DN40" s="228">
        <v>-0.09</v>
      </c>
      <c r="DO40" s="228">
        <v>-0.09</v>
      </c>
      <c r="DP40" s="228">
        <v>0.99</v>
      </c>
      <c r="DQ40" s="228">
        <v>1.02</v>
      </c>
      <c r="DR40" s="228">
        <v>-0.03</v>
      </c>
      <c r="DS40" s="229">
        <v>-2.9399999999999999E-2</v>
      </c>
      <c r="DT40" s="228">
        <v>800</v>
      </c>
      <c r="DU40" s="228">
        <v>700</v>
      </c>
      <c r="DV40" s="228">
        <v>0.55000000000000004</v>
      </c>
      <c r="DW40" s="228">
        <v>0.49</v>
      </c>
      <c r="DX40" s="228">
        <v>0.06</v>
      </c>
      <c r="DY40" s="229">
        <v>0.12239999999999999</v>
      </c>
      <c r="DZ40" s="229">
        <v>3.8699999999999998E-2</v>
      </c>
      <c r="EA40" s="230">
        <v>6741000</v>
      </c>
      <c r="EB40" s="229">
        <v>2.7000000000000001E-3</v>
      </c>
      <c r="EC40" s="229">
        <v>3.8699999999999998E-2</v>
      </c>
      <c r="ED40" s="228">
        <v>2.75</v>
      </c>
      <c r="EE40" s="229">
        <v>3.8999999999999998E-3</v>
      </c>
      <c r="EF40" s="230">
        <v>367558</v>
      </c>
      <c r="EG40" s="230">
        <v>654826</v>
      </c>
      <c r="EH40" s="229">
        <v>-0.43869999999999998</v>
      </c>
      <c r="EI40" s="229">
        <v>0.39</v>
      </c>
      <c r="EJ40" s="231">
        <v>17201.509999999998</v>
      </c>
      <c r="EK40" s="231">
        <v>8804.16</v>
      </c>
      <c r="EL40" s="231">
        <v>8267.68</v>
      </c>
      <c r="EM40" s="231">
        <v>12126</v>
      </c>
      <c r="EN40" s="231">
        <v>34273.35</v>
      </c>
      <c r="EO40" s="231">
        <v>130413.26</v>
      </c>
      <c r="EP40" s="231">
        <v>-96139.91</v>
      </c>
      <c r="EQ40" s="229">
        <v>-0.73719999999999997</v>
      </c>
      <c r="ER40" s="231">
        <v>13456</v>
      </c>
      <c r="ES40" s="231">
        <v>12491</v>
      </c>
      <c r="ET40" s="231">
        <v>48198</v>
      </c>
      <c r="EU40" s="231">
        <v>37122288</v>
      </c>
      <c r="EV40" s="231">
        <v>74145</v>
      </c>
      <c r="EW40" s="231">
        <v>68277</v>
      </c>
      <c r="EX40" s="231">
        <v>5868</v>
      </c>
      <c r="EY40" s="229">
        <v>8.5900000000000004E-2</v>
      </c>
      <c r="EZ40" s="229">
        <v>0.27889999999999998</v>
      </c>
      <c r="FA40" s="227" t="s">
        <v>555</v>
      </c>
      <c r="FB40" s="161">
        <f t="shared" si="0"/>
        <v>262500</v>
      </c>
    </row>
    <row r="41" spans="1:158" ht="17.25" hidden="1" thickBot="1" x14ac:dyDescent="0.3">
      <c r="A41" s="226">
        <v>46050</v>
      </c>
      <c r="B41" s="227" t="s">
        <v>172</v>
      </c>
      <c r="C41" s="227" t="s">
        <v>196</v>
      </c>
      <c r="D41" s="228">
        <v>6750</v>
      </c>
      <c r="E41" s="228">
        <v>158.41999999999999</v>
      </c>
      <c r="F41" s="228">
        <v>155.29</v>
      </c>
      <c r="G41" s="228">
        <v>3.13</v>
      </c>
      <c r="H41" s="229">
        <v>2.0199999999999999E-2</v>
      </c>
      <c r="I41" s="228">
        <v>157.74</v>
      </c>
      <c r="J41" s="228">
        <v>154.72</v>
      </c>
      <c r="K41" s="228">
        <v>3.02</v>
      </c>
      <c r="L41" s="229">
        <v>1.95E-2</v>
      </c>
      <c r="M41" s="228">
        <v>158.41999999999999</v>
      </c>
      <c r="N41" s="228">
        <v>154.24</v>
      </c>
      <c r="O41" s="228">
        <v>4.18</v>
      </c>
      <c r="P41" s="229">
        <v>2.7099999999999999E-2</v>
      </c>
      <c r="Q41" s="228">
        <v>158.9</v>
      </c>
      <c r="R41" s="228">
        <v>155.29</v>
      </c>
      <c r="S41" s="228">
        <v>3.61</v>
      </c>
      <c r="T41" s="229">
        <v>2.3199999999999998E-2</v>
      </c>
      <c r="U41" s="228">
        <v>159.79</v>
      </c>
      <c r="V41" s="228">
        <v>155.91</v>
      </c>
      <c r="W41" s="228">
        <v>3.88</v>
      </c>
      <c r="X41" s="229">
        <v>2.4899999999999999E-2</v>
      </c>
      <c r="Y41" s="228">
        <v>0.68</v>
      </c>
      <c r="Z41" s="228">
        <v>0.56999999999999995</v>
      </c>
      <c r="AA41" s="228">
        <v>0.11</v>
      </c>
      <c r="AB41" s="229">
        <v>4.3E-3</v>
      </c>
      <c r="AC41" s="228">
        <v>0.68</v>
      </c>
      <c r="AD41" s="228">
        <v>-0.48</v>
      </c>
      <c r="AE41" s="228">
        <v>1.1599999999999999</v>
      </c>
      <c r="AF41" s="229">
        <v>4.3E-3</v>
      </c>
      <c r="AG41" s="228">
        <v>1.1599999999999999</v>
      </c>
      <c r="AH41" s="228">
        <v>0.56999999999999995</v>
      </c>
      <c r="AI41" s="228">
        <v>0.59</v>
      </c>
      <c r="AJ41" s="229">
        <v>7.4000000000000003E-3</v>
      </c>
      <c r="AK41" s="228">
        <v>2.0499999999999998</v>
      </c>
      <c r="AL41" s="228">
        <v>1.19</v>
      </c>
      <c r="AM41" s="228">
        <v>0.86</v>
      </c>
      <c r="AN41" s="229">
        <v>1.2999999999999999E-2</v>
      </c>
      <c r="AO41" s="228">
        <v>155.69</v>
      </c>
      <c r="AP41" s="228">
        <v>156.08000000000001</v>
      </c>
      <c r="AQ41" s="228">
        <v>0</v>
      </c>
      <c r="AR41" s="230">
        <v>71030250</v>
      </c>
      <c r="AS41" s="230">
        <v>121945500</v>
      </c>
      <c r="AT41" s="230">
        <v>-50915250</v>
      </c>
      <c r="AU41" s="229">
        <v>-0.41749999999999998</v>
      </c>
      <c r="AV41" s="230">
        <v>66602250</v>
      </c>
      <c r="AW41" s="230">
        <v>49923000</v>
      </c>
      <c r="AX41" s="230">
        <v>16679250</v>
      </c>
      <c r="AY41" s="229">
        <v>0.33410000000000001</v>
      </c>
      <c r="AZ41" s="230">
        <v>4097250</v>
      </c>
      <c r="BA41" s="230">
        <v>70348500</v>
      </c>
      <c r="BB41" s="230">
        <v>-66251250</v>
      </c>
      <c r="BC41" s="229">
        <v>-0.94179999999999997</v>
      </c>
      <c r="BD41" s="230">
        <v>330750</v>
      </c>
      <c r="BE41" s="230">
        <v>1674000</v>
      </c>
      <c r="BF41" s="230">
        <v>-1343250</v>
      </c>
      <c r="BG41" s="229">
        <v>-0.8024</v>
      </c>
      <c r="BH41" s="230">
        <v>125415000</v>
      </c>
      <c r="BI41" s="230">
        <v>110396250</v>
      </c>
      <c r="BJ41" s="230">
        <v>15018750</v>
      </c>
      <c r="BK41" s="229">
        <v>0.13600000000000001</v>
      </c>
      <c r="BL41" s="230">
        <v>71091000</v>
      </c>
      <c r="BM41" s="230">
        <v>86656500</v>
      </c>
      <c r="BN41" s="230">
        <v>-15565500</v>
      </c>
      <c r="BO41" s="229">
        <v>-0.17960000000000001</v>
      </c>
      <c r="BP41" s="230">
        <v>267536250</v>
      </c>
      <c r="BQ41" s="230">
        <v>318998250</v>
      </c>
      <c r="BR41" s="230">
        <v>-51462000</v>
      </c>
      <c r="BS41" s="229">
        <v>-0.1613</v>
      </c>
      <c r="BT41" s="230">
        <v>30465789</v>
      </c>
      <c r="BU41" s="230">
        <v>24229959</v>
      </c>
      <c r="BV41" s="230">
        <v>6235830</v>
      </c>
      <c r="BW41" s="229">
        <v>0.25740000000000002</v>
      </c>
      <c r="BX41" s="230">
        <v>146502000</v>
      </c>
      <c r="BY41" s="230">
        <v>140906250</v>
      </c>
      <c r="BZ41" s="230">
        <v>5595750</v>
      </c>
      <c r="CA41" s="229">
        <v>3.9699999999999999E-2</v>
      </c>
      <c r="CB41" s="230">
        <v>141763500</v>
      </c>
      <c r="CC41" s="230">
        <v>16638750</v>
      </c>
      <c r="CD41" s="230">
        <v>125124750</v>
      </c>
      <c r="CE41" s="229">
        <v>7.5201000000000002</v>
      </c>
      <c r="CF41" s="230">
        <v>4576500</v>
      </c>
      <c r="CG41" s="230">
        <v>136977750</v>
      </c>
      <c r="CH41" s="230">
        <v>-132401250</v>
      </c>
      <c r="CI41" s="229">
        <v>-0.96660000000000001</v>
      </c>
      <c r="CJ41" s="230">
        <v>162000</v>
      </c>
      <c r="CK41" s="230">
        <v>3928500</v>
      </c>
      <c r="CL41" s="230">
        <v>-3766500</v>
      </c>
      <c r="CM41" s="229">
        <v>-0.95879999999999999</v>
      </c>
      <c r="CN41" s="230">
        <v>51441750</v>
      </c>
      <c r="CO41" s="230">
        <v>39082500</v>
      </c>
      <c r="CP41" s="230">
        <v>12359250</v>
      </c>
      <c r="CQ41" s="229">
        <v>0.31619999999999998</v>
      </c>
      <c r="CR41" s="230">
        <v>52737750</v>
      </c>
      <c r="CS41" s="230">
        <v>39406500</v>
      </c>
      <c r="CT41" s="230">
        <v>13331250</v>
      </c>
      <c r="CU41" s="229">
        <v>0.33829999999999999</v>
      </c>
      <c r="CV41" s="230">
        <v>250681500</v>
      </c>
      <c r="CW41" s="230">
        <v>219395250</v>
      </c>
      <c r="CX41" s="230">
        <v>31286250</v>
      </c>
      <c r="CY41" s="229">
        <v>0.1426</v>
      </c>
      <c r="CZ41" s="228">
        <v>39.79</v>
      </c>
      <c r="DA41" s="228">
        <v>39.6</v>
      </c>
      <c r="DB41" s="228">
        <v>0.19</v>
      </c>
      <c r="DC41" s="228">
        <v>0.19</v>
      </c>
      <c r="DD41" s="228">
        <v>34.869999999999997</v>
      </c>
      <c r="DE41" s="228">
        <v>34.86</v>
      </c>
      <c r="DF41" s="228">
        <v>4.92</v>
      </c>
      <c r="DG41" s="228">
        <v>0.01</v>
      </c>
      <c r="DH41" s="228">
        <v>39.04</v>
      </c>
      <c r="DI41" s="228">
        <v>38.72</v>
      </c>
      <c r="DJ41" s="228">
        <v>0.32</v>
      </c>
      <c r="DK41" s="228">
        <v>0.32</v>
      </c>
      <c r="DL41" s="228">
        <v>41.12</v>
      </c>
      <c r="DM41" s="228">
        <v>40.81</v>
      </c>
      <c r="DN41" s="228">
        <v>0.31</v>
      </c>
      <c r="DO41" s="228">
        <v>0.31</v>
      </c>
      <c r="DP41" s="228">
        <v>1.03</v>
      </c>
      <c r="DQ41" s="228">
        <v>1.01</v>
      </c>
      <c r="DR41" s="228">
        <v>0.02</v>
      </c>
      <c r="DS41" s="229">
        <v>1.9800000000000002E-2</v>
      </c>
      <c r="DT41" s="228">
        <v>160</v>
      </c>
      <c r="DU41" s="228">
        <v>140</v>
      </c>
      <c r="DV41" s="228">
        <v>0.56999999999999995</v>
      </c>
      <c r="DW41" s="228">
        <v>0.78</v>
      </c>
      <c r="DX41" s="228">
        <v>-0.21</v>
      </c>
      <c r="DY41" s="229">
        <v>-0.26919999999999999</v>
      </c>
      <c r="DZ41" s="229">
        <v>3.2300000000000002E-2</v>
      </c>
      <c r="EA41" s="230">
        <v>140906250</v>
      </c>
      <c r="EB41" s="229">
        <v>3.0000000000000001E-3</v>
      </c>
      <c r="EC41" s="229">
        <v>3.2300000000000002E-2</v>
      </c>
      <c r="ED41" s="228">
        <v>0.39</v>
      </c>
      <c r="EE41" s="229">
        <v>2.5000000000000001E-3</v>
      </c>
      <c r="EF41" s="230">
        <v>11157852</v>
      </c>
      <c r="EG41" s="230">
        <v>11447826</v>
      </c>
      <c r="EH41" s="229">
        <v>-2.53E-2</v>
      </c>
      <c r="EI41" s="229">
        <v>0.36620000000000003</v>
      </c>
      <c r="EJ41" s="231">
        <v>208022.07</v>
      </c>
      <c r="EK41" s="231">
        <v>108617.42</v>
      </c>
      <c r="EL41" s="231">
        <v>110609.51</v>
      </c>
      <c r="EM41" s="231">
        <v>19684</v>
      </c>
      <c r="EN41" s="231">
        <v>427249</v>
      </c>
      <c r="EO41" s="231">
        <v>496205.25</v>
      </c>
      <c r="EP41" s="231">
        <v>-68956.25</v>
      </c>
      <c r="EQ41" s="229">
        <v>-0.13900000000000001</v>
      </c>
      <c r="ER41" s="231">
        <v>82920</v>
      </c>
      <c r="ES41" s="231">
        <v>78460</v>
      </c>
      <c r="ET41" s="231">
        <v>232113</v>
      </c>
      <c r="EU41" s="231">
        <v>504315430</v>
      </c>
      <c r="EV41" s="231">
        <v>393492</v>
      </c>
      <c r="EW41" s="231">
        <v>340287</v>
      </c>
      <c r="EX41" s="231">
        <v>53205</v>
      </c>
      <c r="EY41" s="229">
        <v>0.15640000000000001</v>
      </c>
      <c r="EZ41" s="229">
        <v>0.49709999999999999</v>
      </c>
      <c r="FA41" s="227" t="s">
        <v>555</v>
      </c>
      <c r="FB41" s="161">
        <f t="shared" si="0"/>
        <v>4738500</v>
      </c>
    </row>
    <row r="42" spans="1:158" ht="17.25" hidden="1" thickBot="1" x14ac:dyDescent="0.3">
      <c r="A42" s="226">
        <v>46050</v>
      </c>
      <c r="B42" s="227" t="s">
        <v>175</v>
      </c>
      <c r="C42" s="227" t="s">
        <v>597</v>
      </c>
      <c r="D42" s="228">
        <v>475</v>
      </c>
      <c r="E42" s="231">
        <v>1365.5</v>
      </c>
      <c r="F42" s="231">
        <v>1328.8</v>
      </c>
      <c r="G42" s="228">
        <v>36.700000000000003</v>
      </c>
      <c r="H42" s="229">
        <v>2.76E-2</v>
      </c>
      <c r="I42" s="231">
        <v>1356.9</v>
      </c>
      <c r="J42" s="231">
        <v>1322.1</v>
      </c>
      <c r="K42" s="228">
        <v>34.799999999999997</v>
      </c>
      <c r="L42" s="229">
        <v>2.63E-2</v>
      </c>
      <c r="M42" s="231">
        <v>1365.5</v>
      </c>
      <c r="N42" s="231">
        <v>1321.6</v>
      </c>
      <c r="O42" s="228">
        <v>43.9</v>
      </c>
      <c r="P42" s="229">
        <v>3.32E-2</v>
      </c>
      <c r="Q42" s="231">
        <v>1372</v>
      </c>
      <c r="R42" s="231">
        <v>1328.8</v>
      </c>
      <c r="S42" s="228">
        <v>43.2</v>
      </c>
      <c r="T42" s="229">
        <v>3.2500000000000001E-2</v>
      </c>
      <c r="U42" s="231">
        <v>1378.2</v>
      </c>
      <c r="V42" s="231">
        <v>1338</v>
      </c>
      <c r="W42" s="228">
        <v>40.200000000000003</v>
      </c>
      <c r="X42" s="229">
        <v>0.03</v>
      </c>
      <c r="Y42" s="228">
        <v>8.6</v>
      </c>
      <c r="Z42" s="228">
        <v>6.7</v>
      </c>
      <c r="AA42" s="228">
        <v>1.9</v>
      </c>
      <c r="AB42" s="229">
        <v>6.3E-3</v>
      </c>
      <c r="AC42" s="228">
        <v>8.6</v>
      </c>
      <c r="AD42" s="228">
        <v>-0.5</v>
      </c>
      <c r="AE42" s="228">
        <v>9.1</v>
      </c>
      <c r="AF42" s="229">
        <v>6.3E-3</v>
      </c>
      <c r="AG42" s="228">
        <v>15.1</v>
      </c>
      <c r="AH42" s="228">
        <v>6.7</v>
      </c>
      <c r="AI42" s="228">
        <v>8.4</v>
      </c>
      <c r="AJ42" s="229">
        <v>1.11E-2</v>
      </c>
      <c r="AK42" s="228">
        <v>21.3</v>
      </c>
      <c r="AL42" s="228">
        <v>15.9</v>
      </c>
      <c r="AM42" s="228">
        <v>5.4</v>
      </c>
      <c r="AN42" s="229">
        <v>1.5699999999999999E-2</v>
      </c>
      <c r="AO42" s="231">
        <v>1352.13</v>
      </c>
      <c r="AP42" s="231">
        <v>1355.79</v>
      </c>
      <c r="AQ42" s="228">
        <v>0</v>
      </c>
      <c r="AR42" s="230">
        <v>2169800</v>
      </c>
      <c r="AS42" s="230">
        <v>11451300</v>
      </c>
      <c r="AT42" s="230">
        <v>-9281500</v>
      </c>
      <c r="AU42" s="229">
        <v>-0.8105</v>
      </c>
      <c r="AV42" s="230">
        <v>1909975</v>
      </c>
      <c r="AW42" s="230">
        <v>5240675</v>
      </c>
      <c r="AX42" s="230">
        <v>-3330700</v>
      </c>
      <c r="AY42" s="229">
        <v>-0.63549999999999995</v>
      </c>
      <c r="AZ42" s="230">
        <v>246050</v>
      </c>
      <c r="BA42" s="230">
        <v>5907100</v>
      </c>
      <c r="BB42" s="230">
        <v>-5661050</v>
      </c>
      <c r="BC42" s="229">
        <v>-0.95830000000000004</v>
      </c>
      <c r="BD42" s="230">
        <v>13775</v>
      </c>
      <c r="BE42" s="230">
        <v>303525</v>
      </c>
      <c r="BF42" s="230">
        <v>-289750</v>
      </c>
      <c r="BG42" s="229">
        <v>-0.9546</v>
      </c>
      <c r="BH42" s="230">
        <v>7550125</v>
      </c>
      <c r="BI42" s="230">
        <v>7255150</v>
      </c>
      <c r="BJ42" s="230">
        <v>294975</v>
      </c>
      <c r="BK42" s="229">
        <v>4.07E-2</v>
      </c>
      <c r="BL42" s="230">
        <v>2423450</v>
      </c>
      <c r="BM42" s="230">
        <v>6803425</v>
      </c>
      <c r="BN42" s="230">
        <v>-4379975</v>
      </c>
      <c r="BO42" s="229">
        <v>-0.64380000000000004</v>
      </c>
      <c r="BP42" s="230">
        <v>12143375</v>
      </c>
      <c r="BQ42" s="230">
        <v>25509875</v>
      </c>
      <c r="BR42" s="230">
        <v>-13366500</v>
      </c>
      <c r="BS42" s="229">
        <v>-0.52400000000000002</v>
      </c>
      <c r="BT42" s="230">
        <v>1696080</v>
      </c>
      <c r="BU42" s="230">
        <v>1976187</v>
      </c>
      <c r="BV42" s="230">
        <v>-280107</v>
      </c>
      <c r="BW42" s="229">
        <v>-0.14169999999999999</v>
      </c>
      <c r="BX42" s="230">
        <v>10132700</v>
      </c>
      <c r="BY42" s="230">
        <v>9921800</v>
      </c>
      <c r="BZ42" s="230">
        <v>210900</v>
      </c>
      <c r="CA42" s="229">
        <v>2.1299999999999999E-2</v>
      </c>
      <c r="CB42" s="230">
        <v>9554625</v>
      </c>
      <c r="CC42" s="230">
        <v>836475</v>
      </c>
      <c r="CD42" s="230">
        <v>8718150</v>
      </c>
      <c r="CE42" s="229">
        <v>10.422499999999999</v>
      </c>
      <c r="CF42" s="230">
        <v>568100</v>
      </c>
      <c r="CG42" s="230">
        <v>9403575</v>
      </c>
      <c r="CH42" s="230">
        <v>-8835475</v>
      </c>
      <c r="CI42" s="229">
        <v>-0.93959999999999999</v>
      </c>
      <c r="CJ42" s="230">
        <v>9975</v>
      </c>
      <c r="CK42" s="230">
        <v>518225</v>
      </c>
      <c r="CL42" s="230">
        <v>-508250</v>
      </c>
      <c r="CM42" s="229">
        <v>-0.98080000000000001</v>
      </c>
      <c r="CN42" s="230">
        <v>4920525</v>
      </c>
      <c r="CO42" s="230">
        <v>3598600</v>
      </c>
      <c r="CP42" s="230">
        <v>1321925</v>
      </c>
      <c r="CQ42" s="229">
        <v>0.36730000000000002</v>
      </c>
      <c r="CR42" s="230">
        <v>4067900</v>
      </c>
      <c r="CS42" s="230">
        <v>3587675</v>
      </c>
      <c r="CT42" s="230">
        <v>480225</v>
      </c>
      <c r="CU42" s="229">
        <v>0.13389999999999999</v>
      </c>
      <c r="CV42" s="230">
        <v>19121125</v>
      </c>
      <c r="CW42" s="230">
        <v>17108075</v>
      </c>
      <c r="CX42" s="230">
        <v>2013050</v>
      </c>
      <c r="CY42" s="229">
        <v>0.1177</v>
      </c>
      <c r="CZ42" s="228">
        <v>38.65</v>
      </c>
      <c r="DA42" s="228">
        <v>39.56</v>
      </c>
      <c r="DB42" s="228">
        <v>-0.91</v>
      </c>
      <c r="DC42" s="228">
        <v>-0.91</v>
      </c>
      <c r="DD42" s="228">
        <v>43.7</v>
      </c>
      <c r="DE42" s="228">
        <v>43.66</v>
      </c>
      <c r="DF42" s="228">
        <v>-5.05</v>
      </c>
      <c r="DG42" s="228">
        <v>0.04</v>
      </c>
      <c r="DH42" s="228">
        <v>38.36</v>
      </c>
      <c r="DI42" s="228">
        <v>39.19</v>
      </c>
      <c r="DJ42" s="228">
        <v>-0.83</v>
      </c>
      <c r="DK42" s="228">
        <v>-0.83</v>
      </c>
      <c r="DL42" s="228">
        <v>39.54</v>
      </c>
      <c r="DM42" s="228">
        <v>39.99</v>
      </c>
      <c r="DN42" s="228">
        <v>-0.45</v>
      </c>
      <c r="DO42" s="228">
        <v>-0.45</v>
      </c>
      <c r="DP42" s="228">
        <v>0.83</v>
      </c>
      <c r="DQ42" s="228">
        <v>1</v>
      </c>
      <c r="DR42" s="228">
        <v>-0.17</v>
      </c>
      <c r="DS42" s="229">
        <v>-0.17</v>
      </c>
      <c r="DT42" s="231">
        <v>1400</v>
      </c>
      <c r="DU42" s="231">
        <v>1400</v>
      </c>
      <c r="DV42" s="228">
        <v>0.32</v>
      </c>
      <c r="DW42" s="228">
        <v>0.94</v>
      </c>
      <c r="DX42" s="228">
        <v>-0.62</v>
      </c>
      <c r="DY42" s="229">
        <v>-0.65959999999999996</v>
      </c>
      <c r="DZ42" s="229">
        <v>5.7099999999999998E-2</v>
      </c>
      <c r="EA42" s="230">
        <v>9921800</v>
      </c>
      <c r="EB42" s="229">
        <v>4.7999999999999996E-3</v>
      </c>
      <c r="EC42" s="229">
        <v>5.7099999999999998E-2</v>
      </c>
      <c r="ED42" s="228">
        <v>3.66</v>
      </c>
      <c r="EE42" s="229">
        <v>2.7000000000000001E-3</v>
      </c>
      <c r="EF42" s="230">
        <v>682677</v>
      </c>
      <c r="EG42" s="230">
        <v>549671</v>
      </c>
      <c r="EH42" s="229">
        <v>0.24199999999999999</v>
      </c>
      <c r="EI42" s="229">
        <v>0.40250000000000002</v>
      </c>
      <c r="EJ42" s="231">
        <v>108973.06</v>
      </c>
      <c r="EK42" s="231">
        <v>32690.22</v>
      </c>
      <c r="EL42" s="231">
        <v>29349.58</v>
      </c>
      <c r="EM42" s="231">
        <v>19585</v>
      </c>
      <c r="EN42" s="231">
        <v>171012.86</v>
      </c>
      <c r="EO42" s="231">
        <v>349470.05</v>
      </c>
      <c r="EP42" s="231">
        <v>-178457.19</v>
      </c>
      <c r="EQ42" s="229">
        <v>-0.51070000000000004</v>
      </c>
      <c r="ER42" s="231">
        <v>70143</v>
      </c>
      <c r="ES42" s="231">
        <v>55831</v>
      </c>
      <c r="ET42" s="231">
        <v>138400</v>
      </c>
      <c r="EU42" s="231">
        <v>26647500</v>
      </c>
      <c r="EV42" s="231">
        <v>264375</v>
      </c>
      <c r="EW42" s="231">
        <v>232760</v>
      </c>
      <c r="EX42" s="231">
        <v>31615</v>
      </c>
      <c r="EY42" s="229">
        <v>0.1358</v>
      </c>
      <c r="EZ42" s="229">
        <v>0.71760000000000002</v>
      </c>
      <c r="FA42" s="227" t="s">
        <v>555</v>
      </c>
      <c r="FB42" s="161">
        <f t="shared" si="0"/>
        <v>578075</v>
      </c>
    </row>
    <row r="43" spans="1:158" ht="17.25" hidden="1" thickBot="1" x14ac:dyDescent="0.3">
      <c r="A43" s="226">
        <v>46050</v>
      </c>
      <c r="B43" s="227" t="s">
        <v>161</v>
      </c>
      <c r="C43" s="227" t="s">
        <v>612</v>
      </c>
      <c r="D43" s="228">
        <v>850</v>
      </c>
      <c r="E43" s="228">
        <v>583.29999999999995</v>
      </c>
      <c r="F43" s="228">
        <v>533.35</v>
      </c>
      <c r="G43" s="228">
        <v>49.95</v>
      </c>
      <c r="H43" s="229">
        <v>9.3700000000000006E-2</v>
      </c>
      <c r="I43" s="228">
        <v>581.95000000000005</v>
      </c>
      <c r="J43" s="228">
        <v>530.65</v>
      </c>
      <c r="K43" s="228">
        <v>51.3</v>
      </c>
      <c r="L43" s="229">
        <v>9.6699999999999994E-2</v>
      </c>
      <c r="M43" s="228">
        <v>583.29999999999995</v>
      </c>
      <c r="N43" s="228">
        <v>531.25</v>
      </c>
      <c r="O43" s="228">
        <v>52.05</v>
      </c>
      <c r="P43" s="229">
        <v>9.8000000000000004E-2</v>
      </c>
      <c r="Q43" s="228">
        <v>587.04999999999995</v>
      </c>
      <c r="R43" s="228">
        <v>533.35</v>
      </c>
      <c r="S43" s="228">
        <v>53.7</v>
      </c>
      <c r="T43" s="229">
        <v>0.1007</v>
      </c>
      <c r="U43" s="228">
        <v>590.9</v>
      </c>
      <c r="V43" s="228">
        <v>537.25</v>
      </c>
      <c r="W43" s="228">
        <v>53.65</v>
      </c>
      <c r="X43" s="229">
        <v>9.9900000000000003E-2</v>
      </c>
      <c r="Y43" s="228">
        <v>1.35</v>
      </c>
      <c r="Z43" s="228">
        <v>2.7</v>
      </c>
      <c r="AA43" s="228">
        <v>-1.35</v>
      </c>
      <c r="AB43" s="229">
        <v>2.3E-3</v>
      </c>
      <c r="AC43" s="228">
        <v>1.35</v>
      </c>
      <c r="AD43" s="228">
        <v>0.6</v>
      </c>
      <c r="AE43" s="228">
        <v>0.75</v>
      </c>
      <c r="AF43" s="229">
        <v>2.3E-3</v>
      </c>
      <c r="AG43" s="228">
        <v>5.0999999999999996</v>
      </c>
      <c r="AH43" s="228">
        <v>2.7</v>
      </c>
      <c r="AI43" s="228">
        <v>2.4</v>
      </c>
      <c r="AJ43" s="229">
        <v>8.8000000000000005E-3</v>
      </c>
      <c r="AK43" s="228">
        <v>8.9499999999999993</v>
      </c>
      <c r="AL43" s="228">
        <v>6.6</v>
      </c>
      <c r="AM43" s="228">
        <v>2.35</v>
      </c>
      <c r="AN43" s="229">
        <v>1.54E-2</v>
      </c>
      <c r="AO43" s="228">
        <v>566.25</v>
      </c>
      <c r="AP43" s="228">
        <v>570.77</v>
      </c>
      <c r="AQ43" s="228">
        <v>0</v>
      </c>
      <c r="AR43" s="230">
        <v>12276550</v>
      </c>
      <c r="AS43" s="230">
        <v>24857400</v>
      </c>
      <c r="AT43" s="230">
        <v>-12580850</v>
      </c>
      <c r="AU43" s="229">
        <v>-0.50609999999999999</v>
      </c>
      <c r="AV43" s="230">
        <v>11856650</v>
      </c>
      <c r="AW43" s="230">
        <v>8532300</v>
      </c>
      <c r="AX43" s="230">
        <v>3324350</v>
      </c>
      <c r="AY43" s="229">
        <v>0.3896</v>
      </c>
      <c r="AZ43" s="230">
        <v>378250</v>
      </c>
      <c r="BA43" s="230">
        <v>15979150</v>
      </c>
      <c r="BB43" s="230">
        <v>-15600900</v>
      </c>
      <c r="BC43" s="229">
        <v>-0.97629999999999995</v>
      </c>
      <c r="BD43" s="230">
        <v>41650</v>
      </c>
      <c r="BE43" s="230">
        <v>345950</v>
      </c>
      <c r="BF43" s="230">
        <v>-304300</v>
      </c>
      <c r="BG43" s="229">
        <v>-0.87960000000000005</v>
      </c>
      <c r="BH43" s="230">
        <v>56698400</v>
      </c>
      <c r="BI43" s="230">
        <v>26210600</v>
      </c>
      <c r="BJ43" s="230">
        <v>30487800</v>
      </c>
      <c r="BK43" s="229">
        <v>1.1632</v>
      </c>
      <c r="BL43" s="230">
        <v>18963500</v>
      </c>
      <c r="BM43" s="230">
        <v>18255450</v>
      </c>
      <c r="BN43" s="230">
        <v>708050</v>
      </c>
      <c r="BO43" s="229">
        <v>3.8800000000000001E-2</v>
      </c>
      <c r="BP43" s="230">
        <v>87938450</v>
      </c>
      <c r="BQ43" s="230">
        <v>69323450</v>
      </c>
      <c r="BR43" s="230">
        <v>18615000</v>
      </c>
      <c r="BS43" s="229">
        <v>0.26850000000000002</v>
      </c>
      <c r="BT43" s="230">
        <v>12945973</v>
      </c>
      <c r="BU43" s="230">
        <v>10457719</v>
      </c>
      <c r="BV43" s="230">
        <v>2488254</v>
      </c>
      <c r="BW43" s="229">
        <v>0.2379</v>
      </c>
      <c r="BX43" s="230">
        <v>18976250</v>
      </c>
      <c r="BY43" s="230">
        <v>18166200</v>
      </c>
      <c r="BZ43" s="230">
        <v>810050</v>
      </c>
      <c r="CA43" s="229">
        <v>4.4600000000000001E-2</v>
      </c>
      <c r="CB43" s="230">
        <v>18535950</v>
      </c>
      <c r="CC43" s="230">
        <v>1666850</v>
      </c>
      <c r="CD43" s="230">
        <v>16869100</v>
      </c>
      <c r="CE43" s="229">
        <v>10.1203</v>
      </c>
      <c r="CF43" s="230">
        <v>419050</v>
      </c>
      <c r="CG43" s="230">
        <v>17778600</v>
      </c>
      <c r="CH43" s="230">
        <v>-17359550</v>
      </c>
      <c r="CI43" s="229">
        <v>-0.97640000000000005</v>
      </c>
      <c r="CJ43" s="230">
        <v>21250</v>
      </c>
      <c r="CK43" s="230">
        <v>387600</v>
      </c>
      <c r="CL43" s="230">
        <v>-366350</v>
      </c>
      <c r="CM43" s="229">
        <v>-0.94520000000000004</v>
      </c>
      <c r="CN43" s="230">
        <v>5662700</v>
      </c>
      <c r="CO43" s="230">
        <v>5576850</v>
      </c>
      <c r="CP43" s="230">
        <v>85850</v>
      </c>
      <c r="CQ43" s="229">
        <v>1.54E-2</v>
      </c>
      <c r="CR43" s="230">
        <v>5408550</v>
      </c>
      <c r="CS43" s="230">
        <v>3819900</v>
      </c>
      <c r="CT43" s="230">
        <v>1588650</v>
      </c>
      <c r="CU43" s="229">
        <v>0.41589999999999999</v>
      </c>
      <c r="CV43" s="230">
        <v>30047500</v>
      </c>
      <c r="CW43" s="230">
        <v>27562950</v>
      </c>
      <c r="CX43" s="230">
        <v>2484550</v>
      </c>
      <c r="CY43" s="229">
        <v>9.01E-2</v>
      </c>
      <c r="CZ43" s="228">
        <v>38.479999999999997</v>
      </c>
      <c r="DA43" s="228">
        <v>45.01</v>
      </c>
      <c r="DB43" s="228">
        <v>-6.53</v>
      </c>
      <c r="DC43" s="228">
        <v>-6.53</v>
      </c>
      <c r="DD43" s="228">
        <v>41.17</v>
      </c>
      <c r="DE43" s="228">
        <v>39.43</v>
      </c>
      <c r="DF43" s="228">
        <v>-2.69</v>
      </c>
      <c r="DG43" s="228">
        <v>1.74</v>
      </c>
      <c r="DH43" s="228">
        <v>37.89</v>
      </c>
      <c r="DI43" s="228">
        <v>45.14</v>
      </c>
      <c r="DJ43" s="228">
        <v>-7.25</v>
      </c>
      <c r="DK43" s="228">
        <v>-7.25</v>
      </c>
      <c r="DL43" s="228">
        <v>40.270000000000003</v>
      </c>
      <c r="DM43" s="228">
        <v>44.8</v>
      </c>
      <c r="DN43" s="228">
        <v>-4.53</v>
      </c>
      <c r="DO43" s="228">
        <v>-4.53</v>
      </c>
      <c r="DP43" s="228">
        <v>0.96</v>
      </c>
      <c r="DQ43" s="228">
        <v>0.68</v>
      </c>
      <c r="DR43" s="228">
        <v>0.28000000000000003</v>
      </c>
      <c r="DS43" s="229">
        <v>0.4118</v>
      </c>
      <c r="DT43" s="228">
        <v>600</v>
      </c>
      <c r="DU43" s="228">
        <v>550</v>
      </c>
      <c r="DV43" s="228">
        <v>0.33</v>
      </c>
      <c r="DW43" s="228">
        <v>0.7</v>
      </c>
      <c r="DX43" s="228">
        <v>-0.37</v>
      </c>
      <c r="DY43" s="229">
        <v>-0.52859999999999996</v>
      </c>
      <c r="DZ43" s="229">
        <v>2.3199999999999998E-2</v>
      </c>
      <c r="EA43" s="230">
        <v>18166200</v>
      </c>
      <c r="EB43" s="229">
        <v>6.4000000000000003E-3</v>
      </c>
      <c r="EC43" s="229">
        <v>2.3199999999999998E-2</v>
      </c>
      <c r="ED43" s="228">
        <v>4.5199999999999996</v>
      </c>
      <c r="EE43" s="229">
        <v>8.0000000000000002E-3</v>
      </c>
      <c r="EF43" s="230">
        <v>3386992</v>
      </c>
      <c r="EG43" s="230">
        <v>4805747</v>
      </c>
      <c r="EH43" s="229">
        <v>-0.29520000000000002</v>
      </c>
      <c r="EI43" s="229">
        <v>0.2616</v>
      </c>
      <c r="EJ43" s="231">
        <v>343415.59</v>
      </c>
      <c r="EK43" s="231">
        <v>105036.73</v>
      </c>
      <c r="EL43" s="231">
        <v>69539.06</v>
      </c>
      <c r="EM43" s="231">
        <v>19984</v>
      </c>
      <c r="EN43" s="231">
        <v>517991.38</v>
      </c>
      <c r="EO43" s="231">
        <v>391760.83</v>
      </c>
      <c r="EP43" s="231">
        <v>126230.55</v>
      </c>
      <c r="EQ43" s="229">
        <v>0.32219999999999999</v>
      </c>
      <c r="ER43" s="231">
        <v>34309</v>
      </c>
      <c r="ES43" s="231">
        <v>29714</v>
      </c>
      <c r="ET43" s="231">
        <v>110706</v>
      </c>
      <c r="EU43" s="231">
        <v>103060454</v>
      </c>
      <c r="EV43" s="231">
        <v>174729</v>
      </c>
      <c r="EW43" s="231">
        <v>150850</v>
      </c>
      <c r="EX43" s="231">
        <v>23879</v>
      </c>
      <c r="EY43" s="229">
        <v>0.1583</v>
      </c>
      <c r="EZ43" s="229">
        <v>0.29160000000000003</v>
      </c>
      <c r="FA43" s="227" t="s">
        <v>555</v>
      </c>
      <c r="FB43" s="161">
        <f t="shared" si="0"/>
        <v>440300</v>
      </c>
    </row>
    <row r="44" spans="1:158" ht="17.25" hidden="1" thickBot="1" x14ac:dyDescent="0.3">
      <c r="A44" s="226">
        <v>46050</v>
      </c>
      <c r="B44" s="227" t="s">
        <v>175</v>
      </c>
      <c r="C44" s="227" t="s">
        <v>198</v>
      </c>
      <c r="D44" s="228">
        <v>625</v>
      </c>
      <c r="E44" s="231">
        <v>1646.4</v>
      </c>
      <c r="F44" s="231">
        <v>1649.4</v>
      </c>
      <c r="G44" s="228">
        <v>-3</v>
      </c>
      <c r="H44" s="229">
        <v>-1.8E-3</v>
      </c>
      <c r="I44" s="231">
        <v>1636.8</v>
      </c>
      <c r="J44" s="231">
        <v>1639.7</v>
      </c>
      <c r="K44" s="228">
        <v>-2.9</v>
      </c>
      <c r="L44" s="229">
        <v>-1.8E-3</v>
      </c>
      <c r="M44" s="231">
        <v>1646.4</v>
      </c>
      <c r="N44" s="231">
        <v>1639.1</v>
      </c>
      <c r="O44" s="228">
        <v>7.3</v>
      </c>
      <c r="P44" s="229">
        <v>4.4999999999999997E-3</v>
      </c>
      <c r="Q44" s="231">
        <v>1653.4</v>
      </c>
      <c r="R44" s="231">
        <v>1649.4</v>
      </c>
      <c r="S44" s="228">
        <v>4</v>
      </c>
      <c r="T44" s="229">
        <v>2.3999999999999998E-3</v>
      </c>
      <c r="U44" s="231">
        <v>1665</v>
      </c>
      <c r="V44" s="231">
        <v>1657.7</v>
      </c>
      <c r="W44" s="228">
        <v>7.3</v>
      </c>
      <c r="X44" s="229">
        <v>4.4000000000000003E-3</v>
      </c>
      <c r="Y44" s="228">
        <v>9.6</v>
      </c>
      <c r="Z44" s="228">
        <v>9.6999999999999993</v>
      </c>
      <c r="AA44" s="228">
        <v>-0.1</v>
      </c>
      <c r="AB44" s="229">
        <v>5.8999999999999999E-3</v>
      </c>
      <c r="AC44" s="228">
        <v>9.6</v>
      </c>
      <c r="AD44" s="228">
        <v>-0.6</v>
      </c>
      <c r="AE44" s="228">
        <v>10.199999999999999</v>
      </c>
      <c r="AF44" s="229">
        <v>5.8999999999999999E-3</v>
      </c>
      <c r="AG44" s="228">
        <v>16.600000000000001</v>
      </c>
      <c r="AH44" s="228">
        <v>9.6999999999999993</v>
      </c>
      <c r="AI44" s="228">
        <v>6.9</v>
      </c>
      <c r="AJ44" s="229">
        <v>1.01E-2</v>
      </c>
      <c r="AK44" s="228">
        <v>28.2</v>
      </c>
      <c r="AL44" s="228">
        <v>18</v>
      </c>
      <c r="AM44" s="228">
        <v>10.199999999999999</v>
      </c>
      <c r="AN44" s="229">
        <v>1.72E-2</v>
      </c>
      <c r="AO44" s="231">
        <v>1648.97</v>
      </c>
      <c r="AP44" s="231">
        <v>1656.91</v>
      </c>
      <c r="AQ44" s="228">
        <v>0</v>
      </c>
      <c r="AR44" s="230">
        <v>1741250</v>
      </c>
      <c r="AS44" s="230">
        <v>7170625</v>
      </c>
      <c r="AT44" s="230">
        <v>-5429375</v>
      </c>
      <c r="AU44" s="229">
        <v>-0.75719999999999998</v>
      </c>
      <c r="AV44" s="230">
        <v>1708750</v>
      </c>
      <c r="AW44" s="230">
        <v>3040000</v>
      </c>
      <c r="AX44" s="230">
        <v>-1331250</v>
      </c>
      <c r="AY44" s="229">
        <v>-0.43790000000000001</v>
      </c>
      <c r="AZ44" s="230">
        <v>31875</v>
      </c>
      <c r="BA44" s="230">
        <v>4111250</v>
      </c>
      <c r="BB44" s="230">
        <v>-4079375</v>
      </c>
      <c r="BC44" s="229">
        <v>-0.99219999999999997</v>
      </c>
      <c r="BD44" s="228">
        <v>625</v>
      </c>
      <c r="BE44" s="230">
        <v>19375</v>
      </c>
      <c r="BF44" s="230">
        <v>-18750</v>
      </c>
      <c r="BG44" s="229">
        <v>-0.9677</v>
      </c>
      <c r="BH44" s="230">
        <v>1109375</v>
      </c>
      <c r="BI44" s="230">
        <v>3567500</v>
      </c>
      <c r="BJ44" s="230">
        <v>-2458125</v>
      </c>
      <c r="BK44" s="229">
        <v>-0.68899999999999995</v>
      </c>
      <c r="BL44" s="230">
        <v>923750</v>
      </c>
      <c r="BM44" s="230">
        <v>2947500</v>
      </c>
      <c r="BN44" s="230">
        <v>-2023750</v>
      </c>
      <c r="BO44" s="229">
        <v>-0.68659999999999999</v>
      </c>
      <c r="BP44" s="230">
        <v>3774375</v>
      </c>
      <c r="BQ44" s="230">
        <v>13685625</v>
      </c>
      <c r="BR44" s="230">
        <v>-9911250</v>
      </c>
      <c r="BS44" s="229">
        <v>-0.72419999999999995</v>
      </c>
      <c r="BT44" s="230">
        <v>1169892</v>
      </c>
      <c r="BU44" s="230">
        <v>1965642</v>
      </c>
      <c r="BV44" s="230">
        <v>-795750</v>
      </c>
      <c r="BW44" s="229">
        <v>-0.40479999999999999</v>
      </c>
      <c r="BX44" s="230">
        <v>15117500</v>
      </c>
      <c r="BY44" s="230">
        <v>14844375</v>
      </c>
      <c r="BZ44" s="230">
        <v>273125</v>
      </c>
      <c r="CA44" s="229">
        <v>1.84E-2</v>
      </c>
      <c r="CB44" s="230">
        <v>15044375</v>
      </c>
      <c r="CC44" s="230">
        <v>854375</v>
      </c>
      <c r="CD44" s="230">
        <v>14190000</v>
      </c>
      <c r="CE44" s="229">
        <v>16.608599999999999</v>
      </c>
      <c r="CF44" s="230">
        <v>72500</v>
      </c>
      <c r="CG44" s="230">
        <v>14785625</v>
      </c>
      <c r="CH44" s="230">
        <v>-14713125</v>
      </c>
      <c r="CI44" s="229">
        <v>-0.99509999999999998</v>
      </c>
      <c r="CJ44" s="228">
        <v>625</v>
      </c>
      <c r="CK44" s="230">
        <v>58750</v>
      </c>
      <c r="CL44" s="230">
        <v>-58125</v>
      </c>
      <c r="CM44" s="229">
        <v>-0.98939999999999995</v>
      </c>
      <c r="CN44" s="230">
        <v>1267500</v>
      </c>
      <c r="CO44" s="230">
        <v>951250</v>
      </c>
      <c r="CP44" s="230">
        <v>316250</v>
      </c>
      <c r="CQ44" s="229">
        <v>0.33250000000000002</v>
      </c>
      <c r="CR44" s="230">
        <v>1330625</v>
      </c>
      <c r="CS44" s="230">
        <v>1060000</v>
      </c>
      <c r="CT44" s="230">
        <v>270625</v>
      </c>
      <c r="CU44" s="229">
        <v>0.25530000000000003</v>
      </c>
      <c r="CV44" s="230">
        <v>17715625</v>
      </c>
      <c r="CW44" s="230">
        <v>16855625</v>
      </c>
      <c r="CX44" s="230">
        <v>860000</v>
      </c>
      <c r="CY44" s="229">
        <v>5.0999999999999997E-2</v>
      </c>
      <c r="CZ44" s="228">
        <v>34.83</v>
      </c>
      <c r="DA44" s="228">
        <v>35.61</v>
      </c>
      <c r="DB44" s="228">
        <v>-0.78</v>
      </c>
      <c r="DC44" s="228">
        <v>-0.78</v>
      </c>
      <c r="DD44" s="228">
        <v>36.83</v>
      </c>
      <c r="DE44" s="228">
        <v>36.92</v>
      </c>
      <c r="DF44" s="228">
        <v>-2</v>
      </c>
      <c r="DG44" s="228">
        <v>-0.09</v>
      </c>
      <c r="DH44" s="228">
        <v>34.229999999999997</v>
      </c>
      <c r="DI44" s="228">
        <v>35.090000000000003</v>
      </c>
      <c r="DJ44" s="228">
        <v>-0.86</v>
      </c>
      <c r="DK44" s="228">
        <v>-0.86</v>
      </c>
      <c r="DL44" s="228">
        <v>35.549999999999997</v>
      </c>
      <c r="DM44" s="228">
        <v>36.15</v>
      </c>
      <c r="DN44" s="228">
        <v>-0.6</v>
      </c>
      <c r="DO44" s="228">
        <v>-0.6</v>
      </c>
      <c r="DP44" s="228">
        <v>1.05</v>
      </c>
      <c r="DQ44" s="228">
        <v>1.1100000000000001</v>
      </c>
      <c r="DR44" s="228">
        <v>-0.06</v>
      </c>
      <c r="DS44" s="229">
        <v>-5.4100000000000002E-2</v>
      </c>
      <c r="DT44" s="231">
        <v>1800</v>
      </c>
      <c r="DU44" s="231">
        <v>1600</v>
      </c>
      <c r="DV44" s="228">
        <v>0.83</v>
      </c>
      <c r="DW44" s="228">
        <v>0.83</v>
      </c>
      <c r="DX44" s="228">
        <v>0</v>
      </c>
      <c r="DY44" s="229">
        <v>0</v>
      </c>
      <c r="DZ44" s="229">
        <v>4.7999999999999996E-3</v>
      </c>
      <c r="EA44" s="230">
        <v>14844375</v>
      </c>
      <c r="EB44" s="229">
        <v>4.3E-3</v>
      </c>
      <c r="EC44" s="229">
        <v>4.7999999999999996E-3</v>
      </c>
      <c r="ED44" s="228">
        <v>7.94</v>
      </c>
      <c r="EE44" s="229">
        <v>4.7999999999999996E-3</v>
      </c>
      <c r="EF44" s="230">
        <v>763960</v>
      </c>
      <c r="EG44" s="230">
        <v>1414006</v>
      </c>
      <c r="EH44" s="229">
        <v>-0.4597</v>
      </c>
      <c r="EI44" s="229">
        <v>0.65300000000000002</v>
      </c>
      <c r="EJ44" s="231">
        <v>19631.39</v>
      </c>
      <c r="EK44" s="231">
        <v>14868.06</v>
      </c>
      <c r="EL44" s="231">
        <v>28715.35</v>
      </c>
      <c r="EM44" s="231">
        <v>15612</v>
      </c>
      <c r="EN44" s="231">
        <v>63214.8</v>
      </c>
      <c r="EO44" s="231">
        <v>227988.14</v>
      </c>
      <c r="EP44" s="231">
        <v>-164773.34</v>
      </c>
      <c r="EQ44" s="229">
        <v>-0.72270000000000001</v>
      </c>
      <c r="ER44" s="231">
        <v>22353</v>
      </c>
      <c r="ES44" s="231">
        <v>21384</v>
      </c>
      <c r="ET44" s="231">
        <v>248900</v>
      </c>
      <c r="EU44" s="231">
        <v>63257923</v>
      </c>
      <c r="EV44" s="231">
        <v>292637</v>
      </c>
      <c r="EW44" s="231">
        <v>278886</v>
      </c>
      <c r="EX44" s="231">
        <v>13751</v>
      </c>
      <c r="EY44" s="229">
        <v>4.9299999999999997E-2</v>
      </c>
      <c r="EZ44" s="229">
        <v>0.28010000000000002</v>
      </c>
      <c r="FA44" s="227" t="s">
        <v>567</v>
      </c>
      <c r="FB44" s="161">
        <f t="shared" si="0"/>
        <v>73125</v>
      </c>
    </row>
    <row r="45" spans="1:158" ht="17.25" hidden="1" thickBot="1" x14ac:dyDescent="0.3">
      <c r="A45" s="226">
        <v>46050</v>
      </c>
      <c r="B45" s="227" t="s">
        <v>170</v>
      </c>
      <c r="C45" s="227" t="s">
        <v>199</v>
      </c>
      <c r="D45" s="228">
        <v>375</v>
      </c>
      <c r="E45" s="231">
        <v>1334.3</v>
      </c>
      <c r="F45" s="231">
        <v>1320.6</v>
      </c>
      <c r="G45" s="228">
        <v>13.7</v>
      </c>
      <c r="H45" s="229">
        <v>1.04E-2</v>
      </c>
      <c r="I45" s="231">
        <v>1328.4</v>
      </c>
      <c r="J45" s="231">
        <v>1313</v>
      </c>
      <c r="K45" s="228">
        <v>15.4</v>
      </c>
      <c r="L45" s="229">
        <v>1.17E-2</v>
      </c>
      <c r="M45" s="231">
        <v>1334.3</v>
      </c>
      <c r="N45" s="231">
        <v>1311.2</v>
      </c>
      <c r="O45" s="228">
        <v>23.1</v>
      </c>
      <c r="P45" s="229">
        <v>1.7600000000000001E-2</v>
      </c>
      <c r="Q45" s="231">
        <v>1343.8</v>
      </c>
      <c r="R45" s="231">
        <v>1320.6</v>
      </c>
      <c r="S45" s="228">
        <v>23.2</v>
      </c>
      <c r="T45" s="229">
        <v>1.7600000000000001E-2</v>
      </c>
      <c r="U45" s="231">
        <v>1348.1</v>
      </c>
      <c r="V45" s="231">
        <v>1330.1</v>
      </c>
      <c r="W45" s="228">
        <v>18</v>
      </c>
      <c r="X45" s="229">
        <v>1.35E-2</v>
      </c>
      <c r="Y45" s="228">
        <v>5.9</v>
      </c>
      <c r="Z45" s="228">
        <v>7.6</v>
      </c>
      <c r="AA45" s="228">
        <v>-1.7</v>
      </c>
      <c r="AB45" s="229">
        <v>4.4000000000000003E-3</v>
      </c>
      <c r="AC45" s="228">
        <v>5.9</v>
      </c>
      <c r="AD45" s="228">
        <v>-1.8</v>
      </c>
      <c r="AE45" s="228">
        <v>7.7</v>
      </c>
      <c r="AF45" s="229">
        <v>4.4000000000000003E-3</v>
      </c>
      <c r="AG45" s="228">
        <v>15.4</v>
      </c>
      <c r="AH45" s="228">
        <v>7.6</v>
      </c>
      <c r="AI45" s="228">
        <v>7.8</v>
      </c>
      <c r="AJ45" s="229">
        <v>1.1599999999999999E-2</v>
      </c>
      <c r="AK45" s="228">
        <v>19.7</v>
      </c>
      <c r="AL45" s="228">
        <v>17.100000000000001</v>
      </c>
      <c r="AM45" s="228">
        <v>2.6</v>
      </c>
      <c r="AN45" s="229">
        <v>1.4800000000000001E-2</v>
      </c>
      <c r="AO45" s="231">
        <v>1327.69</v>
      </c>
      <c r="AP45" s="231">
        <v>1337.02</v>
      </c>
      <c r="AQ45" s="228">
        <v>0</v>
      </c>
      <c r="AR45" s="230">
        <v>1754625</v>
      </c>
      <c r="AS45" s="230">
        <v>8895750</v>
      </c>
      <c r="AT45" s="230">
        <v>-7141125</v>
      </c>
      <c r="AU45" s="229">
        <v>-0.80279999999999996</v>
      </c>
      <c r="AV45" s="230">
        <v>1711125</v>
      </c>
      <c r="AW45" s="230">
        <v>3725250</v>
      </c>
      <c r="AX45" s="230">
        <v>-2014125</v>
      </c>
      <c r="AY45" s="229">
        <v>-0.54069999999999996</v>
      </c>
      <c r="AZ45" s="230">
        <v>37125</v>
      </c>
      <c r="BA45" s="230">
        <v>5037375</v>
      </c>
      <c r="BB45" s="230">
        <v>-5000250</v>
      </c>
      <c r="BC45" s="229">
        <v>-0.99260000000000004</v>
      </c>
      <c r="BD45" s="230">
        <v>6375</v>
      </c>
      <c r="BE45" s="230">
        <v>133125</v>
      </c>
      <c r="BF45" s="230">
        <v>-126750</v>
      </c>
      <c r="BG45" s="229">
        <v>-0.95209999999999995</v>
      </c>
      <c r="BH45" s="230">
        <v>3869625</v>
      </c>
      <c r="BI45" s="230">
        <v>9757875</v>
      </c>
      <c r="BJ45" s="230">
        <v>-5888250</v>
      </c>
      <c r="BK45" s="229">
        <v>-0.60340000000000005</v>
      </c>
      <c r="BL45" s="230">
        <v>2036625</v>
      </c>
      <c r="BM45" s="230">
        <v>8868375</v>
      </c>
      <c r="BN45" s="230">
        <v>-6831750</v>
      </c>
      <c r="BO45" s="229">
        <v>-0.77029999999999998</v>
      </c>
      <c r="BP45" s="230">
        <v>7660875</v>
      </c>
      <c r="BQ45" s="230">
        <v>27522000</v>
      </c>
      <c r="BR45" s="230">
        <v>-19861125</v>
      </c>
      <c r="BS45" s="229">
        <v>-0.72160000000000002</v>
      </c>
      <c r="BT45" s="230">
        <v>1561847</v>
      </c>
      <c r="BU45" s="230">
        <v>4487531</v>
      </c>
      <c r="BV45" s="230">
        <v>-2925684</v>
      </c>
      <c r="BW45" s="229">
        <v>-0.65200000000000002</v>
      </c>
      <c r="BX45" s="230">
        <v>14610750</v>
      </c>
      <c r="BY45" s="230">
        <v>15061875</v>
      </c>
      <c r="BZ45" s="230">
        <v>-451125</v>
      </c>
      <c r="CA45" s="229">
        <v>-0.03</v>
      </c>
      <c r="CB45" s="230">
        <v>14274000</v>
      </c>
      <c r="CC45" s="230">
        <v>1875375</v>
      </c>
      <c r="CD45" s="230">
        <v>12398625</v>
      </c>
      <c r="CE45" s="229">
        <v>6.6113</v>
      </c>
      <c r="CF45" s="230">
        <v>333000</v>
      </c>
      <c r="CG45" s="230">
        <v>14733750</v>
      </c>
      <c r="CH45" s="230">
        <v>-14400750</v>
      </c>
      <c r="CI45" s="229">
        <v>-0.97740000000000005</v>
      </c>
      <c r="CJ45" s="230">
        <v>3750</v>
      </c>
      <c r="CK45" s="230">
        <v>328125</v>
      </c>
      <c r="CL45" s="230">
        <v>-324375</v>
      </c>
      <c r="CM45" s="229">
        <v>-0.98860000000000003</v>
      </c>
      <c r="CN45" s="230">
        <v>3496125</v>
      </c>
      <c r="CO45" s="230">
        <v>2935125</v>
      </c>
      <c r="CP45" s="230">
        <v>561000</v>
      </c>
      <c r="CQ45" s="229">
        <v>0.19109999999999999</v>
      </c>
      <c r="CR45" s="230">
        <v>2908125</v>
      </c>
      <c r="CS45" s="230">
        <v>2666625</v>
      </c>
      <c r="CT45" s="230">
        <v>241500</v>
      </c>
      <c r="CU45" s="229">
        <v>9.06E-2</v>
      </c>
      <c r="CV45" s="230">
        <v>21015000</v>
      </c>
      <c r="CW45" s="230">
        <v>20663625</v>
      </c>
      <c r="CX45" s="230">
        <v>351375</v>
      </c>
      <c r="CY45" s="229">
        <v>1.7000000000000001E-2</v>
      </c>
      <c r="CZ45" s="228">
        <v>22.68</v>
      </c>
      <c r="DA45" s="228">
        <v>24.15</v>
      </c>
      <c r="DB45" s="228">
        <v>-1.47</v>
      </c>
      <c r="DC45" s="228">
        <v>-1.47</v>
      </c>
      <c r="DD45" s="228">
        <v>25.99</v>
      </c>
      <c r="DE45" s="228">
        <v>26.02</v>
      </c>
      <c r="DF45" s="228">
        <v>-3.31</v>
      </c>
      <c r="DG45" s="228">
        <v>-0.03</v>
      </c>
      <c r="DH45" s="228">
        <v>22.29</v>
      </c>
      <c r="DI45" s="228">
        <v>23.98</v>
      </c>
      <c r="DJ45" s="228">
        <v>-1.69</v>
      </c>
      <c r="DK45" s="228">
        <v>-1.69</v>
      </c>
      <c r="DL45" s="228">
        <v>23.41</v>
      </c>
      <c r="DM45" s="228">
        <v>24.36</v>
      </c>
      <c r="DN45" s="228">
        <v>-0.95</v>
      </c>
      <c r="DO45" s="228">
        <v>-0.95</v>
      </c>
      <c r="DP45" s="228">
        <v>0.83</v>
      </c>
      <c r="DQ45" s="228">
        <v>0.91</v>
      </c>
      <c r="DR45" s="228">
        <v>-0.08</v>
      </c>
      <c r="DS45" s="229">
        <v>-8.7900000000000006E-2</v>
      </c>
      <c r="DT45" s="231">
        <v>1500</v>
      </c>
      <c r="DU45" s="231">
        <v>1300</v>
      </c>
      <c r="DV45" s="228">
        <v>0.53</v>
      </c>
      <c r="DW45" s="228">
        <v>0.91</v>
      </c>
      <c r="DX45" s="228">
        <v>-0.38</v>
      </c>
      <c r="DY45" s="229">
        <v>-0.41760000000000003</v>
      </c>
      <c r="DZ45" s="229">
        <v>2.3E-2</v>
      </c>
      <c r="EA45" s="230">
        <v>15061875</v>
      </c>
      <c r="EB45" s="229">
        <v>7.1000000000000004E-3</v>
      </c>
      <c r="EC45" s="229">
        <v>2.3E-2</v>
      </c>
      <c r="ED45" s="228">
        <v>9.33</v>
      </c>
      <c r="EE45" s="229">
        <v>7.0000000000000001E-3</v>
      </c>
      <c r="EF45" s="230">
        <v>849910</v>
      </c>
      <c r="EG45" s="230">
        <v>2559846</v>
      </c>
      <c r="EH45" s="229">
        <v>-0.66800000000000004</v>
      </c>
      <c r="EI45" s="229">
        <v>0.54420000000000002</v>
      </c>
      <c r="EJ45" s="231">
        <v>54776.29</v>
      </c>
      <c r="EK45" s="231">
        <v>26592.49</v>
      </c>
      <c r="EL45" s="231">
        <v>23300.48</v>
      </c>
      <c r="EM45" s="231">
        <v>31479</v>
      </c>
      <c r="EN45" s="231">
        <v>104669.26</v>
      </c>
      <c r="EO45" s="231">
        <v>371931.28</v>
      </c>
      <c r="EP45" s="231">
        <v>-267262.02</v>
      </c>
      <c r="EQ45" s="229">
        <v>-0.71860000000000002</v>
      </c>
      <c r="ER45" s="231">
        <v>49758</v>
      </c>
      <c r="ES45" s="231">
        <v>38463</v>
      </c>
      <c r="ET45" s="231">
        <v>194983</v>
      </c>
      <c r="EU45" s="231">
        <v>59297360</v>
      </c>
      <c r="EV45" s="231">
        <v>283205</v>
      </c>
      <c r="EW45" s="231">
        <v>276032</v>
      </c>
      <c r="EX45" s="231">
        <v>7173</v>
      </c>
      <c r="EY45" s="229">
        <v>2.5999999999999999E-2</v>
      </c>
      <c r="EZ45" s="229">
        <v>0.35439999999999999</v>
      </c>
      <c r="FA45" s="227" t="s">
        <v>556</v>
      </c>
      <c r="FB45" s="161">
        <f t="shared" si="0"/>
        <v>336750</v>
      </c>
    </row>
    <row r="46" spans="1:158" ht="17.25" hidden="1" thickBot="1" x14ac:dyDescent="0.3">
      <c r="A46" s="226">
        <v>46050</v>
      </c>
      <c r="B46" s="227" t="s">
        <v>227</v>
      </c>
      <c r="C46" s="227" t="s">
        <v>200</v>
      </c>
      <c r="D46" s="228">
        <v>1350</v>
      </c>
      <c r="E46" s="228">
        <v>440.55</v>
      </c>
      <c r="F46" s="228">
        <v>420.4</v>
      </c>
      <c r="G46" s="228">
        <v>20.149999999999999</v>
      </c>
      <c r="H46" s="229">
        <v>4.7899999999999998E-2</v>
      </c>
      <c r="I46" s="228">
        <v>444.05</v>
      </c>
      <c r="J46" s="228">
        <v>422.9</v>
      </c>
      <c r="K46" s="228">
        <v>21.15</v>
      </c>
      <c r="L46" s="229">
        <v>0.05</v>
      </c>
      <c r="M46" s="228">
        <v>440.55</v>
      </c>
      <c r="N46" s="228">
        <v>423.9</v>
      </c>
      <c r="O46" s="228">
        <v>16.649999999999999</v>
      </c>
      <c r="P46" s="229">
        <v>3.9300000000000002E-2</v>
      </c>
      <c r="Q46" s="228">
        <v>443.45</v>
      </c>
      <c r="R46" s="228">
        <v>420.4</v>
      </c>
      <c r="S46" s="228">
        <v>23.05</v>
      </c>
      <c r="T46" s="229">
        <v>5.4800000000000001E-2</v>
      </c>
      <c r="U46" s="228">
        <v>445.55</v>
      </c>
      <c r="V46" s="228">
        <v>423</v>
      </c>
      <c r="W46" s="228">
        <v>22.55</v>
      </c>
      <c r="X46" s="229">
        <v>5.33E-2</v>
      </c>
      <c r="Y46" s="228">
        <v>-3.5</v>
      </c>
      <c r="Z46" s="228">
        <v>-2.5</v>
      </c>
      <c r="AA46" s="228">
        <v>-1</v>
      </c>
      <c r="AB46" s="229">
        <v>-7.9000000000000008E-3</v>
      </c>
      <c r="AC46" s="228">
        <v>-3.5</v>
      </c>
      <c r="AD46" s="228">
        <v>1</v>
      </c>
      <c r="AE46" s="228">
        <v>-4.5</v>
      </c>
      <c r="AF46" s="229">
        <v>-7.9000000000000008E-3</v>
      </c>
      <c r="AG46" s="228">
        <v>-0.6</v>
      </c>
      <c r="AH46" s="228">
        <v>-2.5</v>
      </c>
      <c r="AI46" s="228">
        <v>1.9</v>
      </c>
      <c r="AJ46" s="229">
        <v>-1.4E-3</v>
      </c>
      <c r="AK46" s="228">
        <v>1.5</v>
      </c>
      <c r="AL46" s="228">
        <v>0.1</v>
      </c>
      <c r="AM46" s="228">
        <v>1.4</v>
      </c>
      <c r="AN46" s="229">
        <v>3.3999999999999998E-3</v>
      </c>
      <c r="AO46" s="228">
        <v>435.08</v>
      </c>
      <c r="AP46" s="228">
        <v>436.99</v>
      </c>
      <c r="AQ46" s="228">
        <v>0</v>
      </c>
      <c r="AR46" s="230">
        <v>21197700</v>
      </c>
      <c r="AS46" s="230">
        <v>31702050</v>
      </c>
      <c r="AT46" s="230">
        <v>-10504350</v>
      </c>
      <c r="AU46" s="229">
        <v>-0.33129999999999998</v>
      </c>
      <c r="AV46" s="230">
        <v>20070450</v>
      </c>
      <c r="AW46" s="230">
        <v>13520250</v>
      </c>
      <c r="AX46" s="230">
        <v>6550200</v>
      </c>
      <c r="AY46" s="229">
        <v>0.48449999999999999</v>
      </c>
      <c r="AZ46" s="230">
        <v>1032750</v>
      </c>
      <c r="BA46" s="230">
        <v>17485200</v>
      </c>
      <c r="BB46" s="230">
        <v>-16452450</v>
      </c>
      <c r="BC46" s="229">
        <v>-0.94089999999999996</v>
      </c>
      <c r="BD46" s="230">
        <v>94500</v>
      </c>
      <c r="BE46" s="230">
        <v>696600</v>
      </c>
      <c r="BF46" s="230">
        <v>-602100</v>
      </c>
      <c r="BG46" s="229">
        <v>-0.86429999999999996</v>
      </c>
      <c r="BH46" s="230">
        <v>91319400</v>
      </c>
      <c r="BI46" s="230">
        <v>38279250</v>
      </c>
      <c r="BJ46" s="230">
        <v>53040150</v>
      </c>
      <c r="BK46" s="229">
        <v>1.3855999999999999</v>
      </c>
      <c r="BL46" s="230">
        <v>27387450</v>
      </c>
      <c r="BM46" s="230">
        <v>19739700</v>
      </c>
      <c r="BN46" s="230">
        <v>7647750</v>
      </c>
      <c r="BO46" s="229">
        <v>0.38740000000000002</v>
      </c>
      <c r="BP46" s="230">
        <v>139904550</v>
      </c>
      <c r="BQ46" s="230">
        <v>89721000</v>
      </c>
      <c r="BR46" s="230">
        <v>50183550</v>
      </c>
      <c r="BS46" s="229">
        <v>0.55930000000000002</v>
      </c>
      <c r="BT46" s="230">
        <v>18523213</v>
      </c>
      <c r="BU46" s="230">
        <v>9403866</v>
      </c>
      <c r="BV46" s="230">
        <v>9119347</v>
      </c>
      <c r="BW46" s="229">
        <v>0.96970000000000001</v>
      </c>
      <c r="BX46" s="230">
        <v>38950200</v>
      </c>
      <c r="BY46" s="230">
        <v>39017700</v>
      </c>
      <c r="BZ46" s="230">
        <v>-67500</v>
      </c>
      <c r="CA46" s="229">
        <v>-1.6999999999999999E-3</v>
      </c>
      <c r="CB46" s="230">
        <v>37755450</v>
      </c>
      <c r="CC46" s="230">
        <v>14104800</v>
      </c>
      <c r="CD46" s="230">
        <v>23650650</v>
      </c>
      <c r="CE46" s="229">
        <v>1.6768000000000001</v>
      </c>
      <c r="CF46" s="230">
        <v>1123200</v>
      </c>
      <c r="CG46" s="230">
        <v>38067300</v>
      </c>
      <c r="CH46" s="230">
        <v>-36944100</v>
      </c>
      <c r="CI46" s="229">
        <v>-0.97050000000000003</v>
      </c>
      <c r="CJ46" s="230">
        <v>71550</v>
      </c>
      <c r="CK46" s="230">
        <v>950400</v>
      </c>
      <c r="CL46" s="230">
        <v>-878850</v>
      </c>
      <c r="CM46" s="229">
        <v>-0.92469999999999997</v>
      </c>
      <c r="CN46" s="230">
        <v>20425500</v>
      </c>
      <c r="CO46" s="230">
        <v>15276600</v>
      </c>
      <c r="CP46" s="230">
        <v>5148900</v>
      </c>
      <c r="CQ46" s="229">
        <v>0.33700000000000002</v>
      </c>
      <c r="CR46" s="230">
        <v>12424050</v>
      </c>
      <c r="CS46" s="230">
        <v>9101700</v>
      </c>
      <c r="CT46" s="230">
        <v>3322350</v>
      </c>
      <c r="CU46" s="229">
        <v>0.36499999999999999</v>
      </c>
      <c r="CV46" s="230">
        <v>71799750</v>
      </c>
      <c r="CW46" s="230">
        <v>63396000</v>
      </c>
      <c r="CX46" s="230">
        <v>8403750</v>
      </c>
      <c r="CY46" s="229">
        <v>0.1326</v>
      </c>
      <c r="CZ46" s="228">
        <v>27.98</v>
      </c>
      <c r="DA46" s="228">
        <v>26.61</v>
      </c>
      <c r="DB46" s="228">
        <v>1.37</v>
      </c>
      <c r="DC46" s="228">
        <v>1.37</v>
      </c>
      <c r="DD46" s="228">
        <v>28.91</v>
      </c>
      <c r="DE46" s="228">
        <v>28.28</v>
      </c>
      <c r="DF46" s="228">
        <v>-0.93</v>
      </c>
      <c r="DG46" s="228">
        <v>0.63</v>
      </c>
      <c r="DH46" s="228">
        <v>27.72</v>
      </c>
      <c r="DI46" s="228">
        <v>26.46</v>
      </c>
      <c r="DJ46" s="228">
        <v>1.26</v>
      </c>
      <c r="DK46" s="228">
        <v>1.26</v>
      </c>
      <c r="DL46" s="228">
        <v>28.85</v>
      </c>
      <c r="DM46" s="228">
        <v>26.96</v>
      </c>
      <c r="DN46" s="228">
        <v>1.89</v>
      </c>
      <c r="DO46" s="228">
        <v>1.89</v>
      </c>
      <c r="DP46" s="228">
        <v>0.61</v>
      </c>
      <c r="DQ46" s="228">
        <v>0.6</v>
      </c>
      <c r="DR46" s="228">
        <v>0.01</v>
      </c>
      <c r="DS46" s="229">
        <v>1.67E-2</v>
      </c>
      <c r="DT46" s="228">
        <v>460</v>
      </c>
      <c r="DU46" s="228">
        <v>420</v>
      </c>
      <c r="DV46" s="228">
        <v>0.3</v>
      </c>
      <c r="DW46" s="228">
        <v>0.52</v>
      </c>
      <c r="DX46" s="228">
        <v>-0.22</v>
      </c>
      <c r="DY46" s="229">
        <v>-0.42309999999999998</v>
      </c>
      <c r="DZ46" s="229">
        <v>3.0700000000000002E-2</v>
      </c>
      <c r="EA46" s="230">
        <v>39017700</v>
      </c>
      <c r="EB46" s="229">
        <v>6.6E-3</v>
      </c>
      <c r="EC46" s="229">
        <v>3.0700000000000002E-2</v>
      </c>
      <c r="ED46" s="228">
        <v>1.91</v>
      </c>
      <c r="EE46" s="229">
        <v>4.4000000000000003E-3</v>
      </c>
      <c r="EF46" s="230">
        <v>9877651</v>
      </c>
      <c r="EG46" s="230">
        <v>4548702</v>
      </c>
      <c r="EH46" s="229">
        <v>1.1715</v>
      </c>
      <c r="EI46" s="229">
        <v>0.5333</v>
      </c>
      <c r="EJ46" s="231">
        <v>416051.02</v>
      </c>
      <c r="EK46" s="231">
        <v>117216.15</v>
      </c>
      <c r="EL46" s="231">
        <v>92253.01</v>
      </c>
      <c r="EM46" s="231">
        <v>25122</v>
      </c>
      <c r="EN46" s="231">
        <v>625520.18000000005</v>
      </c>
      <c r="EO46" s="231">
        <v>383207.31</v>
      </c>
      <c r="EP46" s="231">
        <v>242312.87</v>
      </c>
      <c r="EQ46" s="229">
        <v>0.63229999999999997</v>
      </c>
      <c r="ER46" s="231">
        <v>91615</v>
      </c>
      <c r="ES46" s="231">
        <v>51442</v>
      </c>
      <c r="ET46" s="231">
        <v>171631</v>
      </c>
      <c r="EU46" s="231">
        <v>278206904</v>
      </c>
      <c r="EV46" s="231">
        <v>314688</v>
      </c>
      <c r="EW46" s="231">
        <v>268933</v>
      </c>
      <c r="EX46" s="231">
        <v>45755</v>
      </c>
      <c r="EY46" s="229">
        <v>0.1701</v>
      </c>
      <c r="EZ46" s="229">
        <v>0.2581</v>
      </c>
      <c r="FA46" s="227" t="s">
        <v>556</v>
      </c>
      <c r="FB46" s="161">
        <f t="shared" si="0"/>
        <v>1194750</v>
      </c>
    </row>
    <row r="47" spans="1:158" ht="17.25" hidden="1" thickBot="1" x14ac:dyDescent="0.3">
      <c r="A47" s="226">
        <v>46050</v>
      </c>
      <c r="B47" s="227" t="s">
        <v>221</v>
      </c>
      <c r="C47" s="227" t="s">
        <v>470</v>
      </c>
      <c r="D47" s="228">
        <v>375</v>
      </c>
      <c r="E47" s="231">
        <v>1693</v>
      </c>
      <c r="F47" s="231">
        <v>1670.8</v>
      </c>
      <c r="G47" s="228">
        <v>22.2</v>
      </c>
      <c r="H47" s="229">
        <v>1.3299999999999999E-2</v>
      </c>
      <c r="I47" s="231">
        <v>1694.2</v>
      </c>
      <c r="J47" s="231">
        <v>1664.3</v>
      </c>
      <c r="K47" s="228">
        <v>29.9</v>
      </c>
      <c r="L47" s="229">
        <v>1.7999999999999999E-2</v>
      </c>
      <c r="M47" s="231">
        <v>1693</v>
      </c>
      <c r="N47" s="231">
        <v>1669.1</v>
      </c>
      <c r="O47" s="228">
        <v>23.9</v>
      </c>
      <c r="P47" s="229">
        <v>1.43E-2</v>
      </c>
      <c r="Q47" s="231">
        <v>1699.1</v>
      </c>
      <c r="R47" s="231">
        <v>1670.8</v>
      </c>
      <c r="S47" s="228">
        <v>28.3</v>
      </c>
      <c r="T47" s="229">
        <v>1.6899999999999998E-2</v>
      </c>
      <c r="U47" s="231">
        <v>1705.8</v>
      </c>
      <c r="V47" s="231">
        <v>1680.5</v>
      </c>
      <c r="W47" s="228">
        <v>25.3</v>
      </c>
      <c r="X47" s="229">
        <v>1.5100000000000001E-2</v>
      </c>
      <c r="Y47" s="228">
        <v>-1.2</v>
      </c>
      <c r="Z47" s="228">
        <v>6.5</v>
      </c>
      <c r="AA47" s="228">
        <v>-7.7</v>
      </c>
      <c r="AB47" s="229">
        <v>-6.9999999999999999E-4</v>
      </c>
      <c r="AC47" s="228">
        <v>-1.2</v>
      </c>
      <c r="AD47" s="228">
        <v>4.8</v>
      </c>
      <c r="AE47" s="228">
        <v>-6</v>
      </c>
      <c r="AF47" s="229">
        <v>-6.9999999999999999E-4</v>
      </c>
      <c r="AG47" s="228">
        <v>4.9000000000000004</v>
      </c>
      <c r="AH47" s="228">
        <v>6.5</v>
      </c>
      <c r="AI47" s="228">
        <v>-1.6</v>
      </c>
      <c r="AJ47" s="229">
        <v>2.8999999999999998E-3</v>
      </c>
      <c r="AK47" s="228">
        <v>11.6</v>
      </c>
      <c r="AL47" s="228">
        <v>16.2</v>
      </c>
      <c r="AM47" s="228">
        <v>-4.5999999999999996</v>
      </c>
      <c r="AN47" s="229">
        <v>6.7999999999999996E-3</v>
      </c>
      <c r="AO47" s="231">
        <v>1684.05</v>
      </c>
      <c r="AP47" s="231">
        <v>1693.24</v>
      </c>
      <c r="AQ47" s="228">
        <v>0</v>
      </c>
      <c r="AR47" s="230">
        <v>1834500</v>
      </c>
      <c r="AS47" s="230">
        <v>8954625</v>
      </c>
      <c r="AT47" s="230">
        <v>-7120125</v>
      </c>
      <c r="AU47" s="229">
        <v>-0.79510000000000003</v>
      </c>
      <c r="AV47" s="230">
        <v>1776000</v>
      </c>
      <c r="AW47" s="230">
        <v>3849750</v>
      </c>
      <c r="AX47" s="230">
        <v>-2073750</v>
      </c>
      <c r="AY47" s="229">
        <v>-0.53869999999999996</v>
      </c>
      <c r="AZ47" s="230">
        <v>52500</v>
      </c>
      <c r="BA47" s="230">
        <v>5023500</v>
      </c>
      <c r="BB47" s="230">
        <v>-4971000</v>
      </c>
      <c r="BC47" s="229">
        <v>-0.98950000000000005</v>
      </c>
      <c r="BD47" s="230">
        <v>6000</v>
      </c>
      <c r="BE47" s="230">
        <v>81375</v>
      </c>
      <c r="BF47" s="230">
        <v>-75375</v>
      </c>
      <c r="BG47" s="229">
        <v>-0.92630000000000001</v>
      </c>
      <c r="BH47" s="230">
        <v>4123500</v>
      </c>
      <c r="BI47" s="230">
        <v>12733125</v>
      </c>
      <c r="BJ47" s="230">
        <v>-8609625</v>
      </c>
      <c r="BK47" s="229">
        <v>-0.67620000000000002</v>
      </c>
      <c r="BL47" s="230">
        <v>3895875</v>
      </c>
      <c r="BM47" s="230">
        <v>6374250</v>
      </c>
      <c r="BN47" s="230">
        <v>-2478375</v>
      </c>
      <c r="BO47" s="229">
        <v>-0.38879999999999998</v>
      </c>
      <c r="BP47" s="230">
        <v>9853875</v>
      </c>
      <c r="BQ47" s="230">
        <v>28062000</v>
      </c>
      <c r="BR47" s="230">
        <v>-18208125</v>
      </c>
      <c r="BS47" s="229">
        <v>-0.64890000000000003</v>
      </c>
      <c r="BT47" s="230">
        <v>1357831</v>
      </c>
      <c r="BU47" s="230">
        <v>3051725</v>
      </c>
      <c r="BV47" s="230">
        <v>-1693894</v>
      </c>
      <c r="BW47" s="229">
        <v>-0.55510000000000004</v>
      </c>
      <c r="BX47" s="230">
        <v>12082125</v>
      </c>
      <c r="BY47" s="230">
        <v>12298500</v>
      </c>
      <c r="BZ47" s="230">
        <v>-216375</v>
      </c>
      <c r="CA47" s="229">
        <v>-1.7600000000000001E-2</v>
      </c>
      <c r="CB47" s="230">
        <v>11919750</v>
      </c>
      <c r="CC47" s="230">
        <v>1047000</v>
      </c>
      <c r="CD47" s="230">
        <v>10872750</v>
      </c>
      <c r="CE47" s="229">
        <v>10.3847</v>
      </c>
      <c r="CF47" s="230">
        <v>156750</v>
      </c>
      <c r="CG47" s="230">
        <v>12147000</v>
      </c>
      <c r="CH47" s="230">
        <v>-11990250</v>
      </c>
      <c r="CI47" s="229">
        <v>-0.98709999999999998</v>
      </c>
      <c r="CJ47" s="230">
        <v>5625</v>
      </c>
      <c r="CK47" s="230">
        <v>151500</v>
      </c>
      <c r="CL47" s="230">
        <v>-145875</v>
      </c>
      <c r="CM47" s="229">
        <v>-0.96289999999999998</v>
      </c>
      <c r="CN47" s="230">
        <v>2921250</v>
      </c>
      <c r="CO47" s="230">
        <v>2379750</v>
      </c>
      <c r="CP47" s="230">
        <v>541500</v>
      </c>
      <c r="CQ47" s="229">
        <v>0.22750000000000001</v>
      </c>
      <c r="CR47" s="230">
        <v>2146125</v>
      </c>
      <c r="CS47" s="230">
        <v>1921125</v>
      </c>
      <c r="CT47" s="230">
        <v>225000</v>
      </c>
      <c r="CU47" s="229">
        <v>0.1171</v>
      </c>
      <c r="CV47" s="230">
        <v>17149500</v>
      </c>
      <c r="CW47" s="230">
        <v>16599375</v>
      </c>
      <c r="CX47" s="230">
        <v>550125</v>
      </c>
      <c r="CY47" s="229">
        <v>3.3099999999999997E-2</v>
      </c>
      <c r="CZ47" s="228">
        <v>30.38</v>
      </c>
      <c r="DA47" s="228">
        <v>33.07</v>
      </c>
      <c r="DB47" s="228">
        <v>-2.69</v>
      </c>
      <c r="DC47" s="228">
        <v>-2.69</v>
      </c>
      <c r="DD47" s="228">
        <v>40.75</v>
      </c>
      <c r="DE47" s="228">
        <v>40.78</v>
      </c>
      <c r="DF47" s="228">
        <v>-10.37</v>
      </c>
      <c r="DG47" s="228">
        <v>-0.03</v>
      </c>
      <c r="DH47" s="228">
        <v>29.92</v>
      </c>
      <c r="DI47" s="228">
        <v>32.82</v>
      </c>
      <c r="DJ47" s="228">
        <v>-2.9</v>
      </c>
      <c r="DK47" s="228">
        <v>-2.9</v>
      </c>
      <c r="DL47" s="228">
        <v>30.88</v>
      </c>
      <c r="DM47" s="228">
        <v>33.43</v>
      </c>
      <c r="DN47" s="228">
        <v>-2.5499999999999998</v>
      </c>
      <c r="DO47" s="228">
        <v>-2.5499999999999998</v>
      </c>
      <c r="DP47" s="228">
        <v>0.73</v>
      </c>
      <c r="DQ47" s="228">
        <v>0.81</v>
      </c>
      <c r="DR47" s="228">
        <v>-0.08</v>
      </c>
      <c r="DS47" s="229">
        <v>-9.8799999999999999E-2</v>
      </c>
      <c r="DT47" s="231">
        <v>1700</v>
      </c>
      <c r="DU47" s="231">
        <v>1600</v>
      </c>
      <c r="DV47" s="228">
        <v>0.94</v>
      </c>
      <c r="DW47" s="228">
        <v>0.5</v>
      </c>
      <c r="DX47" s="228">
        <v>0.44</v>
      </c>
      <c r="DY47" s="229">
        <v>0.88</v>
      </c>
      <c r="DZ47" s="229">
        <v>1.34E-2</v>
      </c>
      <c r="EA47" s="230">
        <v>12298500</v>
      </c>
      <c r="EB47" s="229">
        <v>3.5999999999999999E-3</v>
      </c>
      <c r="EC47" s="229">
        <v>1.34E-2</v>
      </c>
      <c r="ED47" s="228">
        <v>9.19</v>
      </c>
      <c r="EE47" s="229">
        <v>5.4999999999999997E-3</v>
      </c>
      <c r="EF47" s="230">
        <v>826590</v>
      </c>
      <c r="EG47" s="230">
        <v>2007174</v>
      </c>
      <c r="EH47" s="229">
        <v>-0.58819999999999995</v>
      </c>
      <c r="EI47" s="229">
        <v>0.60880000000000001</v>
      </c>
      <c r="EJ47" s="231">
        <v>73113.98</v>
      </c>
      <c r="EK47" s="231">
        <v>67601.17</v>
      </c>
      <c r="EL47" s="231">
        <v>30899.67</v>
      </c>
      <c r="EM47" s="231">
        <v>37084</v>
      </c>
      <c r="EN47" s="231">
        <v>171614.82</v>
      </c>
      <c r="EO47" s="231">
        <v>475421.99</v>
      </c>
      <c r="EP47" s="231">
        <v>-303807.17</v>
      </c>
      <c r="EQ47" s="229">
        <v>-0.63900000000000001</v>
      </c>
      <c r="ER47" s="231">
        <v>50577</v>
      </c>
      <c r="ES47" s="231">
        <v>35086</v>
      </c>
      <c r="ET47" s="231">
        <v>204561</v>
      </c>
      <c r="EU47" s="231">
        <v>50189409</v>
      </c>
      <c r="EV47" s="231">
        <v>290223</v>
      </c>
      <c r="EW47" s="231">
        <v>277999</v>
      </c>
      <c r="EX47" s="231">
        <v>12224</v>
      </c>
      <c r="EY47" s="229">
        <v>4.3999999999999997E-2</v>
      </c>
      <c r="EZ47" s="229">
        <v>0.3417</v>
      </c>
      <c r="FA47" s="227" t="s">
        <v>556</v>
      </c>
      <c r="FB47" s="161">
        <f t="shared" si="0"/>
        <v>162375</v>
      </c>
    </row>
    <row r="48" spans="1:158" ht="17.25" hidden="1" thickBot="1" x14ac:dyDescent="0.3">
      <c r="A48" s="226">
        <v>46050</v>
      </c>
      <c r="B48" s="227" t="s">
        <v>168</v>
      </c>
      <c r="C48" s="227" t="s">
        <v>201</v>
      </c>
      <c r="D48" s="228">
        <v>225</v>
      </c>
      <c r="E48" s="231">
        <v>2160.6999999999998</v>
      </c>
      <c r="F48" s="231">
        <v>2162.1999999999998</v>
      </c>
      <c r="G48" s="228">
        <v>-1.5</v>
      </c>
      <c r="H48" s="229">
        <v>-6.9999999999999999E-4</v>
      </c>
      <c r="I48" s="231">
        <v>2154.4</v>
      </c>
      <c r="J48" s="231">
        <v>2153.9</v>
      </c>
      <c r="K48" s="228">
        <v>0.5</v>
      </c>
      <c r="L48" s="229">
        <v>2.0000000000000001E-4</v>
      </c>
      <c r="M48" s="231">
        <v>2160.6999999999998</v>
      </c>
      <c r="N48" s="231">
        <v>2152.6</v>
      </c>
      <c r="O48" s="228">
        <v>8.1</v>
      </c>
      <c r="P48" s="229">
        <v>3.8E-3</v>
      </c>
      <c r="Q48" s="231">
        <v>2168.3000000000002</v>
      </c>
      <c r="R48" s="231">
        <v>2162.1999999999998</v>
      </c>
      <c r="S48" s="228">
        <v>6.1</v>
      </c>
      <c r="T48" s="229">
        <v>2.8E-3</v>
      </c>
      <c r="U48" s="231">
        <v>2175</v>
      </c>
      <c r="V48" s="231">
        <v>2173.1999999999998</v>
      </c>
      <c r="W48" s="228">
        <v>1.8</v>
      </c>
      <c r="X48" s="229">
        <v>8.0000000000000004E-4</v>
      </c>
      <c r="Y48" s="228">
        <v>6.3</v>
      </c>
      <c r="Z48" s="228">
        <v>8.3000000000000007</v>
      </c>
      <c r="AA48" s="228">
        <v>-2</v>
      </c>
      <c r="AB48" s="229">
        <v>2.8999999999999998E-3</v>
      </c>
      <c r="AC48" s="228">
        <v>6.3</v>
      </c>
      <c r="AD48" s="228">
        <v>-1.3</v>
      </c>
      <c r="AE48" s="228">
        <v>7.6</v>
      </c>
      <c r="AF48" s="229">
        <v>2.8999999999999998E-3</v>
      </c>
      <c r="AG48" s="228">
        <v>13.9</v>
      </c>
      <c r="AH48" s="228">
        <v>8.3000000000000007</v>
      </c>
      <c r="AI48" s="228">
        <v>5.6</v>
      </c>
      <c r="AJ48" s="229">
        <v>6.4999999999999997E-3</v>
      </c>
      <c r="AK48" s="228">
        <v>20.6</v>
      </c>
      <c r="AL48" s="228">
        <v>19.3</v>
      </c>
      <c r="AM48" s="228">
        <v>1.3</v>
      </c>
      <c r="AN48" s="229">
        <v>9.5999999999999992E-3</v>
      </c>
      <c r="AO48" s="231">
        <v>2147.4</v>
      </c>
      <c r="AP48" s="231">
        <v>2154.88</v>
      </c>
      <c r="AQ48" s="228">
        <v>0</v>
      </c>
      <c r="AR48" s="230">
        <v>736650</v>
      </c>
      <c r="AS48" s="230">
        <v>2928150</v>
      </c>
      <c r="AT48" s="230">
        <v>-2191500</v>
      </c>
      <c r="AU48" s="229">
        <v>-0.74839999999999995</v>
      </c>
      <c r="AV48" s="230">
        <v>710775</v>
      </c>
      <c r="AW48" s="230">
        <v>1270125</v>
      </c>
      <c r="AX48" s="230">
        <v>-559350</v>
      </c>
      <c r="AY48" s="229">
        <v>-0.44040000000000001</v>
      </c>
      <c r="AZ48" s="230">
        <v>23625</v>
      </c>
      <c r="BA48" s="230">
        <v>1606950</v>
      </c>
      <c r="BB48" s="230">
        <v>-1583325</v>
      </c>
      <c r="BC48" s="229">
        <v>-0.98529999999999995</v>
      </c>
      <c r="BD48" s="230">
        <v>2250</v>
      </c>
      <c r="BE48" s="230">
        <v>51075</v>
      </c>
      <c r="BF48" s="230">
        <v>-48825</v>
      </c>
      <c r="BG48" s="229">
        <v>-0.95589999999999997</v>
      </c>
      <c r="BH48" s="230">
        <v>1077075</v>
      </c>
      <c r="BI48" s="230">
        <v>1771650</v>
      </c>
      <c r="BJ48" s="230">
        <v>-694575</v>
      </c>
      <c r="BK48" s="229">
        <v>-0.39200000000000002</v>
      </c>
      <c r="BL48" s="230">
        <v>731700</v>
      </c>
      <c r="BM48" s="230">
        <v>1005075</v>
      </c>
      <c r="BN48" s="230">
        <v>-273375</v>
      </c>
      <c r="BO48" s="229">
        <v>-0.27200000000000002</v>
      </c>
      <c r="BP48" s="230">
        <v>2545425</v>
      </c>
      <c r="BQ48" s="230">
        <v>5704875</v>
      </c>
      <c r="BR48" s="230">
        <v>-3159450</v>
      </c>
      <c r="BS48" s="229">
        <v>-0.55379999999999996</v>
      </c>
      <c r="BT48" s="230">
        <v>302232</v>
      </c>
      <c r="BU48" s="230">
        <v>472700</v>
      </c>
      <c r="BV48" s="230">
        <v>-170468</v>
      </c>
      <c r="BW48" s="229">
        <v>-0.36059999999999998</v>
      </c>
      <c r="BX48" s="230">
        <v>5111100</v>
      </c>
      <c r="BY48" s="230">
        <v>5134500</v>
      </c>
      <c r="BZ48" s="230">
        <v>-23400</v>
      </c>
      <c r="CA48" s="229">
        <v>-4.5999999999999999E-3</v>
      </c>
      <c r="CB48" s="230">
        <v>4987800</v>
      </c>
      <c r="CC48" s="230">
        <v>1032750</v>
      </c>
      <c r="CD48" s="230">
        <v>3955050</v>
      </c>
      <c r="CE48" s="229">
        <v>3.8296000000000001</v>
      </c>
      <c r="CF48" s="230">
        <v>122175</v>
      </c>
      <c r="CG48" s="230">
        <v>5015700</v>
      </c>
      <c r="CH48" s="230">
        <v>-4893525</v>
      </c>
      <c r="CI48" s="229">
        <v>-0.97560000000000002</v>
      </c>
      <c r="CJ48" s="230">
        <v>1125</v>
      </c>
      <c r="CK48" s="230">
        <v>118800</v>
      </c>
      <c r="CL48" s="230">
        <v>-117675</v>
      </c>
      <c r="CM48" s="229">
        <v>-0.99050000000000005</v>
      </c>
      <c r="CN48" s="230">
        <v>911250</v>
      </c>
      <c r="CO48" s="230">
        <v>803925</v>
      </c>
      <c r="CP48" s="230">
        <v>107325</v>
      </c>
      <c r="CQ48" s="229">
        <v>0.13350000000000001</v>
      </c>
      <c r="CR48" s="230">
        <v>903375</v>
      </c>
      <c r="CS48" s="230">
        <v>739575</v>
      </c>
      <c r="CT48" s="230">
        <v>163800</v>
      </c>
      <c r="CU48" s="229">
        <v>0.2215</v>
      </c>
      <c r="CV48" s="230">
        <v>6925725</v>
      </c>
      <c r="CW48" s="230">
        <v>6678000</v>
      </c>
      <c r="CX48" s="230">
        <v>247725</v>
      </c>
      <c r="CY48" s="229">
        <v>3.7100000000000001E-2</v>
      </c>
      <c r="CZ48" s="228">
        <v>28.98</v>
      </c>
      <c r="DA48" s="228">
        <v>29.92</v>
      </c>
      <c r="DB48" s="228">
        <v>-0.94</v>
      </c>
      <c r="DC48" s="228">
        <v>-0.94</v>
      </c>
      <c r="DD48" s="228">
        <v>26.84</v>
      </c>
      <c r="DE48" s="228">
        <v>26.91</v>
      </c>
      <c r="DF48" s="228">
        <v>2.14</v>
      </c>
      <c r="DG48" s="228">
        <v>-7.0000000000000007E-2</v>
      </c>
      <c r="DH48" s="228">
        <v>28.65</v>
      </c>
      <c r="DI48" s="228">
        <v>29.6</v>
      </c>
      <c r="DJ48" s="228">
        <v>-0.95</v>
      </c>
      <c r="DK48" s="228">
        <v>-0.95</v>
      </c>
      <c r="DL48" s="228">
        <v>29.48</v>
      </c>
      <c r="DM48" s="228">
        <v>30.35</v>
      </c>
      <c r="DN48" s="228">
        <v>-0.87</v>
      </c>
      <c r="DO48" s="228">
        <v>-0.87</v>
      </c>
      <c r="DP48" s="228">
        <v>0.99</v>
      </c>
      <c r="DQ48" s="228">
        <v>0.92</v>
      </c>
      <c r="DR48" s="228">
        <v>7.0000000000000007E-2</v>
      </c>
      <c r="DS48" s="229">
        <v>7.6100000000000001E-2</v>
      </c>
      <c r="DT48" s="231">
        <v>2200</v>
      </c>
      <c r="DU48" s="231">
        <v>2200</v>
      </c>
      <c r="DV48" s="228">
        <v>0.68</v>
      </c>
      <c r="DW48" s="228">
        <v>0.56999999999999995</v>
      </c>
      <c r="DX48" s="228">
        <v>0.11</v>
      </c>
      <c r="DY48" s="229">
        <v>0.193</v>
      </c>
      <c r="DZ48" s="229">
        <v>2.41E-2</v>
      </c>
      <c r="EA48" s="230">
        <v>5134500</v>
      </c>
      <c r="EB48" s="229">
        <v>3.5000000000000001E-3</v>
      </c>
      <c r="EC48" s="229">
        <v>2.41E-2</v>
      </c>
      <c r="ED48" s="228">
        <v>7.48</v>
      </c>
      <c r="EE48" s="229">
        <v>3.5000000000000001E-3</v>
      </c>
      <c r="EF48" s="230">
        <v>161467</v>
      </c>
      <c r="EG48" s="230">
        <v>249077</v>
      </c>
      <c r="EH48" s="229">
        <v>-0.35170000000000001</v>
      </c>
      <c r="EI48" s="229">
        <v>0.53420000000000001</v>
      </c>
      <c r="EJ48" s="231">
        <v>24447.96</v>
      </c>
      <c r="EK48" s="231">
        <v>15624.9</v>
      </c>
      <c r="EL48" s="231">
        <v>15820.86</v>
      </c>
      <c r="EM48" s="231">
        <v>18190</v>
      </c>
      <c r="EN48" s="231">
        <v>55893.72</v>
      </c>
      <c r="EO48" s="231">
        <v>124403.79</v>
      </c>
      <c r="EP48" s="231">
        <v>-68510.070000000007</v>
      </c>
      <c r="EQ48" s="229">
        <v>-0.55069999999999997</v>
      </c>
      <c r="ER48" s="231">
        <v>20482</v>
      </c>
      <c r="ES48" s="231">
        <v>19114</v>
      </c>
      <c r="ET48" s="231">
        <v>110445</v>
      </c>
      <c r="EU48" s="231">
        <v>19546143</v>
      </c>
      <c r="EV48" s="231">
        <v>150041</v>
      </c>
      <c r="EW48" s="231">
        <v>144867</v>
      </c>
      <c r="EX48" s="231">
        <v>5174</v>
      </c>
      <c r="EY48" s="229">
        <v>3.5700000000000003E-2</v>
      </c>
      <c r="EZ48" s="229">
        <v>0.3543</v>
      </c>
      <c r="FA48" s="227" t="s">
        <v>568</v>
      </c>
      <c r="FB48" s="161">
        <f t="shared" si="0"/>
        <v>123300</v>
      </c>
    </row>
    <row r="49" spans="1:158" ht="17.25" hidden="1" thickBot="1" x14ac:dyDescent="0.3">
      <c r="A49" s="226">
        <v>46050</v>
      </c>
      <c r="B49" s="227" t="s">
        <v>215</v>
      </c>
      <c r="C49" s="227" t="s">
        <v>202</v>
      </c>
      <c r="D49" s="228">
        <v>1250</v>
      </c>
      <c r="E49" s="228">
        <v>496.4</v>
      </c>
      <c r="F49" s="228">
        <v>484.2</v>
      </c>
      <c r="G49" s="228">
        <v>12.2</v>
      </c>
      <c r="H49" s="229">
        <v>2.52E-2</v>
      </c>
      <c r="I49" s="228">
        <v>496.35</v>
      </c>
      <c r="J49" s="228">
        <v>485.35</v>
      </c>
      <c r="K49" s="228">
        <v>11</v>
      </c>
      <c r="L49" s="229">
        <v>2.2700000000000001E-2</v>
      </c>
      <c r="M49" s="228">
        <v>496.4</v>
      </c>
      <c r="N49" s="228">
        <v>483.9</v>
      </c>
      <c r="O49" s="228">
        <v>12.5</v>
      </c>
      <c r="P49" s="229">
        <v>2.58E-2</v>
      </c>
      <c r="Q49" s="228">
        <v>499.85</v>
      </c>
      <c r="R49" s="228">
        <v>484.2</v>
      </c>
      <c r="S49" s="228">
        <v>15.65</v>
      </c>
      <c r="T49" s="229">
        <v>3.2300000000000002E-2</v>
      </c>
      <c r="U49" s="228">
        <v>502.9</v>
      </c>
      <c r="V49" s="228">
        <v>487.85</v>
      </c>
      <c r="W49" s="228">
        <v>15.05</v>
      </c>
      <c r="X49" s="229">
        <v>3.0800000000000001E-2</v>
      </c>
      <c r="Y49" s="228">
        <v>0.05</v>
      </c>
      <c r="Z49" s="228">
        <v>-1.1499999999999999</v>
      </c>
      <c r="AA49" s="228">
        <v>1.2</v>
      </c>
      <c r="AB49" s="229">
        <v>1E-4</v>
      </c>
      <c r="AC49" s="228">
        <v>0.05</v>
      </c>
      <c r="AD49" s="228">
        <v>-1.45</v>
      </c>
      <c r="AE49" s="228">
        <v>1.5</v>
      </c>
      <c r="AF49" s="229">
        <v>1E-4</v>
      </c>
      <c r="AG49" s="228">
        <v>3.5</v>
      </c>
      <c r="AH49" s="228">
        <v>-1.1499999999999999</v>
      </c>
      <c r="AI49" s="228">
        <v>4.6500000000000004</v>
      </c>
      <c r="AJ49" s="229">
        <v>7.1000000000000004E-3</v>
      </c>
      <c r="AK49" s="228">
        <v>6.55</v>
      </c>
      <c r="AL49" s="228">
        <v>2.5</v>
      </c>
      <c r="AM49" s="228">
        <v>4.05</v>
      </c>
      <c r="AN49" s="229">
        <v>1.32E-2</v>
      </c>
      <c r="AO49" s="228">
        <v>491.68</v>
      </c>
      <c r="AP49" s="228">
        <v>494.98</v>
      </c>
      <c r="AQ49" s="228">
        <v>0</v>
      </c>
      <c r="AR49" s="230">
        <v>3517500</v>
      </c>
      <c r="AS49" s="230">
        <v>22372500</v>
      </c>
      <c r="AT49" s="230">
        <v>-18855000</v>
      </c>
      <c r="AU49" s="229">
        <v>-0.84279999999999999</v>
      </c>
      <c r="AV49" s="230">
        <v>3358750</v>
      </c>
      <c r="AW49" s="230">
        <v>10523750</v>
      </c>
      <c r="AX49" s="230">
        <v>-7165000</v>
      </c>
      <c r="AY49" s="229">
        <v>-0.68079999999999996</v>
      </c>
      <c r="AZ49" s="230">
        <v>147500</v>
      </c>
      <c r="BA49" s="230">
        <v>11572500</v>
      </c>
      <c r="BB49" s="230">
        <v>-11425000</v>
      </c>
      <c r="BC49" s="229">
        <v>-0.98729999999999996</v>
      </c>
      <c r="BD49" s="230">
        <v>11250</v>
      </c>
      <c r="BE49" s="230">
        <v>276250</v>
      </c>
      <c r="BF49" s="230">
        <v>-265000</v>
      </c>
      <c r="BG49" s="229">
        <v>-0.95930000000000004</v>
      </c>
      <c r="BH49" s="230">
        <v>9170000</v>
      </c>
      <c r="BI49" s="230">
        <v>9105000</v>
      </c>
      <c r="BJ49" s="230">
        <v>65000</v>
      </c>
      <c r="BK49" s="229">
        <v>7.1000000000000004E-3</v>
      </c>
      <c r="BL49" s="230">
        <v>3312500</v>
      </c>
      <c r="BM49" s="230">
        <v>8121250</v>
      </c>
      <c r="BN49" s="230">
        <v>-4808750</v>
      </c>
      <c r="BO49" s="229">
        <v>-0.59209999999999996</v>
      </c>
      <c r="BP49" s="230">
        <v>16000000</v>
      </c>
      <c r="BQ49" s="230">
        <v>39598750</v>
      </c>
      <c r="BR49" s="230">
        <v>-23598750</v>
      </c>
      <c r="BS49" s="229">
        <v>-0.59589999999999999</v>
      </c>
      <c r="BT49" s="230">
        <v>2095540</v>
      </c>
      <c r="BU49" s="230">
        <v>1695363</v>
      </c>
      <c r="BV49" s="230">
        <v>400177</v>
      </c>
      <c r="BW49" s="229">
        <v>0.23599999999999999</v>
      </c>
      <c r="BX49" s="230">
        <v>31806250</v>
      </c>
      <c r="BY49" s="230">
        <v>31270000</v>
      </c>
      <c r="BZ49" s="230">
        <v>536250</v>
      </c>
      <c r="CA49" s="229">
        <v>1.7100000000000001E-2</v>
      </c>
      <c r="CB49" s="230">
        <v>30937500</v>
      </c>
      <c r="CC49" s="230">
        <v>1782500</v>
      </c>
      <c r="CD49" s="230">
        <v>29155000</v>
      </c>
      <c r="CE49" s="229">
        <v>16.356200000000001</v>
      </c>
      <c r="CF49" s="230">
        <v>862500</v>
      </c>
      <c r="CG49" s="230">
        <v>30423750</v>
      </c>
      <c r="CH49" s="230">
        <v>-29561250</v>
      </c>
      <c r="CI49" s="229">
        <v>-0.97170000000000001</v>
      </c>
      <c r="CJ49" s="230">
        <v>6250</v>
      </c>
      <c r="CK49" s="230">
        <v>846250</v>
      </c>
      <c r="CL49" s="230">
        <v>-840000</v>
      </c>
      <c r="CM49" s="229">
        <v>-0.99260000000000004</v>
      </c>
      <c r="CN49" s="230">
        <v>6873750</v>
      </c>
      <c r="CO49" s="230">
        <v>5735000</v>
      </c>
      <c r="CP49" s="230">
        <v>1138750</v>
      </c>
      <c r="CQ49" s="229">
        <v>0.1986</v>
      </c>
      <c r="CR49" s="230">
        <v>7648750</v>
      </c>
      <c r="CS49" s="230">
        <v>6922500</v>
      </c>
      <c r="CT49" s="230">
        <v>726250</v>
      </c>
      <c r="CU49" s="229">
        <v>0.10489999999999999</v>
      </c>
      <c r="CV49" s="230">
        <v>46328750</v>
      </c>
      <c r="CW49" s="230">
        <v>43927500</v>
      </c>
      <c r="CX49" s="230">
        <v>2401250</v>
      </c>
      <c r="CY49" s="229">
        <v>5.4699999999999999E-2</v>
      </c>
      <c r="CZ49" s="228">
        <v>32.72</v>
      </c>
      <c r="DA49" s="228">
        <v>34.19</v>
      </c>
      <c r="DB49" s="228">
        <v>-1.47</v>
      </c>
      <c r="DC49" s="228">
        <v>-1.47</v>
      </c>
      <c r="DD49" s="228">
        <v>33.299999999999997</v>
      </c>
      <c r="DE49" s="228">
        <v>33.21</v>
      </c>
      <c r="DF49" s="228">
        <v>-0.57999999999999996</v>
      </c>
      <c r="DG49" s="228">
        <v>0.09</v>
      </c>
      <c r="DH49" s="228">
        <v>32.21</v>
      </c>
      <c r="DI49" s="228">
        <v>33.75</v>
      </c>
      <c r="DJ49" s="228">
        <v>-1.54</v>
      </c>
      <c r="DK49" s="228">
        <v>-1.54</v>
      </c>
      <c r="DL49" s="228">
        <v>34.130000000000003</v>
      </c>
      <c r="DM49" s="228">
        <v>34.79</v>
      </c>
      <c r="DN49" s="228">
        <v>-0.66</v>
      </c>
      <c r="DO49" s="228">
        <v>-0.66</v>
      </c>
      <c r="DP49" s="228">
        <v>1.1100000000000001</v>
      </c>
      <c r="DQ49" s="228">
        <v>1.21</v>
      </c>
      <c r="DR49" s="228">
        <v>-0.1</v>
      </c>
      <c r="DS49" s="229">
        <v>-8.2600000000000007E-2</v>
      </c>
      <c r="DT49" s="228">
        <v>500</v>
      </c>
      <c r="DU49" s="228">
        <v>500</v>
      </c>
      <c r="DV49" s="228">
        <v>0.36</v>
      </c>
      <c r="DW49" s="228">
        <v>0.89</v>
      </c>
      <c r="DX49" s="228">
        <v>-0.53</v>
      </c>
      <c r="DY49" s="229">
        <v>-0.59550000000000003</v>
      </c>
      <c r="DZ49" s="229">
        <v>2.7300000000000001E-2</v>
      </c>
      <c r="EA49" s="230">
        <v>31270000</v>
      </c>
      <c r="EB49" s="229">
        <v>7.0000000000000001E-3</v>
      </c>
      <c r="EC49" s="229">
        <v>2.7300000000000001E-2</v>
      </c>
      <c r="ED49" s="228">
        <v>3.3</v>
      </c>
      <c r="EE49" s="229">
        <v>6.7000000000000002E-3</v>
      </c>
      <c r="EF49" s="230">
        <v>1343174</v>
      </c>
      <c r="EG49" s="230">
        <v>787526</v>
      </c>
      <c r="EH49" s="229">
        <v>0.7056</v>
      </c>
      <c r="EI49" s="229">
        <v>0.64100000000000001</v>
      </c>
      <c r="EJ49" s="231">
        <v>47935.96</v>
      </c>
      <c r="EK49" s="231">
        <v>16200.1</v>
      </c>
      <c r="EL49" s="231">
        <v>17300.599999999999</v>
      </c>
      <c r="EM49" s="231">
        <v>14994</v>
      </c>
      <c r="EN49" s="231">
        <v>81436.66</v>
      </c>
      <c r="EO49" s="231">
        <v>195745.16</v>
      </c>
      <c r="EP49" s="231">
        <v>-114308.5</v>
      </c>
      <c r="EQ49" s="229">
        <v>-0.58399999999999996</v>
      </c>
      <c r="ER49" s="231">
        <v>35821</v>
      </c>
      <c r="ES49" s="231">
        <v>38560</v>
      </c>
      <c r="ET49" s="231">
        <v>157916</v>
      </c>
      <c r="EU49" s="231">
        <v>51639257</v>
      </c>
      <c r="EV49" s="231">
        <v>232297</v>
      </c>
      <c r="EW49" s="231">
        <v>216315</v>
      </c>
      <c r="EX49" s="231">
        <v>15982</v>
      </c>
      <c r="EY49" s="229">
        <v>7.3899999999999993E-2</v>
      </c>
      <c r="EZ49" s="229">
        <v>0.8972</v>
      </c>
      <c r="FA49" s="227" t="s">
        <v>555</v>
      </c>
      <c r="FB49" s="161">
        <f t="shared" si="0"/>
        <v>868750</v>
      </c>
    </row>
    <row r="50" spans="1:158" ht="17.25" hidden="1" thickBot="1" x14ac:dyDescent="0.3">
      <c r="A50" s="226">
        <v>46050</v>
      </c>
      <c r="B50" s="227" t="s">
        <v>184</v>
      </c>
      <c r="C50" s="227" t="s">
        <v>523</v>
      </c>
      <c r="D50" s="228">
        <v>1800</v>
      </c>
      <c r="E50" s="228">
        <v>226.9</v>
      </c>
      <c r="F50" s="228">
        <v>223.55</v>
      </c>
      <c r="G50" s="228">
        <v>3.35</v>
      </c>
      <c r="H50" s="229">
        <v>1.4999999999999999E-2</v>
      </c>
      <c r="I50" s="228">
        <v>225.4</v>
      </c>
      <c r="J50" s="228">
        <v>222.15</v>
      </c>
      <c r="K50" s="228">
        <v>3.25</v>
      </c>
      <c r="L50" s="229">
        <v>1.46E-2</v>
      </c>
      <c r="M50" s="228">
        <v>226.9</v>
      </c>
      <c r="N50" s="228">
        <v>222</v>
      </c>
      <c r="O50" s="228">
        <v>4.9000000000000004</v>
      </c>
      <c r="P50" s="229">
        <v>2.2100000000000002E-2</v>
      </c>
      <c r="Q50" s="228">
        <v>228.5</v>
      </c>
      <c r="R50" s="228">
        <v>223.55</v>
      </c>
      <c r="S50" s="228">
        <v>4.95</v>
      </c>
      <c r="T50" s="229">
        <v>2.2100000000000002E-2</v>
      </c>
      <c r="U50" s="228">
        <v>230</v>
      </c>
      <c r="V50" s="228">
        <v>225.35</v>
      </c>
      <c r="W50" s="228">
        <v>4.6500000000000004</v>
      </c>
      <c r="X50" s="229">
        <v>2.06E-2</v>
      </c>
      <c r="Y50" s="228">
        <v>1.5</v>
      </c>
      <c r="Z50" s="228">
        <v>1.4</v>
      </c>
      <c r="AA50" s="228">
        <v>0.1</v>
      </c>
      <c r="AB50" s="229">
        <v>6.7000000000000002E-3</v>
      </c>
      <c r="AC50" s="228">
        <v>1.5</v>
      </c>
      <c r="AD50" s="228">
        <v>-0.15</v>
      </c>
      <c r="AE50" s="228">
        <v>1.65</v>
      </c>
      <c r="AF50" s="229">
        <v>6.7000000000000002E-3</v>
      </c>
      <c r="AG50" s="228">
        <v>3.1</v>
      </c>
      <c r="AH50" s="228">
        <v>1.4</v>
      </c>
      <c r="AI50" s="228">
        <v>1.7</v>
      </c>
      <c r="AJ50" s="229">
        <v>1.38E-2</v>
      </c>
      <c r="AK50" s="228">
        <v>4.5999999999999996</v>
      </c>
      <c r="AL50" s="228">
        <v>3.2</v>
      </c>
      <c r="AM50" s="228">
        <v>1.4</v>
      </c>
      <c r="AN50" s="229">
        <v>2.0400000000000001E-2</v>
      </c>
      <c r="AO50" s="228">
        <v>226.44</v>
      </c>
      <c r="AP50" s="228">
        <v>227.93</v>
      </c>
      <c r="AQ50" s="228">
        <v>0</v>
      </c>
      <c r="AR50" s="230">
        <v>5020200</v>
      </c>
      <c r="AS50" s="230">
        <v>32495400</v>
      </c>
      <c r="AT50" s="230">
        <v>-27475200</v>
      </c>
      <c r="AU50" s="229">
        <v>-0.84550000000000003</v>
      </c>
      <c r="AV50" s="230">
        <v>4638600</v>
      </c>
      <c r="AW50" s="230">
        <v>14466600</v>
      </c>
      <c r="AX50" s="230">
        <v>-9828000</v>
      </c>
      <c r="AY50" s="229">
        <v>-0.6794</v>
      </c>
      <c r="AZ50" s="230">
        <v>363600</v>
      </c>
      <c r="BA50" s="230">
        <v>17359200</v>
      </c>
      <c r="BB50" s="230">
        <v>-16995600</v>
      </c>
      <c r="BC50" s="229">
        <v>-0.97909999999999997</v>
      </c>
      <c r="BD50" s="230">
        <v>18000</v>
      </c>
      <c r="BE50" s="230">
        <v>669600</v>
      </c>
      <c r="BF50" s="230">
        <v>-651600</v>
      </c>
      <c r="BG50" s="229">
        <v>-0.97309999999999997</v>
      </c>
      <c r="BH50" s="230">
        <v>8717400</v>
      </c>
      <c r="BI50" s="230">
        <v>10587600</v>
      </c>
      <c r="BJ50" s="230">
        <v>-1870200</v>
      </c>
      <c r="BK50" s="229">
        <v>-0.17660000000000001</v>
      </c>
      <c r="BL50" s="230">
        <v>3110400</v>
      </c>
      <c r="BM50" s="230">
        <v>15111000</v>
      </c>
      <c r="BN50" s="230">
        <v>-12000600</v>
      </c>
      <c r="BO50" s="229">
        <v>-0.79420000000000002</v>
      </c>
      <c r="BP50" s="230">
        <v>16848000</v>
      </c>
      <c r="BQ50" s="230">
        <v>58194000</v>
      </c>
      <c r="BR50" s="230">
        <v>-41346000</v>
      </c>
      <c r="BS50" s="229">
        <v>-0.71050000000000002</v>
      </c>
      <c r="BT50" s="230">
        <v>4285755</v>
      </c>
      <c r="BU50" s="230">
        <v>4475263</v>
      </c>
      <c r="BV50" s="230">
        <v>-189508</v>
      </c>
      <c r="BW50" s="229">
        <v>-4.2299999999999997E-2</v>
      </c>
      <c r="BX50" s="230">
        <v>52387200</v>
      </c>
      <c r="BY50" s="230">
        <v>52293600</v>
      </c>
      <c r="BZ50" s="230">
        <v>93600</v>
      </c>
      <c r="CA50" s="229">
        <v>1.8E-3</v>
      </c>
      <c r="CB50" s="230">
        <v>50900400</v>
      </c>
      <c r="CC50" s="230">
        <v>2622600</v>
      </c>
      <c r="CD50" s="230">
        <v>48277800</v>
      </c>
      <c r="CE50" s="229">
        <v>18.4084</v>
      </c>
      <c r="CF50" s="230">
        <v>1468800</v>
      </c>
      <c r="CG50" s="230">
        <v>50889600</v>
      </c>
      <c r="CH50" s="230">
        <v>-49420800</v>
      </c>
      <c r="CI50" s="229">
        <v>-0.97109999999999996</v>
      </c>
      <c r="CJ50" s="230">
        <v>18000</v>
      </c>
      <c r="CK50" s="230">
        <v>1404000</v>
      </c>
      <c r="CL50" s="230">
        <v>-1386000</v>
      </c>
      <c r="CM50" s="229">
        <v>-0.98719999999999997</v>
      </c>
      <c r="CN50" s="230">
        <v>9037800</v>
      </c>
      <c r="CO50" s="230">
        <v>7133400</v>
      </c>
      <c r="CP50" s="230">
        <v>1904400</v>
      </c>
      <c r="CQ50" s="229">
        <v>0.26700000000000002</v>
      </c>
      <c r="CR50" s="230">
        <v>5700600</v>
      </c>
      <c r="CS50" s="230">
        <v>4896000</v>
      </c>
      <c r="CT50" s="230">
        <v>804600</v>
      </c>
      <c r="CU50" s="229">
        <v>0.1643</v>
      </c>
      <c r="CV50" s="230">
        <v>67125600</v>
      </c>
      <c r="CW50" s="230">
        <v>64323000</v>
      </c>
      <c r="CX50" s="230">
        <v>2802600</v>
      </c>
      <c r="CY50" s="229">
        <v>4.36E-2</v>
      </c>
      <c r="CZ50" s="228">
        <v>36.950000000000003</v>
      </c>
      <c r="DA50" s="228">
        <v>37.94</v>
      </c>
      <c r="DB50" s="228">
        <v>-0.99</v>
      </c>
      <c r="DC50" s="228">
        <v>-0.99</v>
      </c>
      <c r="DD50" s="228">
        <v>30.88</v>
      </c>
      <c r="DE50" s="228">
        <v>30.89</v>
      </c>
      <c r="DF50" s="228">
        <v>6.07</v>
      </c>
      <c r="DG50" s="228">
        <v>-0.01</v>
      </c>
      <c r="DH50" s="228">
        <v>37</v>
      </c>
      <c r="DI50" s="228">
        <v>38.5</v>
      </c>
      <c r="DJ50" s="228">
        <v>-1.5</v>
      </c>
      <c r="DK50" s="228">
        <v>-1.5</v>
      </c>
      <c r="DL50" s="228">
        <v>36.81</v>
      </c>
      <c r="DM50" s="228">
        <v>37.17</v>
      </c>
      <c r="DN50" s="228">
        <v>-0.36</v>
      </c>
      <c r="DO50" s="228">
        <v>-0.36</v>
      </c>
      <c r="DP50" s="228">
        <v>0.63</v>
      </c>
      <c r="DQ50" s="228">
        <v>0.69</v>
      </c>
      <c r="DR50" s="228">
        <v>-0.06</v>
      </c>
      <c r="DS50" s="229">
        <v>-8.6999999999999994E-2</v>
      </c>
      <c r="DT50" s="228">
        <v>250</v>
      </c>
      <c r="DU50" s="228">
        <v>230</v>
      </c>
      <c r="DV50" s="228">
        <v>0.36</v>
      </c>
      <c r="DW50" s="228">
        <v>1.43</v>
      </c>
      <c r="DX50" s="228">
        <v>-1.07</v>
      </c>
      <c r="DY50" s="229">
        <v>-0.74829999999999997</v>
      </c>
      <c r="DZ50" s="229">
        <v>2.8400000000000002E-2</v>
      </c>
      <c r="EA50" s="230">
        <v>52293600</v>
      </c>
      <c r="EB50" s="229">
        <v>7.1000000000000004E-3</v>
      </c>
      <c r="EC50" s="229">
        <v>2.8400000000000002E-2</v>
      </c>
      <c r="ED50" s="228">
        <v>1.49</v>
      </c>
      <c r="EE50" s="229">
        <v>6.6E-3</v>
      </c>
      <c r="EF50" s="230">
        <v>2272493</v>
      </c>
      <c r="EG50" s="230">
        <v>1952920</v>
      </c>
      <c r="EH50" s="229">
        <v>0.1636</v>
      </c>
      <c r="EI50" s="229">
        <v>0.5302</v>
      </c>
      <c r="EJ50" s="231">
        <v>21352.799999999999</v>
      </c>
      <c r="EK50" s="231">
        <v>7167.77</v>
      </c>
      <c r="EL50" s="231">
        <v>11373.42</v>
      </c>
      <c r="EM50" s="231">
        <v>18230</v>
      </c>
      <c r="EN50" s="231">
        <v>39893.99</v>
      </c>
      <c r="EO50" s="231">
        <v>134716.67000000001</v>
      </c>
      <c r="EP50" s="231">
        <v>-94822.68</v>
      </c>
      <c r="EQ50" s="229">
        <v>-0.70389999999999997</v>
      </c>
      <c r="ER50" s="231">
        <v>22141</v>
      </c>
      <c r="ES50" s="231">
        <v>13512</v>
      </c>
      <c r="ET50" s="231">
        <v>118891</v>
      </c>
      <c r="EU50" s="231">
        <v>96587231</v>
      </c>
      <c r="EV50" s="231">
        <v>154543</v>
      </c>
      <c r="EW50" s="231">
        <v>146253</v>
      </c>
      <c r="EX50" s="231">
        <v>8290</v>
      </c>
      <c r="EY50" s="229">
        <v>5.67E-2</v>
      </c>
      <c r="EZ50" s="229">
        <v>0.69499999999999995</v>
      </c>
      <c r="FA50" s="227" t="s">
        <v>555</v>
      </c>
      <c r="FB50" s="161">
        <f t="shared" si="0"/>
        <v>1486800</v>
      </c>
    </row>
    <row r="51" spans="1:158" ht="17.25" hidden="1" thickBot="1" x14ac:dyDescent="0.3">
      <c r="A51" s="226">
        <v>46050</v>
      </c>
      <c r="B51" s="227" t="s">
        <v>184</v>
      </c>
      <c r="C51" s="227" t="s">
        <v>203</v>
      </c>
      <c r="D51" s="228">
        <v>200</v>
      </c>
      <c r="E51" s="231">
        <v>4025.9</v>
      </c>
      <c r="F51" s="231">
        <v>3934.4</v>
      </c>
      <c r="G51" s="228">
        <v>91.5</v>
      </c>
      <c r="H51" s="229">
        <v>2.3300000000000001E-2</v>
      </c>
      <c r="I51" s="231">
        <v>4024</v>
      </c>
      <c r="J51" s="231">
        <v>3928.3</v>
      </c>
      <c r="K51" s="228">
        <v>95.7</v>
      </c>
      <c r="L51" s="229">
        <v>2.4400000000000002E-2</v>
      </c>
      <c r="M51" s="231">
        <v>4025.9</v>
      </c>
      <c r="N51" s="231">
        <v>3931.2</v>
      </c>
      <c r="O51" s="228">
        <v>94.7</v>
      </c>
      <c r="P51" s="229">
        <v>2.41E-2</v>
      </c>
      <c r="Q51" s="231">
        <v>4051.7</v>
      </c>
      <c r="R51" s="231">
        <v>3934.4</v>
      </c>
      <c r="S51" s="228">
        <v>117.3</v>
      </c>
      <c r="T51" s="229">
        <v>2.98E-2</v>
      </c>
      <c r="U51" s="228">
        <v>0</v>
      </c>
      <c r="V51" s="231">
        <v>3963.6</v>
      </c>
      <c r="W51" s="228">
        <v>0</v>
      </c>
      <c r="X51" s="229">
        <v>0</v>
      </c>
      <c r="Y51" s="228">
        <v>1.9</v>
      </c>
      <c r="Z51" s="228">
        <v>6.1</v>
      </c>
      <c r="AA51" s="228">
        <v>-4.2</v>
      </c>
      <c r="AB51" s="229">
        <v>5.0000000000000001E-4</v>
      </c>
      <c r="AC51" s="228">
        <v>1.9</v>
      </c>
      <c r="AD51" s="228">
        <v>2.9</v>
      </c>
      <c r="AE51" s="228">
        <v>-1</v>
      </c>
      <c r="AF51" s="229">
        <v>5.0000000000000001E-4</v>
      </c>
      <c r="AG51" s="228">
        <v>27.7</v>
      </c>
      <c r="AH51" s="228">
        <v>6.1</v>
      </c>
      <c r="AI51" s="228">
        <v>21.6</v>
      </c>
      <c r="AJ51" s="229">
        <v>6.8999999999999999E-3</v>
      </c>
      <c r="AK51" s="228">
        <v>0</v>
      </c>
      <c r="AL51" s="228">
        <v>35.299999999999997</v>
      </c>
      <c r="AM51" s="228">
        <v>0</v>
      </c>
      <c r="AN51" s="229">
        <v>0</v>
      </c>
      <c r="AO51" s="231">
        <v>4004.68</v>
      </c>
      <c r="AP51" s="231">
        <v>4020.32</v>
      </c>
      <c r="AQ51" s="228">
        <v>0</v>
      </c>
      <c r="AR51" s="230">
        <v>498000</v>
      </c>
      <c r="AS51" s="230">
        <v>2193800</v>
      </c>
      <c r="AT51" s="230">
        <v>-1695800</v>
      </c>
      <c r="AU51" s="229">
        <v>-0.77300000000000002</v>
      </c>
      <c r="AV51" s="230">
        <v>485400</v>
      </c>
      <c r="AW51" s="230">
        <v>974800</v>
      </c>
      <c r="AX51" s="230">
        <v>-489400</v>
      </c>
      <c r="AY51" s="229">
        <v>-0.50209999999999999</v>
      </c>
      <c r="AZ51" s="230">
        <v>12600</v>
      </c>
      <c r="BA51" s="230">
        <v>1206000</v>
      </c>
      <c r="BB51" s="230">
        <v>-1193400</v>
      </c>
      <c r="BC51" s="229">
        <v>-0.98960000000000004</v>
      </c>
      <c r="BD51" s="228">
        <v>0</v>
      </c>
      <c r="BE51" s="230">
        <v>13000</v>
      </c>
      <c r="BF51" s="228">
        <v>0</v>
      </c>
      <c r="BG51" s="229">
        <v>0</v>
      </c>
      <c r="BH51" s="230">
        <v>632200</v>
      </c>
      <c r="BI51" s="230">
        <v>1311000</v>
      </c>
      <c r="BJ51" s="230">
        <v>-678800</v>
      </c>
      <c r="BK51" s="229">
        <v>-0.51780000000000004</v>
      </c>
      <c r="BL51" s="230">
        <v>278400</v>
      </c>
      <c r="BM51" s="230">
        <v>1006200</v>
      </c>
      <c r="BN51" s="230">
        <v>-727800</v>
      </c>
      <c r="BO51" s="229">
        <v>-0.72330000000000005</v>
      </c>
      <c r="BP51" s="230">
        <v>1408600</v>
      </c>
      <c r="BQ51" s="230">
        <v>4511000</v>
      </c>
      <c r="BR51" s="230">
        <v>-3102400</v>
      </c>
      <c r="BS51" s="229">
        <v>-0.68769999999999998</v>
      </c>
      <c r="BT51" s="230">
        <v>500277</v>
      </c>
      <c r="BU51" s="230">
        <v>480967</v>
      </c>
      <c r="BV51" s="230">
        <v>19310</v>
      </c>
      <c r="BW51" s="229">
        <v>4.0099999999999997E-2</v>
      </c>
      <c r="BX51" s="230">
        <v>3499000</v>
      </c>
      <c r="BY51" s="230">
        <v>3460200</v>
      </c>
      <c r="BZ51" s="230">
        <v>38800</v>
      </c>
      <c r="CA51" s="229">
        <v>1.12E-2</v>
      </c>
      <c r="CB51" s="230">
        <v>3466400</v>
      </c>
      <c r="CC51" s="230">
        <v>150200</v>
      </c>
      <c r="CD51" s="230">
        <v>3316200</v>
      </c>
      <c r="CE51" s="229">
        <v>22.078600000000002</v>
      </c>
      <c r="CF51" s="230">
        <v>32600</v>
      </c>
      <c r="CG51" s="230">
        <v>3430400</v>
      </c>
      <c r="CH51" s="230">
        <v>-3397800</v>
      </c>
      <c r="CI51" s="229">
        <v>-0.99050000000000005</v>
      </c>
      <c r="CJ51" s="228">
        <v>0</v>
      </c>
      <c r="CK51" s="230">
        <v>29800</v>
      </c>
      <c r="CL51" s="230">
        <v>-29800</v>
      </c>
      <c r="CM51" s="229">
        <v>-1</v>
      </c>
      <c r="CN51" s="230">
        <v>279000</v>
      </c>
      <c r="CO51" s="230">
        <v>200400</v>
      </c>
      <c r="CP51" s="230">
        <v>78600</v>
      </c>
      <c r="CQ51" s="229">
        <v>0.39219999999999999</v>
      </c>
      <c r="CR51" s="230">
        <v>292000</v>
      </c>
      <c r="CS51" s="230">
        <v>241200</v>
      </c>
      <c r="CT51" s="230">
        <v>50800</v>
      </c>
      <c r="CU51" s="229">
        <v>0.21060000000000001</v>
      </c>
      <c r="CV51" s="230">
        <v>4070000</v>
      </c>
      <c r="CW51" s="230">
        <v>3901800</v>
      </c>
      <c r="CX51" s="230">
        <v>168200</v>
      </c>
      <c r="CY51" s="229">
        <v>4.3099999999999999E-2</v>
      </c>
      <c r="CZ51" s="228">
        <v>34.65</v>
      </c>
      <c r="DA51" s="228">
        <v>35.28</v>
      </c>
      <c r="DB51" s="228">
        <v>-0.63</v>
      </c>
      <c r="DC51" s="228">
        <v>-0.63</v>
      </c>
      <c r="DD51" s="228">
        <v>33.76</v>
      </c>
      <c r="DE51" s="228">
        <v>33.69</v>
      </c>
      <c r="DF51" s="228">
        <v>0.89</v>
      </c>
      <c r="DG51" s="228">
        <v>7.0000000000000007E-2</v>
      </c>
      <c r="DH51" s="228">
        <v>34.25</v>
      </c>
      <c r="DI51" s="228">
        <v>35.21</v>
      </c>
      <c r="DJ51" s="228">
        <v>-0.96</v>
      </c>
      <c r="DK51" s="228">
        <v>-0.96</v>
      </c>
      <c r="DL51" s="228">
        <v>35.549999999999997</v>
      </c>
      <c r="DM51" s="228">
        <v>35.35</v>
      </c>
      <c r="DN51" s="228">
        <v>0.2</v>
      </c>
      <c r="DO51" s="228">
        <v>0.2</v>
      </c>
      <c r="DP51" s="228">
        <v>1.05</v>
      </c>
      <c r="DQ51" s="228">
        <v>1.2</v>
      </c>
      <c r="DR51" s="228">
        <v>-0.15</v>
      </c>
      <c r="DS51" s="229">
        <v>-0.125</v>
      </c>
      <c r="DT51" s="231">
        <v>4000</v>
      </c>
      <c r="DU51" s="231">
        <v>4000</v>
      </c>
      <c r="DV51" s="228">
        <v>0.44</v>
      </c>
      <c r="DW51" s="228">
        <v>0.77</v>
      </c>
      <c r="DX51" s="228">
        <v>-0.33</v>
      </c>
      <c r="DY51" s="229">
        <v>-0.42859999999999998</v>
      </c>
      <c r="DZ51" s="229">
        <v>9.2999999999999992E-3</v>
      </c>
      <c r="EA51" s="230">
        <v>3460200</v>
      </c>
      <c r="EB51" s="229">
        <v>6.4000000000000003E-3</v>
      </c>
      <c r="EC51" s="229">
        <v>9.2999999999999992E-3</v>
      </c>
      <c r="ED51" s="228">
        <v>15.64</v>
      </c>
      <c r="EE51" s="229">
        <v>3.8999999999999998E-3</v>
      </c>
      <c r="EF51" s="230">
        <v>295859</v>
      </c>
      <c r="EG51" s="230">
        <v>244350</v>
      </c>
      <c r="EH51" s="229">
        <v>0.21079999999999999</v>
      </c>
      <c r="EI51" s="229">
        <v>0.59140000000000004</v>
      </c>
      <c r="EJ51" s="231">
        <v>26716.03</v>
      </c>
      <c r="EK51" s="231">
        <v>10968.83</v>
      </c>
      <c r="EL51" s="231">
        <v>19945.27</v>
      </c>
      <c r="EM51" s="231">
        <v>12956</v>
      </c>
      <c r="EN51" s="231">
        <v>57630.13</v>
      </c>
      <c r="EO51" s="231">
        <v>181633.89</v>
      </c>
      <c r="EP51" s="231">
        <v>-124003.76</v>
      </c>
      <c r="EQ51" s="229">
        <v>-0.68269999999999997</v>
      </c>
      <c r="ER51" s="231">
        <v>11728</v>
      </c>
      <c r="ES51" s="231">
        <v>11369</v>
      </c>
      <c r="ET51" s="231">
        <v>140875</v>
      </c>
      <c r="EU51" s="231">
        <v>19131188</v>
      </c>
      <c r="EV51" s="231">
        <v>163972</v>
      </c>
      <c r="EW51" s="231">
        <v>154015</v>
      </c>
      <c r="EX51" s="231">
        <v>9957</v>
      </c>
      <c r="EY51" s="229">
        <v>6.4600000000000005E-2</v>
      </c>
      <c r="EZ51" s="229">
        <v>0.2127</v>
      </c>
      <c r="FA51" s="227" t="s">
        <v>555</v>
      </c>
      <c r="FB51" s="161">
        <f t="shared" si="0"/>
        <v>32600</v>
      </c>
    </row>
    <row r="52" spans="1:158" ht="17.25" hidden="1" thickBot="1" x14ac:dyDescent="0.3">
      <c r="A52" s="226">
        <v>46050</v>
      </c>
      <c r="B52" s="227" t="s">
        <v>168</v>
      </c>
      <c r="C52" s="227" t="s">
        <v>204</v>
      </c>
      <c r="D52" s="228">
        <v>1250</v>
      </c>
      <c r="E52" s="228">
        <v>517.65</v>
      </c>
      <c r="F52" s="228">
        <v>516.75</v>
      </c>
      <c r="G52" s="228">
        <v>0.9</v>
      </c>
      <c r="H52" s="229">
        <v>1.6999999999999999E-3</v>
      </c>
      <c r="I52" s="228">
        <v>515.75</v>
      </c>
      <c r="J52" s="228">
        <v>513.4</v>
      </c>
      <c r="K52" s="228">
        <v>2.35</v>
      </c>
      <c r="L52" s="229">
        <v>4.5999999999999999E-3</v>
      </c>
      <c r="M52" s="228">
        <v>517.65</v>
      </c>
      <c r="N52" s="228">
        <v>513.29999999999995</v>
      </c>
      <c r="O52" s="228">
        <v>4.3499999999999996</v>
      </c>
      <c r="P52" s="229">
        <v>8.5000000000000006E-3</v>
      </c>
      <c r="Q52" s="228">
        <v>520.65</v>
      </c>
      <c r="R52" s="228">
        <v>516.75</v>
      </c>
      <c r="S52" s="228">
        <v>3.9</v>
      </c>
      <c r="T52" s="229">
        <v>7.4999999999999997E-3</v>
      </c>
      <c r="U52" s="228">
        <v>523.4</v>
      </c>
      <c r="V52" s="228">
        <v>519.6</v>
      </c>
      <c r="W52" s="228">
        <v>3.8</v>
      </c>
      <c r="X52" s="229">
        <v>7.3000000000000001E-3</v>
      </c>
      <c r="Y52" s="228">
        <v>1.9</v>
      </c>
      <c r="Z52" s="228">
        <v>3.35</v>
      </c>
      <c r="AA52" s="228">
        <v>-1.45</v>
      </c>
      <c r="AB52" s="229">
        <v>3.7000000000000002E-3</v>
      </c>
      <c r="AC52" s="228">
        <v>1.9</v>
      </c>
      <c r="AD52" s="228">
        <v>-0.1</v>
      </c>
      <c r="AE52" s="228">
        <v>2</v>
      </c>
      <c r="AF52" s="229">
        <v>3.7000000000000002E-3</v>
      </c>
      <c r="AG52" s="228">
        <v>4.9000000000000004</v>
      </c>
      <c r="AH52" s="228">
        <v>3.35</v>
      </c>
      <c r="AI52" s="228">
        <v>1.55</v>
      </c>
      <c r="AJ52" s="229">
        <v>9.4999999999999998E-3</v>
      </c>
      <c r="AK52" s="228">
        <v>7.65</v>
      </c>
      <c r="AL52" s="228">
        <v>6.2</v>
      </c>
      <c r="AM52" s="228">
        <v>1.45</v>
      </c>
      <c r="AN52" s="229">
        <v>1.4800000000000001E-2</v>
      </c>
      <c r="AO52" s="228">
        <v>512.35</v>
      </c>
      <c r="AP52" s="228">
        <v>514.30999999999995</v>
      </c>
      <c r="AQ52" s="228">
        <v>0</v>
      </c>
      <c r="AR52" s="230">
        <v>4827500</v>
      </c>
      <c r="AS52" s="230">
        <v>11392500</v>
      </c>
      <c r="AT52" s="230">
        <v>-6565000</v>
      </c>
      <c r="AU52" s="229">
        <v>-0.57630000000000003</v>
      </c>
      <c r="AV52" s="230">
        <v>4608750</v>
      </c>
      <c r="AW52" s="230">
        <v>5232500</v>
      </c>
      <c r="AX52" s="230">
        <v>-623750</v>
      </c>
      <c r="AY52" s="229">
        <v>-0.1192</v>
      </c>
      <c r="AZ52" s="230">
        <v>211250</v>
      </c>
      <c r="BA52" s="230">
        <v>6081250</v>
      </c>
      <c r="BB52" s="230">
        <v>-5870000</v>
      </c>
      <c r="BC52" s="229">
        <v>-0.96530000000000005</v>
      </c>
      <c r="BD52" s="230">
        <v>7500</v>
      </c>
      <c r="BE52" s="230">
        <v>78750</v>
      </c>
      <c r="BF52" s="230">
        <v>-71250</v>
      </c>
      <c r="BG52" s="229">
        <v>-0.90480000000000005</v>
      </c>
      <c r="BH52" s="230">
        <v>8963750</v>
      </c>
      <c r="BI52" s="230">
        <v>6253750</v>
      </c>
      <c r="BJ52" s="230">
        <v>2710000</v>
      </c>
      <c r="BK52" s="229">
        <v>0.43330000000000002</v>
      </c>
      <c r="BL52" s="230">
        <v>4612500</v>
      </c>
      <c r="BM52" s="230">
        <v>3856250</v>
      </c>
      <c r="BN52" s="230">
        <v>756250</v>
      </c>
      <c r="BO52" s="229">
        <v>0.1961</v>
      </c>
      <c r="BP52" s="230">
        <v>18403750</v>
      </c>
      <c r="BQ52" s="230">
        <v>21502500</v>
      </c>
      <c r="BR52" s="230">
        <v>-3098750</v>
      </c>
      <c r="BS52" s="229">
        <v>-0.14410000000000001</v>
      </c>
      <c r="BT52" s="230">
        <v>2835048</v>
      </c>
      <c r="BU52" s="230">
        <v>1512207</v>
      </c>
      <c r="BV52" s="230">
        <v>1322841</v>
      </c>
      <c r="BW52" s="229">
        <v>0.87480000000000002</v>
      </c>
      <c r="BX52" s="230">
        <v>23573750</v>
      </c>
      <c r="BY52" s="230">
        <v>22565000</v>
      </c>
      <c r="BZ52" s="230">
        <v>1008750</v>
      </c>
      <c r="CA52" s="229">
        <v>4.4699999999999997E-2</v>
      </c>
      <c r="CB52" s="230">
        <v>23337500</v>
      </c>
      <c r="CC52" s="230">
        <v>665000</v>
      </c>
      <c r="CD52" s="230">
        <v>22672500</v>
      </c>
      <c r="CE52" s="229">
        <v>34.094000000000001</v>
      </c>
      <c r="CF52" s="230">
        <v>233750</v>
      </c>
      <c r="CG52" s="230">
        <v>22378750</v>
      </c>
      <c r="CH52" s="230">
        <v>-22145000</v>
      </c>
      <c r="CI52" s="229">
        <v>-0.98960000000000004</v>
      </c>
      <c r="CJ52" s="230">
        <v>2500</v>
      </c>
      <c r="CK52" s="230">
        <v>186250</v>
      </c>
      <c r="CL52" s="230">
        <v>-183750</v>
      </c>
      <c r="CM52" s="229">
        <v>-0.98660000000000003</v>
      </c>
      <c r="CN52" s="230">
        <v>5113750</v>
      </c>
      <c r="CO52" s="230">
        <v>3398750</v>
      </c>
      <c r="CP52" s="230">
        <v>1715000</v>
      </c>
      <c r="CQ52" s="229">
        <v>0.50460000000000005</v>
      </c>
      <c r="CR52" s="230">
        <v>3342500</v>
      </c>
      <c r="CS52" s="230">
        <v>2588750</v>
      </c>
      <c r="CT52" s="230">
        <v>753750</v>
      </c>
      <c r="CU52" s="229">
        <v>0.29120000000000001</v>
      </c>
      <c r="CV52" s="230">
        <v>32030000</v>
      </c>
      <c r="CW52" s="230">
        <v>28552500</v>
      </c>
      <c r="CX52" s="230">
        <v>3477500</v>
      </c>
      <c r="CY52" s="229">
        <v>0.12180000000000001</v>
      </c>
      <c r="CZ52" s="228">
        <v>30.81</v>
      </c>
      <c r="DA52" s="228">
        <v>30.03</v>
      </c>
      <c r="DB52" s="228">
        <v>0.78</v>
      </c>
      <c r="DC52" s="228">
        <v>0.78</v>
      </c>
      <c r="DD52" s="228">
        <v>24.53</v>
      </c>
      <c r="DE52" s="228">
        <v>24.58</v>
      </c>
      <c r="DF52" s="228">
        <v>6.28</v>
      </c>
      <c r="DG52" s="228">
        <v>-0.05</v>
      </c>
      <c r="DH52" s="228">
        <v>30.37</v>
      </c>
      <c r="DI52" s="228">
        <v>29.77</v>
      </c>
      <c r="DJ52" s="228">
        <v>0.6</v>
      </c>
      <c r="DK52" s="228">
        <v>0.6</v>
      </c>
      <c r="DL52" s="228">
        <v>31.68</v>
      </c>
      <c r="DM52" s="228">
        <v>30.4</v>
      </c>
      <c r="DN52" s="228">
        <v>1.28</v>
      </c>
      <c r="DO52" s="228">
        <v>1.28</v>
      </c>
      <c r="DP52" s="228">
        <v>0.65</v>
      </c>
      <c r="DQ52" s="228">
        <v>0.76</v>
      </c>
      <c r="DR52" s="228">
        <v>-0.11</v>
      </c>
      <c r="DS52" s="229">
        <v>-0.1447</v>
      </c>
      <c r="DT52" s="228">
        <v>530</v>
      </c>
      <c r="DU52" s="228">
        <v>500</v>
      </c>
      <c r="DV52" s="228">
        <v>0.51</v>
      </c>
      <c r="DW52" s="228">
        <v>0.62</v>
      </c>
      <c r="DX52" s="228">
        <v>-0.11</v>
      </c>
      <c r="DY52" s="229">
        <v>-0.1774</v>
      </c>
      <c r="DZ52" s="229">
        <v>0.01</v>
      </c>
      <c r="EA52" s="230">
        <v>22565000</v>
      </c>
      <c r="EB52" s="229">
        <v>5.7999999999999996E-3</v>
      </c>
      <c r="EC52" s="229">
        <v>0.01</v>
      </c>
      <c r="ED52" s="228">
        <v>1.96</v>
      </c>
      <c r="EE52" s="229">
        <v>3.8E-3</v>
      </c>
      <c r="EF52" s="230">
        <v>1270433</v>
      </c>
      <c r="EG52" s="230">
        <v>906805</v>
      </c>
      <c r="EH52" s="229">
        <v>0.40100000000000002</v>
      </c>
      <c r="EI52" s="229">
        <v>0.4481</v>
      </c>
      <c r="EJ52" s="231">
        <v>48956.95</v>
      </c>
      <c r="EK52" s="231">
        <v>23201.75</v>
      </c>
      <c r="EL52" s="231">
        <v>24738.35</v>
      </c>
      <c r="EM52" s="231">
        <v>13574</v>
      </c>
      <c r="EN52" s="231">
        <v>96897.05</v>
      </c>
      <c r="EO52" s="231">
        <v>112716.25</v>
      </c>
      <c r="EP52" s="231">
        <v>-15819.2</v>
      </c>
      <c r="EQ52" s="229">
        <v>-0.14030000000000001</v>
      </c>
      <c r="ER52" s="231">
        <v>27784</v>
      </c>
      <c r="ES52" s="231">
        <v>16463</v>
      </c>
      <c r="ET52" s="231">
        <v>122037</v>
      </c>
      <c r="EU52" s="231">
        <v>89873278</v>
      </c>
      <c r="EV52" s="231">
        <v>166283</v>
      </c>
      <c r="EW52" s="231">
        <v>148046</v>
      </c>
      <c r="EX52" s="231">
        <v>18237</v>
      </c>
      <c r="EY52" s="229">
        <v>0.1232</v>
      </c>
      <c r="EZ52" s="229">
        <v>0.35639999999999999</v>
      </c>
      <c r="FA52" s="227" t="s">
        <v>555</v>
      </c>
      <c r="FB52" s="161">
        <f t="shared" si="0"/>
        <v>236250</v>
      </c>
    </row>
    <row r="53" spans="1:158" ht="17.25" hidden="1" thickBot="1" x14ac:dyDescent="0.3">
      <c r="A53" s="226">
        <v>46050</v>
      </c>
      <c r="B53" s="227" t="s">
        <v>157</v>
      </c>
      <c r="C53" s="227" t="s">
        <v>524</v>
      </c>
      <c r="D53" s="228">
        <v>325</v>
      </c>
      <c r="E53" s="231">
        <v>2087.5</v>
      </c>
      <c r="F53" s="231">
        <v>2123.1999999999998</v>
      </c>
      <c r="G53" s="228">
        <v>-35.700000000000003</v>
      </c>
      <c r="H53" s="229">
        <v>-1.6799999999999999E-2</v>
      </c>
      <c r="I53" s="231">
        <v>2074.4</v>
      </c>
      <c r="J53" s="231">
        <v>2107.1</v>
      </c>
      <c r="K53" s="228">
        <v>-32.700000000000003</v>
      </c>
      <c r="L53" s="229">
        <v>-1.55E-2</v>
      </c>
      <c r="M53" s="231">
        <v>2087.5</v>
      </c>
      <c r="N53" s="231">
        <v>2113.9</v>
      </c>
      <c r="O53" s="228">
        <v>-26.4</v>
      </c>
      <c r="P53" s="229">
        <v>-1.2500000000000001E-2</v>
      </c>
      <c r="Q53" s="231">
        <v>2098.8000000000002</v>
      </c>
      <c r="R53" s="231">
        <v>2123.1999999999998</v>
      </c>
      <c r="S53" s="228">
        <v>-24.4</v>
      </c>
      <c r="T53" s="229">
        <v>-1.15E-2</v>
      </c>
      <c r="U53" s="231">
        <v>2113</v>
      </c>
      <c r="V53" s="231">
        <v>2133.1999999999998</v>
      </c>
      <c r="W53" s="228">
        <v>-20.2</v>
      </c>
      <c r="X53" s="229">
        <v>-9.4999999999999998E-3</v>
      </c>
      <c r="Y53" s="228">
        <v>13.1</v>
      </c>
      <c r="Z53" s="228">
        <v>16.100000000000001</v>
      </c>
      <c r="AA53" s="228">
        <v>-3</v>
      </c>
      <c r="AB53" s="229">
        <v>6.3E-3</v>
      </c>
      <c r="AC53" s="228">
        <v>13.1</v>
      </c>
      <c r="AD53" s="228">
        <v>6.8</v>
      </c>
      <c r="AE53" s="228">
        <v>6.3</v>
      </c>
      <c r="AF53" s="229">
        <v>6.3E-3</v>
      </c>
      <c r="AG53" s="228">
        <v>24.4</v>
      </c>
      <c r="AH53" s="228">
        <v>16.100000000000001</v>
      </c>
      <c r="AI53" s="228">
        <v>8.3000000000000007</v>
      </c>
      <c r="AJ53" s="229">
        <v>1.18E-2</v>
      </c>
      <c r="AK53" s="228">
        <v>38.6</v>
      </c>
      <c r="AL53" s="228">
        <v>26.1</v>
      </c>
      <c r="AM53" s="228">
        <v>12.5</v>
      </c>
      <c r="AN53" s="229">
        <v>1.8599999999999998E-2</v>
      </c>
      <c r="AO53" s="231">
        <v>2100.6999999999998</v>
      </c>
      <c r="AP53" s="231">
        <v>2113.4699999999998</v>
      </c>
      <c r="AQ53" s="228">
        <v>0</v>
      </c>
      <c r="AR53" s="230">
        <v>677950</v>
      </c>
      <c r="AS53" s="230">
        <v>2103400</v>
      </c>
      <c r="AT53" s="230">
        <v>-1425450</v>
      </c>
      <c r="AU53" s="229">
        <v>-0.67769999999999997</v>
      </c>
      <c r="AV53" s="230">
        <v>657800</v>
      </c>
      <c r="AW53" s="230">
        <v>680550</v>
      </c>
      <c r="AX53" s="230">
        <v>-22750</v>
      </c>
      <c r="AY53" s="229">
        <v>-3.3399999999999999E-2</v>
      </c>
      <c r="AZ53" s="230">
        <v>18525</v>
      </c>
      <c r="BA53" s="230">
        <v>1409525</v>
      </c>
      <c r="BB53" s="230">
        <v>-1391000</v>
      </c>
      <c r="BC53" s="229">
        <v>-0.9869</v>
      </c>
      <c r="BD53" s="230">
        <v>1625</v>
      </c>
      <c r="BE53" s="230">
        <v>13325</v>
      </c>
      <c r="BF53" s="230">
        <v>-11700</v>
      </c>
      <c r="BG53" s="229">
        <v>-0.878</v>
      </c>
      <c r="BH53" s="230">
        <v>347100</v>
      </c>
      <c r="BI53" s="230">
        <v>1530100</v>
      </c>
      <c r="BJ53" s="230">
        <v>-1183000</v>
      </c>
      <c r="BK53" s="229">
        <v>-0.7732</v>
      </c>
      <c r="BL53" s="230">
        <v>387400</v>
      </c>
      <c r="BM53" s="230">
        <v>1150175</v>
      </c>
      <c r="BN53" s="230">
        <v>-762775</v>
      </c>
      <c r="BO53" s="229">
        <v>-0.66320000000000001</v>
      </c>
      <c r="BP53" s="230">
        <v>1412450</v>
      </c>
      <c r="BQ53" s="230">
        <v>4783675</v>
      </c>
      <c r="BR53" s="230">
        <v>-3371225</v>
      </c>
      <c r="BS53" s="229">
        <v>-0.70469999999999999</v>
      </c>
      <c r="BT53" s="230">
        <v>303415</v>
      </c>
      <c r="BU53" s="230">
        <v>663157</v>
      </c>
      <c r="BV53" s="230">
        <v>-359742</v>
      </c>
      <c r="BW53" s="229">
        <v>-0.54249999999999998</v>
      </c>
      <c r="BX53" s="230">
        <v>2777450</v>
      </c>
      <c r="BY53" s="230">
        <v>2778750</v>
      </c>
      <c r="BZ53" s="230">
        <v>-1300</v>
      </c>
      <c r="CA53" s="229">
        <v>-5.0000000000000001E-4</v>
      </c>
      <c r="CB53" s="230">
        <v>2750800</v>
      </c>
      <c r="CC53" s="230">
        <v>260975</v>
      </c>
      <c r="CD53" s="230">
        <v>2489825</v>
      </c>
      <c r="CE53" s="229">
        <v>9.5404999999999998</v>
      </c>
      <c r="CF53" s="230">
        <v>26325</v>
      </c>
      <c r="CG53" s="230">
        <v>2755025</v>
      </c>
      <c r="CH53" s="230">
        <v>-2728700</v>
      </c>
      <c r="CI53" s="229">
        <v>-0.99039999999999995</v>
      </c>
      <c r="CJ53" s="228">
        <v>325</v>
      </c>
      <c r="CK53" s="230">
        <v>23725</v>
      </c>
      <c r="CL53" s="230">
        <v>-23400</v>
      </c>
      <c r="CM53" s="229">
        <v>-0.98629999999999995</v>
      </c>
      <c r="CN53" s="230">
        <v>556725</v>
      </c>
      <c r="CO53" s="230">
        <v>455000</v>
      </c>
      <c r="CP53" s="230">
        <v>101725</v>
      </c>
      <c r="CQ53" s="229">
        <v>0.22359999999999999</v>
      </c>
      <c r="CR53" s="230">
        <v>392275</v>
      </c>
      <c r="CS53" s="230">
        <v>335400</v>
      </c>
      <c r="CT53" s="230">
        <v>56875</v>
      </c>
      <c r="CU53" s="229">
        <v>0.1696</v>
      </c>
      <c r="CV53" s="230">
        <v>3726450</v>
      </c>
      <c r="CW53" s="230">
        <v>3569150</v>
      </c>
      <c r="CX53" s="230">
        <v>157300</v>
      </c>
      <c r="CY53" s="229">
        <v>4.41E-2</v>
      </c>
      <c r="CZ53" s="228">
        <v>31.52</v>
      </c>
      <c r="DA53" s="228">
        <v>33.08</v>
      </c>
      <c r="DB53" s="228">
        <v>-1.56</v>
      </c>
      <c r="DC53" s="228">
        <v>-1.56</v>
      </c>
      <c r="DD53" s="228">
        <v>29.79</v>
      </c>
      <c r="DE53" s="228">
        <v>29.78</v>
      </c>
      <c r="DF53" s="228">
        <v>1.73</v>
      </c>
      <c r="DG53" s="228">
        <v>0.01</v>
      </c>
      <c r="DH53" s="228">
        <v>30.96</v>
      </c>
      <c r="DI53" s="228">
        <v>32.22</v>
      </c>
      <c r="DJ53" s="228">
        <v>-1.26</v>
      </c>
      <c r="DK53" s="228">
        <v>-1.26</v>
      </c>
      <c r="DL53" s="228">
        <v>32.03</v>
      </c>
      <c r="DM53" s="228">
        <v>34.130000000000003</v>
      </c>
      <c r="DN53" s="228">
        <v>-2.1</v>
      </c>
      <c r="DO53" s="228">
        <v>-2.1</v>
      </c>
      <c r="DP53" s="228">
        <v>0.7</v>
      </c>
      <c r="DQ53" s="228">
        <v>0.74</v>
      </c>
      <c r="DR53" s="228">
        <v>-0.04</v>
      </c>
      <c r="DS53" s="229">
        <v>-5.4100000000000002E-2</v>
      </c>
      <c r="DT53" s="231">
        <v>2300</v>
      </c>
      <c r="DU53" s="231">
        <v>1900</v>
      </c>
      <c r="DV53" s="228">
        <v>1.1200000000000001</v>
      </c>
      <c r="DW53" s="228">
        <v>0.75</v>
      </c>
      <c r="DX53" s="228">
        <v>0.37</v>
      </c>
      <c r="DY53" s="229">
        <v>0.49330000000000002</v>
      </c>
      <c r="DZ53" s="229">
        <v>9.5999999999999992E-3</v>
      </c>
      <c r="EA53" s="230">
        <v>2778750</v>
      </c>
      <c r="EB53" s="229">
        <v>5.4000000000000003E-3</v>
      </c>
      <c r="EC53" s="229">
        <v>9.5999999999999992E-3</v>
      </c>
      <c r="ED53" s="228">
        <v>12.77</v>
      </c>
      <c r="EE53" s="229">
        <v>6.1000000000000004E-3</v>
      </c>
      <c r="EF53" s="230">
        <v>180819</v>
      </c>
      <c r="EG53" s="230">
        <v>425768</v>
      </c>
      <c r="EH53" s="229">
        <v>-0.57530000000000003</v>
      </c>
      <c r="EI53" s="229">
        <v>0.59589999999999999</v>
      </c>
      <c r="EJ53" s="231">
        <v>7823.03</v>
      </c>
      <c r="EK53" s="231">
        <v>7873.92</v>
      </c>
      <c r="EL53" s="231">
        <v>14244.44</v>
      </c>
      <c r="EM53" s="231">
        <v>9192</v>
      </c>
      <c r="EN53" s="231">
        <v>29941.39</v>
      </c>
      <c r="EO53" s="231">
        <v>102311.47</v>
      </c>
      <c r="EP53" s="231">
        <v>-72370.080000000002</v>
      </c>
      <c r="EQ53" s="229">
        <v>-0.70740000000000003</v>
      </c>
      <c r="ER53" s="231">
        <v>12574</v>
      </c>
      <c r="ES53" s="231">
        <v>7853</v>
      </c>
      <c r="ET53" s="231">
        <v>57982</v>
      </c>
      <c r="EU53" s="231">
        <v>12425041</v>
      </c>
      <c r="EV53" s="231">
        <v>78409</v>
      </c>
      <c r="EW53" s="231">
        <v>76038</v>
      </c>
      <c r="EX53" s="231">
        <v>2371</v>
      </c>
      <c r="EY53" s="229">
        <v>3.1199999999999999E-2</v>
      </c>
      <c r="EZ53" s="229">
        <v>0.2999</v>
      </c>
      <c r="FA53" s="227" t="s">
        <v>568</v>
      </c>
      <c r="FB53" s="161">
        <f t="shared" si="0"/>
        <v>26650</v>
      </c>
    </row>
    <row r="54" spans="1:158" ht="17.25" hidden="1" thickBot="1" x14ac:dyDescent="0.3">
      <c r="A54" s="226">
        <v>46050</v>
      </c>
      <c r="B54" s="227" t="s">
        <v>615</v>
      </c>
      <c r="C54" s="227" t="s">
        <v>600</v>
      </c>
      <c r="D54" s="228">
        <v>2075</v>
      </c>
      <c r="E54" s="228">
        <v>410.35</v>
      </c>
      <c r="F54" s="228">
        <v>403</v>
      </c>
      <c r="G54" s="228">
        <v>7.35</v>
      </c>
      <c r="H54" s="229">
        <v>1.8200000000000001E-2</v>
      </c>
      <c r="I54" s="228">
        <v>407.75</v>
      </c>
      <c r="J54" s="228">
        <v>400.35</v>
      </c>
      <c r="K54" s="228">
        <v>7.4</v>
      </c>
      <c r="L54" s="229">
        <v>1.8499999999999999E-2</v>
      </c>
      <c r="M54" s="228">
        <v>410.35</v>
      </c>
      <c r="N54" s="228">
        <v>400.75</v>
      </c>
      <c r="O54" s="228">
        <v>9.6</v>
      </c>
      <c r="P54" s="229">
        <v>2.4E-2</v>
      </c>
      <c r="Q54" s="228">
        <v>412.95</v>
      </c>
      <c r="R54" s="228">
        <v>403</v>
      </c>
      <c r="S54" s="228">
        <v>9.9499999999999993</v>
      </c>
      <c r="T54" s="229">
        <v>2.47E-2</v>
      </c>
      <c r="U54" s="228">
        <v>0</v>
      </c>
      <c r="V54" s="228">
        <v>405.6</v>
      </c>
      <c r="W54" s="228">
        <v>0</v>
      </c>
      <c r="X54" s="229">
        <v>0</v>
      </c>
      <c r="Y54" s="228">
        <v>2.6</v>
      </c>
      <c r="Z54" s="228">
        <v>2.65</v>
      </c>
      <c r="AA54" s="228">
        <v>-0.05</v>
      </c>
      <c r="AB54" s="229">
        <v>6.4000000000000003E-3</v>
      </c>
      <c r="AC54" s="228">
        <v>2.6</v>
      </c>
      <c r="AD54" s="228">
        <v>0.4</v>
      </c>
      <c r="AE54" s="228">
        <v>2.2000000000000002</v>
      </c>
      <c r="AF54" s="229">
        <v>6.4000000000000003E-3</v>
      </c>
      <c r="AG54" s="228">
        <v>5.2</v>
      </c>
      <c r="AH54" s="228">
        <v>2.65</v>
      </c>
      <c r="AI54" s="228">
        <v>2.5499999999999998</v>
      </c>
      <c r="AJ54" s="229">
        <v>1.2800000000000001E-2</v>
      </c>
      <c r="AK54" s="228">
        <v>0</v>
      </c>
      <c r="AL54" s="228">
        <v>5.25</v>
      </c>
      <c r="AM54" s="228">
        <v>0</v>
      </c>
      <c r="AN54" s="229">
        <v>0</v>
      </c>
      <c r="AO54" s="228">
        <v>406.87</v>
      </c>
      <c r="AP54" s="228">
        <v>409.1</v>
      </c>
      <c r="AQ54" s="228">
        <v>0</v>
      </c>
      <c r="AR54" s="230">
        <v>9013800</v>
      </c>
      <c r="AS54" s="230">
        <v>21194050</v>
      </c>
      <c r="AT54" s="230">
        <v>-12180250</v>
      </c>
      <c r="AU54" s="229">
        <v>-0.57469999999999999</v>
      </c>
      <c r="AV54" s="230">
        <v>8731600</v>
      </c>
      <c r="AW54" s="230">
        <v>7399450</v>
      </c>
      <c r="AX54" s="230">
        <v>1332150</v>
      </c>
      <c r="AY54" s="229">
        <v>0.18</v>
      </c>
      <c r="AZ54" s="230">
        <v>282200</v>
      </c>
      <c r="BA54" s="230">
        <v>13555975</v>
      </c>
      <c r="BB54" s="230">
        <v>-13273775</v>
      </c>
      <c r="BC54" s="229">
        <v>-0.97919999999999996</v>
      </c>
      <c r="BD54" s="228">
        <v>0</v>
      </c>
      <c r="BE54" s="230">
        <v>238625</v>
      </c>
      <c r="BF54" s="228">
        <v>0</v>
      </c>
      <c r="BG54" s="229">
        <v>0</v>
      </c>
      <c r="BH54" s="230">
        <v>7285325</v>
      </c>
      <c r="BI54" s="230">
        <v>17521300</v>
      </c>
      <c r="BJ54" s="230">
        <v>-10235975</v>
      </c>
      <c r="BK54" s="229">
        <v>-0.58420000000000005</v>
      </c>
      <c r="BL54" s="230">
        <v>3770275</v>
      </c>
      <c r="BM54" s="230">
        <v>6341200</v>
      </c>
      <c r="BN54" s="230">
        <v>-2570925</v>
      </c>
      <c r="BO54" s="229">
        <v>-0.40539999999999998</v>
      </c>
      <c r="BP54" s="230">
        <v>20069400</v>
      </c>
      <c r="BQ54" s="230">
        <v>45056550</v>
      </c>
      <c r="BR54" s="230">
        <v>-24987150</v>
      </c>
      <c r="BS54" s="229">
        <v>-0.55459999999999998</v>
      </c>
      <c r="BT54" s="230">
        <v>2709145</v>
      </c>
      <c r="BU54" s="230">
        <v>2165282</v>
      </c>
      <c r="BV54" s="230">
        <v>543863</v>
      </c>
      <c r="BW54" s="229">
        <v>0.25119999999999998</v>
      </c>
      <c r="BX54" s="230">
        <v>25283875</v>
      </c>
      <c r="BY54" s="230">
        <v>23783650</v>
      </c>
      <c r="BZ54" s="230">
        <v>1500225</v>
      </c>
      <c r="CA54" s="229">
        <v>6.3100000000000003E-2</v>
      </c>
      <c r="CB54" s="230">
        <v>25014125</v>
      </c>
      <c r="CC54" s="230">
        <v>686825</v>
      </c>
      <c r="CD54" s="230">
        <v>24327300</v>
      </c>
      <c r="CE54" s="229">
        <v>35.419899999999998</v>
      </c>
      <c r="CF54" s="230">
        <v>269750</v>
      </c>
      <c r="CG54" s="230">
        <v>23567850</v>
      </c>
      <c r="CH54" s="230">
        <v>-23298100</v>
      </c>
      <c r="CI54" s="229">
        <v>-0.98860000000000003</v>
      </c>
      <c r="CJ54" s="228">
        <v>0</v>
      </c>
      <c r="CK54" s="230">
        <v>215800</v>
      </c>
      <c r="CL54" s="230">
        <v>-215800</v>
      </c>
      <c r="CM54" s="229">
        <v>-1</v>
      </c>
      <c r="CN54" s="230">
        <v>3851200</v>
      </c>
      <c r="CO54" s="230">
        <v>2274200</v>
      </c>
      <c r="CP54" s="230">
        <v>1577000</v>
      </c>
      <c r="CQ54" s="229">
        <v>0.69340000000000002</v>
      </c>
      <c r="CR54" s="230">
        <v>3411300</v>
      </c>
      <c r="CS54" s="230">
        <v>2801250</v>
      </c>
      <c r="CT54" s="230">
        <v>610050</v>
      </c>
      <c r="CU54" s="229">
        <v>0.21779999999999999</v>
      </c>
      <c r="CV54" s="230">
        <v>32546375</v>
      </c>
      <c r="CW54" s="230">
        <v>28859100</v>
      </c>
      <c r="CX54" s="230">
        <v>3687275</v>
      </c>
      <c r="CY54" s="229">
        <v>0.1278</v>
      </c>
      <c r="CZ54" s="228">
        <v>39.22</v>
      </c>
      <c r="DA54" s="228">
        <v>39.06</v>
      </c>
      <c r="DB54" s="228">
        <v>0.16</v>
      </c>
      <c r="DC54" s="228">
        <v>0.16</v>
      </c>
      <c r="DD54" s="228">
        <v>40.11</v>
      </c>
      <c r="DE54" s="228">
        <v>40.14</v>
      </c>
      <c r="DF54" s="228">
        <v>-0.89</v>
      </c>
      <c r="DG54" s="228">
        <v>-0.03</v>
      </c>
      <c r="DH54" s="228">
        <v>38.71</v>
      </c>
      <c r="DI54" s="228">
        <v>38.15</v>
      </c>
      <c r="DJ54" s="228">
        <v>0.56000000000000005</v>
      </c>
      <c r="DK54" s="228">
        <v>0.56000000000000005</v>
      </c>
      <c r="DL54" s="228">
        <v>40.21</v>
      </c>
      <c r="DM54" s="228">
        <v>40.71</v>
      </c>
      <c r="DN54" s="228">
        <v>-0.5</v>
      </c>
      <c r="DO54" s="228">
        <v>-0.5</v>
      </c>
      <c r="DP54" s="228">
        <v>0.89</v>
      </c>
      <c r="DQ54" s="228">
        <v>1.23</v>
      </c>
      <c r="DR54" s="228">
        <v>-0.34</v>
      </c>
      <c r="DS54" s="229">
        <v>-0.27639999999999998</v>
      </c>
      <c r="DT54" s="228">
        <v>400</v>
      </c>
      <c r="DU54" s="228">
        <v>390</v>
      </c>
      <c r="DV54" s="228">
        <v>0.52</v>
      </c>
      <c r="DW54" s="228">
        <v>0.36</v>
      </c>
      <c r="DX54" s="228">
        <v>0.16</v>
      </c>
      <c r="DY54" s="229">
        <v>0.44440000000000002</v>
      </c>
      <c r="DZ54" s="229">
        <v>1.0699999999999999E-2</v>
      </c>
      <c r="EA54" s="230">
        <v>23783650</v>
      </c>
      <c r="EB54" s="229">
        <v>6.3E-3</v>
      </c>
      <c r="EC54" s="229">
        <v>1.0699999999999999E-2</v>
      </c>
      <c r="ED54" s="228">
        <v>2.23</v>
      </c>
      <c r="EE54" s="229">
        <v>5.4999999999999997E-3</v>
      </c>
      <c r="EF54" s="230">
        <v>1385090</v>
      </c>
      <c r="EG54" s="230">
        <v>756451</v>
      </c>
      <c r="EH54" s="229">
        <v>0.83099999999999996</v>
      </c>
      <c r="EI54" s="229">
        <v>0.51129999999999998</v>
      </c>
      <c r="EJ54" s="231">
        <v>31497.33</v>
      </c>
      <c r="EK54" s="231">
        <v>15172.61</v>
      </c>
      <c r="EL54" s="231">
        <v>36681.129999999997</v>
      </c>
      <c r="EM54" s="231">
        <v>9480</v>
      </c>
      <c r="EN54" s="231">
        <v>83351.070000000007</v>
      </c>
      <c r="EO54" s="231">
        <v>180996.98</v>
      </c>
      <c r="EP54" s="231">
        <v>-97645.91</v>
      </c>
      <c r="EQ54" s="229">
        <v>-0.53949999999999998</v>
      </c>
      <c r="ER54" s="231">
        <v>16242</v>
      </c>
      <c r="ES54" s="231">
        <v>13156</v>
      </c>
      <c r="ET54" s="231">
        <v>103759</v>
      </c>
      <c r="EU54" s="231">
        <v>112112283</v>
      </c>
      <c r="EV54" s="231">
        <v>133158</v>
      </c>
      <c r="EW54" s="231">
        <v>116125</v>
      </c>
      <c r="EX54" s="231">
        <v>17033</v>
      </c>
      <c r="EY54" s="229">
        <v>0.1467</v>
      </c>
      <c r="EZ54" s="229">
        <v>0.2903</v>
      </c>
      <c r="FA54" s="227" t="s">
        <v>555</v>
      </c>
      <c r="FB54" s="161">
        <f t="shared" si="0"/>
        <v>269750</v>
      </c>
    </row>
    <row r="55" spans="1:158" ht="17.25" hidden="1" thickBot="1" x14ac:dyDescent="0.3">
      <c r="A55" s="226">
        <v>46050</v>
      </c>
      <c r="B55" s="227" t="s">
        <v>170</v>
      </c>
      <c r="C55" s="227" t="s">
        <v>205</v>
      </c>
      <c r="D55" s="228">
        <v>100</v>
      </c>
      <c r="E55" s="231">
        <v>6220.5</v>
      </c>
      <c r="F55" s="231">
        <v>6088</v>
      </c>
      <c r="G55" s="228">
        <v>132.5</v>
      </c>
      <c r="H55" s="229">
        <v>2.18E-2</v>
      </c>
      <c r="I55" s="231">
        <v>6188</v>
      </c>
      <c r="J55" s="231">
        <v>6056</v>
      </c>
      <c r="K55" s="228">
        <v>132</v>
      </c>
      <c r="L55" s="229">
        <v>2.18E-2</v>
      </c>
      <c r="M55" s="231">
        <v>6220.5</v>
      </c>
      <c r="N55" s="231">
        <v>6045</v>
      </c>
      <c r="O55" s="228">
        <v>175.5</v>
      </c>
      <c r="P55" s="229">
        <v>2.9000000000000001E-2</v>
      </c>
      <c r="Q55" s="231">
        <v>6258</v>
      </c>
      <c r="R55" s="231">
        <v>6088</v>
      </c>
      <c r="S55" s="228">
        <v>170</v>
      </c>
      <c r="T55" s="229">
        <v>2.7900000000000001E-2</v>
      </c>
      <c r="U55" s="231">
        <v>6228</v>
      </c>
      <c r="V55" s="231">
        <v>6136.5</v>
      </c>
      <c r="W55" s="228">
        <v>91.5</v>
      </c>
      <c r="X55" s="229">
        <v>1.49E-2</v>
      </c>
      <c r="Y55" s="228">
        <v>32.5</v>
      </c>
      <c r="Z55" s="228">
        <v>32</v>
      </c>
      <c r="AA55" s="228">
        <v>0.5</v>
      </c>
      <c r="AB55" s="229">
        <v>5.3E-3</v>
      </c>
      <c r="AC55" s="228">
        <v>32.5</v>
      </c>
      <c r="AD55" s="228">
        <v>-11</v>
      </c>
      <c r="AE55" s="228">
        <v>43.5</v>
      </c>
      <c r="AF55" s="229">
        <v>5.3E-3</v>
      </c>
      <c r="AG55" s="228">
        <v>70</v>
      </c>
      <c r="AH55" s="228">
        <v>32</v>
      </c>
      <c r="AI55" s="228">
        <v>38</v>
      </c>
      <c r="AJ55" s="229">
        <v>1.1299999999999999E-2</v>
      </c>
      <c r="AK55" s="228">
        <v>40</v>
      </c>
      <c r="AL55" s="228">
        <v>80.5</v>
      </c>
      <c r="AM55" s="228">
        <v>-40.5</v>
      </c>
      <c r="AN55" s="229">
        <v>6.4999999999999997E-3</v>
      </c>
      <c r="AO55" s="231">
        <v>6171.22</v>
      </c>
      <c r="AP55" s="231">
        <v>6199.61</v>
      </c>
      <c r="AQ55" s="228">
        <v>0</v>
      </c>
      <c r="AR55" s="230">
        <v>351900</v>
      </c>
      <c r="AS55" s="230">
        <v>1149600</v>
      </c>
      <c r="AT55" s="230">
        <v>-797700</v>
      </c>
      <c r="AU55" s="229">
        <v>-0.69389999999999996</v>
      </c>
      <c r="AV55" s="230">
        <v>341100</v>
      </c>
      <c r="AW55" s="230">
        <v>589400</v>
      </c>
      <c r="AX55" s="230">
        <v>-248300</v>
      </c>
      <c r="AY55" s="229">
        <v>-0.42130000000000001</v>
      </c>
      <c r="AZ55" s="230">
        <v>10300</v>
      </c>
      <c r="BA55" s="230">
        <v>553200</v>
      </c>
      <c r="BB55" s="230">
        <v>-542900</v>
      </c>
      <c r="BC55" s="229">
        <v>-0.98140000000000005</v>
      </c>
      <c r="BD55" s="228">
        <v>500</v>
      </c>
      <c r="BE55" s="230">
        <v>7000</v>
      </c>
      <c r="BF55" s="230">
        <v>-6500</v>
      </c>
      <c r="BG55" s="229">
        <v>-0.92859999999999998</v>
      </c>
      <c r="BH55" s="230">
        <v>716800</v>
      </c>
      <c r="BI55" s="230">
        <v>1138400</v>
      </c>
      <c r="BJ55" s="230">
        <v>-421600</v>
      </c>
      <c r="BK55" s="229">
        <v>-0.37030000000000002</v>
      </c>
      <c r="BL55" s="230">
        <v>331400</v>
      </c>
      <c r="BM55" s="230">
        <v>846100</v>
      </c>
      <c r="BN55" s="230">
        <v>-514700</v>
      </c>
      <c r="BO55" s="229">
        <v>-0.60829999999999995</v>
      </c>
      <c r="BP55" s="230">
        <v>1400100</v>
      </c>
      <c r="BQ55" s="230">
        <v>3134100</v>
      </c>
      <c r="BR55" s="230">
        <v>-1734000</v>
      </c>
      <c r="BS55" s="229">
        <v>-0.55330000000000001</v>
      </c>
      <c r="BT55" s="230">
        <v>339941</v>
      </c>
      <c r="BU55" s="230">
        <v>370478</v>
      </c>
      <c r="BV55" s="230">
        <v>-30537</v>
      </c>
      <c r="BW55" s="229">
        <v>-8.2400000000000001E-2</v>
      </c>
      <c r="BX55" s="230">
        <v>3337400</v>
      </c>
      <c r="BY55" s="230">
        <v>3342900</v>
      </c>
      <c r="BZ55" s="230">
        <v>-5500</v>
      </c>
      <c r="CA55" s="229">
        <v>-1.6000000000000001E-3</v>
      </c>
      <c r="CB55" s="230">
        <v>3318400</v>
      </c>
      <c r="CC55" s="230">
        <v>322000</v>
      </c>
      <c r="CD55" s="230">
        <v>2996400</v>
      </c>
      <c r="CE55" s="229">
        <v>9.3056000000000001</v>
      </c>
      <c r="CF55" s="230">
        <v>18500</v>
      </c>
      <c r="CG55" s="230">
        <v>3326000</v>
      </c>
      <c r="CH55" s="230">
        <v>-3307500</v>
      </c>
      <c r="CI55" s="229">
        <v>-0.99439999999999995</v>
      </c>
      <c r="CJ55" s="228">
        <v>500</v>
      </c>
      <c r="CK55" s="230">
        <v>16900</v>
      </c>
      <c r="CL55" s="230">
        <v>-16400</v>
      </c>
      <c r="CM55" s="229">
        <v>-0.97040000000000004</v>
      </c>
      <c r="CN55" s="230">
        <v>445100</v>
      </c>
      <c r="CO55" s="230">
        <v>248000</v>
      </c>
      <c r="CP55" s="230">
        <v>197100</v>
      </c>
      <c r="CQ55" s="229">
        <v>0.79479999999999995</v>
      </c>
      <c r="CR55" s="230">
        <v>281400</v>
      </c>
      <c r="CS55" s="230">
        <v>215400</v>
      </c>
      <c r="CT55" s="230">
        <v>66000</v>
      </c>
      <c r="CU55" s="229">
        <v>0.30640000000000001</v>
      </c>
      <c r="CV55" s="230">
        <v>4063900</v>
      </c>
      <c r="CW55" s="230">
        <v>3806300</v>
      </c>
      <c r="CX55" s="230">
        <v>257600</v>
      </c>
      <c r="CY55" s="229">
        <v>6.7699999999999996E-2</v>
      </c>
      <c r="CZ55" s="228">
        <v>30.43</v>
      </c>
      <c r="DA55" s="228">
        <v>30.17</v>
      </c>
      <c r="DB55" s="228">
        <v>0.26</v>
      </c>
      <c r="DC55" s="228">
        <v>0.26</v>
      </c>
      <c r="DD55" s="228">
        <v>29.91</v>
      </c>
      <c r="DE55" s="228">
        <v>29.84</v>
      </c>
      <c r="DF55" s="228">
        <v>0.52</v>
      </c>
      <c r="DG55" s="228">
        <v>7.0000000000000007E-2</v>
      </c>
      <c r="DH55" s="228">
        <v>28.99</v>
      </c>
      <c r="DI55" s="228">
        <v>30.49</v>
      </c>
      <c r="DJ55" s="228">
        <v>-1.5</v>
      </c>
      <c r="DK55" s="228">
        <v>-1.5</v>
      </c>
      <c r="DL55" s="228">
        <v>33.520000000000003</v>
      </c>
      <c r="DM55" s="228">
        <v>29.76</v>
      </c>
      <c r="DN55" s="228">
        <v>3.76</v>
      </c>
      <c r="DO55" s="228">
        <v>3.76</v>
      </c>
      <c r="DP55" s="228">
        <v>0.63</v>
      </c>
      <c r="DQ55" s="228">
        <v>0.87</v>
      </c>
      <c r="DR55" s="228">
        <v>-0.24</v>
      </c>
      <c r="DS55" s="229">
        <v>-0.27589999999999998</v>
      </c>
      <c r="DT55" s="231">
        <v>7100</v>
      </c>
      <c r="DU55" s="231">
        <v>5500</v>
      </c>
      <c r="DV55" s="228">
        <v>0.46</v>
      </c>
      <c r="DW55" s="228">
        <v>0.74</v>
      </c>
      <c r="DX55" s="228">
        <v>-0.28000000000000003</v>
      </c>
      <c r="DY55" s="229">
        <v>-0.37840000000000001</v>
      </c>
      <c r="DZ55" s="229">
        <v>5.7000000000000002E-3</v>
      </c>
      <c r="EA55" s="230">
        <v>3342900</v>
      </c>
      <c r="EB55" s="229">
        <v>6.0000000000000001E-3</v>
      </c>
      <c r="EC55" s="229">
        <v>5.7000000000000002E-3</v>
      </c>
      <c r="ED55" s="228">
        <v>28.39</v>
      </c>
      <c r="EE55" s="229">
        <v>4.5999999999999999E-3</v>
      </c>
      <c r="EF55" s="230">
        <v>221436</v>
      </c>
      <c r="EG55" s="230">
        <v>224592</v>
      </c>
      <c r="EH55" s="229">
        <v>-1.41E-2</v>
      </c>
      <c r="EI55" s="229">
        <v>0.65139999999999998</v>
      </c>
      <c r="EJ55" s="231">
        <v>47902.52</v>
      </c>
      <c r="EK55" s="231">
        <v>18930.34</v>
      </c>
      <c r="EL55" s="231">
        <v>21719.65</v>
      </c>
      <c r="EM55" s="231">
        <v>19926</v>
      </c>
      <c r="EN55" s="231">
        <v>88552.51</v>
      </c>
      <c r="EO55" s="231">
        <v>192479.24</v>
      </c>
      <c r="EP55" s="231">
        <v>-103926.73</v>
      </c>
      <c r="EQ55" s="229">
        <v>-0.53990000000000005</v>
      </c>
      <c r="ER55" s="231">
        <v>29479</v>
      </c>
      <c r="ES55" s="231">
        <v>16682</v>
      </c>
      <c r="ET55" s="231">
        <v>207610</v>
      </c>
      <c r="EU55" s="231">
        <v>14898112</v>
      </c>
      <c r="EV55" s="231">
        <v>253770</v>
      </c>
      <c r="EW55" s="231">
        <v>232498</v>
      </c>
      <c r="EX55" s="231">
        <v>21272</v>
      </c>
      <c r="EY55" s="229">
        <v>9.1499999999999998E-2</v>
      </c>
      <c r="EZ55" s="229">
        <v>0.27279999999999999</v>
      </c>
      <c r="FA55" s="227" t="s">
        <v>556</v>
      </c>
      <c r="FB55" s="161">
        <f t="shared" si="0"/>
        <v>19000</v>
      </c>
    </row>
    <row r="56" spans="1:158" ht="17.25" hidden="1" thickBot="1" x14ac:dyDescent="0.3">
      <c r="A56" s="226">
        <v>46050</v>
      </c>
      <c r="B56" s="227" t="s">
        <v>184</v>
      </c>
      <c r="C56" s="227" t="s">
        <v>512</v>
      </c>
      <c r="D56" s="228">
        <v>50</v>
      </c>
      <c r="E56" s="231">
        <v>10324</v>
      </c>
      <c r="F56" s="231">
        <v>10226</v>
      </c>
      <c r="G56" s="228">
        <v>98</v>
      </c>
      <c r="H56" s="229">
        <v>9.5999999999999992E-3</v>
      </c>
      <c r="I56" s="231">
        <v>10279</v>
      </c>
      <c r="J56" s="231">
        <v>10184</v>
      </c>
      <c r="K56" s="228">
        <v>95</v>
      </c>
      <c r="L56" s="229">
        <v>9.2999999999999992E-3</v>
      </c>
      <c r="M56" s="231">
        <v>10324</v>
      </c>
      <c r="N56" s="231">
        <v>10160</v>
      </c>
      <c r="O56" s="228">
        <v>164</v>
      </c>
      <c r="P56" s="229">
        <v>1.61E-2</v>
      </c>
      <c r="Q56" s="231">
        <v>10389</v>
      </c>
      <c r="R56" s="231">
        <v>10226</v>
      </c>
      <c r="S56" s="228">
        <v>163</v>
      </c>
      <c r="T56" s="229">
        <v>1.5900000000000001E-2</v>
      </c>
      <c r="U56" s="231">
        <v>10461</v>
      </c>
      <c r="V56" s="231">
        <v>10307</v>
      </c>
      <c r="W56" s="228">
        <v>154</v>
      </c>
      <c r="X56" s="229">
        <v>1.49E-2</v>
      </c>
      <c r="Y56" s="228">
        <v>45</v>
      </c>
      <c r="Z56" s="228">
        <v>42</v>
      </c>
      <c r="AA56" s="228">
        <v>3</v>
      </c>
      <c r="AB56" s="229">
        <v>4.4000000000000003E-3</v>
      </c>
      <c r="AC56" s="228">
        <v>45</v>
      </c>
      <c r="AD56" s="228">
        <v>-24</v>
      </c>
      <c r="AE56" s="228">
        <v>69</v>
      </c>
      <c r="AF56" s="229">
        <v>4.4000000000000003E-3</v>
      </c>
      <c r="AG56" s="228">
        <v>110</v>
      </c>
      <c r="AH56" s="228">
        <v>42</v>
      </c>
      <c r="AI56" s="228">
        <v>68</v>
      </c>
      <c r="AJ56" s="229">
        <v>1.0699999999999999E-2</v>
      </c>
      <c r="AK56" s="228">
        <v>182</v>
      </c>
      <c r="AL56" s="228">
        <v>123</v>
      </c>
      <c r="AM56" s="228">
        <v>59</v>
      </c>
      <c r="AN56" s="229">
        <v>1.77E-2</v>
      </c>
      <c r="AO56" s="231">
        <v>10269.530000000001</v>
      </c>
      <c r="AP56" s="231">
        <v>10342.370000000001</v>
      </c>
      <c r="AQ56" s="228">
        <v>0</v>
      </c>
      <c r="AR56" s="230">
        <v>608050</v>
      </c>
      <c r="AS56" s="230">
        <v>2791900</v>
      </c>
      <c r="AT56" s="230">
        <v>-2183850</v>
      </c>
      <c r="AU56" s="229">
        <v>-0.78220000000000001</v>
      </c>
      <c r="AV56" s="230">
        <v>562450</v>
      </c>
      <c r="AW56" s="230">
        <v>1226300</v>
      </c>
      <c r="AX56" s="230">
        <v>-663850</v>
      </c>
      <c r="AY56" s="229">
        <v>-0.5413</v>
      </c>
      <c r="AZ56" s="230">
        <v>40550</v>
      </c>
      <c r="BA56" s="230">
        <v>1501600</v>
      </c>
      <c r="BB56" s="230">
        <v>-1461050</v>
      </c>
      <c r="BC56" s="229">
        <v>-0.97299999999999998</v>
      </c>
      <c r="BD56" s="230">
        <v>5050</v>
      </c>
      <c r="BE56" s="230">
        <v>64000</v>
      </c>
      <c r="BF56" s="230">
        <v>-58950</v>
      </c>
      <c r="BG56" s="229">
        <v>-0.92110000000000003</v>
      </c>
      <c r="BH56" s="230">
        <v>1626600</v>
      </c>
      <c r="BI56" s="230">
        <v>5620350</v>
      </c>
      <c r="BJ56" s="230">
        <v>-3993750</v>
      </c>
      <c r="BK56" s="229">
        <v>-0.71060000000000001</v>
      </c>
      <c r="BL56" s="230">
        <v>837350</v>
      </c>
      <c r="BM56" s="230">
        <v>3419150</v>
      </c>
      <c r="BN56" s="230">
        <v>-2581800</v>
      </c>
      <c r="BO56" s="229">
        <v>-0.75509999999999999</v>
      </c>
      <c r="BP56" s="230">
        <v>3072000</v>
      </c>
      <c r="BQ56" s="230">
        <v>11831400</v>
      </c>
      <c r="BR56" s="230">
        <v>-8759400</v>
      </c>
      <c r="BS56" s="229">
        <v>-0.74039999999999995</v>
      </c>
      <c r="BT56" s="230">
        <v>695451</v>
      </c>
      <c r="BU56" s="230">
        <v>755776</v>
      </c>
      <c r="BV56" s="230">
        <v>-60325</v>
      </c>
      <c r="BW56" s="229">
        <v>-7.9799999999999996E-2</v>
      </c>
      <c r="BX56" s="230">
        <v>3067100</v>
      </c>
      <c r="BY56" s="230">
        <v>2976600</v>
      </c>
      <c r="BZ56" s="230">
        <v>90500</v>
      </c>
      <c r="CA56" s="229">
        <v>3.04E-2</v>
      </c>
      <c r="CB56" s="230">
        <v>2944900</v>
      </c>
      <c r="CC56" s="230">
        <v>643250</v>
      </c>
      <c r="CD56" s="230">
        <v>2301650</v>
      </c>
      <c r="CE56" s="229">
        <v>3.5781999999999998</v>
      </c>
      <c r="CF56" s="230">
        <v>118900</v>
      </c>
      <c r="CG56" s="230">
        <v>2862000</v>
      </c>
      <c r="CH56" s="230">
        <v>-2743100</v>
      </c>
      <c r="CI56" s="229">
        <v>-0.95850000000000002</v>
      </c>
      <c r="CJ56" s="230">
        <v>3300</v>
      </c>
      <c r="CK56" s="230">
        <v>114600</v>
      </c>
      <c r="CL56" s="230">
        <v>-111300</v>
      </c>
      <c r="CM56" s="229">
        <v>-0.97119999999999995</v>
      </c>
      <c r="CN56" s="230">
        <v>923200</v>
      </c>
      <c r="CO56" s="230">
        <v>751800</v>
      </c>
      <c r="CP56" s="230">
        <v>171400</v>
      </c>
      <c r="CQ56" s="229">
        <v>0.22800000000000001</v>
      </c>
      <c r="CR56" s="230">
        <v>812150</v>
      </c>
      <c r="CS56" s="230">
        <v>693950</v>
      </c>
      <c r="CT56" s="230">
        <v>118200</v>
      </c>
      <c r="CU56" s="229">
        <v>0.17030000000000001</v>
      </c>
      <c r="CV56" s="230">
        <v>4802450</v>
      </c>
      <c r="CW56" s="230">
        <v>4422350</v>
      </c>
      <c r="CX56" s="230">
        <v>380100</v>
      </c>
      <c r="CY56" s="229">
        <v>8.5900000000000004E-2</v>
      </c>
      <c r="CZ56" s="228">
        <v>50.83</v>
      </c>
      <c r="DA56" s="228">
        <v>50.96</v>
      </c>
      <c r="DB56" s="228">
        <v>-0.13</v>
      </c>
      <c r="DC56" s="228">
        <v>-0.13</v>
      </c>
      <c r="DD56" s="228">
        <v>44.43</v>
      </c>
      <c r="DE56" s="228">
        <v>44.52</v>
      </c>
      <c r="DF56" s="228">
        <v>6.4</v>
      </c>
      <c r="DG56" s="228">
        <v>-0.09</v>
      </c>
      <c r="DH56" s="228">
        <v>50.45</v>
      </c>
      <c r="DI56" s="228">
        <v>51.27</v>
      </c>
      <c r="DJ56" s="228">
        <v>-0.82</v>
      </c>
      <c r="DK56" s="228">
        <v>-0.82</v>
      </c>
      <c r="DL56" s="228">
        <v>51.55</v>
      </c>
      <c r="DM56" s="228">
        <v>50.63</v>
      </c>
      <c r="DN56" s="228">
        <v>0.92</v>
      </c>
      <c r="DO56" s="228">
        <v>0.92</v>
      </c>
      <c r="DP56" s="228">
        <v>0.88</v>
      </c>
      <c r="DQ56" s="228">
        <v>0.92</v>
      </c>
      <c r="DR56" s="228">
        <v>-0.04</v>
      </c>
      <c r="DS56" s="229">
        <v>-4.3499999999999997E-2</v>
      </c>
      <c r="DT56" s="231">
        <v>12000</v>
      </c>
      <c r="DU56" s="231">
        <v>10000</v>
      </c>
      <c r="DV56" s="228">
        <v>0.51</v>
      </c>
      <c r="DW56" s="228">
        <v>0.61</v>
      </c>
      <c r="DX56" s="228">
        <v>-0.1</v>
      </c>
      <c r="DY56" s="229">
        <v>-0.16389999999999999</v>
      </c>
      <c r="DZ56" s="229">
        <v>3.9800000000000002E-2</v>
      </c>
      <c r="EA56" s="230">
        <v>2976600</v>
      </c>
      <c r="EB56" s="229">
        <v>6.3E-3</v>
      </c>
      <c r="EC56" s="229">
        <v>3.9800000000000002E-2</v>
      </c>
      <c r="ED56" s="228">
        <v>72.84</v>
      </c>
      <c r="EE56" s="229">
        <v>7.1000000000000004E-3</v>
      </c>
      <c r="EF56" s="230">
        <v>197990</v>
      </c>
      <c r="EG56" s="230">
        <v>199474</v>
      </c>
      <c r="EH56" s="229">
        <v>-7.4000000000000003E-3</v>
      </c>
      <c r="EI56" s="229">
        <v>0.28470000000000001</v>
      </c>
      <c r="EJ56" s="231">
        <v>187448.31</v>
      </c>
      <c r="EK56" s="231">
        <v>86037.58</v>
      </c>
      <c r="EL56" s="231">
        <v>62480.89</v>
      </c>
      <c r="EM56" s="231">
        <v>44933</v>
      </c>
      <c r="EN56" s="231">
        <v>335966.78</v>
      </c>
      <c r="EO56" s="231">
        <v>1273763.44</v>
      </c>
      <c r="EP56" s="231">
        <v>-937796.66</v>
      </c>
      <c r="EQ56" s="229">
        <v>-0.73619999999999997</v>
      </c>
      <c r="ER56" s="231">
        <v>107383</v>
      </c>
      <c r="ES56" s="231">
        <v>83671</v>
      </c>
      <c r="ET56" s="231">
        <v>316729</v>
      </c>
      <c r="EU56" s="231">
        <v>6452220</v>
      </c>
      <c r="EV56" s="231">
        <v>507783</v>
      </c>
      <c r="EW56" s="231">
        <v>464349</v>
      </c>
      <c r="EX56" s="231">
        <v>43434</v>
      </c>
      <c r="EY56" s="229">
        <v>9.35E-2</v>
      </c>
      <c r="EZ56" s="229">
        <v>0.74429999999999996</v>
      </c>
      <c r="FA56" s="227" t="s">
        <v>555</v>
      </c>
      <c r="FB56" s="161">
        <f t="shared" si="0"/>
        <v>122200</v>
      </c>
    </row>
    <row r="57" spans="1:158" ht="17.25" hidden="1" thickBot="1" x14ac:dyDescent="0.3">
      <c r="A57" s="226">
        <v>46050</v>
      </c>
      <c r="B57" s="227" t="s">
        <v>206</v>
      </c>
      <c r="C57" s="227" t="s">
        <v>207</v>
      </c>
      <c r="D57" s="228">
        <v>825</v>
      </c>
      <c r="E57" s="228">
        <v>628.4</v>
      </c>
      <c r="F57" s="228">
        <v>612.1</v>
      </c>
      <c r="G57" s="228">
        <v>16.3</v>
      </c>
      <c r="H57" s="229">
        <v>2.6599999999999999E-2</v>
      </c>
      <c r="I57" s="228">
        <v>625.54999999999995</v>
      </c>
      <c r="J57" s="228">
        <v>609.54999999999995</v>
      </c>
      <c r="K57" s="228">
        <v>16</v>
      </c>
      <c r="L57" s="229">
        <v>2.6200000000000001E-2</v>
      </c>
      <c r="M57" s="228">
        <v>628.4</v>
      </c>
      <c r="N57" s="228">
        <v>608.25</v>
      </c>
      <c r="O57" s="228">
        <v>20.149999999999999</v>
      </c>
      <c r="P57" s="229">
        <v>3.3099999999999997E-2</v>
      </c>
      <c r="Q57" s="228">
        <v>632.75</v>
      </c>
      <c r="R57" s="228">
        <v>612.1</v>
      </c>
      <c r="S57" s="228">
        <v>20.65</v>
      </c>
      <c r="T57" s="229">
        <v>3.3700000000000001E-2</v>
      </c>
      <c r="U57" s="228">
        <v>637.1</v>
      </c>
      <c r="V57" s="228">
        <v>616.04999999999995</v>
      </c>
      <c r="W57" s="228">
        <v>21.05</v>
      </c>
      <c r="X57" s="229">
        <v>3.4200000000000001E-2</v>
      </c>
      <c r="Y57" s="228">
        <v>2.85</v>
      </c>
      <c r="Z57" s="228">
        <v>2.5499999999999998</v>
      </c>
      <c r="AA57" s="228">
        <v>0.3</v>
      </c>
      <c r="AB57" s="229">
        <v>4.5999999999999999E-3</v>
      </c>
      <c r="AC57" s="228">
        <v>2.85</v>
      </c>
      <c r="AD57" s="228">
        <v>-1.3</v>
      </c>
      <c r="AE57" s="228">
        <v>4.1500000000000004</v>
      </c>
      <c r="AF57" s="229">
        <v>4.5999999999999999E-3</v>
      </c>
      <c r="AG57" s="228">
        <v>7.2</v>
      </c>
      <c r="AH57" s="228">
        <v>2.5499999999999998</v>
      </c>
      <c r="AI57" s="228">
        <v>4.6500000000000004</v>
      </c>
      <c r="AJ57" s="229">
        <v>1.15E-2</v>
      </c>
      <c r="AK57" s="228">
        <v>11.55</v>
      </c>
      <c r="AL57" s="228">
        <v>6.5</v>
      </c>
      <c r="AM57" s="228">
        <v>5.05</v>
      </c>
      <c r="AN57" s="229">
        <v>1.8499999999999999E-2</v>
      </c>
      <c r="AO57" s="228">
        <v>620.66999999999996</v>
      </c>
      <c r="AP57" s="228">
        <v>623.79999999999995</v>
      </c>
      <c r="AQ57" s="228">
        <v>0</v>
      </c>
      <c r="AR57" s="230">
        <v>12273525</v>
      </c>
      <c r="AS57" s="230">
        <v>38285775</v>
      </c>
      <c r="AT57" s="230">
        <v>-26012250</v>
      </c>
      <c r="AU57" s="229">
        <v>-0.6794</v>
      </c>
      <c r="AV57" s="230">
        <v>11770275</v>
      </c>
      <c r="AW57" s="230">
        <v>14496900</v>
      </c>
      <c r="AX57" s="230">
        <v>-2726625</v>
      </c>
      <c r="AY57" s="229">
        <v>-0.18809999999999999</v>
      </c>
      <c r="AZ57" s="230">
        <v>444675</v>
      </c>
      <c r="BA57" s="230">
        <v>23293875</v>
      </c>
      <c r="BB57" s="230">
        <v>-22849200</v>
      </c>
      <c r="BC57" s="229">
        <v>-0.98089999999999999</v>
      </c>
      <c r="BD57" s="230">
        <v>58575</v>
      </c>
      <c r="BE57" s="230">
        <v>495000</v>
      </c>
      <c r="BF57" s="230">
        <v>-436425</v>
      </c>
      <c r="BG57" s="229">
        <v>-0.88170000000000004</v>
      </c>
      <c r="BH57" s="230">
        <v>21379050</v>
      </c>
      <c r="BI57" s="230">
        <v>27567375</v>
      </c>
      <c r="BJ57" s="230">
        <v>-6188325</v>
      </c>
      <c r="BK57" s="229">
        <v>-0.22450000000000001</v>
      </c>
      <c r="BL57" s="230">
        <v>9516375</v>
      </c>
      <c r="BM57" s="230">
        <v>17508150</v>
      </c>
      <c r="BN57" s="230">
        <v>-7991775</v>
      </c>
      <c r="BO57" s="229">
        <v>-0.45650000000000002</v>
      </c>
      <c r="BP57" s="230">
        <v>43168950</v>
      </c>
      <c r="BQ57" s="230">
        <v>83361300</v>
      </c>
      <c r="BR57" s="230">
        <v>-40192350</v>
      </c>
      <c r="BS57" s="229">
        <v>-0.48209999999999997</v>
      </c>
      <c r="BT57" s="230">
        <v>6840460</v>
      </c>
      <c r="BU57" s="230">
        <v>9726159</v>
      </c>
      <c r="BV57" s="230">
        <v>-2885699</v>
      </c>
      <c r="BW57" s="229">
        <v>-0.29670000000000002</v>
      </c>
      <c r="BX57" s="230">
        <v>57017400</v>
      </c>
      <c r="BY57" s="230">
        <v>57932325</v>
      </c>
      <c r="BZ57" s="230">
        <v>-914925</v>
      </c>
      <c r="CA57" s="229">
        <v>-1.5800000000000002E-2</v>
      </c>
      <c r="CB57" s="230">
        <v>56011725</v>
      </c>
      <c r="CC57" s="230">
        <v>2661450</v>
      </c>
      <c r="CD57" s="230">
        <v>53350275</v>
      </c>
      <c r="CE57" s="229">
        <v>20.0456</v>
      </c>
      <c r="CF57" s="230">
        <v>975150</v>
      </c>
      <c r="CG57" s="230">
        <v>57017400</v>
      </c>
      <c r="CH57" s="230">
        <v>-56042250</v>
      </c>
      <c r="CI57" s="229">
        <v>-0.9829</v>
      </c>
      <c r="CJ57" s="230">
        <v>30525</v>
      </c>
      <c r="CK57" s="230">
        <v>914925</v>
      </c>
      <c r="CL57" s="230">
        <v>-884400</v>
      </c>
      <c r="CM57" s="229">
        <v>-0.96660000000000001</v>
      </c>
      <c r="CN57" s="230">
        <v>11482350</v>
      </c>
      <c r="CO57" s="230">
        <v>10281150</v>
      </c>
      <c r="CP57" s="230">
        <v>1201200</v>
      </c>
      <c r="CQ57" s="229">
        <v>0.1168</v>
      </c>
      <c r="CR57" s="230">
        <v>9161625</v>
      </c>
      <c r="CS57" s="230">
        <v>8230200</v>
      </c>
      <c r="CT57" s="230">
        <v>931425</v>
      </c>
      <c r="CU57" s="229">
        <v>0.1132</v>
      </c>
      <c r="CV57" s="230">
        <v>77661375</v>
      </c>
      <c r="CW57" s="230">
        <v>76443675</v>
      </c>
      <c r="CX57" s="230">
        <v>1217700</v>
      </c>
      <c r="CY57" s="229">
        <v>1.5900000000000001E-2</v>
      </c>
      <c r="CZ57" s="228">
        <v>34.49</v>
      </c>
      <c r="DA57" s="228">
        <v>37.19</v>
      </c>
      <c r="DB57" s="228">
        <v>-2.7</v>
      </c>
      <c r="DC57" s="228">
        <v>-2.7</v>
      </c>
      <c r="DD57" s="228">
        <v>35.11</v>
      </c>
      <c r="DE57" s="228">
        <v>35.020000000000003</v>
      </c>
      <c r="DF57" s="228">
        <v>-0.62</v>
      </c>
      <c r="DG57" s="228">
        <v>0.09</v>
      </c>
      <c r="DH57" s="228">
        <v>33.630000000000003</v>
      </c>
      <c r="DI57" s="228">
        <v>35.979999999999997</v>
      </c>
      <c r="DJ57" s="228">
        <v>-2.35</v>
      </c>
      <c r="DK57" s="228">
        <v>-2.35</v>
      </c>
      <c r="DL57" s="228">
        <v>36.450000000000003</v>
      </c>
      <c r="DM57" s="228">
        <v>38.99</v>
      </c>
      <c r="DN57" s="228">
        <v>-2.54</v>
      </c>
      <c r="DO57" s="228">
        <v>-2.54</v>
      </c>
      <c r="DP57" s="228">
        <v>0.8</v>
      </c>
      <c r="DQ57" s="228">
        <v>0.8</v>
      </c>
      <c r="DR57" s="228">
        <v>0</v>
      </c>
      <c r="DS57" s="229">
        <v>0</v>
      </c>
      <c r="DT57" s="228">
        <v>700</v>
      </c>
      <c r="DU57" s="228">
        <v>600</v>
      </c>
      <c r="DV57" s="228">
        <v>0.45</v>
      </c>
      <c r="DW57" s="228">
        <v>0.64</v>
      </c>
      <c r="DX57" s="228">
        <v>-0.19</v>
      </c>
      <c r="DY57" s="229">
        <v>-0.2969</v>
      </c>
      <c r="DZ57" s="229">
        <v>1.7600000000000001E-2</v>
      </c>
      <c r="EA57" s="230">
        <v>57932325</v>
      </c>
      <c r="EB57" s="229">
        <v>6.8999999999999999E-3</v>
      </c>
      <c r="EC57" s="229">
        <v>1.7600000000000001E-2</v>
      </c>
      <c r="ED57" s="228">
        <v>3.13</v>
      </c>
      <c r="EE57" s="229">
        <v>5.0000000000000001E-3</v>
      </c>
      <c r="EF57" s="230">
        <v>3640596</v>
      </c>
      <c r="EG57" s="230">
        <v>5617829</v>
      </c>
      <c r="EH57" s="229">
        <v>-0.35199999999999998</v>
      </c>
      <c r="EI57" s="229">
        <v>0.53220000000000001</v>
      </c>
      <c r="EJ57" s="231">
        <v>141321.32</v>
      </c>
      <c r="EK57" s="231">
        <v>57958.73</v>
      </c>
      <c r="EL57" s="231">
        <v>76197.100000000006</v>
      </c>
      <c r="EM57" s="231">
        <v>46905</v>
      </c>
      <c r="EN57" s="231">
        <v>275477.15000000002</v>
      </c>
      <c r="EO57" s="231">
        <v>517506.98</v>
      </c>
      <c r="EP57" s="231">
        <v>-242029.83</v>
      </c>
      <c r="EQ57" s="229">
        <v>-0.4677</v>
      </c>
      <c r="ER57" s="231">
        <v>75339</v>
      </c>
      <c r="ES57" s="231">
        <v>56945</v>
      </c>
      <c r="ET57" s="231">
        <v>358342</v>
      </c>
      <c r="EU57" s="231">
        <v>96058266</v>
      </c>
      <c r="EV57" s="231">
        <v>490626</v>
      </c>
      <c r="EW57" s="231">
        <v>473231</v>
      </c>
      <c r="EX57" s="231">
        <v>17395</v>
      </c>
      <c r="EY57" s="229">
        <v>3.6799999999999999E-2</v>
      </c>
      <c r="EZ57" s="229">
        <v>0.8085</v>
      </c>
      <c r="FA57" s="227" t="s">
        <v>556</v>
      </c>
      <c r="FB57" s="161">
        <f t="shared" si="0"/>
        <v>1005675</v>
      </c>
    </row>
    <row r="58" spans="1:158" ht="17.25" hidden="1" thickBot="1" x14ac:dyDescent="0.3">
      <c r="A58" s="226">
        <v>46050</v>
      </c>
      <c r="B58" s="227" t="s">
        <v>615</v>
      </c>
      <c r="C58" s="227" t="s">
        <v>583</v>
      </c>
      <c r="D58" s="228">
        <v>150</v>
      </c>
      <c r="E58" s="231">
        <v>3733.5</v>
      </c>
      <c r="F58" s="231">
        <v>3679.5</v>
      </c>
      <c r="G58" s="228">
        <v>54</v>
      </c>
      <c r="H58" s="229">
        <v>1.47E-2</v>
      </c>
      <c r="I58" s="231">
        <v>3735.7</v>
      </c>
      <c r="J58" s="231">
        <v>3670.6</v>
      </c>
      <c r="K58" s="228">
        <v>65.099999999999994</v>
      </c>
      <c r="L58" s="229">
        <v>1.77E-2</v>
      </c>
      <c r="M58" s="231">
        <v>3733.5</v>
      </c>
      <c r="N58" s="231">
        <v>3661.8</v>
      </c>
      <c r="O58" s="228">
        <v>71.7</v>
      </c>
      <c r="P58" s="229">
        <v>1.9599999999999999E-2</v>
      </c>
      <c r="Q58" s="231">
        <v>3735.4</v>
      </c>
      <c r="R58" s="231">
        <v>3679.5</v>
      </c>
      <c r="S58" s="228">
        <v>55.9</v>
      </c>
      <c r="T58" s="229">
        <v>1.52E-2</v>
      </c>
      <c r="U58" s="228">
        <v>0</v>
      </c>
      <c r="V58" s="231">
        <v>3694.3</v>
      </c>
      <c r="W58" s="228">
        <v>0</v>
      </c>
      <c r="X58" s="229">
        <v>0</v>
      </c>
      <c r="Y58" s="228">
        <v>-2.2000000000000002</v>
      </c>
      <c r="Z58" s="228">
        <v>8.9</v>
      </c>
      <c r="AA58" s="228">
        <v>-11.1</v>
      </c>
      <c r="AB58" s="229">
        <v>-5.9999999999999995E-4</v>
      </c>
      <c r="AC58" s="228">
        <v>-2.2000000000000002</v>
      </c>
      <c r="AD58" s="228">
        <v>-8.8000000000000007</v>
      </c>
      <c r="AE58" s="228">
        <v>6.6</v>
      </c>
      <c r="AF58" s="229">
        <v>-5.9999999999999995E-4</v>
      </c>
      <c r="AG58" s="228">
        <v>-0.3</v>
      </c>
      <c r="AH58" s="228">
        <v>8.9</v>
      </c>
      <c r="AI58" s="228">
        <v>-9.1999999999999993</v>
      </c>
      <c r="AJ58" s="229">
        <v>-1E-4</v>
      </c>
      <c r="AK58" s="228">
        <v>0</v>
      </c>
      <c r="AL58" s="228">
        <v>23.7</v>
      </c>
      <c r="AM58" s="228">
        <v>0</v>
      </c>
      <c r="AN58" s="229">
        <v>0</v>
      </c>
      <c r="AO58" s="231">
        <v>3711.42</v>
      </c>
      <c r="AP58" s="231">
        <v>3708.65</v>
      </c>
      <c r="AQ58" s="228">
        <v>0</v>
      </c>
      <c r="AR58" s="230">
        <v>518100</v>
      </c>
      <c r="AS58" s="230">
        <v>2049600</v>
      </c>
      <c r="AT58" s="230">
        <v>-1531500</v>
      </c>
      <c r="AU58" s="229">
        <v>-0.74719999999999998</v>
      </c>
      <c r="AV58" s="230">
        <v>468750</v>
      </c>
      <c r="AW58" s="230">
        <v>967800</v>
      </c>
      <c r="AX58" s="230">
        <v>-499050</v>
      </c>
      <c r="AY58" s="229">
        <v>-0.51570000000000005</v>
      </c>
      <c r="AZ58" s="230">
        <v>49350</v>
      </c>
      <c r="BA58" s="230">
        <v>1040550</v>
      </c>
      <c r="BB58" s="230">
        <v>-991200</v>
      </c>
      <c r="BC58" s="229">
        <v>-0.9526</v>
      </c>
      <c r="BD58" s="228">
        <v>0</v>
      </c>
      <c r="BE58" s="230">
        <v>41250</v>
      </c>
      <c r="BF58" s="228">
        <v>0</v>
      </c>
      <c r="BG58" s="229">
        <v>0</v>
      </c>
      <c r="BH58" s="230">
        <v>2418150</v>
      </c>
      <c r="BI58" s="230">
        <v>2945100</v>
      </c>
      <c r="BJ58" s="230">
        <v>-526950</v>
      </c>
      <c r="BK58" s="229">
        <v>-0.1789</v>
      </c>
      <c r="BL58" s="230">
        <v>578850</v>
      </c>
      <c r="BM58" s="230">
        <v>1197750</v>
      </c>
      <c r="BN58" s="230">
        <v>-618900</v>
      </c>
      <c r="BO58" s="229">
        <v>-0.51670000000000005</v>
      </c>
      <c r="BP58" s="230">
        <v>3515100</v>
      </c>
      <c r="BQ58" s="230">
        <v>6192450</v>
      </c>
      <c r="BR58" s="230">
        <v>-2677350</v>
      </c>
      <c r="BS58" s="229">
        <v>-0.43240000000000001</v>
      </c>
      <c r="BT58" s="230">
        <v>254938</v>
      </c>
      <c r="BU58" s="230">
        <v>379864</v>
      </c>
      <c r="BV58" s="230">
        <v>-124926</v>
      </c>
      <c r="BW58" s="229">
        <v>-0.32890000000000003</v>
      </c>
      <c r="BX58" s="230">
        <v>5043750</v>
      </c>
      <c r="BY58" s="230">
        <v>4919550</v>
      </c>
      <c r="BZ58" s="230">
        <v>124200</v>
      </c>
      <c r="CA58" s="229">
        <v>2.52E-2</v>
      </c>
      <c r="CB58" s="230">
        <v>4958700</v>
      </c>
      <c r="CC58" s="230">
        <v>238350</v>
      </c>
      <c r="CD58" s="230">
        <v>4720350</v>
      </c>
      <c r="CE58" s="229">
        <v>19.804300000000001</v>
      </c>
      <c r="CF58" s="230">
        <v>85050</v>
      </c>
      <c r="CG58" s="230">
        <v>4844850</v>
      </c>
      <c r="CH58" s="230">
        <v>-4759800</v>
      </c>
      <c r="CI58" s="229">
        <v>-0.98240000000000005</v>
      </c>
      <c r="CJ58" s="228">
        <v>0</v>
      </c>
      <c r="CK58" s="230">
        <v>74700</v>
      </c>
      <c r="CL58" s="230">
        <v>-74700</v>
      </c>
      <c r="CM58" s="229">
        <v>-1</v>
      </c>
      <c r="CN58" s="230">
        <v>1255650</v>
      </c>
      <c r="CO58" s="230">
        <v>705900</v>
      </c>
      <c r="CP58" s="230">
        <v>549750</v>
      </c>
      <c r="CQ58" s="229">
        <v>0.77880000000000005</v>
      </c>
      <c r="CR58" s="230">
        <v>714900</v>
      </c>
      <c r="CS58" s="230">
        <v>636300</v>
      </c>
      <c r="CT58" s="230">
        <v>78600</v>
      </c>
      <c r="CU58" s="229">
        <v>0.1235</v>
      </c>
      <c r="CV58" s="230">
        <v>7014300</v>
      </c>
      <c r="CW58" s="230">
        <v>6261750</v>
      </c>
      <c r="CX58" s="230">
        <v>752550</v>
      </c>
      <c r="CY58" s="229">
        <v>0.1202</v>
      </c>
      <c r="CZ58" s="228">
        <v>29.66</v>
      </c>
      <c r="DA58" s="228">
        <v>28.49</v>
      </c>
      <c r="DB58" s="228">
        <v>1.17</v>
      </c>
      <c r="DC58" s="228">
        <v>1.17</v>
      </c>
      <c r="DD58" s="228">
        <v>30.45</v>
      </c>
      <c r="DE58" s="228">
        <v>30.44</v>
      </c>
      <c r="DF58" s="228">
        <v>-0.79</v>
      </c>
      <c r="DG58" s="228">
        <v>0.01</v>
      </c>
      <c r="DH58" s="228">
        <v>29.86</v>
      </c>
      <c r="DI58" s="228">
        <v>27.13</v>
      </c>
      <c r="DJ58" s="228">
        <v>2.73</v>
      </c>
      <c r="DK58" s="228">
        <v>2.73</v>
      </c>
      <c r="DL58" s="228">
        <v>28.83</v>
      </c>
      <c r="DM58" s="228">
        <v>30.6</v>
      </c>
      <c r="DN58" s="228">
        <v>-1.77</v>
      </c>
      <c r="DO58" s="228">
        <v>-1.77</v>
      </c>
      <c r="DP58" s="228">
        <v>0.56999999999999995</v>
      </c>
      <c r="DQ58" s="228">
        <v>0.9</v>
      </c>
      <c r="DR58" s="228">
        <v>-0.33</v>
      </c>
      <c r="DS58" s="229">
        <v>-0.36670000000000003</v>
      </c>
      <c r="DT58" s="231">
        <v>4500</v>
      </c>
      <c r="DU58" s="231">
        <v>3400</v>
      </c>
      <c r="DV58" s="228">
        <v>0.24</v>
      </c>
      <c r="DW58" s="228">
        <v>0.41</v>
      </c>
      <c r="DX58" s="228">
        <v>-0.17</v>
      </c>
      <c r="DY58" s="229">
        <v>-0.41460000000000002</v>
      </c>
      <c r="DZ58" s="229">
        <v>1.6899999999999998E-2</v>
      </c>
      <c r="EA58" s="230">
        <v>4919550</v>
      </c>
      <c r="EB58" s="229">
        <v>5.0000000000000001E-4</v>
      </c>
      <c r="EC58" s="229">
        <v>1.6899999999999998E-2</v>
      </c>
      <c r="ED58" s="228">
        <v>-2.77</v>
      </c>
      <c r="EE58" s="229">
        <v>-6.9999999999999999E-4</v>
      </c>
      <c r="EF58" s="230">
        <v>146161</v>
      </c>
      <c r="EG58" s="230">
        <v>211468</v>
      </c>
      <c r="EH58" s="229">
        <v>-0.30880000000000002</v>
      </c>
      <c r="EI58" s="229">
        <v>0.57330000000000003</v>
      </c>
      <c r="EJ58" s="231">
        <v>99941.16</v>
      </c>
      <c r="EK58" s="231">
        <v>21034.53</v>
      </c>
      <c r="EL58" s="231">
        <v>19227.48</v>
      </c>
      <c r="EM58" s="231">
        <v>23541</v>
      </c>
      <c r="EN58" s="231">
        <v>140203.17000000001</v>
      </c>
      <c r="EO58" s="231">
        <v>233539.35</v>
      </c>
      <c r="EP58" s="231">
        <v>-93336.18</v>
      </c>
      <c r="EQ58" s="229">
        <v>-0.3997</v>
      </c>
      <c r="ER58" s="231">
        <v>51147</v>
      </c>
      <c r="ES58" s="231">
        <v>25798</v>
      </c>
      <c r="ET58" s="231">
        <v>188310</v>
      </c>
      <c r="EU58" s="231">
        <v>18750186</v>
      </c>
      <c r="EV58" s="231">
        <v>265255</v>
      </c>
      <c r="EW58" s="231">
        <v>231331</v>
      </c>
      <c r="EX58" s="231">
        <v>33924</v>
      </c>
      <c r="EY58" s="229">
        <v>0.14660000000000001</v>
      </c>
      <c r="EZ58" s="229">
        <v>0.37409999999999999</v>
      </c>
      <c r="FA58" s="227" t="s">
        <v>555</v>
      </c>
      <c r="FB58" s="161">
        <f t="shared" si="0"/>
        <v>85050</v>
      </c>
    </row>
    <row r="59" spans="1:158" ht="17.25" hidden="1" thickBot="1" x14ac:dyDescent="0.3">
      <c r="A59" s="226">
        <v>46050</v>
      </c>
      <c r="B59" s="227" t="s">
        <v>170</v>
      </c>
      <c r="C59" s="227" t="s">
        <v>208</v>
      </c>
      <c r="D59" s="228">
        <v>625</v>
      </c>
      <c r="E59" s="231">
        <v>1230.4000000000001</v>
      </c>
      <c r="F59" s="231">
        <v>1248.3</v>
      </c>
      <c r="G59" s="228">
        <v>-17.899999999999999</v>
      </c>
      <c r="H59" s="229">
        <v>-1.43E-2</v>
      </c>
      <c r="I59" s="231">
        <v>1222.5</v>
      </c>
      <c r="J59" s="231">
        <v>1239.8</v>
      </c>
      <c r="K59" s="228">
        <v>-17.3</v>
      </c>
      <c r="L59" s="229">
        <v>-1.4E-2</v>
      </c>
      <c r="M59" s="231">
        <v>1230.4000000000001</v>
      </c>
      <c r="N59" s="231">
        <v>1240.8</v>
      </c>
      <c r="O59" s="228">
        <v>-10.4</v>
      </c>
      <c r="P59" s="229">
        <v>-8.3999999999999995E-3</v>
      </c>
      <c r="Q59" s="231">
        <v>1235.8</v>
      </c>
      <c r="R59" s="231">
        <v>1248.3</v>
      </c>
      <c r="S59" s="228">
        <v>-12.5</v>
      </c>
      <c r="T59" s="229">
        <v>-0.01</v>
      </c>
      <c r="U59" s="231">
        <v>1242</v>
      </c>
      <c r="V59" s="231">
        <v>1254.7</v>
      </c>
      <c r="W59" s="228">
        <v>-12.7</v>
      </c>
      <c r="X59" s="229">
        <v>-1.01E-2</v>
      </c>
      <c r="Y59" s="228">
        <v>7.9</v>
      </c>
      <c r="Z59" s="228">
        <v>8.5</v>
      </c>
      <c r="AA59" s="228">
        <v>-0.6</v>
      </c>
      <c r="AB59" s="229">
        <v>6.4999999999999997E-3</v>
      </c>
      <c r="AC59" s="228">
        <v>7.9</v>
      </c>
      <c r="AD59" s="228">
        <v>1</v>
      </c>
      <c r="AE59" s="228">
        <v>6.9</v>
      </c>
      <c r="AF59" s="229">
        <v>6.4999999999999997E-3</v>
      </c>
      <c r="AG59" s="228">
        <v>13.3</v>
      </c>
      <c r="AH59" s="228">
        <v>8.5</v>
      </c>
      <c r="AI59" s="228">
        <v>4.8</v>
      </c>
      <c r="AJ59" s="229">
        <v>1.09E-2</v>
      </c>
      <c r="AK59" s="228">
        <v>19.5</v>
      </c>
      <c r="AL59" s="228">
        <v>14.9</v>
      </c>
      <c r="AM59" s="228">
        <v>4.5999999999999996</v>
      </c>
      <c r="AN59" s="229">
        <v>1.6E-2</v>
      </c>
      <c r="AO59" s="231">
        <v>1233.82</v>
      </c>
      <c r="AP59" s="231">
        <v>1244.71</v>
      </c>
      <c r="AQ59" s="228">
        <v>0</v>
      </c>
      <c r="AR59" s="230">
        <v>2381250</v>
      </c>
      <c r="AS59" s="230">
        <v>8030625</v>
      </c>
      <c r="AT59" s="230">
        <v>-5649375</v>
      </c>
      <c r="AU59" s="229">
        <v>-0.70350000000000001</v>
      </c>
      <c r="AV59" s="230">
        <v>2341875</v>
      </c>
      <c r="AW59" s="230">
        <v>3383125</v>
      </c>
      <c r="AX59" s="230">
        <v>-1041250</v>
      </c>
      <c r="AY59" s="229">
        <v>-0.30780000000000002</v>
      </c>
      <c r="AZ59" s="230">
        <v>34375</v>
      </c>
      <c r="BA59" s="230">
        <v>4573750</v>
      </c>
      <c r="BB59" s="230">
        <v>-4539375</v>
      </c>
      <c r="BC59" s="229">
        <v>-0.99250000000000005</v>
      </c>
      <c r="BD59" s="230">
        <v>5000</v>
      </c>
      <c r="BE59" s="230">
        <v>73750</v>
      </c>
      <c r="BF59" s="230">
        <v>-68750</v>
      </c>
      <c r="BG59" s="229">
        <v>-0.93220000000000003</v>
      </c>
      <c r="BH59" s="230">
        <v>4137500</v>
      </c>
      <c r="BI59" s="230">
        <v>9404375</v>
      </c>
      <c r="BJ59" s="230">
        <v>-5266875</v>
      </c>
      <c r="BK59" s="229">
        <v>-0.56000000000000005</v>
      </c>
      <c r="BL59" s="230">
        <v>4132500</v>
      </c>
      <c r="BM59" s="230">
        <v>7616250</v>
      </c>
      <c r="BN59" s="230">
        <v>-3483750</v>
      </c>
      <c r="BO59" s="229">
        <v>-0.45739999999999997</v>
      </c>
      <c r="BP59" s="230">
        <v>10651250</v>
      </c>
      <c r="BQ59" s="230">
        <v>25051250</v>
      </c>
      <c r="BR59" s="230">
        <v>-14400000</v>
      </c>
      <c r="BS59" s="229">
        <v>-0.57479999999999998</v>
      </c>
      <c r="BT59" s="230">
        <v>1812298</v>
      </c>
      <c r="BU59" s="230">
        <v>2367212</v>
      </c>
      <c r="BV59" s="230">
        <v>-554914</v>
      </c>
      <c r="BW59" s="229">
        <v>-0.2344</v>
      </c>
      <c r="BX59" s="230">
        <v>14824375</v>
      </c>
      <c r="BY59" s="230">
        <v>14570625</v>
      </c>
      <c r="BZ59" s="230">
        <v>253750</v>
      </c>
      <c r="CA59" s="229">
        <v>1.7399999999999999E-2</v>
      </c>
      <c r="CB59" s="230">
        <v>14627500</v>
      </c>
      <c r="CC59" s="230">
        <v>1305625</v>
      </c>
      <c r="CD59" s="230">
        <v>13321875</v>
      </c>
      <c r="CE59" s="229">
        <v>10.2034</v>
      </c>
      <c r="CF59" s="230">
        <v>191875</v>
      </c>
      <c r="CG59" s="230">
        <v>14384375</v>
      </c>
      <c r="CH59" s="230">
        <v>-14192500</v>
      </c>
      <c r="CI59" s="229">
        <v>-0.98670000000000002</v>
      </c>
      <c r="CJ59" s="230">
        <v>5000</v>
      </c>
      <c r="CK59" s="230">
        <v>186250</v>
      </c>
      <c r="CL59" s="230">
        <v>-181250</v>
      </c>
      <c r="CM59" s="229">
        <v>-0.97319999999999995</v>
      </c>
      <c r="CN59" s="230">
        <v>2485625</v>
      </c>
      <c r="CO59" s="230">
        <v>2020625</v>
      </c>
      <c r="CP59" s="230">
        <v>465000</v>
      </c>
      <c r="CQ59" s="229">
        <v>0.2301</v>
      </c>
      <c r="CR59" s="230">
        <v>2207500</v>
      </c>
      <c r="CS59" s="230">
        <v>1817500</v>
      </c>
      <c r="CT59" s="230">
        <v>390000</v>
      </c>
      <c r="CU59" s="229">
        <v>0.21460000000000001</v>
      </c>
      <c r="CV59" s="230">
        <v>19517500</v>
      </c>
      <c r="CW59" s="230">
        <v>18408750</v>
      </c>
      <c r="CX59" s="230">
        <v>1108750</v>
      </c>
      <c r="CY59" s="229">
        <v>6.0199999999999997E-2</v>
      </c>
      <c r="CZ59" s="228">
        <v>23.01</v>
      </c>
      <c r="DA59" s="228">
        <v>24.43</v>
      </c>
      <c r="DB59" s="228">
        <v>-1.42</v>
      </c>
      <c r="DC59" s="228">
        <v>-1.42</v>
      </c>
      <c r="DD59" s="228">
        <v>24.49</v>
      </c>
      <c r="DE59" s="228">
        <v>24.48</v>
      </c>
      <c r="DF59" s="228">
        <v>-1.48</v>
      </c>
      <c r="DG59" s="228">
        <v>0.01</v>
      </c>
      <c r="DH59" s="228">
        <v>22.62</v>
      </c>
      <c r="DI59" s="228">
        <v>23.88</v>
      </c>
      <c r="DJ59" s="228">
        <v>-1.26</v>
      </c>
      <c r="DK59" s="228">
        <v>-1.26</v>
      </c>
      <c r="DL59" s="228">
        <v>23.41</v>
      </c>
      <c r="DM59" s="228">
        <v>25.14</v>
      </c>
      <c r="DN59" s="228">
        <v>-1.73</v>
      </c>
      <c r="DO59" s="228">
        <v>-1.73</v>
      </c>
      <c r="DP59" s="228">
        <v>0.89</v>
      </c>
      <c r="DQ59" s="228">
        <v>0.9</v>
      </c>
      <c r="DR59" s="228">
        <v>-0.01</v>
      </c>
      <c r="DS59" s="229">
        <v>-1.11E-2</v>
      </c>
      <c r="DT59" s="231">
        <v>1300</v>
      </c>
      <c r="DU59" s="231">
        <v>1200</v>
      </c>
      <c r="DV59" s="228">
        <v>1</v>
      </c>
      <c r="DW59" s="228">
        <v>0.81</v>
      </c>
      <c r="DX59" s="228">
        <v>0.19</v>
      </c>
      <c r="DY59" s="229">
        <v>0.2346</v>
      </c>
      <c r="DZ59" s="229">
        <v>1.3299999999999999E-2</v>
      </c>
      <c r="EA59" s="230">
        <v>14570625</v>
      </c>
      <c r="EB59" s="229">
        <v>4.4000000000000003E-3</v>
      </c>
      <c r="EC59" s="229">
        <v>1.3299999999999999E-2</v>
      </c>
      <c r="ED59" s="228">
        <v>10.89</v>
      </c>
      <c r="EE59" s="229">
        <v>8.8000000000000005E-3</v>
      </c>
      <c r="EF59" s="230">
        <v>1161361</v>
      </c>
      <c r="EG59" s="230">
        <v>1374101</v>
      </c>
      <c r="EH59" s="229">
        <v>-0.15479999999999999</v>
      </c>
      <c r="EI59" s="229">
        <v>0.64080000000000004</v>
      </c>
      <c r="EJ59" s="231">
        <v>53612.2</v>
      </c>
      <c r="EK59" s="231">
        <v>50732.46</v>
      </c>
      <c r="EL59" s="231">
        <v>29384.560000000001</v>
      </c>
      <c r="EM59" s="231">
        <v>21445</v>
      </c>
      <c r="EN59" s="231">
        <v>133729.22</v>
      </c>
      <c r="EO59" s="231">
        <v>312153.88</v>
      </c>
      <c r="EP59" s="231">
        <v>-178424.66</v>
      </c>
      <c r="EQ59" s="229">
        <v>-0.5716</v>
      </c>
      <c r="ER59" s="231">
        <v>32024</v>
      </c>
      <c r="ES59" s="231">
        <v>26139</v>
      </c>
      <c r="ET59" s="231">
        <v>182410</v>
      </c>
      <c r="EU59" s="231">
        <v>91531454</v>
      </c>
      <c r="EV59" s="231">
        <v>240573</v>
      </c>
      <c r="EW59" s="231">
        <v>229470</v>
      </c>
      <c r="EX59" s="231">
        <v>11103</v>
      </c>
      <c r="EY59" s="229">
        <v>4.8399999999999999E-2</v>
      </c>
      <c r="EZ59" s="229">
        <v>0.2132</v>
      </c>
      <c r="FA59" s="227" t="s">
        <v>567</v>
      </c>
      <c r="FB59" s="161">
        <f t="shared" si="0"/>
        <v>196875</v>
      </c>
    </row>
    <row r="60" spans="1:158" ht="17.25" hidden="1" thickBot="1" x14ac:dyDescent="0.3">
      <c r="A60" s="226">
        <v>46050</v>
      </c>
      <c r="B60" s="227" t="s">
        <v>162</v>
      </c>
      <c r="C60" s="227" t="s">
        <v>209</v>
      </c>
      <c r="D60" s="228">
        <v>100</v>
      </c>
      <c r="E60" s="231">
        <v>7115.5</v>
      </c>
      <c r="F60" s="231">
        <v>7189.5</v>
      </c>
      <c r="G60" s="228">
        <v>-74</v>
      </c>
      <c r="H60" s="229">
        <v>-1.03E-2</v>
      </c>
      <c r="I60" s="231">
        <v>7071</v>
      </c>
      <c r="J60" s="231">
        <v>7164.5</v>
      </c>
      <c r="K60" s="228">
        <v>-93.5</v>
      </c>
      <c r="L60" s="229">
        <v>-1.3100000000000001E-2</v>
      </c>
      <c r="M60" s="231">
        <v>7115.5</v>
      </c>
      <c r="N60" s="231">
        <v>7148</v>
      </c>
      <c r="O60" s="228">
        <v>-32.5</v>
      </c>
      <c r="P60" s="229">
        <v>-4.4999999999999997E-3</v>
      </c>
      <c r="Q60" s="231">
        <v>7163</v>
      </c>
      <c r="R60" s="231">
        <v>7189.5</v>
      </c>
      <c r="S60" s="228">
        <v>-26.5</v>
      </c>
      <c r="T60" s="229">
        <v>-3.7000000000000002E-3</v>
      </c>
      <c r="U60" s="231">
        <v>7197</v>
      </c>
      <c r="V60" s="231">
        <v>7227.5</v>
      </c>
      <c r="W60" s="228">
        <v>-30.5</v>
      </c>
      <c r="X60" s="229">
        <v>-4.1999999999999997E-3</v>
      </c>
      <c r="Y60" s="228">
        <v>44.5</v>
      </c>
      <c r="Z60" s="228">
        <v>25</v>
      </c>
      <c r="AA60" s="228">
        <v>19.5</v>
      </c>
      <c r="AB60" s="229">
        <v>6.3E-3</v>
      </c>
      <c r="AC60" s="228">
        <v>44.5</v>
      </c>
      <c r="AD60" s="228">
        <v>-16.5</v>
      </c>
      <c r="AE60" s="228">
        <v>61</v>
      </c>
      <c r="AF60" s="229">
        <v>6.3E-3</v>
      </c>
      <c r="AG60" s="228">
        <v>92</v>
      </c>
      <c r="AH60" s="228">
        <v>25</v>
      </c>
      <c r="AI60" s="228">
        <v>67</v>
      </c>
      <c r="AJ60" s="229">
        <v>1.2999999999999999E-2</v>
      </c>
      <c r="AK60" s="228">
        <v>126</v>
      </c>
      <c r="AL60" s="228">
        <v>63</v>
      </c>
      <c r="AM60" s="228">
        <v>63</v>
      </c>
      <c r="AN60" s="229">
        <v>1.78E-2</v>
      </c>
      <c r="AO60" s="231">
        <v>7013.22</v>
      </c>
      <c r="AP60" s="231">
        <v>7059.38</v>
      </c>
      <c r="AQ60" s="228">
        <v>0</v>
      </c>
      <c r="AR60" s="230">
        <v>1167600</v>
      </c>
      <c r="AS60" s="230">
        <v>1334400</v>
      </c>
      <c r="AT60" s="230">
        <v>-166800</v>
      </c>
      <c r="AU60" s="229">
        <v>-0.125</v>
      </c>
      <c r="AV60" s="230">
        <v>1116100</v>
      </c>
      <c r="AW60" s="230">
        <v>540600</v>
      </c>
      <c r="AX60" s="230">
        <v>575500</v>
      </c>
      <c r="AY60" s="229">
        <v>1.0646</v>
      </c>
      <c r="AZ60" s="230">
        <v>48300</v>
      </c>
      <c r="BA60" s="230">
        <v>774300</v>
      </c>
      <c r="BB60" s="230">
        <v>-726000</v>
      </c>
      <c r="BC60" s="229">
        <v>-0.93759999999999999</v>
      </c>
      <c r="BD60" s="230">
        <v>3200</v>
      </c>
      <c r="BE60" s="230">
        <v>19500</v>
      </c>
      <c r="BF60" s="230">
        <v>-16300</v>
      </c>
      <c r="BG60" s="229">
        <v>-0.83589999999999998</v>
      </c>
      <c r="BH60" s="230">
        <v>2500700</v>
      </c>
      <c r="BI60" s="230">
        <v>2558300</v>
      </c>
      <c r="BJ60" s="230">
        <v>-57600</v>
      </c>
      <c r="BK60" s="229">
        <v>-2.2499999999999999E-2</v>
      </c>
      <c r="BL60" s="230">
        <v>3206600</v>
      </c>
      <c r="BM60" s="230">
        <v>982600</v>
      </c>
      <c r="BN60" s="230">
        <v>2224000</v>
      </c>
      <c r="BO60" s="229">
        <v>2.2633999999999999</v>
      </c>
      <c r="BP60" s="230">
        <v>6874900</v>
      </c>
      <c r="BQ60" s="230">
        <v>4875300</v>
      </c>
      <c r="BR60" s="230">
        <v>1999600</v>
      </c>
      <c r="BS60" s="229">
        <v>0.41010000000000002</v>
      </c>
      <c r="BT60" s="230">
        <v>893828</v>
      </c>
      <c r="BU60" s="230">
        <v>505656</v>
      </c>
      <c r="BV60" s="230">
        <v>388172</v>
      </c>
      <c r="BW60" s="229">
        <v>0.76770000000000005</v>
      </c>
      <c r="BX60" s="230">
        <v>3063400</v>
      </c>
      <c r="BY60" s="230">
        <v>2901200</v>
      </c>
      <c r="BZ60" s="230">
        <v>162200</v>
      </c>
      <c r="CA60" s="229">
        <v>5.5899999999999998E-2</v>
      </c>
      <c r="CB60" s="230">
        <v>2989300</v>
      </c>
      <c r="CC60" s="230">
        <v>332600</v>
      </c>
      <c r="CD60" s="230">
        <v>2656700</v>
      </c>
      <c r="CE60" s="229">
        <v>7.9877000000000002</v>
      </c>
      <c r="CF60" s="230">
        <v>71900</v>
      </c>
      <c r="CG60" s="230">
        <v>2837700</v>
      </c>
      <c r="CH60" s="230">
        <v>-2765800</v>
      </c>
      <c r="CI60" s="229">
        <v>-0.97470000000000001</v>
      </c>
      <c r="CJ60" s="230">
        <v>2200</v>
      </c>
      <c r="CK60" s="230">
        <v>63500</v>
      </c>
      <c r="CL60" s="230">
        <v>-61300</v>
      </c>
      <c r="CM60" s="229">
        <v>-0.96540000000000004</v>
      </c>
      <c r="CN60" s="230">
        <v>721800</v>
      </c>
      <c r="CO60" s="230">
        <v>573600</v>
      </c>
      <c r="CP60" s="230">
        <v>148200</v>
      </c>
      <c r="CQ60" s="229">
        <v>0.25840000000000002</v>
      </c>
      <c r="CR60" s="230">
        <v>742700</v>
      </c>
      <c r="CS60" s="230">
        <v>594200</v>
      </c>
      <c r="CT60" s="230">
        <v>148500</v>
      </c>
      <c r="CU60" s="229">
        <v>0.24990000000000001</v>
      </c>
      <c r="CV60" s="230">
        <v>4527900</v>
      </c>
      <c r="CW60" s="230">
        <v>4069000</v>
      </c>
      <c r="CX60" s="230">
        <v>458900</v>
      </c>
      <c r="CY60" s="229">
        <v>0.1128</v>
      </c>
      <c r="CZ60" s="228">
        <v>31.68</v>
      </c>
      <c r="DA60" s="228">
        <v>29.7</v>
      </c>
      <c r="DB60" s="228">
        <v>1.98</v>
      </c>
      <c r="DC60" s="228">
        <v>1.98</v>
      </c>
      <c r="DD60" s="228">
        <v>26.45</v>
      </c>
      <c r="DE60" s="228">
        <v>26.45</v>
      </c>
      <c r="DF60" s="228">
        <v>5.23</v>
      </c>
      <c r="DG60" s="228">
        <v>0</v>
      </c>
      <c r="DH60" s="228">
        <v>30.23</v>
      </c>
      <c r="DI60" s="228">
        <v>28.73</v>
      </c>
      <c r="DJ60" s="228">
        <v>1.5</v>
      </c>
      <c r="DK60" s="228">
        <v>1.5</v>
      </c>
      <c r="DL60" s="228">
        <v>32.81</v>
      </c>
      <c r="DM60" s="228">
        <v>31.33</v>
      </c>
      <c r="DN60" s="228">
        <v>1.48</v>
      </c>
      <c r="DO60" s="228">
        <v>1.48</v>
      </c>
      <c r="DP60" s="228">
        <v>1.03</v>
      </c>
      <c r="DQ60" s="228">
        <v>1.04</v>
      </c>
      <c r="DR60" s="228">
        <v>-0.01</v>
      </c>
      <c r="DS60" s="229">
        <v>-9.5999999999999992E-3</v>
      </c>
      <c r="DT60" s="231">
        <v>8000</v>
      </c>
      <c r="DU60" s="231">
        <v>6800</v>
      </c>
      <c r="DV60" s="228">
        <v>1.28</v>
      </c>
      <c r="DW60" s="228">
        <v>0.38</v>
      </c>
      <c r="DX60" s="228">
        <v>0.9</v>
      </c>
      <c r="DY60" s="229">
        <v>2.3683999999999998</v>
      </c>
      <c r="DZ60" s="229">
        <v>2.4199999999999999E-2</v>
      </c>
      <c r="EA60" s="230">
        <v>2901200</v>
      </c>
      <c r="EB60" s="229">
        <v>6.7000000000000002E-3</v>
      </c>
      <c r="EC60" s="229">
        <v>2.4199999999999999E-2</v>
      </c>
      <c r="ED60" s="228">
        <v>46.16</v>
      </c>
      <c r="EE60" s="229">
        <v>6.6E-3</v>
      </c>
      <c r="EF60" s="230">
        <v>437730</v>
      </c>
      <c r="EG60" s="230">
        <v>304845</v>
      </c>
      <c r="EH60" s="229">
        <v>0.43590000000000001</v>
      </c>
      <c r="EI60" s="229">
        <v>0.48970000000000002</v>
      </c>
      <c r="EJ60" s="231">
        <v>187828.59</v>
      </c>
      <c r="EK60" s="231">
        <v>220129.5</v>
      </c>
      <c r="EL60" s="231">
        <v>81910.66</v>
      </c>
      <c r="EM60" s="231">
        <v>21608</v>
      </c>
      <c r="EN60" s="231">
        <v>489868.75</v>
      </c>
      <c r="EO60" s="231">
        <v>354025.43</v>
      </c>
      <c r="EP60" s="231">
        <v>135843.32</v>
      </c>
      <c r="EQ60" s="229">
        <v>0.38369999999999999</v>
      </c>
      <c r="ER60" s="231">
        <v>54425</v>
      </c>
      <c r="ES60" s="231">
        <v>51259</v>
      </c>
      <c r="ET60" s="231">
        <v>218012</v>
      </c>
      <c r="EU60" s="231">
        <v>19199175</v>
      </c>
      <c r="EV60" s="231">
        <v>323697</v>
      </c>
      <c r="EW60" s="231">
        <v>293627</v>
      </c>
      <c r="EX60" s="231">
        <v>30070</v>
      </c>
      <c r="EY60" s="229">
        <v>0.1024</v>
      </c>
      <c r="EZ60" s="229">
        <v>0.23580000000000001</v>
      </c>
      <c r="FA60" s="227" t="s">
        <v>567</v>
      </c>
      <c r="FB60" s="161">
        <f t="shared" si="0"/>
        <v>74100</v>
      </c>
    </row>
    <row r="61" spans="1:158" ht="17.25" hidden="1" thickBot="1" x14ac:dyDescent="0.3">
      <c r="A61" s="226">
        <v>46050</v>
      </c>
      <c r="B61" s="227" t="s">
        <v>615</v>
      </c>
      <c r="C61" s="227" t="s">
        <v>666</v>
      </c>
      <c r="D61" s="228">
        <v>2425</v>
      </c>
      <c r="E61" s="228">
        <v>267.35000000000002</v>
      </c>
      <c r="F61" s="228">
        <v>255.8</v>
      </c>
      <c r="G61" s="228">
        <v>11.55</v>
      </c>
      <c r="H61" s="229">
        <v>4.5199999999999997E-2</v>
      </c>
      <c r="I61" s="228">
        <v>266.3</v>
      </c>
      <c r="J61" s="228">
        <v>253.85</v>
      </c>
      <c r="K61" s="228">
        <v>12.45</v>
      </c>
      <c r="L61" s="229">
        <v>4.9000000000000002E-2</v>
      </c>
      <c r="M61" s="228">
        <v>267.35000000000002</v>
      </c>
      <c r="N61" s="228">
        <v>254.3</v>
      </c>
      <c r="O61" s="228">
        <v>13.05</v>
      </c>
      <c r="P61" s="229">
        <v>5.1299999999999998E-2</v>
      </c>
      <c r="Q61" s="228">
        <v>268.7</v>
      </c>
      <c r="R61" s="228">
        <v>255.8</v>
      </c>
      <c r="S61" s="228">
        <v>12.9</v>
      </c>
      <c r="T61" s="229">
        <v>5.04E-2</v>
      </c>
      <c r="U61" s="228">
        <v>270.14999999999998</v>
      </c>
      <c r="V61" s="228">
        <v>257.35000000000002</v>
      </c>
      <c r="W61" s="228">
        <v>12.8</v>
      </c>
      <c r="X61" s="229">
        <v>4.9700000000000001E-2</v>
      </c>
      <c r="Y61" s="228">
        <v>1.05</v>
      </c>
      <c r="Z61" s="228">
        <v>1.95</v>
      </c>
      <c r="AA61" s="228">
        <v>-0.9</v>
      </c>
      <c r="AB61" s="229">
        <v>3.8999999999999998E-3</v>
      </c>
      <c r="AC61" s="228">
        <v>1.05</v>
      </c>
      <c r="AD61" s="228">
        <v>0.45</v>
      </c>
      <c r="AE61" s="228">
        <v>0.6</v>
      </c>
      <c r="AF61" s="229">
        <v>3.8999999999999998E-3</v>
      </c>
      <c r="AG61" s="228">
        <v>2.4</v>
      </c>
      <c r="AH61" s="228">
        <v>1.95</v>
      </c>
      <c r="AI61" s="228">
        <v>0.45</v>
      </c>
      <c r="AJ61" s="229">
        <v>8.9999999999999993E-3</v>
      </c>
      <c r="AK61" s="228">
        <v>3.85</v>
      </c>
      <c r="AL61" s="228">
        <v>3.5</v>
      </c>
      <c r="AM61" s="228">
        <v>0.35</v>
      </c>
      <c r="AN61" s="229">
        <v>1.4500000000000001E-2</v>
      </c>
      <c r="AO61" s="228">
        <v>262.91000000000003</v>
      </c>
      <c r="AP61" s="228">
        <v>263.99</v>
      </c>
      <c r="AQ61" s="228">
        <v>0</v>
      </c>
      <c r="AR61" s="230">
        <v>71210125</v>
      </c>
      <c r="AS61" s="230">
        <v>164448950</v>
      </c>
      <c r="AT61" s="230">
        <v>-93238825</v>
      </c>
      <c r="AU61" s="229">
        <v>-0.56699999999999995</v>
      </c>
      <c r="AV61" s="230">
        <v>66200075</v>
      </c>
      <c r="AW61" s="230">
        <v>60266100</v>
      </c>
      <c r="AX61" s="230">
        <v>5933975</v>
      </c>
      <c r="AY61" s="229">
        <v>9.8500000000000004E-2</v>
      </c>
      <c r="AZ61" s="230">
        <v>4488675</v>
      </c>
      <c r="BA61" s="230">
        <v>100848475</v>
      </c>
      <c r="BB61" s="230">
        <v>-96359800</v>
      </c>
      <c r="BC61" s="229">
        <v>-0.95550000000000002</v>
      </c>
      <c r="BD61" s="230">
        <v>521375</v>
      </c>
      <c r="BE61" s="230">
        <v>3334375</v>
      </c>
      <c r="BF61" s="230">
        <v>-2813000</v>
      </c>
      <c r="BG61" s="229">
        <v>-0.84360000000000002</v>
      </c>
      <c r="BH61" s="230">
        <v>141404175</v>
      </c>
      <c r="BI61" s="230">
        <v>203246525</v>
      </c>
      <c r="BJ61" s="230">
        <v>-61842350</v>
      </c>
      <c r="BK61" s="229">
        <v>-0.30430000000000001</v>
      </c>
      <c r="BL61" s="230">
        <v>78722775</v>
      </c>
      <c r="BM61" s="230">
        <v>127729600</v>
      </c>
      <c r="BN61" s="230">
        <v>-49006825</v>
      </c>
      <c r="BO61" s="229">
        <v>-0.38369999999999999</v>
      </c>
      <c r="BP61" s="230">
        <v>291337075</v>
      </c>
      <c r="BQ61" s="230">
        <v>495425075</v>
      </c>
      <c r="BR61" s="230">
        <v>-204088000</v>
      </c>
      <c r="BS61" s="229">
        <v>-0.41189999999999999</v>
      </c>
      <c r="BT61" s="230">
        <v>88534573</v>
      </c>
      <c r="BU61" s="230">
        <v>109251104</v>
      </c>
      <c r="BV61" s="230">
        <v>-20716531</v>
      </c>
      <c r="BW61" s="229">
        <v>-0.18959999999999999</v>
      </c>
      <c r="BX61" s="230">
        <v>333350200</v>
      </c>
      <c r="BY61" s="230">
        <v>344653125</v>
      </c>
      <c r="BZ61" s="230">
        <v>-11302925</v>
      </c>
      <c r="CA61" s="229">
        <v>-3.2800000000000003E-2</v>
      </c>
      <c r="CB61" s="230">
        <v>323987275</v>
      </c>
      <c r="CC61" s="230">
        <v>6404425</v>
      </c>
      <c r="CD61" s="230">
        <v>317582850</v>
      </c>
      <c r="CE61" s="229">
        <v>49.588000000000001</v>
      </c>
      <c r="CF61" s="230">
        <v>9030700</v>
      </c>
      <c r="CG61" s="230">
        <v>336999825</v>
      </c>
      <c r="CH61" s="230">
        <v>-327969125</v>
      </c>
      <c r="CI61" s="229">
        <v>-0.97319999999999995</v>
      </c>
      <c r="CJ61" s="230">
        <v>332225</v>
      </c>
      <c r="CK61" s="230">
        <v>7653300</v>
      </c>
      <c r="CL61" s="230">
        <v>-7321075</v>
      </c>
      <c r="CM61" s="229">
        <v>-0.95660000000000001</v>
      </c>
      <c r="CN61" s="230">
        <v>56878375</v>
      </c>
      <c r="CO61" s="230">
        <v>52607950</v>
      </c>
      <c r="CP61" s="230">
        <v>4270425</v>
      </c>
      <c r="CQ61" s="229">
        <v>8.1199999999999994E-2</v>
      </c>
      <c r="CR61" s="230">
        <v>40279250</v>
      </c>
      <c r="CS61" s="230">
        <v>36166450</v>
      </c>
      <c r="CT61" s="230">
        <v>4112800</v>
      </c>
      <c r="CU61" s="229">
        <v>0.1137</v>
      </c>
      <c r="CV61" s="230">
        <v>430507825</v>
      </c>
      <c r="CW61" s="230">
        <v>433427525</v>
      </c>
      <c r="CX61" s="230">
        <v>-2919700</v>
      </c>
      <c r="CY61" s="229">
        <v>-6.7000000000000002E-3</v>
      </c>
      <c r="CZ61" s="228">
        <v>38.94</v>
      </c>
      <c r="DA61" s="228">
        <v>42.48</v>
      </c>
      <c r="DB61" s="228">
        <v>-3.54</v>
      </c>
      <c r="DC61" s="228">
        <v>-3.54</v>
      </c>
      <c r="DD61" s="228">
        <v>44.52</v>
      </c>
      <c r="DE61" s="228">
        <v>44.16</v>
      </c>
      <c r="DF61" s="228">
        <v>-5.58</v>
      </c>
      <c r="DG61" s="228">
        <v>0.36</v>
      </c>
      <c r="DH61" s="228">
        <v>38.33</v>
      </c>
      <c r="DI61" s="228">
        <v>42.52</v>
      </c>
      <c r="DJ61" s="228">
        <v>-4.1900000000000004</v>
      </c>
      <c r="DK61" s="228">
        <v>-4.1900000000000004</v>
      </c>
      <c r="DL61" s="228">
        <v>40.04</v>
      </c>
      <c r="DM61" s="228">
        <v>42.43</v>
      </c>
      <c r="DN61" s="228">
        <v>-2.39</v>
      </c>
      <c r="DO61" s="228">
        <v>-2.39</v>
      </c>
      <c r="DP61" s="228">
        <v>0.71</v>
      </c>
      <c r="DQ61" s="228">
        <v>0.69</v>
      </c>
      <c r="DR61" s="228">
        <v>0.02</v>
      </c>
      <c r="DS61" s="229">
        <v>2.9000000000000001E-2</v>
      </c>
      <c r="DT61" s="228">
        <v>300</v>
      </c>
      <c r="DU61" s="228">
        <v>240</v>
      </c>
      <c r="DV61" s="228">
        <v>0.56000000000000005</v>
      </c>
      <c r="DW61" s="228">
        <v>0.63</v>
      </c>
      <c r="DX61" s="228">
        <v>-7.0000000000000007E-2</v>
      </c>
      <c r="DY61" s="229">
        <v>-0.1111</v>
      </c>
      <c r="DZ61" s="229">
        <v>2.81E-2</v>
      </c>
      <c r="EA61" s="230">
        <v>344653125</v>
      </c>
      <c r="EB61" s="229">
        <v>5.0000000000000001E-3</v>
      </c>
      <c r="EC61" s="229">
        <v>2.81E-2</v>
      </c>
      <c r="ED61" s="228">
        <v>1.08</v>
      </c>
      <c r="EE61" s="229">
        <v>4.1000000000000003E-3</v>
      </c>
      <c r="EF61" s="230">
        <v>55415628</v>
      </c>
      <c r="EG61" s="230">
        <v>62911406</v>
      </c>
      <c r="EH61" s="229">
        <v>-0.1191</v>
      </c>
      <c r="EI61" s="229">
        <v>0.62590000000000001</v>
      </c>
      <c r="EJ61" s="231">
        <v>402331.42</v>
      </c>
      <c r="EK61" s="231">
        <v>202304.63</v>
      </c>
      <c r="EL61" s="231">
        <v>187286.17</v>
      </c>
      <c r="EM61" s="231">
        <v>105095</v>
      </c>
      <c r="EN61" s="231">
        <v>791922.22</v>
      </c>
      <c r="EO61" s="231">
        <v>1312450.95</v>
      </c>
      <c r="EP61" s="231">
        <v>-520528.73</v>
      </c>
      <c r="EQ61" s="229">
        <v>-0.39660000000000001</v>
      </c>
      <c r="ER61" s="231">
        <v>164950</v>
      </c>
      <c r="ES61" s="231">
        <v>104638</v>
      </c>
      <c r="ET61" s="231">
        <v>891343</v>
      </c>
      <c r="EU61" s="231">
        <v>1251309857</v>
      </c>
      <c r="EV61" s="231">
        <v>1160931</v>
      </c>
      <c r="EW61" s="231">
        <v>1128355</v>
      </c>
      <c r="EX61" s="231">
        <v>32576</v>
      </c>
      <c r="EY61" s="229">
        <v>2.8899999999999999E-2</v>
      </c>
      <c r="EZ61" s="229">
        <v>0.34399999999999997</v>
      </c>
      <c r="FA61" s="227" t="s">
        <v>556</v>
      </c>
      <c r="FB61" s="161">
        <f t="shared" si="0"/>
        <v>9362925</v>
      </c>
    </row>
    <row r="62" spans="1:158" ht="17.25" hidden="1" thickBot="1" x14ac:dyDescent="0.3">
      <c r="A62" s="226">
        <v>46050</v>
      </c>
      <c r="B62" s="227" t="s">
        <v>162</v>
      </c>
      <c r="C62" s="227" t="s">
        <v>211</v>
      </c>
      <c r="D62" s="228">
        <v>1800</v>
      </c>
      <c r="E62" s="228">
        <v>323.35000000000002</v>
      </c>
      <c r="F62" s="228">
        <v>325.35000000000002</v>
      </c>
      <c r="G62" s="228">
        <v>-2</v>
      </c>
      <c r="H62" s="229">
        <v>-6.1000000000000004E-3</v>
      </c>
      <c r="I62" s="228">
        <v>321.14999999999998</v>
      </c>
      <c r="J62" s="228">
        <v>323.25</v>
      </c>
      <c r="K62" s="228">
        <v>-2.1</v>
      </c>
      <c r="L62" s="229">
        <v>-6.4999999999999997E-3</v>
      </c>
      <c r="M62" s="228">
        <v>323.35000000000002</v>
      </c>
      <c r="N62" s="228">
        <v>323.2</v>
      </c>
      <c r="O62" s="228">
        <v>0.15</v>
      </c>
      <c r="P62" s="229">
        <v>5.0000000000000001E-4</v>
      </c>
      <c r="Q62" s="228">
        <v>325.60000000000002</v>
      </c>
      <c r="R62" s="228">
        <v>325.35000000000002</v>
      </c>
      <c r="S62" s="228">
        <v>0.25</v>
      </c>
      <c r="T62" s="229">
        <v>8.0000000000000004E-4</v>
      </c>
      <c r="U62" s="228">
        <v>327.2</v>
      </c>
      <c r="V62" s="228">
        <v>327.2</v>
      </c>
      <c r="W62" s="228">
        <v>0</v>
      </c>
      <c r="X62" s="229">
        <v>0</v>
      </c>
      <c r="Y62" s="228">
        <v>2.2000000000000002</v>
      </c>
      <c r="Z62" s="228">
        <v>2.1</v>
      </c>
      <c r="AA62" s="228">
        <v>0.1</v>
      </c>
      <c r="AB62" s="229">
        <v>6.8999999999999999E-3</v>
      </c>
      <c r="AC62" s="228">
        <v>2.2000000000000002</v>
      </c>
      <c r="AD62" s="228">
        <v>-0.05</v>
      </c>
      <c r="AE62" s="228">
        <v>2.25</v>
      </c>
      <c r="AF62" s="229">
        <v>6.8999999999999999E-3</v>
      </c>
      <c r="AG62" s="228">
        <v>4.45</v>
      </c>
      <c r="AH62" s="228">
        <v>2.1</v>
      </c>
      <c r="AI62" s="228">
        <v>2.35</v>
      </c>
      <c r="AJ62" s="229">
        <v>1.3899999999999999E-2</v>
      </c>
      <c r="AK62" s="228">
        <v>6.05</v>
      </c>
      <c r="AL62" s="228">
        <v>3.95</v>
      </c>
      <c r="AM62" s="228">
        <v>2.1</v>
      </c>
      <c r="AN62" s="229">
        <v>1.8800000000000001E-2</v>
      </c>
      <c r="AO62" s="228">
        <v>323.83999999999997</v>
      </c>
      <c r="AP62" s="228">
        <v>326.66000000000003</v>
      </c>
      <c r="AQ62" s="228">
        <v>0</v>
      </c>
      <c r="AR62" s="230">
        <v>4714200</v>
      </c>
      <c r="AS62" s="230">
        <v>32146200</v>
      </c>
      <c r="AT62" s="230">
        <v>-27432000</v>
      </c>
      <c r="AU62" s="229">
        <v>-0.85340000000000005</v>
      </c>
      <c r="AV62" s="230">
        <v>4374000</v>
      </c>
      <c r="AW62" s="230">
        <v>14824800</v>
      </c>
      <c r="AX62" s="230">
        <v>-10450800</v>
      </c>
      <c r="AY62" s="229">
        <v>-0.70499999999999996</v>
      </c>
      <c r="AZ62" s="230">
        <v>333000</v>
      </c>
      <c r="BA62" s="230">
        <v>16729200</v>
      </c>
      <c r="BB62" s="230">
        <v>-16396200</v>
      </c>
      <c r="BC62" s="229">
        <v>-0.98009999999999997</v>
      </c>
      <c r="BD62" s="230">
        <v>7200</v>
      </c>
      <c r="BE62" s="230">
        <v>592200</v>
      </c>
      <c r="BF62" s="230">
        <v>-585000</v>
      </c>
      <c r="BG62" s="229">
        <v>-0.98780000000000001</v>
      </c>
      <c r="BH62" s="230">
        <v>6870600</v>
      </c>
      <c r="BI62" s="230">
        <v>10566000</v>
      </c>
      <c r="BJ62" s="230">
        <v>-3695400</v>
      </c>
      <c r="BK62" s="229">
        <v>-0.34970000000000001</v>
      </c>
      <c r="BL62" s="230">
        <v>4050000</v>
      </c>
      <c r="BM62" s="230">
        <v>9644400</v>
      </c>
      <c r="BN62" s="230">
        <v>-5594400</v>
      </c>
      <c r="BO62" s="229">
        <v>-0.58009999999999995</v>
      </c>
      <c r="BP62" s="230">
        <v>15634800</v>
      </c>
      <c r="BQ62" s="230">
        <v>52356600</v>
      </c>
      <c r="BR62" s="230">
        <v>-36721800</v>
      </c>
      <c r="BS62" s="229">
        <v>-0.70140000000000002</v>
      </c>
      <c r="BT62" s="230">
        <v>2541186</v>
      </c>
      <c r="BU62" s="230">
        <v>1651922</v>
      </c>
      <c r="BV62" s="230">
        <v>889264</v>
      </c>
      <c r="BW62" s="229">
        <v>0.5383</v>
      </c>
      <c r="BX62" s="230">
        <v>31960800</v>
      </c>
      <c r="BY62" s="230">
        <v>31075200</v>
      </c>
      <c r="BZ62" s="230">
        <v>885600</v>
      </c>
      <c r="CA62" s="229">
        <v>2.8500000000000001E-2</v>
      </c>
      <c r="CB62" s="230">
        <v>30666600</v>
      </c>
      <c r="CC62" s="230">
        <v>1720800</v>
      </c>
      <c r="CD62" s="230">
        <v>28945800</v>
      </c>
      <c r="CE62" s="229">
        <v>16.821100000000001</v>
      </c>
      <c r="CF62" s="230">
        <v>1287000</v>
      </c>
      <c r="CG62" s="230">
        <v>29932200</v>
      </c>
      <c r="CH62" s="230">
        <v>-28645200</v>
      </c>
      <c r="CI62" s="229">
        <v>-0.95699999999999996</v>
      </c>
      <c r="CJ62" s="230">
        <v>7200</v>
      </c>
      <c r="CK62" s="230">
        <v>1143000</v>
      </c>
      <c r="CL62" s="230">
        <v>-1135800</v>
      </c>
      <c r="CM62" s="229">
        <v>-0.99370000000000003</v>
      </c>
      <c r="CN62" s="230">
        <v>7405200</v>
      </c>
      <c r="CO62" s="230">
        <v>5103000</v>
      </c>
      <c r="CP62" s="230">
        <v>2302200</v>
      </c>
      <c r="CQ62" s="229">
        <v>0.4511</v>
      </c>
      <c r="CR62" s="230">
        <v>7864200</v>
      </c>
      <c r="CS62" s="230">
        <v>6319800</v>
      </c>
      <c r="CT62" s="230">
        <v>1544400</v>
      </c>
      <c r="CU62" s="229">
        <v>0.24440000000000001</v>
      </c>
      <c r="CV62" s="230">
        <v>47230200</v>
      </c>
      <c r="CW62" s="230">
        <v>42498000</v>
      </c>
      <c r="CX62" s="230">
        <v>4732200</v>
      </c>
      <c r="CY62" s="229">
        <v>0.1114</v>
      </c>
      <c r="CZ62" s="228">
        <v>31.76</v>
      </c>
      <c r="DA62" s="228">
        <v>32.96</v>
      </c>
      <c r="DB62" s="228">
        <v>-1.2</v>
      </c>
      <c r="DC62" s="228">
        <v>-1.2</v>
      </c>
      <c r="DD62" s="228">
        <v>32.76</v>
      </c>
      <c r="DE62" s="228">
        <v>32.83</v>
      </c>
      <c r="DF62" s="228">
        <v>-1</v>
      </c>
      <c r="DG62" s="228">
        <v>-7.0000000000000007E-2</v>
      </c>
      <c r="DH62" s="228">
        <v>31.71</v>
      </c>
      <c r="DI62" s="228">
        <v>33.18</v>
      </c>
      <c r="DJ62" s="228">
        <v>-1.47</v>
      </c>
      <c r="DK62" s="228">
        <v>-1.47</v>
      </c>
      <c r="DL62" s="228">
        <v>31.84</v>
      </c>
      <c r="DM62" s="228">
        <v>32.729999999999997</v>
      </c>
      <c r="DN62" s="228">
        <v>-0.89</v>
      </c>
      <c r="DO62" s="228">
        <v>-0.89</v>
      </c>
      <c r="DP62" s="228">
        <v>1.06</v>
      </c>
      <c r="DQ62" s="228">
        <v>1.24</v>
      </c>
      <c r="DR62" s="228">
        <v>-0.18</v>
      </c>
      <c r="DS62" s="229">
        <v>-0.1452</v>
      </c>
      <c r="DT62" s="228">
        <v>350</v>
      </c>
      <c r="DU62" s="228">
        <v>330</v>
      </c>
      <c r="DV62" s="228">
        <v>0.59</v>
      </c>
      <c r="DW62" s="228">
        <v>0.91</v>
      </c>
      <c r="DX62" s="228">
        <v>-0.32</v>
      </c>
      <c r="DY62" s="229">
        <v>-0.35160000000000002</v>
      </c>
      <c r="DZ62" s="229">
        <v>4.0500000000000001E-2</v>
      </c>
      <c r="EA62" s="230">
        <v>31075200</v>
      </c>
      <c r="EB62" s="229">
        <v>7.0000000000000001E-3</v>
      </c>
      <c r="EC62" s="229">
        <v>4.0500000000000001E-2</v>
      </c>
      <c r="ED62" s="228">
        <v>2.82</v>
      </c>
      <c r="EE62" s="229">
        <v>8.6999999999999994E-3</v>
      </c>
      <c r="EF62" s="230">
        <v>1591284</v>
      </c>
      <c r="EG62" s="230">
        <v>618639</v>
      </c>
      <c r="EH62" s="229">
        <v>1.5722</v>
      </c>
      <c r="EI62" s="229">
        <v>0.62619999999999998</v>
      </c>
      <c r="EJ62" s="231">
        <v>23808.65</v>
      </c>
      <c r="EK62" s="231">
        <v>13266.7</v>
      </c>
      <c r="EL62" s="231">
        <v>15276.1</v>
      </c>
      <c r="EM62" s="231">
        <v>12121</v>
      </c>
      <c r="EN62" s="231">
        <v>52351.45</v>
      </c>
      <c r="EO62" s="231">
        <v>176230.84</v>
      </c>
      <c r="EP62" s="231">
        <v>-123879.39</v>
      </c>
      <c r="EQ62" s="229">
        <v>-0.70289999999999997</v>
      </c>
      <c r="ER62" s="231">
        <v>25744</v>
      </c>
      <c r="ES62" s="231">
        <v>26891</v>
      </c>
      <c r="ET62" s="231">
        <v>103374</v>
      </c>
      <c r="EU62" s="231">
        <v>68856800</v>
      </c>
      <c r="EV62" s="231">
        <v>156010</v>
      </c>
      <c r="EW62" s="231">
        <v>141036</v>
      </c>
      <c r="EX62" s="231">
        <v>14974</v>
      </c>
      <c r="EY62" s="229">
        <v>0.1062</v>
      </c>
      <c r="EZ62" s="229">
        <v>0.68589999999999995</v>
      </c>
      <c r="FA62" s="227" t="s">
        <v>567</v>
      </c>
      <c r="FB62" s="161">
        <f t="shared" si="0"/>
        <v>1294200</v>
      </c>
    </row>
    <row r="63" spans="1:158" ht="17.25" hidden="1" thickBot="1" x14ac:dyDescent="0.3">
      <c r="A63" s="226">
        <v>46050</v>
      </c>
      <c r="B63" s="227" t="s">
        <v>172</v>
      </c>
      <c r="C63" s="227" t="s">
        <v>212</v>
      </c>
      <c r="D63" s="228">
        <v>5000</v>
      </c>
      <c r="E63" s="228">
        <v>286.10000000000002</v>
      </c>
      <c r="F63" s="228">
        <v>286.3</v>
      </c>
      <c r="G63" s="228">
        <v>-0.2</v>
      </c>
      <c r="H63" s="229">
        <v>-6.9999999999999999E-4</v>
      </c>
      <c r="I63" s="228">
        <v>284.45</v>
      </c>
      <c r="J63" s="228">
        <v>284.95</v>
      </c>
      <c r="K63" s="228">
        <v>-0.5</v>
      </c>
      <c r="L63" s="229">
        <v>-1.8E-3</v>
      </c>
      <c r="M63" s="228">
        <v>286.10000000000002</v>
      </c>
      <c r="N63" s="228">
        <v>284.95</v>
      </c>
      <c r="O63" s="228">
        <v>1.1499999999999999</v>
      </c>
      <c r="P63" s="229">
        <v>4.0000000000000001E-3</v>
      </c>
      <c r="Q63" s="228">
        <v>286.95</v>
      </c>
      <c r="R63" s="228">
        <v>286.3</v>
      </c>
      <c r="S63" s="228">
        <v>0.65</v>
      </c>
      <c r="T63" s="229">
        <v>2.3E-3</v>
      </c>
      <c r="U63" s="228">
        <v>287.8</v>
      </c>
      <c r="V63" s="228">
        <v>287.10000000000002</v>
      </c>
      <c r="W63" s="228">
        <v>0.7</v>
      </c>
      <c r="X63" s="229">
        <v>2.3999999999999998E-3</v>
      </c>
      <c r="Y63" s="228">
        <v>1.65</v>
      </c>
      <c r="Z63" s="228">
        <v>1.35</v>
      </c>
      <c r="AA63" s="228">
        <v>0.3</v>
      </c>
      <c r="AB63" s="229">
        <v>5.7999999999999996E-3</v>
      </c>
      <c r="AC63" s="228">
        <v>1.65</v>
      </c>
      <c r="AD63" s="228">
        <v>0</v>
      </c>
      <c r="AE63" s="228">
        <v>1.65</v>
      </c>
      <c r="AF63" s="229">
        <v>5.7999999999999996E-3</v>
      </c>
      <c r="AG63" s="228">
        <v>2.5</v>
      </c>
      <c r="AH63" s="228">
        <v>1.35</v>
      </c>
      <c r="AI63" s="228">
        <v>1.1499999999999999</v>
      </c>
      <c r="AJ63" s="229">
        <v>8.8000000000000005E-3</v>
      </c>
      <c r="AK63" s="228">
        <v>3.35</v>
      </c>
      <c r="AL63" s="228">
        <v>2.15</v>
      </c>
      <c r="AM63" s="228">
        <v>1.2</v>
      </c>
      <c r="AN63" s="229">
        <v>1.18E-2</v>
      </c>
      <c r="AO63" s="228">
        <v>284.95999999999998</v>
      </c>
      <c r="AP63" s="228">
        <v>285.63</v>
      </c>
      <c r="AQ63" s="228">
        <v>0</v>
      </c>
      <c r="AR63" s="230">
        <v>15945000</v>
      </c>
      <c r="AS63" s="230">
        <v>47495000</v>
      </c>
      <c r="AT63" s="230">
        <v>-31550000</v>
      </c>
      <c r="AU63" s="229">
        <v>-0.6643</v>
      </c>
      <c r="AV63" s="230">
        <v>14895000</v>
      </c>
      <c r="AW63" s="230">
        <v>18935000</v>
      </c>
      <c r="AX63" s="230">
        <v>-4040000</v>
      </c>
      <c r="AY63" s="229">
        <v>-0.21340000000000001</v>
      </c>
      <c r="AZ63" s="230">
        <v>1025000</v>
      </c>
      <c r="BA63" s="230">
        <v>27825000</v>
      </c>
      <c r="BB63" s="230">
        <v>-26800000</v>
      </c>
      <c r="BC63" s="229">
        <v>-0.96319999999999995</v>
      </c>
      <c r="BD63" s="230">
        <v>25000</v>
      </c>
      <c r="BE63" s="230">
        <v>735000</v>
      </c>
      <c r="BF63" s="230">
        <v>-710000</v>
      </c>
      <c r="BG63" s="229">
        <v>-0.96599999999999997</v>
      </c>
      <c r="BH63" s="230">
        <v>34780000</v>
      </c>
      <c r="BI63" s="230">
        <v>52455000</v>
      </c>
      <c r="BJ63" s="230">
        <v>-17675000</v>
      </c>
      <c r="BK63" s="229">
        <v>-0.33700000000000002</v>
      </c>
      <c r="BL63" s="230">
        <v>20620000</v>
      </c>
      <c r="BM63" s="230">
        <v>37955000</v>
      </c>
      <c r="BN63" s="230">
        <v>-17335000</v>
      </c>
      <c r="BO63" s="229">
        <v>-0.45669999999999999</v>
      </c>
      <c r="BP63" s="230">
        <v>71345000</v>
      </c>
      <c r="BQ63" s="230">
        <v>137905000</v>
      </c>
      <c r="BR63" s="230">
        <v>-66560000</v>
      </c>
      <c r="BS63" s="229">
        <v>-0.48270000000000002</v>
      </c>
      <c r="BT63" s="230">
        <v>10507823</v>
      </c>
      <c r="BU63" s="230">
        <v>12266906</v>
      </c>
      <c r="BV63" s="230">
        <v>-1759083</v>
      </c>
      <c r="BW63" s="229">
        <v>-0.1434</v>
      </c>
      <c r="BX63" s="230">
        <v>51055000</v>
      </c>
      <c r="BY63" s="230">
        <v>51455000</v>
      </c>
      <c r="BZ63" s="230">
        <v>-400000</v>
      </c>
      <c r="CA63" s="229">
        <v>-7.7999999999999996E-3</v>
      </c>
      <c r="CB63" s="230">
        <v>48810000</v>
      </c>
      <c r="CC63" s="230">
        <v>5480000</v>
      </c>
      <c r="CD63" s="230">
        <v>43330000</v>
      </c>
      <c r="CE63" s="229">
        <v>7.9069000000000003</v>
      </c>
      <c r="CF63" s="230">
        <v>2225000</v>
      </c>
      <c r="CG63" s="230">
        <v>49580000</v>
      </c>
      <c r="CH63" s="230">
        <v>-47355000</v>
      </c>
      <c r="CI63" s="229">
        <v>-0.95509999999999995</v>
      </c>
      <c r="CJ63" s="230">
        <v>20000</v>
      </c>
      <c r="CK63" s="230">
        <v>1875000</v>
      </c>
      <c r="CL63" s="230">
        <v>-1855000</v>
      </c>
      <c r="CM63" s="229">
        <v>-0.98929999999999996</v>
      </c>
      <c r="CN63" s="230">
        <v>22665000</v>
      </c>
      <c r="CO63" s="230">
        <v>20800000</v>
      </c>
      <c r="CP63" s="230">
        <v>1865000</v>
      </c>
      <c r="CQ63" s="229">
        <v>8.9700000000000002E-2</v>
      </c>
      <c r="CR63" s="230">
        <v>25765000</v>
      </c>
      <c r="CS63" s="230">
        <v>23615000</v>
      </c>
      <c r="CT63" s="230">
        <v>2150000</v>
      </c>
      <c r="CU63" s="229">
        <v>9.0999999999999998E-2</v>
      </c>
      <c r="CV63" s="230">
        <v>99485000</v>
      </c>
      <c r="CW63" s="230">
        <v>95870000</v>
      </c>
      <c r="CX63" s="230">
        <v>3615000</v>
      </c>
      <c r="CY63" s="229">
        <v>3.7699999999999997E-2</v>
      </c>
      <c r="CZ63" s="228">
        <v>28.41</v>
      </c>
      <c r="DA63" s="228">
        <v>28.83</v>
      </c>
      <c r="DB63" s="228">
        <v>-0.42</v>
      </c>
      <c r="DC63" s="228">
        <v>-0.42</v>
      </c>
      <c r="DD63" s="228">
        <v>30.67</v>
      </c>
      <c r="DE63" s="228">
        <v>30.74</v>
      </c>
      <c r="DF63" s="228">
        <v>-2.2599999999999998</v>
      </c>
      <c r="DG63" s="228">
        <v>-7.0000000000000007E-2</v>
      </c>
      <c r="DH63" s="228">
        <v>27.23</v>
      </c>
      <c r="DI63" s="228">
        <v>27.46</v>
      </c>
      <c r="DJ63" s="228">
        <v>-0.23</v>
      </c>
      <c r="DK63" s="228">
        <v>-0.23</v>
      </c>
      <c r="DL63" s="228">
        <v>30.41</v>
      </c>
      <c r="DM63" s="228">
        <v>30.83</v>
      </c>
      <c r="DN63" s="228">
        <v>-0.42</v>
      </c>
      <c r="DO63" s="228">
        <v>-0.42</v>
      </c>
      <c r="DP63" s="228">
        <v>1.1399999999999999</v>
      </c>
      <c r="DQ63" s="228">
        <v>1.1399999999999999</v>
      </c>
      <c r="DR63" s="228">
        <v>0</v>
      </c>
      <c r="DS63" s="229">
        <v>0</v>
      </c>
      <c r="DT63" s="228">
        <v>300</v>
      </c>
      <c r="DU63" s="228">
        <v>250</v>
      </c>
      <c r="DV63" s="228">
        <v>0.59</v>
      </c>
      <c r="DW63" s="228">
        <v>0.72</v>
      </c>
      <c r="DX63" s="228">
        <v>-0.13</v>
      </c>
      <c r="DY63" s="229">
        <v>-0.18060000000000001</v>
      </c>
      <c r="DZ63" s="229">
        <v>4.3999999999999997E-2</v>
      </c>
      <c r="EA63" s="230">
        <v>51455000</v>
      </c>
      <c r="EB63" s="229">
        <v>3.0000000000000001E-3</v>
      </c>
      <c r="EC63" s="229">
        <v>4.3999999999999997E-2</v>
      </c>
      <c r="ED63" s="228">
        <v>0.67</v>
      </c>
      <c r="EE63" s="229">
        <v>2.3999999999999998E-3</v>
      </c>
      <c r="EF63" s="230">
        <v>5900174</v>
      </c>
      <c r="EG63" s="230">
        <v>6590698</v>
      </c>
      <c r="EH63" s="229">
        <v>-0.1048</v>
      </c>
      <c r="EI63" s="229">
        <v>0.5615</v>
      </c>
      <c r="EJ63" s="231">
        <v>104632.83</v>
      </c>
      <c r="EK63" s="231">
        <v>56421.13</v>
      </c>
      <c r="EL63" s="231">
        <v>45444.83</v>
      </c>
      <c r="EM63" s="231">
        <v>12467</v>
      </c>
      <c r="EN63" s="231">
        <v>206498.79</v>
      </c>
      <c r="EO63" s="231">
        <v>391775.61</v>
      </c>
      <c r="EP63" s="231">
        <v>-185276.82</v>
      </c>
      <c r="EQ63" s="229">
        <v>-0.47289999999999999</v>
      </c>
      <c r="ER63" s="231">
        <v>65711</v>
      </c>
      <c r="ES63" s="231">
        <v>66930</v>
      </c>
      <c r="ET63" s="231">
        <v>146088</v>
      </c>
      <c r="EU63" s="231">
        <v>320636733</v>
      </c>
      <c r="EV63" s="231">
        <v>278728</v>
      </c>
      <c r="EW63" s="231">
        <v>268586</v>
      </c>
      <c r="EX63" s="231">
        <v>10142</v>
      </c>
      <c r="EY63" s="229">
        <v>3.78E-2</v>
      </c>
      <c r="EZ63" s="229">
        <v>0.31030000000000002</v>
      </c>
      <c r="FA63" s="227" t="s">
        <v>568</v>
      </c>
      <c r="FB63" s="161">
        <f t="shared" si="0"/>
        <v>2245000</v>
      </c>
    </row>
    <row r="64" spans="1:158" ht="17.25" hidden="1" thickBot="1" x14ac:dyDescent="0.3">
      <c r="A64" s="226">
        <v>46050</v>
      </c>
      <c r="B64" s="227" t="s">
        <v>181</v>
      </c>
      <c r="C64" s="227" t="s">
        <v>480</v>
      </c>
      <c r="D64" s="228">
        <v>60</v>
      </c>
      <c r="E64" s="231">
        <v>27445.4</v>
      </c>
      <c r="F64" s="231">
        <v>27198.2</v>
      </c>
      <c r="G64" s="228">
        <v>247.2</v>
      </c>
      <c r="H64" s="229">
        <v>9.1000000000000004E-3</v>
      </c>
      <c r="I64" s="231">
        <v>27335.200000000001</v>
      </c>
      <c r="J64" s="231">
        <v>27058</v>
      </c>
      <c r="K64" s="228">
        <v>277.2</v>
      </c>
      <c r="L64" s="229">
        <v>1.0200000000000001E-2</v>
      </c>
      <c r="M64" s="231">
        <v>27445.4</v>
      </c>
      <c r="N64" s="231">
        <v>27027.9</v>
      </c>
      <c r="O64" s="228">
        <v>417.5</v>
      </c>
      <c r="P64" s="229">
        <v>1.54E-2</v>
      </c>
      <c r="Q64" s="231">
        <v>27089.3</v>
      </c>
      <c r="R64" s="231">
        <v>27198.2</v>
      </c>
      <c r="S64" s="228">
        <v>-108.9</v>
      </c>
      <c r="T64" s="229">
        <v>-4.0000000000000001E-3</v>
      </c>
      <c r="U64" s="228">
        <v>0</v>
      </c>
      <c r="V64" s="231">
        <v>27089.3</v>
      </c>
      <c r="W64" s="228">
        <v>0</v>
      </c>
      <c r="X64" s="229">
        <v>0</v>
      </c>
      <c r="Y64" s="228">
        <v>110.2</v>
      </c>
      <c r="Z64" s="228">
        <v>140.19999999999999</v>
      </c>
      <c r="AA64" s="228">
        <v>-30</v>
      </c>
      <c r="AB64" s="229">
        <v>4.0000000000000001E-3</v>
      </c>
      <c r="AC64" s="228">
        <v>110.2</v>
      </c>
      <c r="AD64" s="228">
        <v>-30.1</v>
      </c>
      <c r="AE64" s="228">
        <v>140.30000000000001</v>
      </c>
      <c r="AF64" s="229">
        <v>4.0000000000000001E-3</v>
      </c>
      <c r="AG64" s="228">
        <v>-245.9</v>
      </c>
      <c r="AH64" s="228">
        <v>140.19999999999999</v>
      </c>
      <c r="AI64" s="228">
        <v>-386.1</v>
      </c>
      <c r="AJ64" s="229">
        <v>-8.9999999999999993E-3</v>
      </c>
      <c r="AK64" s="228">
        <v>0</v>
      </c>
      <c r="AL64" s="228">
        <v>31.3</v>
      </c>
      <c r="AM64" s="228">
        <v>0</v>
      </c>
      <c r="AN64" s="229">
        <v>0</v>
      </c>
      <c r="AO64" s="231">
        <v>27410.07</v>
      </c>
      <c r="AP64" s="231">
        <v>27089.3</v>
      </c>
      <c r="AQ64" s="228">
        <v>0</v>
      </c>
      <c r="AR64" s="230">
        <v>20460</v>
      </c>
      <c r="AS64" s="230">
        <v>128520</v>
      </c>
      <c r="AT64" s="230">
        <v>-108060</v>
      </c>
      <c r="AU64" s="229">
        <v>-0.84079999999999999</v>
      </c>
      <c r="AV64" s="230">
        <v>20460</v>
      </c>
      <c r="AW64" s="230">
        <v>66000</v>
      </c>
      <c r="AX64" s="230">
        <v>-45540</v>
      </c>
      <c r="AY64" s="229">
        <v>-0.69</v>
      </c>
      <c r="AZ64" s="228">
        <v>0</v>
      </c>
      <c r="BA64" s="230">
        <v>62460</v>
      </c>
      <c r="BB64" s="230">
        <v>-62460</v>
      </c>
      <c r="BC64" s="229">
        <v>-1</v>
      </c>
      <c r="BD64" s="228">
        <v>0</v>
      </c>
      <c r="BE64" s="228">
        <v>60</v>
      </c>
      <c r="BF64" s="228">
        <v>0</v>
      </c>
      <c r="BG64" s="229">
        <v>0</v>
      </c>
      <c r="BH64" s="230">
        <v>456840</v>
      </c>
      <c r="BI64" s="230">
        <v>127693680</v>
      </c>
      <c r="BJ64" s="230">
        <v>-127236840</v>
      </c>
      <c r="BK64" s="229">
        <v>-0.99639999999999995</v>
      </c>
      <c r="BL64" s="230">
        <v>595920</v>
      </c>
      <c r="BM64" s="230">
        <v>116854440</v>
      </c>
      <c r="BN64" s="230">
        <v>-116258520</v>
      </c>
      <c r="BO64" s="229">
        <v>-0.99490000000000001</v>
      </c>
      <c r="BP64" s="230">
        <v>1073220</v>
      </c>
      <c r="BQ64" s="230">
        <v>244676640</v>
      </c>
      <c r="BR64" s="230">
        <v>-243603420</v>
      </c>
      <c r="BS64" s="229">
        <v>-0.99560000000000004</v>
      </c>
      <c r="BT64" s="228">
        <v>0</v>
      </c>
      <c r="BU64" s="228">
        <v>0</v>
      </c>
      <c r="BV64" s="228">
        <v>0</v>
      </c>
      <c r="BW64" s="229">
        <v>0</v>
      </c>
      <c r="BX64" s="230">
        <v>50460</v>
      </c>
      <c r="BY64" s="230">
        <v>50100</v>
      </c>
      <c r="BZ64" s="228">
        <v>360</v>
      </c>
      <c r="CA64" s="229">
        <v>7.1999999999999998E-3</v>
      </c>
      <c r="CB64" s="230">
        <v>50400</v>
      </c>
      <c r="CC64" s="230">
        <v>16980</v>
      </c>
      <c r="CD64" s="230">
        <v>33420</v>
      </c>
      <c r="CE64" s="229">
        <v>1.9681999999999999</v>
      </c>
      <c r="CF64" s="228">
        <v>60</v>
      </c>
      <c r="CG64" s="230">
        <v>50040</v>
      </c>
      <c r="CH64" s="230">
        <v>-49980</v>
      </c>
      <c r="CI64" s="229">
        <v>-0.99880000000000002</v>
      </c>
      <c r="CJ64" s="228">
        <v>0</v>
      </c>
      <c r="CK64" s="228">
        <v>60</v>
      </c>
      <c r="CL64" s="228">
        <v>-60</v>
      </c>
      <c r="CM64" s="229">
        <v>-1</v>
      </c>
      <c r="CN64" s="230">
        <v>120720</v>
      </c>
      <c r="CO64" s="230">
        <v>52980</v>
      </c>
      <c r="CP64" s="230">
        <v>67740</v>
      </c>
      <c r="CQ64" s="229">
        <v>1.2786</v>
      </c>
      <c r="CR64" s="230">
        <v>94680</v>
      </c>
      <c r="CS64" s="230">
        <v>26340</v>
      </c>
      <c r="CT64" s="230">
        <v>68340</v>
      </c>
      <c r="CU64" s="229">
        <v>2.5945</v>
      </c>
      <c r="CV64" s="230">
        <v>265860</v>
      </c>
      <c r="CW64" s="230">
        <v>129420</v>
      </c>
      <c r="CX64" s="230">
        <v>136440</v>
      </c>
      <c r="CY64" s="229">
        <v>1.0542</v>
      </c>
      <c r="CZ64" s="228">
        <v>14.98</v>
      </c>
      <c r="DA64" s="228">
        <v>16.45</v>
      </c>
      <c r="DB64" s="228">
        <v>-1.47</v>
      </c>
      <c r="DC64" s="228">
        <v>-1.47</v>
      </c>
      <c r="DD64" s="228">
        <v>16.11</v>
      </c>
      <c r="DE64" s="228">
        <v>16.09</v>
      </c>
      <c r="DF64" s="228">
        <v>-1.1299999999999999</v>
      </c>
      <c r="DG64" s="228">
        <v>0.02</v>
      </c>
      <c r="DH64" s="228">
        <v>14.63</v>
      </c>
      <c r="DI64" s="228">
        <v>16.350000000000001</v>
      </c>
      <c r="DJ64" s="228">
        <v>-1.72</v>
      </c>
      <c r="DK64" s="228">
        <v>-1.72</v>
      </c>
      <c r="DL64" s="228">
        <v>15.25</v>
      </c>
      <c r="DM64" s="228">
        <v>16.79</v>
      </c>
      <c r="DN64" s="228">
        <v>-1.54</v>
      </c>
      <c r="DO64" s="228">
        <v>-1.54</v>
      </c>
      <c r="DP64" s="228">
        <v>0.78</v>
      </c>
      <c r="DQ64" s="228">
        <v>0.5</v>
      </c>
      <c r="DR64" s="228">
        <v>0.28000000000000003</v>
      </c>
      <c r="DS64" s="229">
        <v>0.56000000000000005</v>
      </c>
      <c r="DT64" s="231">
        <v>27400</v>
      </c>
      <c r="DU64" s="231">
        <v>27000</v>
      </c>
      <c r="DV64" s="228">
        <v>1.3</v>
      </c>
      <c r="DW64" s="228">
        <v>0.92</v>
      </c>
      <c r="DX64" s="228">
        <v>0.38</v>
      </c>
      <c r="DY64" s="229">
        <v>0.41299999999999998</v>
      </c>
      <c r="DZ64" s="229">
        <v>1.1999999999999999E-3</v>
      </c>
      <c r="EA64" s="230">
        <v>50100</v>
      </c>
      <c r="EB64" s="229">
        <v>-1.2999999999999999E-2</v>
      </c>
      <c r="EC64" s="229">
        <v>1.1999999999999999E-3</v>
      </c>
      <c r="ED64" s="228">
        <v>-320.77</v>
      </c>
      <c r="EE64" s="229">
        <v>-1.17E-2</v>
      </c>
      <c r="EF64" s="228">
        <v>0</v>
      </c>
      <c r="EG64" s="228">
        <v>0</v>
      </c>
      <c r="EH64" s="229">
        <v>0</v>
      </c>
      <c r="EI64" s="229">
        <v>0</v>
      </c>
      <c r="EJ64" s="231">
        <v>128645.69</v>
      </c>
      <c r="EK64" s="231">
        <v>162801.98000000001</v>
      </c>
      <c r="EL64" s="231">
        <v>5608.1</v>
      </c>
      <c r="EM64" s="228">
        <v>0</v>
      </c>
      <c r="EN64" s="231">
        <v>297055.77</v>
      </c>
      <c r="EO64" s="231">
        <v>65971299.530000001</v>
      </c>
      <c r="EP64" s="231">
        <v>-65674243.759999998</v>
      </c>
      <c r="EQ64" s="229">
        <v>-0.99550000000000005</v>
      </c>
      <c r="ER64" s="231">
        <v>33806</v>
      </c>
      <c r="ES64" s="231">
        <v>25337</v>
      </c>
      <c r="ET64" s="231">
        <v>13849</v>
      </c>
      <c r="EU64" s="228">
        <v>0</v>
      </c>
      <c r="EV64" s="231">
        <v>72992</v>
      </c>
      <c r="EW64" s="231">
        <v>35392</v>
      </c>
      <c r="EX64" s="231">
        <v>37600</v>
      </c>
      <c r="EY64" s="229">
        <v>1.0624</v>
      </c>
      <c r="EZ64" s="229">
        <v>0</v>
      </c>
      <c r="FA64" s="227" t="s">
        <v>555</v>
      </c>
      <c r="FB64" s="161">
        <f t="shared" si="0"/>
        <v>60</v>
      </c>
    </row>
    <row r="65" spans="1:158" ht="17.25" hidden="1" thickBot="1" x14ac:dyDescent="0.3">
      <c r="A65" s="226">
        <v>46050</v>
      </c>
      <c r="B65" s="227" t="s">
        <v>170</v>
      </c>
      <c r="C65" s="227" t="s">
        <v>676</v>
      </c>
      <c r="D65" s="228">
        <v>775</v>
      </c>
      <c r="E65" s="228">
        <v>852.15</v>
      </c>
      <c r="F65" s="228">
        <v>844.25</v>
      </c>
      <c r="G65" s="228">
        <v>7.9</v>
      </c>
      <c r="H65" s="229">
        <v>9.4000000000000004E-3</v>
      </c>
      <c r="I65" s="228">
        <v>849.05</v>
      </c>
      <c r="J65" s="228">
        <v>838.45</v>
      </c>
      <c r="K65" s="228">
        <v>10.6</v>
      </c>
      <c r="L65" s="229">
        <v>1.26E-2</v>
      </c>
      <c r="M65" s="228">
        <v>852.15</v>
      </c>
      <c r="N65" s="228">
        <v>839.7</v>
      </c>
      <c r="O65" s="228">
        <v>12.45</v>
      </c>
      <c r="P65" s="229">
        <v>1.4800000000000001E-2</v>
      </c>
      <c r="Q65" s="228">
        <v>857.7</v>
      </c>
      <c r="R65" s="228">
        <v>844.25</v>
      </c>
      <c r="S65" s="228">
        <v>13.45</v>
      </c>
      <c r="T65" s="229">
        <v>1.5900000000000001E-2</v>
      </c>
      <c r="U65" s="228">
        <v>0</v>
      </c>
      <c r="V65" s="228">
        <v>851.5</v>
      </c>
      <c r="W65" s="228">
        <v>0</v>
      </c>
      <c r="X65" s="229">
        <v>0</v>
      </c>
      <c r="Y65" s="228">
        <v>3.1</v>
      </c>
      <c r="Z65" s="228">
        <v>5.8</v>
      </c>
      <c r="AA65" s="228">
        <v>-2.7</v>
      </c>
      <c r="AB65" s="229">
        <v>3.7000000000000002E-3</v>
      </c>
      <c r="AC65" s="228">
        <v>3.1</v>
      </c>
      <c r="AD65" s="228">
        <v>1.25</v>
      </c>
      <c r="AE65" s="228">
        <v>1.85</v>
      </c>
      <c r="AF65" s="229">
        <v>3.7000000000000002E-3</v>
      </c>
      <c r="AG65" s="228">
        <v>8.65</v>
      </c>
      <c r="AH65" s="228">
        <v>5.8</v>
      </c>
      <c r="AI65" s="228">
        <v>2.85</v>
      </c>
      <c r="AJ65" s="229">
        <v>1.0200000000000001E-2</v>
      </c>
      <c r="AK65" s="228">
        <v>0</v>
      </c>
      <c r="AL65" s="228">
        <v>13.05</v>
      </c>
      <c r="AM65" s="228">
        <v>0</v>
      </c>
      <c r="AN65" s="229">
        <v>0</v>
      </c>
      <c r="AO65" s="228">
        <v>851.25</v>
      </c>
      <c r="AP65" s="228">
        <v>855</v>
      </c>
      <c r="AQ65" s="228">
        <v>0</v>
      </c>
      <c r="AR65" s="230">
        <v>1656950</v>
      </c>
      <c r="AS65" s="230">
        <v>7481850</v>
      </c>
      <c r="AT65" s="230">
        <v>-5824900</v>
      </c>
      <c r="AU65" s="229">
        <v>-0.77849999999999997</v>
      </c>
      <c r="AV65" s="230">
        <v>1623625</v>
      </c>
      <c r="AW65" s="230">
        <v>3385200</v>
      </c>
      <c r="AX65" s="230">
        <v>-1761575</v>
      </c>
      <c r="AY65" s="229">
        <v>-0.52039999999999997</v>
      </c>
      <c r="AZ65" s="230">
        <v>33325</v>
      </c>
      <c r="BA65" s="230">
        <v>4062550</v>
      </c>
      <c r="BB65" s="230">
        <v>-4029225</v>
      </c>
      <c r="BC65" s="229">
        <v>-0.99180000000000001</v>
      </c>
      <c r="BD65" s="228">
        <v>0</v>
      </c>
      <c r="BE65" s="230">
        <v>34100</v>
      </c>
      <c r="BF65" s="228">
        <v>0</v>
      </c>
      <c r="BG65" s="229">
        <v>0</v>
      </c>
      <c r="BH65" s="230">
        <v>1391900</v>
      </c>
      <c r="BI65" s="230">
        <v>2763650</v>
      </c>
      <c r="BJ65" s="230">
        <v>-1371750</v>
      </c>
      <c r="BK65" s="229">
        <v>-0.49640000000000001</v>
      </c>
      <c r="BL65" s="230">
        <v>644025</v>
      </c>
      <c r="BM65" s="230">
        <v>3230975</v>
      </c>
      <c r="BN65" s="230">
        <v>-2586950</v>
      </c>
      <c r="BO65" s="229">
        <v>-0.80069999999999997</v>
      </c>
      <c r="BP65" s="230">
        <v>3692875</v>
      </c>
      <c r="BQ65" s="230">
        <v>13476475</v>
      </c>
      <c r="BR65" s="230">
        <v>-9783600</v>
      </c>
      <c r="BS65" s="229">
        <v>-0.72599999999999998</v>
      </c>
      <c r="BT65" s="230">
        <v>1109244</v>
      </c>
      <c r="BU65" s="230">
        <v>1398395</v>
      </c>
      <c r="BV65" s="230">
        <v>-289151</v>
      </c>
      <c r="BW65" s="229">
        <v>-0.20680000000000001</v>
      </c>
      <c r="BX65" s="230">
        <v>12028775</v>
      </c>
      <c r="BY65" s="230">
        <v>12052025</v>
      </c>
      <c r="BZ65" s="230">
        <v>-23250</v>
      </c>
      <c r="CA65" s="229">
        <v>-1.9E-3</v>
      </c>
      <c r="CB65" s="230">
        <v>11907875</v>
      </c>
      <c r="CC65" s="230">
        <v>436325</v>
      </c>
      <c r="CD65" s="230">
        <v>11471550</v>
      </c>
      <c r="CE65" s="229">
        <v>26.2913</v>
      </c>
      <c r="CF65" s="230">
        <v>120900</v>
      </c>
      <c r="CG65" s="230">
        <v>11941200</v>
      </c>
      <c r="CH65" s="230">
        <v>-11820300</v>
      </c>
      <c r="CI65" s="229">
        <v>-0.9899</v>
      </c>
      <c r="CJ65" s="228">
        <v>0</v>
      </c>
      <c r="CK65" s="230">
        <v>110825</v>
      </c>
      <c r="CL65" s="230">
        <v>-110825</v>
      </c>
      <c r="CM65" s="229">
        <v>-1</v>
      </c>
      <c r="CN65" s="230">
        <v>915275</v>
      </c>
      <c r="CO65" s="230">
        <v>578925</v>
      </c>
      <c r="CP65" s="230">
        <v>336350</v>
      </c>
      <c r="CQ65" s="229">
        <v>0.58099999999999996</v>
      </c>
      <c r="CR65" s="230">
        <v>900550</v>
      </c>
      <c r="CS65" s="230">
        <v>716100</v>
      </c>
      <c r="CT65" s="230">
        <v>184450</v>
      </c>
      <c r="CU65" s="229">
        <v>0.2576</v>
      </c>
      <c r="CV65" s="230">
        <v>13844600</v>
      </c>
      <c r="CW65" s="230">
        <v>13347050</v>
      </c>
      <c r="CX65" s="230">
        <v>497550</v>
      </c>
      <c r="CY65" s="229">
        <v>3.73E-2</v>
      </c>
      <c r="CZ65" s="228">
        <v>32.35</v>
      </c>
      <c r="DA65" s="228">
        <v>33.770000000000003</v>
      </c>
      <c r="DB65" s="228">
        <v>-1.42</v>
      </c>
      <c r="DC65" s="228">
        <v>-1.42</v>
      </c>
      <c r="DD65" s="228">
        <v>34.83</v>
      </c>
      <c r="DE65" s="228">
        <v>34.869999999999997</v>
      </c>
      <c r="DF65" s="228">
        <v>-2.48</v>
      </c>
      <c r="DG65" s="228">
        <v>-0.04</v>
      </c>
      <c r="DH65" s="228">
        <v>32.15</v>
      </c>
      <c r="DI65" s="228">
        <v>32.700000000000003</v>
      </c>
      <c r="DJ65" s="228">
        <v>-0.55000000000000004</v>
      </c>
      <c r="DK65" s="228">
        <v>-0.55000000000000004</v>
      </c>
      <c r="DL65" s="228">
        <v>32.78</v>
      </c>
      <c r="DM65" s="228">
        <v>34.450000000000003</v>
      </c>
      <c r="DN65" s="228">
        <v>-1.67</v>
      </c>
      <c r="DO65" s="228">
        <v>-1.67</v>
      </c>
      <c r="DP65" s="228">
        <v>0.98</v>
      </c>
      <c r="DQ65" s="228">
        <v>1.24</v>
      </c>
      <c r="DR65" s="228">
        <v>-0.26</v>
      </c>
      <c r="DS65" s="229">
        <v>-0.2097</v>
      </c>
      <c r="DT65" s="228">
        <v>900</v>
      </c>
      <c r="DU65" s="228">
        <v>840</v>
      </c>
      <c r="DV65" s="228">
        <v>0.46</v>
      </c>
      <c r="DW65" s="228">
        <v>1.17</v>
      </c>
      <c r="DX65" s="228">
        <v>-0.71</v>
      </c>
      <c r="DY65" s="229">
        <v>-0.60680000000000001</v>
      </c>
      <c r="DZ65" s="229">
        <v>1.01E-2</v>
      </c>
      <c r="EA65" s="230">
        <v>12052025</v>
      </c>
      <c r="EB65" s="229">
        <v>6.4999999999999997E-3</v>
      </c>
      <c r="EC65" s="229">
        <v>1.01E-2</v>
      </c>
      <c r="ED65" s="228">
        <v>3.75</v>
      </c>
      <c r="EE65" s="229">
        <v>4.4000000000000003E-3</v>
      </c>
      <c r="EF65" s="230">
        <v>708340</v>
      </c>
      <c r="EG65" s="230">
        <v>776814</v>
      </c>
      <c r="EH65" s="229">
        <v>-8.8099999999999998E-2</v>
      </c>
      <c r="EI65" s="229">
        <v>0.63859999999999995</v>
      </c>
      <c r="EJ65" s="231">
        <v>12519.21</v>
      </c>
      <c r="EK65" s="231">
        <v>5555.83</v>
      </c>
      <c r="EL65" s="231">
        <v>14105.96</v>
      </c>
      <c r="EM65" s="231">
        <v>11740</v>
      </c>
      <c r="EN65" s="231">
        <v>32181</v>
      </c>
      <c r="EO65" s="231">
        <v>114661.94</v>
      </c>
      <c r="EP65" s="231">
        <v>-82480.94</v>
      </c>
      <c r="EQ65" s="229">
        <v>-0.71930000000000005</v>
      </c>
      <c r="ER65" s="231">
        <v>8200</v>
      </c>
      <c r="ES65" s="231">
        <v>7782</v>
      </c>
      <c r="ET65" s="231">
        <v>102510</v>
      </c>
      <c r="EU65" s="231">
        <v>77949604</v>
      </c>
      <c r="EV65" s="231">
        <v>118492</v>
      </c>
      <c r="EW65" s="231">
        <v>113230</v>
      </c>
      <c r="EX65" s="231">
        <v>5262</v>
      </c>
      <c r="EY65" s="229">
        <v>4.65E-2</v>
      </c>
      <c r="EZ65" s="229">
        <v>0.17760000000000001</v>
      </c>
      <c r="FA65" s="227" t="s">
        <v>556</v>
      </c>
      <c r="FB65" s="161">
        <f t="shared" si="0"/>
        <v>120900</v>
      </c>
    </row>
    <row r="66" spans="1:158" ht="17.25" hidden="1" thickBot="1" x14ac:dyDescent="0.3">
      <c r="A66" s="226">
        <v>46050</v>
      </c>
      <c r="B66" s="227" t="s">
        <v>193</v>
      </c>
      <c r="C66" s="227" t="s">
        <v>213</v>
      </c>
      <c r="D66" s="228">
        <v>3150</v>
      </c>
      <c r="E66" s="228">
        <v>168.87</v>
      </c>
      <c r="F66" s="228">
        <v>161.03</v>
      </c>
      <c r="G66" s="228">
        <v>7.84</v>
      </c>
      <c r="H66" s="229">
        <v>4.87E-2</v>
      </c>
      <c r="I66" s="228">
        <v>168.14</v>
      </c>
      <c r="J66" s="228">
        <v>159.97999999999999</v>
      </c>
      <c r="K66" s="228">
        <v>8.16</v>
      </c>
      <c r="L66" s="229">
        <v>5.0999999999999997E-2</v>
      </c>
      <c r="M66" s="228">
        <v>168.87</v>
      </c>
      <c r="N66" s="228">
        <v>160.16999999999999</v>
      </c>
      <c r="O66" s="228">
        <v>8.6999999999999993</v>
      </c>
      <c r="P66" s="229">
        <v>5.4300000000000001E-2</v>
      </c>
      <c r="Q66" s="228">
        <v>169.88</v>
      </c>
      <c r="R66" s="228">
        <v>161.03</v>
      </c>
      <c r="S66" s="228">
        <v>8.85</v>
      </c>
      <c r="T66" s="229">
        <v>5.5E-2</v>
      </c>
      <c r="U66" s="228">
        <v>170.84</v>
      </c>
      <c r="V66" s="228">
        <v>162.16999999999999</v>
      </c>
      <c r="W66" s="228">
        <v>8.67</v>
      </c>
      <c r="X66" s="229">
        <v>5.3499999999999999E-2</v>
      </c>
      <c r="Y66" s="228">
        <v>0.73</v>
      </c>
      <c r="Z66" s="228">
        <v>1.05</v>
      </c>
      <c r="AA66" s="228">
        <v>-0.32</v>
      </c>
      <c r="AB66" s="229">
        <v>4.3E-3</v>
      </c>
      <c r="AC66" s="228">
        <v>0.73</v>
      </c>
      <c r="AD66" s="228">
        <v>0.19</v>
      </c>
      <c r="AE66" s="228">
        <v>0.54</v>
      </c>
      <c r="AF66" s="229">
        <v>4.3E-3</v>
      </c>
      <c r="AG66" s="228">
        <v>1.74</v>
      </c>
      <c r="AH66" s="228">
        <v>1.05</v>
      </c>
      <c r="AI66" s="228">
        <v>0.69</v>
      </c>
      <c r="AJ66" s="229">
        <v>1.03E-2</v>
      </c>
      <c r="AK66" s="228">
        <v>2.7</v>
      </c>
      <c r="AL66" s="228">
        <v>2.19</v>
      </c>
      <c r="AM66" s="228">
        <v>0.51</v>
      </c>
      <c r="AN66" s="229">
        <v>1.61E-2</v>
      </c>
      <c r="AO66" s="228">
        <v>166.52</v>
      </c>
      <c r="AP66" s="228">
        <v>167.37</v>
      </c>
      <c r="AQ66" s="228">
        <v>0</v>
      </c>
      <c r="AR66" s="230">
        <v>24541650</v>
      </c>
      <c r="AS66" s="230">
        <v>87529050</v>
      </c>
      <c r="AT66" s="230">
        <v>-62987400</v>
      </c>
      <c r="AU66" s="229">
        <v>-0.71960000000000002</v>
      </c>
      <c r="AV66" s="230">
        <v>23486400</v>
      </c>
      <c r="AW66" s="230">
        <v>38275650</v>
      </c>
      <c r="AX66" s="230">
        <v>-14789250</v>
      </c>
      <c r="AY66" s="229">
        <v>-0.38640000000000002</v>
      </c>
      <c r="AZ66" s="230">
        <v>989100</v>
      </c>
      <c r="BA66" s="230">
        <v>47977650</v>
      </c>
      <c r="BB66" s="230">
        <v>-46988550</v>
      </c>
      <c r="BC66" s="229">
        <v>-0.97940000000000005</v>
      </c>
      <c r="BD66" s="230">
        <v>66150</v>
      </c>
      <c r="BE66" s="230">
        <v>1275750</v>
      </c>
      <c r="BF66" s="230">
        <v>-1209600</v>
      </c>
      <c r="BG66" s="229">
        <v>-0.94810000000000005</v>
      </c>
      <c r="BH66" s="230">
        <v>62199900</v>
      </c>
      <c r="BI66" s="230">
        <v>35346150</v>
      </c>
      <c r="BJ66" s="230">
        <v>26853750</v>
      </c>
      <c r="BK66" s="229">
        <v>0.75970000000000004</v>
      </c>
      <c r="BL66" s="230">
        <v>23363550</v>
      </c>
      <c r="BM66" s="230">
        <v>29906100</v>
      </c>
      <c r="BN66" s="230">
        <v>-6542550</v>
      </c>
      <c r="BO66" s="229">
        <v>-0.21879999999999999</v>
      </c>
      <c r="BP66" s="230">
        <v>110105100</v>
      </c>
      <c r="BQ66" s="230">
        <v>152781300</v>
      </c>
      <c r="BR66" s="230">
        <v>-42676200</v>
      </c>
      <c r="BS66" s="229">
        <v>-0.27929999999999999</v>
      </c>
      <c r="BT66" s="230">
        <v>12016061</v>
      </c>
      <c r="BU66" s="230">
        <v>22193170</v>
      </c>
      <c r="BV66" s="230">
        <v>-10177109</v>
      </c>
      <c r="BW66" s="229">
        <v>-0.45860000000000001</v>
      </c>
      <c r="BX66" s="230">
        <v>92499750</v>
      </c>
      <c r="BY66" s="230">
        <v>93429000</v>
      </c>
      <c r="BZ66" s="230">
        <v>-929250</v>
      </c>
      <c r="CA66" s="229">
        <v>-9.9000000000000008E-3</v>
      </c>
      <c r="CB66" s="230">
        <v>89560800</v>
      </c>
      <c r="CC66" s="230">
        <v>8271900</v>
      </c>
      <c r="CD66" s="230">
        <v>81288900</v>
      </c>
      <c r="CE66" s="229">
        <v>9.8270999999999997</v>
      </c>
      <c r="CF66" s="230">
        <v>2913750</v>
      </c>
      <c r="CG66" s="230">
        <v>90625500</v>
      </c>
      <c r="CH66" s="230">
        <v>-87711750</v>
      </c>
      <c r="CI66" s="229">
        <v>-0.96779999999999999</v>
      </c>
      <c r="CJ66" s="230">
        <v>25200</v>
      </c>
      <c r="CK66" s="230">
        <v>2803500</v>
      </c>
      <c r="CL66" s="230">
        <v>-2778300</v>
      </c>
      <c r="CM66" s="229">
        <v>-0.99099999999999999</v>
      </c>
      <c r="CN66" s="230">
        <v>26239500</v>
      </c>
      <c r="CO66" s="230">
        <v>18058950</v>
      </c>
      <c r="CP66" s="230">
        <v>8180550</v>
      </c>
      <c r="CQ66" s="229">
        <v>0.45300000000000001</v>
      </c>
      <c r="CR66" s="230">
        <v>25653600</v>
      </c>
      <c r="CS66" s="230">
        <v>22220100</v>
      </c>
      <c r="CT66" s="230">
        <v>3433500</v>
      </c>
      <c r="CU66" s="229">
        <v>0.1545</v>
      </c>
      <c r="CV66" s="230">
        <v>144392850</v>
      </c>
      <c r="CW66" s="230">
        <v>133708050</v>
      </c>
      <c r="CX66" s="230">
        <v>10684800</v>
      </c>
      <c r="CY66" s="229">
        <v>7.9899999999999999E-2</v>
      </c>
      <c r="CZ66" s="228">
        <v>32.229999999999997</v>
      </c>
      <c r="DA66" s="228">
        <v>30.51</v>
      </c>
      <c r="DB66" s="228">
        <v>1.72</v>
      </c>
      <c r="DC66" s="228">
        <v>1.72</v>
      </c>
      <c r="DD66" s="228">
        <v>33.869999999999997</v>
      </c>
      <c r="DE66" s="228">
        <v>33.340000000000003</v>
      </c>
      <c r="DF66" s="228">
        <v>-1.64</v>
      </c>
      <c r="DG66" s="228">
        <v>0.53</v>
      </c>
      <c r="DH66" s="228">
        <v>31.14</v>
      </c>
      <c r="DI66" s="228">
        <v>30.31</v>
      </c>
      <c r="DJ66" s="228">
        <v>0.83</v>
      </c>
      <c r="DK66" s="228">
        <v>0.83</v>
      </c>
      <c r="DL66" s="228">
        <v>35.15</v>
      </c>
      <c r="DM66" s="228">
        <v>30.74</v>
      </c>
      <c r="DN66" s="228">
        <v>4.41</v>
      </c>
      <c r="DO66" s="228">
        <v>4.41</v>
      </c>
      <c r="DP66" s="228">
        <v>0.98</v>
      </c>
      <c r="DQ66" s="228">
        <v>1.23</v>
      </c>
      <c r="DR66" s="228">
        <v>-0.25</v>
      </c>
      <c r="DS66" s="229">
        <v>-0.20330000000000001</v>
      </c>
      <c r="DT66" s="228">
        <v>170</v>
      </c>
      <c r="DU66" s="228">
        <v>150</v>
      </c>
      <c r="DV66" s="228">
        <v>0.38</v>
      </c>
      <c r="DW66" s="228">
        <v>0.85</v>
      </c>
      <c r="DX66" s="228">
        <v>-0.47</v>
      </c>
      <c r="DY66" s="229">
        <v>-0.55289999999999995</v>
      </c>
      <c r="DZ66" s="229">
        <v>3.1800000000000002E-2</v>
      </c>
      <c r="EA66" s="230">
        <v>93429000</v>
      </c>
      <c r="EB66" s="229">
        <v>6.0000000000000001E-3</v>
      </c>
      <c r="EC66" s="229">
        <v>3.1800000000000002E-2</v>
      </c>
      <c r="ED66" s="228">
        <v>0.85</v>
      </c>
      <c r="EE66" s="229">
        <v>5.1000000000000004E-3</v>
      </c>
      <c r="EF66" s="230">
        <v>5601434</v>
      </c>
      <c r="EG66" s="230">
        <v>14744215</v>
      </c>
      <c r="EH66" s="229">
        <v>-0.62009999999999998</v>
      </c>
      <c r="EI66" s="229">
        <v>0.4662</v>
      </c>
      <c r="EJ66" s="231">
        <v>110248.02</v>
      </c>
      <c r="EK66" s="231">
        <v>37483.14</v>
      </c>
      <c r="EL66" s="231">
        <v>40875.96</v>
      </c>
      <c r="EM66" s="231">
        <v>19019</v>
      </c>
      <c r="EN66" s="231">
        <v>188607.12</v>
      </c>
      <c r="EO66" s="231">
        <v>250981.52</v>
      </c>
      <c r="EP66" s="231">
        <v>-62374.400000000001</v>
      </c>
      <c r="EQ66" s="229">
        <v>-0.2485</v>
      </c>
      <c r="ER66" s="231">
        <v>45880</v>
      </c>
      <c r="ES66" s="231">
        <v>42857</v>
      </c>
      <c r="ET66" s="231">
        <v>156234</v>
      </c>
      <c r="EU66" s="231">
        <v>435694919</v>
      </c>
      <c r="EV66" s="231">
        <v>244970</v>
      </c>
      <c r="EW66" s="231">
        <v>219537</v>
      </c>
      <c r="EX66" s="231">
        <v>25433</v>
      </c>
      <c r="EY66" s="229">
        <v>0.1158</v>
      </c>
      <c r="EZ66" s="229">
        <v>0.33139999999999997</v>
      </c>
      <c r="FA66" s="227" t="s">
        <v>556</v>
      </c>
      <c r="FB66" s="161">
        <f t="shared" si="0"/>
        <v>2938950</v>
      </c>
    </row>
    <row r="67" spans="1:158" ht="17.25" hidden="1" thickBot="1" x14ac:dyDescent="0.3">
      <c r="A67" s="226">
        <v>46050</v>
      </c>
      <c r="B67" s="227" t="s">
        <v>170</v>
      </c>
      <c r="C67" s="227" t="s">
        <v>214</v>
      </c>
      <c r="D67" s="228">
        <v>375</v>
      </c>
      <c r="E67" s="231">
        <v>2001.1</v>
      </c>
      <c r="F67" s="231">
        <v>2012.6</v>
      </c>
      <c r="G67" s="228">
        <v>-11.5</v>
      </c>
      <c r="H67" s="229">
        <v>-5.7000000000000002E-3</v>
      </c>
      <c r="I67" s="231">
        <v>1993.5</v>
      </c>
      <c r="J67" s="231">
        <v>1999.7</v>
      </c>
      <c r="K67" s="228">
        <v>-6.2</v>
      </c>
      <c r="L67" s="229">
        <v>-3.0999999999999999E-3</v>
      </c>
      <c r="M67" s="231">
        <v>2001.1</v>
      </c>
      <c r="N67" s="231">
        <v>2003.5</v>
      </c>
      <c r="O67" s="228">
        <v>-2.4</v>
      </c>
      <c r="P67" s="229">
        <v>-1.1999999999999999E-3</v>
      </c>
      <c r="Q67" s="231">
        <v>2015.1</v>
      </c>
      <c r="R67" s="231">
        <v>2012.6</v>
      </c>
      <c r="S67" s="228">
        <v>2.5</v>
      </c>
      <c r="T67" s="229">
        <v>1.1999999999999999E-3</v>
      </c>
      <c r="U67" s="231">
        <v>2015.1</v>
      </c>
      <c r="V67" s="231">
        <v>2022.5</v>
      </c>
      <c r="W67" s="228">
        <v>-7.4</v>
      </c>
      <c r="X67" s="229">
        <v>-3.7000000000000002E-3</v>
      </c>
      <c r="Y67" s="228">
        <v>7.6</v>
      </c>
      <c r="Z67" s="228">
        <v>12.9</v>
      </c>
      <c r="AA67" s="228">
        <v>-5.3</v>
      </c>
      <c r="AB67" s="229">
        <v>3.8E-3</v>
      </c>
      <c r="AC67" s="228">
        <v>7.6</v>
      </c>
      <c r="AD67" s="228">
        <v>3.8</v>
      </c>
      <c r="AE67" s="228">
        <v>3.8</v>
      </c>
      <c r="AF67" s="229">
        <v>3.8E-3</v>
      </c>
      <c r="AG67" s="228">
        <v>21.6</v>
      </c>
      <c r="AH67" s="228">
        <v>12.9</v>
      </c>
      <c r="AI67" s="228">
        <v>8.6999999999999993</v>
      </c>
      <c r="AJ67" s="229">
        <v>1.0800000000000001E-2</v>
      </c>
      <c r="AK67" s="228">
        <v>21.6</v>
      </c>
      <c r="AL67" s="228">
        <v>22.8</v>
      </c>
      <c r="AM67" s="228">
        <v>-1.2</v>
      </c>
      <c r="AN67" s="229">
        <v>1.0800000000000001E-2</v>
      </c>
      <c r="AO67" s="231">
        <v>1998.43</v>
      </c>
      <c r="AP67" s="231">
        <v>2012.53</v>
      </c>
      <c r="AQ67" s="228">
        <v>0</v>
      </c>
      <c r="AR67" s="230">
        <v>961500</v>
      </c>
      <c r="AS67" s="230">
        <v>7508625</v>
      </c>
      <c r="AT67" s="230">
        <v>-6547125</v>
      </c>
      <c r="AU67" s="229">
        <v>-0.87190000000000001</v>
      </c>
      <c r="AV67" s="230">
        <v>942375</v>
      </c>
      <c r="AW67" s="230">
        <v>3220875</v>
      </c>
      <c r="AX67" s="230">
        <v>-2278500</v>
      </c>
      <c r="AY67" s="229">
        <v>-0.70740000000000003</v>
      </c>
      <c r="AZ67" s="230">
        <v>18750</v>
      </c>
      <c r="BA67" s="230">
        <v>4259625</v>
      </c>
      <c r="BB67" s="230">
        <v>-4240875</v>
      </c>
      <c r="BC67" s="229">
        <v>-0.99560000000000004</v>
      </c>
      <c r="BD67" s="228">
        <v>375</v>
      </c>
      <c r="BE67" s="230">
        <v>28125</v>
      </c>
      <c r="BF67" s="230">
        <v>-27750</v>
      </c>
      <c r="BG67" s="229">
        <v>-0.98670000000000002</v>
      </c>
      <c r="BH67" s="230">
        <v>1144875</v>
      </c>
      <c r="BI67" s="230">
        <v>2853750</v>
      </c>
      <c r="BJ67" s="230">
        <v>-1708875</v>
      </c>
      <c r="BK67" s="229">
        <v>-0.5988</v>
      </c>
      <c r="BL67" s="230">
        <v>654000</v>
      </c>
      <c r="BM67" s="230">
        <v>1577625</v>
      </c>
      <c r="BN67" s="230">
        <v>-923625</v>
      </c>
      <c r="BO67" s="229">
        <v>-0.58550000000000002</v>
      </c>
      <c r="BP67" s="230">
        <v>2760375</v>
      </c>
      <c r="BQ67" s="230">
        <v>11940000</v>
      </c>
      <c r="BR67" s="230">
        <v>-9179625</v>
      </c>
      <c r="BS67" s="229">
        <v>-0.76880000000000004</v>
      </c>
      <c r="BT67" s="230">
        <v>241136</v>
      </c>
      <c r="BU67" s="230">
        <v>475282</v>
      </c>
      <c r="BV67" s="230">
        <v>-234146</v>
      </c>
      <c r="BW67" s="229">
        <v>-0.49259999999999998</v>
      </c>
      <c r="BX67" s="230">
        <v>11288250</v>
      </c>
      <c r="BY67" s="230">
        <v>11107125</v>
      </c>
      <c r="BZ67" s="230">
        <v>181125</v>
      </c>
      <c r="CA67" s="229">
        <v>1.6299999999999999E-2</v>
      </c>
      <c r="CB67" s="230">
        <v>11241750</v>
      </c>
      <c r="CC67" s="230">
        <v>275250</v>
      </c>
      <c r="CD67" s="230">
        <v>10966500</v>
      </c>
      <c r="CE67" s="229">
        <v>39.841999999999999</v>
      </c>
      <c r="CF67" s="230">
        <v>46125</v>
      </c>
      <c r="CG67" s="230">
        <v>11065875</v>
      </c>
      <c r="CH67" s="230">
        <v>-11019750</v>
      </c>
      <c r="CI67" s="229">
        <v>-0.99580000000000002</v>
      </c>
      <c r="CJ67" s="228">
        <v>375</v>
      </c>
      <c r="CK67" s="230">
        <v>41250</v>
      </c>
      <c r="CL67" s="230">
        <v>-40875</v>
      </c>
      <c r="CM67" s="229">
        <v>-0.9909</v>
      </c>
      <c r="CN67" s="230">
        <v>1199250</v>
      </c>
      <c r="CO67" s="230">
        <v>1052250</v>
      </c>
      <c r="CP67" s="230">
        <v>147000</v>
      </c>
      <c r="CQ67" s="229">
        <v>0.13969999999999999</v>
      </c>
      <c r="CR67" s="230">
        <v>863625</v>
      </c>
      <c r="CS67" s="230">
        <v>789750</v>
      </c>
      <c r="CT67" s="230">
        <v>73875</v>
      </c>
      <c r="CU67" s="229">
        <v>9.35E-2</v>
      </c>
      <c r="CV67" s="230">
        <v>13351125</v>
      </c>
      <c r="CW67" s="230">
        <v>12949125</v>
      </c>
      <c r="CX67" s="230">
        <v>402000</v>
      </c>
      <c r="CY67" s="229">
        <v>3.1E-2</v>
      </c>
      <c r="CZ67" s="228">
        <v>34.64</v>
      </c>
      <c r="DA67" s="228">
        <v>34.44</v>
      </c>
      <c r="DB67" s="228">
        <v>0.2</v>
      </c>
      <c r="DC67" s="228">
        <v>0.2</v>
      </c>
      <c r="DD67" s="228">
        <v>35.119999999999997</v>
      </c>
      <c r="DE67" s="228">
        <v>35.200000000000003</v>
      </c>
      <c r="DF67" s="228">
        <v>-0.48</v>
      </c>
      <c r="DG67" s="228">
        <v>-0.08</v>
      </c>
      <c r="DH67" s="228">
        <v>34.43</v>
      </c>
      <c r="DI67" s="228">
        <v>33.74</v>
      </c>
      <c r="DJ67" s="228">
        <v>0.69</v>
      </c>
      <c r="DK67" s="228">
        <v>0.69</v>
      </c>
      <c r="DL67" s="228">
        <v>35.03</v>
      </c>
      <c r="DM67" s="228">
        <v>35.33</v>
      </c>
      <c r="DN67" s="228">
        <v>-0.3</v>
      </c>
      <c r="DO67" s="228">
        <v>-0.3</v>
      </c>
      <c r="DP67" s="228">
        <v>0.72</v>
      </c>
      <c r="DQ67" s="228">
        <v>0.75</v>
      </c>
      <c r="DR67" s="228">
        <v>-0.03</v>
      </c>
      <c r="DS67" s="229">
        <v>-0.04</v>
      </c>
      <c r="DT67" s="231">
        <v>2000</v>
      </c>
      <c r="DU67" s="231">
        <v>2000</v>
      </c>
      <c r="DV67" s="228">
        <v>0.56999999999999995</v>
      </c>
      <c r="DW67" s="228">
        <v>0.55000000000000004</v>
      </c>
      <c r="DX67" s="228">
        <v>0.02</v>
      </c>
      <c r="DY67" s="229">
        <v>3.6400000000000002E-2</v>
      </c>
      <c r="DZ67" s="229">
        <v>4.1000000000000003E-3</v>
      </c>
      <c r="EA67" s="230">
        <v>11107125</v>
      </c>
      <c r="EB67" s="229">
        <v>7.0000000000000001E-3</v>
      </c>
      <c r="EC67" s="229">
        <v>4.1000000000000003E-3</v>
      </c>
      <c r="ED67" s="228">
        <v>14.1</v>
      </c>
      <c r="EE67" s="229">
        <v>7.1000000000000004E-3</v>
      </c>
      <c r="EF67" s="230">
        <v>113810</v>
      </c>
      <c r="EG67" s="230">
        <v>203729</v>
      </c>
      <c r="EH67" s="229">
        <v>-0.44140000000000001</v>
      </c>
      <c r="EI67" s="229">
        <v>0.47199999999999998</v>
      </c>
      <c r="EJ67" s="231">
        <v>24370.959999999999</v>
      </c>
      <c r="EK67" s="231">
        <v>12918.67</v>
      </c>
      <c r="EL67" s="231">
        <v>19217.63</v>
      </c>
      <c r="EM67" s="231">
        <v>19906</v>
      </c>
      <c r="EN67" s="231">
        <v>56507.26</v>
      </c>
      <c r="EO67" s="231">
        <v>241379.7</v>
      </c>
      <c r="EP67" s="231">
        <v>-184872.44</v>
      </c>
      <c r="EQ67" s="229">
        <v>-0.76590000000000003</v>
      </c>
      <c r="ER67" s="231">
        <v>24898</v>
      </c>
      <c r="ES67" s="231">
        <v>16979</v>
      </c>
      <c r="ET67" s="231">
        <v>225896</v>
      </c>
      <c r="EU67" s="231">
        <v>22585180</v>
      </c>
      <c r="EV67" s="231">
        <v>267772</v>
      </c>
      <c r="EW67" s="231">
        <v>260832</v>
      </c>
      <c r="EX67" s="231">
        <v>6940</v>
      </c>
      <c r="EY67" s="229">
        <v>2.6599999999999999E-2</v>
      </c>
      <c r="EZ67" s="229">
        <v>0.59109999999999996</v>
      </c>
      <c r="FA67" s="227" t="s">
        <v>567</v>
      </c>
      <c r="FB67" s="161">
        <f t="shared" ref="FB67:FB130" si="1">BX67-CB67</f>
        <v>46500</v>
      </c>
    </row>
    <row r="68" spans="1:158" ht="17.25" hidden="1" thickBot="1" x14ac:dyDescent="0.3">
      <c r="A68" s="226">
        <v>46050</v>
      </c>
      <c r="B68" s="227" t="s">
        <v>215</v>
      </c>
      <c r="C68" s="227" t="s">
        <v>631</v>
      </c>
      <c r="D68" s="228">
        <v>6975</v>
      </c>
      <c r="E68" s="228">
        <v>94.57</v>
      </c>
      <c r="F68" s="228">
        <v>93.31</v>
      </c>
      <c r="G68" s="228">
        <v>1.26</v>
      </c>
      <c r="H68" s="229">
        <v>1.35E-2</v>
      </c>
      <c r="I68" s="228">
        <v>93.91</v>
      </c>
      <c r="J68" s="228">
        <v>92.64</v>
      </c>
      <c r="K68" s="228">
        <v>1.27</v>
      </c>
      <c r="L68" s="229">
        <v>1.37E-2</v>
      </c>
      <c r="M68" s="228">
        <v>94.57</v>
      </c>
      <c r="N68" s="228">
        <v>92.84</v>
      </c>
      <c r="O68" s="228">
        <v>1.73</v>
      </c>
      <c r="P68" s="229">
        <v>1.8599999999999998E-2</v>
      </c>
      <c r="Q68" s="228">
        <v>95.18</v>
      </c>
      <c r="R68" s="228">
        <v>93.31</v>
      </c>
      <c r="S68" s="228">
        <v>1.87</v>
      </c>
      <c r="T68" s="229">
        <v>0.02</v>
      </c>
      <c r="U68" s="228">
        <v>95.86</v>
      </c>
      <c r="V68" s="228">
        <v>93.88</v>
      </c>
      <c r="W68" s="228">
        <v>1.98</v>
      </c>
      <c r="X68" s="229">
        <v>2.1100000000000001E-2</v>
      </c>
      <c r="Y68" s="228">
        <v>0.66</v>
      </c>
      <c r="Z68" s="228">
        <v>0.67</v>
      </c>
      <c r="AA68" s="228">
        <v>-0.01</v>
      </c>
      <c r="AB68" s="229">
        <v>7.0000000000000001E-3</v>
      </c>
      <c r="AC68" s="228">
        <v>0.66</v>
      </c>
      <c r="AD68" s="228">
        <v>0.2</v>
      </c>
      <c r="AE68" s="228">
        <v>0.46</v>
      </c>
      <c r="AF68" s="229">
        <v>7.0000000000000001E-3</v>
      </c>
      <c r="AG68" s="228">
        <v>1.27</v>
      </c>
      <c r="AH68" s="228">
        <v>0.67</v>
      </c>
      <c r="AI68" s="228">
        <v>0.6</v>
      </c>
      <c r="AJ68" s="229">
        <v>1.35E-2</v>
      </c>
      <c r="AK68" s="228">
        <v>1.95</v>
      </c>
      <c r="AL68" s="228">
        <v>1.24</v>
      </c>
      <c r="AM68" s="228">
        <v>0.71</v>
      </c>
      <c r="AN68" s="229">
        <v>2.0799999999999999E-2</v>
      </c>
      <c r="AO68" s="228">
        <v>93.85</v>
      </c>
      <c r="AP68" s="228">
        <v>94.43</v>
      </c>
      <c r="AQ68" s="228">
        <v>0</v>
      </c>
      <c r="AR68" s="230">
        <v>18720900</v>
      </c>
      <c r="AS68" s="230">
        <v>132148350</v>
      </c>
      <c r="AT68" s="230">
        <v>-113427450</v>
      </c>
      <c r="AU68" s="229">
        <v>-0.85829999999999995</v>
      </c>
      <c r="AV68" s="230">
        <v>17625825</v>
      </c>
      <c r="AW68" s="230">
        <v>53323875</v>
      </c>
      <c r="AX68" s="230">
        <v>-35698050</v>
      </c>
      <c r="AY68" s="229">
        <v>-0.66949999999999998</v>
      </c>
      <c r="AZ68" s="230">
        <v>934650</v>
      </c>
      <c r="BA68" s="230">
        <v>75741525</v>
      </c>
      <c r="BB68" s="230">
        <v>-74806875</v>
      </c>
      <c r="BC68" s="229">
        <v>-0.98770000000000002</v>
      </c>
      <c r="BD68" s="230">
        <v>160425</v>
      </c>
      <c r="BE68" s="230">
        <v>3082950</v>
      </c>
      <c r="BF68" s="230">
        <v>-2922525</v>
      </c>
      <c r="BG68" s="229">
        <v>-0.94799999999999995</v>
      </c>
      <c r="BH68" s="230">
        <v>51370875</v>
      </c>
      <c r="BI68" s="230">
        <v>81893475</v>
      </c>
      <c r="BJ68" s="230">
        <v>-30522600</v>
      </c>
      <c r="BK68" s="229">
        <v>-0.37269999999999998</v>
      </c>
      <c r="BL68" s="230">
        <v>10720575</v>
      </c>
      <c r="BM68" s="230">
        <v>54725850</v>
      </c>
      <c r="BN68" s="230">
        <v>-44005275</v>
      </c>
      <c r="BO68" s="229">
        <v>-0.80410000000000004</v>
      </c>
      <c r="BP68" s="230">
        <v>80812350</v>
      </c>
      <c r="BQ68" s="230">
        <v>268767675</v>
      </c>
      <c r="BR68" s="230">
        <v>-187955325</v>
      </c>
      <c r="BS68" s="229">
        <v>-0.69930000000000003</v>
      </c>
      <c r="BT68" s="230">
        <v>20849768</v>
      </c>
      <c r="BU68" s="230">
        <v>40547468</v>
      </c>
      <c r="BV68" s="230">
        <v>-19697700</v>
      </c>
      <c r="BW68" s="229">
        <v>-0.48580000000000001</v>
      </c>
      <c r="BX68" s="230">
        <v>164010150</v>
      </c>
      <c r="BY68" s="230">
        <v>162998775</v>
      </c>
      <c r="BZ68" s="230">
        <v>1011375</v>
      </c>
      <c r="CA68" s="229">
        <v>6.1999999999999998E-3</v>
      </c>
      <c r="CB68" s="230">
        <v>160571475</v>
      </c>
      <c r="CC68" s="230">
        <v>26979300</v>
      </c>
      <c r="CD68" s="230">
        <v>133592175</v>
      </c>
      <c r="CE68" s="229">
        <v>4.9516999999999998</v>
      </c>
      <c r="CF68" s="230">
        <v>3348000</v>
      </c>
      <c r="CG68" s="230">
        <v>159804225</v>
      </c>
      <c r="CH68" s="230">
        <v>-156456225</v>
      </c>
      <c r="CI68" s="229">
        <v>-0.97899999999999998</v>
      </c>
      <c r="CJ68" s="230">
        <v>90675</v>
      </c>
      <c r="CK68" s="230">
        <v>3194550</v>
      </c>
      <c r="CL68" s="230">
        <v>-3103875</v>
      </c>
      <c r="CM68" s="229">
        <v>-0.97160000000000002</v>
      </c>
      <c r="CN68" s="230">
        <v>47827575</v>
      </c>
      <c r="CO68" s="230">
        <v>44556300</v>
      </c>
      <c r="CP68" s="230">
        <v>3271275</v>
      </c>
      <c r="CQ68" s="229">
        <v>7.3400000000000007E-2</v>
      </c>
      <c r="CR68" s="230">
        <v>41661675</v>
      </c>
      <c r="CS68" s="230">
        <v>39408750</v>
      </c>
      <c r="CT68" s="230">
        <v>2252925</v>
      </c>
      <c r="CU68" s="229">
        <v>5.7200000000000001E-2</v>
      </c>
      <c r="CV68" s="230">
        <v>253499400</v>
      </c>
      <c r="CW68" s="230">
        <v>246963825</v>
      </c>
      <c r="CX68" s="230">
        <v>6535575</v>
      </c>
      <c r="CY68" s="229">
        <v>2.6499999999999999E-2</v>
      </c>
      <c r="CZ68" s="228">
        <v>34.75</v>
      </c>
      <c r="DA68" s="228">
        <v>35.44</v>
      </c>
      <c r="DB68" s="228">
        <v>-0.69</v>
      </c>
      <c r="DC68" s="228">
        <v>-0.69</v>
      </c>
      <c r="DD68" s="228">
        <v>36.61</v>
      </c>
      <c r="DE68" s="228">
        <v>36.659999999999997</v>
      </c>
      <c r="DF68" s="228">
        <v>-1.86</v>
      </c>
      <c r="DG68" s="228">
        <v>-0.05</v>
      </c>
      <c r="DH68" s="228">
        <v>34.450000000000003</v>
      </c>
      <c r="DI68" s="228">
        <v>35.08</v>
      </c>
      <c r="DJ68" s="228">
        <v>-0.63</v>
      </c>
      <c r="DK68" s="228">
        <v>-0.63</v>
      </c>
      <c r="DL68" s="228">
        <v>36.18</v>
      </c>
      <c r="DM68" s="228">
        <v>36.090000000000003</v>
      </c>
      <c r="DN68" s="228">
        <v>0.09</v>
      </c>
      <c r="DO68" s="228">
        <v>0.09</v>
      </c>
      <c r="DP68" s="228">
        <v>0.87</v>
      </c>
      <c r="DQ68" s="228">
        <v>0.88</v>
      </c>
      <c r="DR68" s="228">
        <v>-0.01</v>
      </c>
      <c r="DS68" s="229">
        <v>-1.14E-2</v>
      </c>
      <c r="DT68" s="228">
        <v>100</v>
      </c>
      <c r="DU68" s="228">
        <v>98</v>
      </c>
      <c r="DV68" s="228">
        <v>0.21</v>
      </c>
      <c r="DW68" s="228">
        <v>0.67</v>
      </c>
      <c r="DX68" s="228">
        <v>-0.46</v>
      </c>
      <c r="DY68" s="229">
        <v>-0.68659999999999999</v>
      </c>
      <c r="DZ68" s="229">
        <v>2.1000000000000001E-2</v>
      </c>
      <c r="EA68" s="230">
        <v>162998775</v>
      </c>
      <c r="EB68" s="229">
        <v>6.4999999999999997E-3</v>
      </c>
      <c r="EC68" s="229">
        <v>2.1000000000000001E-2</v>
      </c>
      <c r="ED68" s="228">
        <v>0.57999999999999996</v>
      </c>
      <c r="EE68" s="229">
        <v>6.1999999999999998E-3</v>
      </c>
      <c r="EF68" s="230">
        <v>14409690</v>
      </c>
      <c r="EG68" s="230">
        <v>26635877</v>
      </c>
      <c r="EH68" s="229">
        <v>-0.45900000000000002</v>
      </c>
      <c r="EI68" s="229">
        <v>0.69110000000000005</v>
      </c>
      <c r="EJ68" s="231">
        <v>52298.46</v>
      </c>
      <c r="EK68" s="231">
        <v>9867.18</v>
      </c>
      <c r="EL68" s="231">
        <v>17576.830000000002</v>
      </c>
      <c r="EM68" s="231">
        <v>15308</v>
      </c>
      <c r="EN68" s="231">
        <v>79742.47</v>
      </c>
      <c r="EO68" s="231">
        <v>255061.31</v>
      </c>
      <c r="EP68" s="231">
        <v>-175318.84</v>
      </c>
      <c r="EQ68" s="229">
        <v>-0.68740000000000001</v>
      </c>
      <c r="ER68" s="231">
        <v>48080</v>
      </c>
      <c r="ES68" s="231">
        <v>39628</v>
      </c>
      <c r="ET68" s="231">
        <v>155126</v>
      </c>
      <c r="EU68" s="231">
        <v>534704421</v>
      </c>
      <c r="EV68" s="231">
        <v>242835</v>
      </c>
      <c r="EW68" s="231">
        <v>234522</v>
      </c>
      <c r="EX68" s="231">
        <v>8313</v>
      </c>
      <c r="EY68" s="229">
        <v>3.5400000000000001E-2</v>
      </c>
      <c r="EZ68" s="229">
        <v>0.47410000000000002</v>
      </c>
      <c r="FA68" s="227" t="s">
        <v>555</v>
      </c>
      <c r="FB68" s="161">
        <f t="shared" si="1"/>
        <v>3438675</v>
      </c>
    </row>
    <row r="69" spans="1:158" ht="17.25" hidden="1" thickBot="1" x14ac:dyDescent="0.3">
      <c r="A69" s="226">
        <v>46050</v>
      </c>
      <c r="B69" s="227" t="s">
        <v>168</v>
      </c>
      <c r="C69" s="227" t="s">
        <v>217</v>
      </c>
      <c r="D69" s="228">
        <v>500</v>
      </c>
      <c r="E69" s="231">
        <v>1173.2</v>
      </c>
      <c r="F69" s="231">
        <v>1173.9000000000001</v>
      </c>
      <c r="G69" s="228">
        <v>-0.7</v>
      </c>
      <c r="H69" s="229">
        <v>-5.9999999999999995E-4</v>
      </c>
      <c r="I69" s="231">
        <v>1171.8</v>
      </c>
      <c r="J69" s="231">
        <v>1173.9000000000001</v>
      </c>
      <c r="K69" s="228">
        <v>-2.1</v>
      </c>
      <c r="L69" s="229">
        <v>-1.8E-3</v>
      </c>
      <c r="M69" s="231">
        <v>1173.2</v>
      </c>
      <c r="N69" s="231">
        <v>1173.2</v>
      </c>
      <c r="O69" s="228">
        <v>0</v>
      </c>
      <c r="P69" s="229">
        <v>0</v>
      </c>
      <c r="Q69" s="231">
        <v>1178.5999999999999</v>
      </c>
      <c r="R69" s="231">
        <v>1173.9000000000001</v>
      </c>
      <c r="S69" s="228">
        <v>4.7</v>
      </c>
      <c r="T69" s="229">
        <v>4.0000000000000001E-3</v>
      </c>
      <c r="U69" s="228">
        <v>0</v>
      </c>
      <c r="V69" s="231">
        <v>1180.8</v>
      </c>
      <c r="W69" s="228">
        <v>0</v>
      </c>
      <c r="X69" s="229">
        <v>0</v>
      </c>
      <c r="Y69" s="228">
        <v>1.4</v>
      </c>
      <c r="Z69" s="228">
        <v>0</v>
      </c>
      <c r="AA69" s="228">
        <v>1.4</v>
      </c>
      <c r="AB69" s="229">
        <v>1.1999999999999999E-3</v>
      </c>
      <c r="AC69" s="228">
        <v>1.4</v>
      </c>
      <c r="AD69" s="228">
        <v>-0.7</v>
      </c>
      <c r="AE69" s="228">
        <v>2.1</v>
      </c>
      <c r="AF69" s="229">
        <v>1.1999999999999999E-3</v>
      </c>
      <c r="AG69" s="228">
        <v>6.8</v>
      </c>
      <c r="AH69" s="228">
        <v>0</v>
      </c>
      <c r="AI69" s="228">
        <v>6.8</v>
      </c>
      <c r="AJ69" s="229">
        <v>5.7999999999999996E-3</v>
      </c>
      <c r="AK69" s="228">
        <v>0</v>
      </c>
      <c r="AL69" s="228">
        <v>6.9</v>
      </c>
      <c r="AM69" s="228">
        <v>0</v>
      </c>
      <c r="AN69" s="229">
        <v>0</v>
      </c>
      <c r="AO69" s="231">
        <v>1163.1500000000001</v>
      </c>
      <c r="AP69" s="231">
        <v>1167.79</v>
      </c>
      <c r="AQ69" s="228">
        <v>0</v>
      </c>
      <c r="AR69" s="230">
        <v>1226000</v>
      </c>
      <c r="AS69" s="230">
        <v>9778000</v>
      </c>
      <c r="AT69" s="230">
        <v>-8552000</v>
      </c>
      <c r="AU69" s="229">
        <v>-0.87460000000000004</v>
      </c>
      <c r="AV69" s="230">
        <v>1192000</v>
      </c>
      <c r="AW69" s="230">
        <v>3400000</v>
      </c>
      <c r="AX69" s="230">
        <v>-2208000</v>
      </c>
      <c r="AY69" s="229">
        <v>-0.64939999999999998</v>
      </c>
      <c r="AZ69" s="230">
        <v>34000</v>
      </c>
      <c r="BA69" s="230">
        <v>6350500</v>
      </c>
      <c r="BB69" s="230">
        <v>-6316500</v>
      </c>
      <c r="BC69" s="229">
        <v>-0.99460000000000004</v>
      </c>
      <c r="BD69" s="228">
        <v>0</v>
      </c>
      <c r="BE69" s="230">
        <v>27500</v>
      </c>
      <c r="BF69" s="228">
        <v>0</v>
      </c>
      <c r="BG69" s="229">
        <v>0</v>
      </c>
      <c r="BH69" s="230">
        <v>2569500</v>
      </c>
      <c r="BI69" s="230">
        <v>5683000</v>
      </c>
      <c r="BJ69" s="230">
        <v>-3113500</v>
      </c>
      <c r="BK69" s="229">
        <v>-0.54790000000000005</v>
      </c>
      <c r="BL69" s="230">
        <v>2332500</v>
      </c>
      <c r="BM69" s="230">
        <v>7852500</v>
      </c>
      <c r="BN69" s="230">
        <v>-5520000</v>
      </c>
      <c r="BO69" s="229">
        <v>-0.70299999999999996</v>
      </c>
      <c r="BP69" s="230">
        <v>6128000</v>
      </c>
      <c r="BQ69" s="230">
        <v>23313500</v>
      </c>
      <c r="BR69" s="230">
        <v>-17185500</v>
      </c>
      <c r="BS69" s="229">
        <v>-0.73709999999999998</v>
      </c>
      <c r="BT69" s="230">
        <v>1379633</v>
      </c>
      <c r="BU69" s="230">
        <v>4630913</v>
      </c>
      <c r="BV69" s="230">
        <v>-3251280</v>
      </c>
      <c r="BW69" s="229">
        <v>-0.70209999999999995</v>
      </c>
      <c r="BX69" s="230">
        <v>7895000</v>
      </c>
      <c r="BY69" s="230">
        <v>7949500</v>
      </c>
      <c r="BZ69" s="230">
        <v>-54500</v>
      </c>
      <c r="CA69" s="229">
        <v>-6.8999999999999999E-3</v>
      </c>
      <c r="CB69" s="230">
        <v>7861000</v>
      </c>
      <c r="CC69" s="230">
        <v>462500</v>
      </c>
      <c r="CD69" s="230">
        <v>7398500</v>
      </c>
      <c r="CE69" s="229">
        <v>15.9968</v>
      </c>
      <c r="CF69" s="230">
        <v>34000</v>
      </c>
      <c r="CG69" s="230">
        <v>7925500</v>
      </c>
      <c r="CH69" s="230">
        <v>-7891500</v>
      </c>
      <c r="CI69" s="229">
        <v>-0.99570000000000003</v>
      </c>
      <c r="CJ69" s="228">
        <v>0</v>
      </c>
      <c r="CK69" s="230">
        <v>24000</v>
      </c>
      <c r="CL69" s="230">
        <v>-24000</v>
      </c>
      <c r="CM69" s="229">
        <v>-1</v>
      </c>
      <c r="CN69" s="230">
        <v>1211000</v>
      </c>
      <c r="CO69" s="230">
        <v>976000</v>
      </c>
      <c r="CP69" s="230">
        <v>235000</v>
      </c>
      <c r="CQ69" s="229">
        <v>0.24079999999999999</v>
      </c>
      <c r="CR69" s="230">
        <v>1200500</v>
      </c>
      <c r="CS69" s="230">
        <v>746500</v>
      </c>
      <c r="CT69" s="230">
        <v>454000</v>
      </c>
      <c r="CU69" s="229">
        <v>0.60819999999999996</v>
      </c>
      <c r="CV69" s="230">
        <v>10306500</v>
      </c>
      <c r="CW69" s="230">
        <v>9672000</v>
      </c>
      <c r="CX69" s="230">
        <v>634500</v>
      </c>
      <c r="CY69" s="229">
        <v>6.5600000000000006E-2</v>
      </c>
      <c r="CZ69" s="228">
        <v>27.34</v>
      </c>
      <c r="DA69" s="228">
        <v>29.15</v>
      </c>
      <c r="DB69" s="228">
        <v>-1.81</v>
      </c>
      <c r="DC69" s="228">
        <v>-1.81</v>
      </c>
      <c r="DD69" s="228">
        <v>28.49</v>
      </c>
      <c r="DE69" s="228">
        <v>28.56</v>
      </c>
      <c r="DF69" s="228">
        <v>-1.1499999999999999</v>
      </c>
      <c r="DG69" s="228">
        <v>-7.0000000000000007E-2</v>
      </c>
      <c r="DH69" s="228">
        <v>26.89</v>
      </c>
      <c r="DI69" s="228">
        <v>29.32</v>
      </c>
      <c r="DJ69" s="228">
        <v>-2.4300000000000002</v>
      </c>
      <c r="DK69" s="228">
        <v>-2.4300000000000002</v>
      </c>
      <c r="DL69" s="228">
        <v>27.83</v>
      </c>
      <c r="DM69" s="228">
        <v>29.01</v>
      </c>
      <c r="DN69" s="228">
        <v>-1.18</v>
      </c>
      <c r="DO69" s="228">
        <v>-1.18</v>
      </c>
      <c r="DP69" s="228">
        <v>0.99</v>
      </c>
      <c r="DQ69" s="228">
        <v>0.76</v>
      </c>
      <c r="DR69" s="228">
        <v>0.23</v>
      </c>
      <c r="DS69" s="229">
        <v>0.30259999999999998</v>
      </c>
      <c r="DT69" s="231">
        <v>1200</v>
      </c>
      <c r="DU69" s="231">
        <v>1100</v>
      </c>
      <c r="DV69" s="228">
        <v>0.91</v>
      </c>
      <c r="DW69" s="228">
        <v>1.38</v>
      </c>
      <c r="DX69" s="228">
        <v>-0.47</v>
      </c>
      <c r="DY69" s="229">
        <v>-0.34060000000000001</v>
      </c>
      <c r="DZ69" s="229">
        <v>4.3E-3</v>
      </c>
      <c r="EA69" s="230">
        <v>7949500</v>
      </c>
      <c r="EB69" s="229">
        <v>4.5999999999999999E-3</v>
      </c>
      <c r="EC69" s="229">
        <v>4.3E-3</v>
      </c>
      <c r="ED69" s="228">
        <v>4.6399999999999997</v>
      </c>
      <c r="EE69" s="229">
        <v>4.0000000000000001E-3</v>
      </c>
      <c r="EF69" s="230">
        <v>802209</v>
      </c>
      <c r="EG69" s="230">
        <v>2313745</v>
      </c>
      <c r="EH69" s="229">
        <v>-0.65329999999999999</v>
      </c>
      <c r="EI69" s="229">
        <v>0.58150000000000002</v>
      </c>
      <c r="EJ69" s="231">
        <v>31694.1</v>
      </c>
      <c r="EK69" s="231">
        <v>27063.29</v>
      </c>
      <c r="EL69" s="231">
        <v>14261.81</v>
      </c>
      <c r="EM69" s="231">
        <v>15893</v>
      </c>
      <c r="EN69" s="231">
        <v>73019.199999999997</v>
      </c>
      <c r="EO69" s="231">
        <v>278606.44</v>
      </c>
      <c r="EP69" s="231">
        <v>-205587.24</v>
      </c>
      <c r="EQ69" s="229">
        <v>-0.7379</v>
      </c>
      <c r="ER69" s="231">
        <v>15081</v>
      </c>
      <c r="ES69" s="231">
        <v>13634</v>
      </c>
      <c r="ET69" s="231">
        <v>92626</v>
      </c>
      <c r="EU69" s="231">
        <v>72031016</v>
      </c>
      <c r="EV69" s="231">
        <v>121341</v>
      </c>
      <c r="EW69" s="231">
        <v>114302</v>
      </c>
      <c r="EX69" s="231">
        <v>7039</v>
      </c>
      <c r="EY69" s="229">
        <v>6.1600000000000002E-2</v>
      </c>
      <c r="EZ69" s="229">
        <v>0.1431</v>
      </c>
      <c r="FA69" s="227" t="s">
        <v>568</v>
      </c>
      <c r="FB69" s="161">
        <f t="shared" si="1"/>
        <v>34000</v>
      </c>
    </row>
    <row r="70" spans="1:158" ht="17.25" hidden="1" thickBot="1" x14ac:dyDescent="0.3">
      <c r="A70" s="226">
        <v>46050</v>
      </c>
      <c r="B70" s="227" t="s">
        <v>206</v>
      </c>
      <c r="C70" s="227" t="s">
        <v>218</v>
      </c>
      <c r="D70" s="228">
        <v>275</v>
      </c>
      <c r="E70" s="231">
        <v>1560.7</v>
      </c>
      <c r="F70" s="231">
        <v>1529</v>
      </c>
      <c r="G70" s="228">
        <v>31.7</v>
      </c>
      <c r="H70" s="229">
        <v>2.07E-2</v>
      </c>
      <c r="I70" s="231">
        <v>1550.3</v>
      </c>
      <c r="J70" s="231">
        <v>1517.9</v>
      </c>
      <c r="K70" s="228">
        <v>32.4</v>
      </c>
      <c r="L70" s="229">
        <v>2.1299999999999999E-2</v>
      </c>
      <c r="M70" s="231">
        <v>1560.7</v>
      </c>
      <c r="N70" s="231">
        <v>1519.8</v>
      </c>
      <c r="O70" s="228">
        <v>40.9</v>
      </c>
      <c r="P70" s="229">
        <v>2.69E-2</v>
      </c>
      <c r="Q70" s="231">
        <v>1571.5</v>
      </c>
      <c r="R70" s="231">
        <v>1529</v>
      </c>
      <c r="S70" s="228">
        <v>42.5</v>
      </c>
      <c r="T70" s="229">
        <v>2.7799999999999998E-2</v>
      </c>
      <c r="U70" s="231">
        <v>1581.6</v>
      </c>
      <c r="V70" s="231">
        <v>1540.7</v>
      </c>
      <c r="W70" s="228">
        <v>40.9</v>
      </c>
      <c r="X70" s="229">
        <v>2.6499999999999999E-2</v>
      </c>
      <c r="Y70" s="228">
        <v>10.4</v>
      </c>
      <c r="Z70" s="228">
        <v>11.1</v>
      </c>
      <c r="AA70" s="228">
        <v>-0.7</v>
      </c>
      <c r="AB70" s="229">
        <v>6.7000000000000002E-3</v>
      </c>
      <c r="AC70" s="228">
        <v>10.4</v>
      </c>
      <c r="AD70" s="228">
        <v>1.9</v>
      </c>
      <c r="AE70" s="228">
        <v>8.5</v>
      </c>
      <c r="AF70" s="229">
        <v>6.7000000000000002E-3</v>
      </c>
      <c r="AG70" s="228">
        <v>21.2</v>
      </c>
      <c r="AH70" s="228">
        <v>11.1</v>
      </c>
      <c r="AI70" s="228">
        <v>10.1</v>
      </c>
      <c r="AJ70" s="229">
        <v>1.37E-2</v>
      </c>
      <c r="AK70" s="228">
        <v>31.3</v>
      </c>
      <c r="AL70" s="228">
        <v>22.8</v>
      </c>
      <c r="AM70" s="228">
        <v>8.5</v>
      </c>
      <c r="AN70" s="229">
        <v>2.0199999999999999E-2</v>
      </c>
      <c r="AO70" s="231">
        <v>1546.27</v>
      </c>
      <c r="AP70" s="231">
        <v>1553.75</v>
      </c>
      <c r="AQ70" s="228">
        <v>0</v>
      </c>
      <c r="AR70" s="230">
        <v>2673275</v>
      </c>
      <c r="AS70" s="230">
        <v>10043550</v>
      </c>
      <c r="AT70" s="230">
        <v>-7370275</v>
      </c>
      <c r="AU70" s="229">
        <v>-0.73380000000000001</v>
      </c>
      <c r="AV70" s="230">
        <v>2571250</v>
      </c>
      <c r="AW70" s="230">
        <v>3275250</v>
      </c>
      <c r="AX70" s="230">
        <v>-704000</v>
      </c>
      <c r="AY70" s="229">
        <v>-0.21490000000000001</v>
      </c>
      <c r="AZ70" s="230">
        <v>92950</v>
      </c>
      <c r="BA70" s="230">
        <v>6435550</v>
      </c>
      <c r="BB70" s="230">
        <v>-6342600</v>
      </c>
      <c r="BC70" s="229">
        <v>-0.98560000000000003</v>
      </c>
      <c r="BD70" s="230">
        <v>9075</v>
      </c>
      <c r="BE70" s="230">
        <v>332750</v>
      </c>
      <c r="BF70" s="230">
        <v>-323675</v>
      </c>
      <c r="BG70" s="229">
        <v>-0.97270000000000001</v>
      </c>
      <c r="BH70" s="230">
        <v>5330050</v>
      </c>
      <c r="BI70" s="230">
        <v>10074625</v>
      </c>
      <c r="BJ70" s="230">
        <v>-4744575</v>
      </c>
      <c r="BK70" s="229">
        <v>-0.47089999999999999</v>
      </c>
      <c r="BL70" s="230">
        <v>1725625</v>
      </c>
      <c r="BM70" s="230">
        <v>6972625</v>
      </c>
      <c r="BN70" s="230">
        <v>-5247000</v>
      </c>
      <c r="BO70" s="229">
        <v>-0.75249999999999995</v>
      </c>
      <c r="BP70" s="230">
        <v>9728950</v>
      </c>
      <c r="BQ70" s="230">
        <v>27090800</v>
      </c>
      <c r="BR70" s="230">
        <v>-17361850</v>
      </c>
      <c r="BS70" s="229">
        <v>-0.64090000000000003</v>
      </c>
      <c r="BT70" s="230">
        <v>2006917</v>
      </c>
      <c r="BU70" s="230">
        <v>5129501</v>
      </c>
      <c r="BV70" s="230">
        <v>-3122584</v>
      </c>
      <c r="BW70" s="229">
        <v>-0.60880000000000001</v>
      </c>
      <c r="BX70" s="230">
        <v>13589125</v>
      </c>
      <c r="BY70" s="230">
        <v>12864775</v>
      </c>
      <c r="BZ70" s="230">
        <v>724350</v>
      </c>
      <c r="CA70" s="229">
        <v>5.6300000000000003E-2</v>
      </c>
      <c r="CB70" s="230">
        <v>13241250</v>
      </c>
      <c r="CC70" s="230">
        <v>565950</v>
      </c>
      <c r="CD70" s="230">
        <v>12675300</v>
      </c>
      <c r="CE70" s="229">
        <v>22.3965</v>
      </c>
      <c r="CF70" s="230">
        <v>342375</v>
      </c>
      <c r="CG70" s="230">
        <v>12545775</v>
      </c>
      <c r="CH70" s="230">
        <v>-12203400</v>
      </c>
      <c r="CI70" s="229">
        <v>-0.97270000000000001</v>
      </c>
      <c r="CJ70" s="230">
        <v>5500</v>
      </c>
      <c r="CK70" s="230">
        <v>319000</v>
      </c>
      <c r="CL70" s="230">
        <v>-313500</v>
      </c>
      <c r="CM70" s="229">
        <v>-0.98280000000000001</v>
      </c>
      <c r="CN70" s="230">
        <v>3764750</v>
      </c>
      <c r="CO70" s="230">
        <v>3585725</v>
      </c>
      <c r="CP70" s="230">
        <v>179025</v>
      </c>
      <c r="CQ70" s="229">
        <v>4.99E-2</v>
      </c>
      <c r="CR70" s="230">
        <v>2308900</v>
      </c>
      <c r="CS70" s="230">
        <v>2093300</v>
      </c>
      <c r="CT70" s="230">
        <v>215600</v>
      </c>
      <c r="CU70" s="229">
        <v>0.10299999999999999</v>
      </c>
      <c r="CV70" s="230">
        <v>19662775</v>
      </c>
      <c r="CW70" s="230">
        <v>18543800</v>
      </c>
      <c r="CX70" s="230">
        <v>1118975</v>
      </c>
      <c r="CY70" s="229">
        <v>6.0299999999999999E-2</v>
      </c>
      <c r="CZ70" s="228">
        <v>46.6</v>
      </c>
      <c r="DA70" s="228">
        <v>49.6</v>
      </c>
      <c r="DB70" s="228">
        <v>-3</v>
      </c>
      <c r="DC70" s="228">
        <v>-3</v>
      </c>
      <c r="DD70" s="228">
        <v>43.32</v>
      </c>
      <c r="DE70" s="228">
        <v>43.34</v>
      </c>
      <c r="DF70" s="228">
        <v>3.28</v>
      </c>
      <c r="DG70" s="228">
        <v>-0.02</v>
      </c>
      <c r="DH70" s="228">
        <v>46.33</v>
      </c>
      <c r="DI70" s="228">
        <v>49.71</v>
      </c>
      <c r="DJ70" s="228">
        <v>-3.38</v>
      </c>
      <c r="DK70" s="228">
        <v>-3.38</v>
      </c>
      <c r="DL70" s="228">
        <v>47.42</v>
      </c>
      <c r="DM70" s="228">
        <v>49.41</v>
      </c>
      <c r="DN70" s="228">
        <v>-1.99</v>
      </c>
      <c r="DO70" s="228">
        <v>-1.99</v>
      </c>
      <c r="DP70" s="228">
        <v>0.61</v>
      </c>
      <c r="DQ70" s="228">
        <v>0.57999999999999996</v>
      </c>
      <c r="DR70" s="228">
        <v>0.03</v>
      </c>
      <c r="DS70" s="229">
        <v>5.1700000000000003E-2</v>
      </c>
      <c r="DT70" s="231">
        <v>1700</v>
      </c>
      <c r="DU70" s="231">
        <v>1500</v>
      </c>
      <c r="DV70" s="228">
        <v>0.32</v>
      </c>
      <c r="DW70" s="228">
        <v>0.69</v>
      </c>
      <c r="DX70" s="228">
        <v>-0.37</v>
      </c>
      <c r="DY70" s="229">
        <v>-0.53620000000000001</v>
      </c>
      <c r="DZ70" s="229">
        <v>2.5600000000000001E-2</v>
      </c>
      <c r="EA70" s="230">
        <v>12864775</v>
      </c>
      <c r="EB70" s="229">
        <v>6.8999999999999999E-3</v>
      </c>
      <c r="EC70" s="229">
        <v>2.5600000000000001E-2</v>
      </c>
      <c r="ED70" s="228">
        <v>7.48</v>
      </c>
      <c r="EE70" s="229">
        <v>4.7999999999999996E-3</v>
      </c>
      <c r="EF70" s="230">
        <v>1044239</v>
      </c>
      <c r="EG70" s="230">
        <v>2795961</v>
      </c>
      <c r="EH70" s="229">
        <v>-0.62649999999999995</v>
      </c>
      <c r="EI70" s="229">
        <v>0.52029999999999998</v>
      </c>
      <c r="EJ70" s="231">
        <v>90487.92</v>
      </c>
      <c r="EK70" s="231">
        <v>26353.3</v>
      </c>
      <c r="EL70" s="231">
        <v>41343.93</v>
      </c>
      <c r="EM70" s="231">
        <v>32167</v>
      </c>
      <c r="EN70" s="231">
        <v>158185.15</v>
      </c>
      <c r="EO70" s="231">
        <v>436063.4</v>
      </c>
      <c r="EP70" s="231">
        <v>-277878.25</v>
      </c>
      <c r="EQ70" s="229">
        <v>-0.63719999999999999</v>
      </c>
      <c r="ER70" s="231">
        <v>65428</v>
      </c>
      <c r="ES70" s="231">
        <v>37218</v>
      </c>
      <c r="ET70" s="231">
        <v>212124</v>
      </c>
      <c r="EU70" s="231">
        <v>17263909</v>
      </c>
      <c r="EV70" s="231">
        <v>314770</v>
      </c>
      <c r="EW70" s="231">
        <v>293153</v>
      </c>
      <c r="EX70" s="231">
        <v>21617</v>
      </c>
      <c r="EY70" s="229">
        <v>7.3700000000000002E-2</v>
      </c>
      <c r="EZ70" s="229">
        <v>1.139</v>
      </c>
      <c r="FA70" s="227" t="s">
        <v>555</v>
      </c>
      <c r="FB70" s="161">
        <f t="shared" si="1"/>
        <v>347875</v>
      </c>
    </row>
    <row r="71" spans="1:158" ht="17.25" hidden="1" thickBot="1" x14ac:dyDescent="0.3">
      <c r="A71" s="226">
        <v>46050</v>
      </c>
      <c r="B71" s="227" t="s">
        <v>157</v>
      </c>
      <c r="C71" s="227" t="s">
        <v>219</v>
      </c>
      <c r="D71" s="228">
        <v>250</v>
      </c>
      <c r="E71" s="231">
        <v>2856.2</v>
      </c>
      <c r="F71" s="231">
        <v>2876.5</v>
      </c>
      <c r="G71" s="228">
        <v>-20.3</v>
      </c>
      <c r="H71" s="229">
        <v>-7.1000000000000004E-3</v>
      </c>
      <c r="I71" s="231">
        <v>2839.1</v>
      </c>
      <c r="J71" s="231">
        <v>2856.2</v>
      </c>
      <c r="K71" s="228">
        <v>-17.100000000000001</v>
      </c>
      <c r="L71" s="229">
        <v>-6.0000000000000001E-3</v>
      </c>
      <c r="M71" s="231">
        <v>2856.2</v>
      </c>
      <c r="N71" s="231">
        <v>2861</v>
      </c>
      <c r="O71" s="228">
        <v>-4.8</v>
      </c>
      <c r="P71" s="229">
        <v>-1.6999999999999999E-3</v>
      </c>
      <c r="Q71" s="231">
        <v>2873.4</v>
      </c>
      <c r="R71" s="231">
        <v>2876.5</v>
      </c>
      <c r="S71" s="228">
        <v>-3.1</v>
      </c>
      <c r="T71" s="229">
        <v>-1.1000000000000001E-3</v>
      </c>
      <c r="U71" s="231">
        <v>2887.9</v>
      </c>
      <c r="V71" s="231">
        <v>2896</v>
      </c>
      <c r="W71" s="228">
        <v>-8.1</v>
      </c>
      <c r="X71" s="229">
        <v>-2.8E-3</v>
      </c>
      <c r="Y71" s="228">
        <v>17.100000000000001</v>
      </c>
      <c r="Z71" s="228">
        <v>20.3</v>
      </c>
      <c r="AA71" s="228">
        <v>-3.2</v>
      </c>
      <c r="AB71" s="229">
        <v>6.0000000000000001E-3</v>
      </c>
      <c r="AC71" s="228">
        <v>17.100000000000001</v>
      </c>
      <c r="AD71" s="228">
        <v>4.8</v>
      </c>
      <c r="AE71" s="228">
        <v>12.3</v>
      </c>
      <c r="AF71" s="229">
        <v>6.0000000000000001E-3</v>
      </c>
      <c r="AG71" s="228">
        <v>34.299999999999997</v>
      </c>
      <c r="AH71" s="228">
        <v>20.3</v>
      </c>
      <c r="AI71" s="228">
        <v>14</v>
      </c>
      <c r="AJ71" s="229">
        <v>1.21E-2</v>
      </c>
      <c r="AK71" s="228">
        <v>48.8</v>
      </c>
      <c r="AL71" s="228">
        <v>39.799999999999997</v>
      </c>
      <c r="AM71" s="228">
        <v>9</v>
      </c>
      <c r="AN71" s="229">
        <v>1.72E-2</v>
      </c>
      <c r="AO71" s="231">
        <v>2872.46</v>
      </c>
      <c r="AP71" s="231">
        <v>2893.4</v>
      </c>
      <c r="AQ71" s="228">
        <v>0</v>
      </c>
      <c r="AR71" s="230">
        <v>1001000</v>
      </c>
      <c r="AS71" s="230">
        <v>6540500</v>
      </c>
      <c r="AT71" s="230">
        <v>-5539500</v>
      </c>
      <c r="AU71" s="229">
        <v>-0.84699999999999998</v>
      </c>
      <c r="AV71" s="230">
        <v>982750</v>
      </c>
      <c r="AW71" s="230">
        <v>2728750</v>
      </c>
      <c r="AX71" s="230">
        <v>-1746000</v>
      </c>
      <c r="AY71" s="229">
        <v>-0.63990000000000002</v>
      </c>
      <c r="AZ71" s="230">
        <v>15750</v>
      </c>
      <c r="BA71" s="230">
        <v>3793750</v>
      </c>
      <c r="BB71" s="230">
        <v>-3778000</v>
      </c>
      <c r="BC71" s="229">
        <v>-0.99580000000000002</v>
      </c>
      <c r="BD71" s="230">
        <v>2500</v>
      </c>
      <c r="BE71" s="230">
        <v>18000</v>
      </c>
      <c r="BF71" s="230">
        <v>-15500</v>
      </c>
      <c r="BG71" s="229">
        <v>-0.86109999999999998</v>
      </c>
      <c r="BH71" s="230">
        <v>1370500</v>
      </c>
      <c r="BI71" s="230">
        <v>4260750</v>
      </c>
      <c r="BJ71" s="230">
        <v>-2890250</v>
      </c>
      <c r="BK71" s="229">
        <v>-0.67830000000000001</v>
      </c>
      <c r="BL71" s="230">
        <v>850250</v>
      </c>
      <c r="BM71" s="230">
        <v>2983750</v>
      </c>
      <c r="BN71" s="230">
        <v>-2133500</v>
      </c>
      <c r="BO71" s="229">
        <v>-0.71499999999999997</v>
      </c>
      <c r="BP71" s="230">
        <v>3221750</v>
      </c>
      <c r="BQ71" s="230">
        <v>13785000</v>
      </c>
      <c r="BR71" s="230">
        <v>-10563250</v>
      </c>
      <c r="BS71" s="229">
        <v>-0.76629999999999998</v>
      </c>
      <c r="BT71" s="230">
        <v>523371</v>
      </c>
      <c r="BU71" s="230">
        <v>1539629</v>
      </c>
      <c r="BV71" s="230">
        <v>-1016258</v>
      </c>
      <c r="BW71" s="229">
        <v>-0.66010000000000002</v>
      </c>
      <c r="BX71" s="230">
        <v>16039250</v>
      </c>
      <c r="BY71" s="230">
        <v>15952250</v>
      </c>
      <c r="BZ71" s="230">
        <v>87000</v>
      </c>
      <c r="CA71" s="229">
        <v>5.4999999999999997E-3</v>
      </c>
      <c r="CB71" s="230">
        <v>15960750</v>
      </c>
      <c r="CC71" s="230">
        <v>608250</v>
      </c>
      <c r="CD71" s="230">
        <v>15352500</v>
      </c>
      <c r="CE71" s="229">
        <v>25.240400000000001</v>
      </c>
      <c r="CF71" s="230">
        <v>76500</v>
      </c>
      <c r="CG71" s="230">
        <v>15879750</v>
      </c>
      <c r="CH71" s="230">
        <v>-15803250</v>
      </c>
      <c r="CI71" s="229">
        <v>-0.99519999999999997</v>
      </c>
      <c r="CJ71" s="230">
        <v>2000</v>
      </c>
      <c r="CK71" s="230">
        <v>72500</v>
      </c>
      <c r="CL71" s="230">
        <v>-70500</v>
      </c>
      <c r="CM71" s="229">
        <v>-0.97240000000000004</v>
      </c>
      <c r="CN71" s="230">
        <v>643250</v>
      </c>
      <c r="CO71" s="230">
        <v>463250</v>
      </c>
      <c r="CP71" s="230">
        <v>180000</v>
      </c>
      <c r="CQ71" s="229">
        <v>0.3886</v>
      </c>
      <c r="CR71" s="230">
        <v>635250</v>
      </c>
      <c r="CS71" s="230">
        <v>443250</v>
      </c>
      <c r="CT71" s="230">
        <v>192000</v>
      </c>
      <c r="CU71" s="229">
        <v>0.43319999999999997</v>
      </c>
      <c r="CV71" s="230">
        <v>17317750</v>
      </c>
      <c r="CW71" s="230">
        <v>16858750</v>
      </c>
      <c r="CX71" s="230">
        <v>459000</v>
      </c>
      <c r="CY71" s="229">
        <v>2.7199999999999998E-2</v>
      </c>
      <c r="CZ71" s="228">
        <v>24.4</v>
      </c>
      <c r="DA71" s="228">
        <v>24.74</v>
      </c>
      <c r="DB71" s="228">
        <v>-0.34</v>
      </c>
      <c r="DC71" s="228">
        <v>-0.34</v>
      </c>
      <c r="DD71" s="228">
        <v>25.23</v>
      </c>
      <c r="DE71" s="228">
        <v>25.28</v>
      </c>
      <c r="DF71" s="228">
        <v>-0.83</v>
      </c>
      <c r="DG71" s="228">
        <v>-0.05</v>
      </c>
      <c r="DH71" s="228">
        <v>24.24</v>
      </c>
      <c r="DI71" s="228">
        <v>24.39</v>
      </c>
      <c r="DJ71" s="228">
        <v>-0.15</v>
      </c>
      <c r="DK71" s="228">
        <v>-0.15</v>
      </c>
      <c r="DL71" s="228">
        <v>24.67</v>
      </c>
      <c r="DM71" s="228">
        <v>25.62</v>
      </c>
      <c r="DN71" s="228">
        <v>-0.95</v>
      </c>
      <c r="DO71" s="228">
        <v>-0.95</v>
      </c>
      <c r="DP71" s="228">
        <v>0.99</v>
      </c>
      <c r="DQ71" s="228">
        <v>0.96</v>
      </c>
      <c r="DR71" s="228">
        <v>0.03</v>
      </c>
      <c r="DS71" s="229">
        <v>3.1300000000000001E-2</v>
      </c>
      <c r="DT71" s="231">
        <v>2900</v>
      </c>
      <c r="DU71" s="231">
        <v>2800</v>
      </c>
      <c r="DV71" s="228">
        <v>0.62</v>
      </c>
      <c r="DW71" s="228">
        <v>0.7</v>
      </c>
      <c r="DX71" s="228">
        <v>-0.08</v>
      </c>
      <c r="DY71" s="229">
        <v>-0.1143</v>
      </c>
      <c r="DZ71" s="229">
        <v>4.8999999999999998E-3</v>
      </c>
      <c r="EA71" s="230">
        <v>15952250</v>
      </c>
      <c r="EB71" s="229">
        <v>6.0000000000000001E-3</v>
      </c>
      <c r="EC71" s="229">
        <v>4.8999999999999998E-3</v>
      </c>
      <c r="ED71" s="228">
        <v>20.94</v>
      </c>
      <c r="EE71" s="229">
        <v>7.3000000000000001E-3</v>
      </c>
      <c r="EF71" s="230">
        <v>275546</v>
      </c>
      <c r="EG71" s="230">
        <v>791960</v>
      </c>
      <c r="EH71" s="229">
        <v>-0.65210000000000001</v>
      </c>
      <c r="EI71" s="229">
        <v>0.52649999999999997</v>
      </c>
      <c r="EJ71" s="231">
        <v>41108.07</v>
      </c>
      <c r="EK71" s="231">
        <v>24116.02</v>
      </c>
      <c r="EL71" s="231">
        <v>28757.29</v>
      </c>
      <c r="EM71" s="231">
        <v>33283</v>
      </c>
      <c r="EN71" s="231">
        <v>93981.38</v>
      </c>
      <c r="EO71" s="231">
        <v>394007.96</v>
      </c>
      <c r="EP71" s="231">
        <v>-300026.58</v>
      </c>
      <c r="EQ71" s="229">
        <v>-0.76149999999999995</v>
      </c>
      <c r="ER71" s="231">
        <v>19143</v>
      </c>
      <c r="ES71" s="231">
        <v>17507</v>
      </c>
      <c r="ET71" s="231">
        <v>458127</v>
      </c>
      <c r="EU71" s="231">
        <v>38505832</v>
      </c>
      <c r="EV71" s="231">
        <v>494777</v>
      </c>
      <c r="EW71" s="231">
        <v>484750</v>
      </c>
      <c r="EX71" s="231">
        <v>10027</v>
      </c>
      <c r="EY71" s="229">
        <v>2.07E-2</v>
      </c>
      <c r="EZ71" s="229">
        <v>0.44969999999999999</v>
      </c>
      <c r="FA71" s="227" t="s">
        <v>567</v>
      </c>
      <c r="FB71" s="161">
        <f t="shared" si="1"/>
        <v>78500</v>
      </c>
    </row>
    <row r="72" spans="1:158" ht="17.25" hidden="1" thickBot="1" x14ac:dyDescent="0.3">
      <c r="A72" s="226">
        <v>46050</v>
      </c>
      <c r="B72" s="227" t="s">
        <v>184</v>
      </c>
      <c r="C72" s="227" t="s">
        <v>513</v>
      </c>
      <c r="D72" s="228">
        <v>150</v>
      </c>
      <c r="E72" s="231">
        <v>4639.5</v>
      </c>
      <c r="F72" s="231">
        <v>4350.6000000000004</v>
      </c>
      <c r="G72" s="228">
        <v>288.89999999999998</v>
      </c>
      <c r="H72" s="229">
        <v>6.6400000000000001E-2</v>
      </c>
      <c r="I72" s="231">
        <v>4624</v>
      </c>
      <c r="J72" s="231">
        <v>4348.5</v>
      </c>
      <c r="K72" s="228">
        <v>275.5</v>
      </c>
      <c r="L72" s="229">
        <v>6.3399999999999998E-2</v>
      </c>
      <c r="M72" s="231">
        <v>4639.5</v>
      </c>
      <c r="N72" s="231">
        <v>4342.1000000000004</v>
      </c>
      <c r="O72" s="228">
        <v>297.39999999999998</v>
      </c>
      <c r="P72" s="229">
        <v>6.8500000000000005E-2</v>
      </c>
      <c r="Q72" s="231">
        <v>4660.8999999999996</v>
      </c>
      <c r="R72" s="231">
        <v>4350.6000000000004</v>
      </c>
      <c r="S72" s="228">
        <v>310.3</v>
      </c>
      <c r="T72" s="229">
        <v>7.1300000000000002E-2</v>
      </c>
      <c r="U72" s="231">
        <v>4690.3</v>
      </c>
      <c r="V72" s="231">
        <v>4382.6000000000004</v>
      </c>
      <c r="W72" s="228">
        <v>307.7</v>
      </c>
      <c r="X72" s="229">
        <v>7.0199999999999999E-2</v>
      </c>
      <c r="Y72" s="228">
        <v>15.5</v>
      </c>
      <c r="Z72" s="228">
        <v>2.1</v>
      </c>
      <c r="AA72" s="228">
        <v>13.4</v>
      </c>
      <c r="AB72" s="229">
        <v>3.3999999999999998E-3</v>
      </c>
      <c r="AC72" s="228">
        <v>15.5</v>
      </c>
      <c r="AD72" s="228">
        <v>-6.4</v>
      </c>
      <c r="AE72" s="228">
        <v>21.9</v>
      </c>
      <c r="AF72" s="229">
        <v>3.3999999999999998E-3</v>
      </c>
      <c r="AG72" s="228">
        <v>36.9</v>
      </c>
      <c r="AH72" s="228">
        <v>2.1</v>
      </c>
      <c r="AI72" s="228">
        <v>34.799999999999997</v>
      </c>
      <c r="AJ72" s="229">
        <v>8.0000000000000002E-3</v>
      </c>
      <c r="AK72" s="228">
        <v>66.3</v>
      </c>
      <c r="AL72" s="228">
        <v>34.1</v>
      </c>
      <c r="AM72" s="228">
        <v>32.200000000000003</v>
      </c>
      <c r="AN72" s="229">
        <v>1.43E-2</v>
      </c>
      <c r="AO72" s="231">
        <v>4541.6499999999996</v>
      </c>
      <c r="AP72" s="231">
        <v>4557.3999999999996</v>
      </c>
      <c r="AQ72" s="228">
        <v>0</v>
      </c>
      <c r="AR72" s="230">
        <v>3375300</v>
      </c>
      <c r="AS72" s="230">
        <v>7002900</v>
      </c>
      <c r="AT72" s="230">
        <v>-3627600</v>
      </c>
      <c r="AU72" s="229">
        <v>-0.51800000000000002</v>
      </c>
      <c r="AV72" s="230">
        <v>3017550</v>
      </c>
      <c r="AW72" s="230">
        <v>3211650</v>
      </c>
      <c r="AX72" s="230">
        <v>-194100</v>
      </c>
      <c r="AY72" s="229">
        <v>-6.0400000000000002E-2</v>
      </c>
      <c r="AZ72" s="230">
        <v>305250</v>
      </c>
      <c r="BA72" s="230">
        <v>3593850</v>
      </c>
      <c r="BB72" s="230">
        <v>-3288600</v>
      </c>
      <c r="BC72" s="229">
        <v>-0.91510000000000002</v>
      </c>
      <c r="BD72" s="230">
        <v>52500</v>
      </c>
      <c r="BE72" s="230">
        <v>197400</v>
      </c>
      <c r="BF72" s="230">
        <v>-144900</v>
      </c>
      <c r="BG72" s="229">
        <v>-0.73399999999999999</v>
      </c>
      <c r="BH72" s="230">
        <v>14855850</v>
      </c>
      <c r="BI72" s="230">
        <v>8632200</v>
      </c>
      <c r="BJ72" s="230">
        <v>6223650</v>
      </c>
      <c r="BK72" s="229">
        <v>0.72099999999999997</v>
      </c>
      <c r="BL72" s="230">
        <v>3703800</v>
      </c>
      <c r="BM72" s="230">
        <v>4026750</v>
      </c>
      <c r="BN72" s="230">
        <v>-322950</v>
      </c>
      <c r="BO72" s="229">
        <v>-8.0199999999999994E-2</v>
      </c>
      <c r="BP72" s="230">
        <v>21934950</v>
      </c>
      <c r="BQ72" s="230">
        <v>19661850</v>
      </c>
      <c r="BR72" s="230">
        <v>2273100</v>
      </c>
      <c r="BS72" s="229">
        <v>0.11559999999999999</v>
      </c>
      <c r="BT72" s="230">
        <v>1993625</v>
      </c>
      <c r="BU72" s="230">
        <v>1117385</v>
      </c>
      <c r="BV72" s="230">
        <v>876240</v>
      </c>
      <c r="BW72" s="229">
        <v>0.78420000000000001</v>
      </c>
      <c r="BX72" s="230">
        <v>8785050</v>
      </c>
      <c r="BY72" s="230">
        <v>8673300</v>
      </c>
      <c r="BZ72" s="230">
        <v>111750</v>
      </c>
      <c r="CA72" s="229">
        <v>1.29E-2</v>
      </c>
      <c r="CB72" s="230">
        <v>8270850</v>
      </c>
      <c r="CC72" s="230">
        <v>616050</v>
      </c>
      <c r="CD72" s="230">
        <v>7654800</v>
      </c>
      <c r="CE72" s="229">
        <v>12.425599999999999</v>
      </c>
      <c r="CF72" s="230">
        <v>486750</v>
      </c>
      <c r="CG72" s="230">
        <v>8233950</v>
      </c>
      <c r="CH72" s="230">
        <v>-7747200</v>
      </c>
      <c r="CI72" s="229">
        <v>-0.94089999999999996</v>
      </c>
      <c r="CJ72" s="230">
        <v>27450</v>
      </c>
      <c r="CK72" s="230">
        <v>439350</v>
      </c>
      <c r="CL72" s="230">
        <v>-411900</v>
      </c>
      <c r="CM72" s="229">
        <v>-0.9375</v>
      </c>
      <c r="CN72" s="230">
        <v>3196800</v>
      </c>
      <c r="CO72" s="230">
        <v>2373300</v>
      </c>
      <c r="CP72" s="230">
        <v>823500</v>
      </c>
      <c r="CQ72" s="229">
        <v>0.34699999999999998</v>
      </c>
      <c r="CR72" s="230">
        <v>2566350</v>
      </c>
      <c r="CS72" s="230">
        <v>2218950</v>
      </c>
      <c r="CT72" s="230">
        <v>347400</v>
      </c>
      <c r="CU72" s="229">
        <v>0.15659999999999999</v>
      </c>
      <c r="CV72" s="230">
        <v>14548200</v>
      </c>
      <c r="CW72" s="230">
        <v>13265550</v>
      </c>
      <c r="CX72" s="230">
        <v>1282650</v>
      </c>
      <c r="CY72" s="229">
        <v>9.6699999999999994E-2</v>
      </c>
      <c r="CZ72" s="228">
        <v>36.28</v>
      </c>
      <c r="DA72" s="228">
        <v>36.15</v>
      </c>
      <c r="DB72" s="228">
        <v>0.13</v>
      </c>
      <c r="DC72" s="228">
        <v>0.13</v>
      </c>
      <c r="DD72" s="228">
        <v>37.47</v>
      </c>
      <c r="DE72" s="228">
        <v>36.54</v>
      </c>
      <c r="DF72" s="228">
        <v>-1.19</v>
      </c>
      <c r="DG72" s="228">
        <v>0.93</v>
      </c>
      <c r="DH72" s="228">
        <v>36.03</v>
      </c>
      <c r="DI72" s="228">
        <v>35.65</v>
      </c>
      <c r="DJ72" s="228">
        <v>0.38</v>
      </c>
      <c r="DK72" s="228">
        <v>0.38</v>
      </c>
      <c r="DL72" s="228">
        <v>37.270000000000003</v>
      </c>
      <c r="DM72" s="228">
        <v>37.01</v>
      </c>
      <c r="DN72" s="228">
        <v>0.26</v>
      </c>
      <c r="DO72" s="228">
        <v>0.26</v>
      </c>
      <c r="DP72" s="228">
        <v>0.8</v>
      </c>
      <c r="DQ72" s="228">
        <v>0.93</v>
      </c>
      <c r="DR72" s="228">
        <v>-0.13</v>
      </c>
      <c r="DS72" s="229">
        <v>-0.13980000000000001</v>
      </c>
      <c r="DT72" s="231">
        <v>5000</v>
      </c>
      <c r="DU72" s="231">
        <v>4300</v>
      </c>
      <c r="DV72" s="228">
        <v>0.25</v>
      </c>
      <c r="DW72" s="228">
        <v>0.47</v>
      </c>
      <c r="DX72" s="228">
        <v>-0.22</v>
      </c>
      <c r="DY72" s="229">
        <v>-0.46810000000000002</v>
      </c>
      <c r="DZ72" s="229">
        <v>5.8500000000000003E-2</v>
      </c>
      <c r="EA72" s="230">
        <v>8673300</v>
      </c>
      <c r="EB72" s="229">
        <v>4.5999999999999999E-3</v>
      </c>
      <c r="EC72" s="229">
        <v>5.8500000000000003E-2</v>
      </c>
      <c r="ED72" s="228">
        <v>15.75</v>
      </c>
      <c r="EE72" s="229">
        <v>3.5000000000000001E-3</v>
      </c>
      <c r="EF72" s="230">
        <v>943469</v>
      </c>
      <c r="EG72" s="230">
        <v>512639</v>
      </c>
      <c r="EH72" s="229">
        <v>0.84040000000000004</v>
      </c>
      <c r="EI72" s="229">
        <v>0.47320000000000001</v>
      </c>
      <c r="EJ72" s="231">
        <v>718303.98</v>
      </c>
      <c r="EK72" s="231">
        <v>165686.82999999999</v>
      </c>
      <c r="EL72" s="231">
        <v>153364.48000000001</v>
      </c>
      <c r="EM72" s="231">
        <v>33160</v>
      </c>
      <c r="EN72" s="231">
        <v>1037355.29</v>
      </c>
      <c r="EO72" s="231">
        <v>875951.26</v>
      </c>
      <c r="EP72" s="231">
        <v>161404.03</v>
      </c>
      <c r="EQ72" s="229">
        <v>0.18429999999999999</v>
      </c>
      <c r="ER72" s="231">
        <v>149637</v>
      </c>
      <c r="ES72" s="231">
        <v>112400</v>
      </c>
      <c r="ET72" s="231">
        <v>407701</v>
      </c>
      <c r="EU72" s="231">
        <v>28450886</v>
      </c>
      <c r="EV72" s="231">
        <v>669738</v>
      </c>
      <c r="EW72" s="231">
        <v>583759</v>
      </c>
      <c r="EX72" s="231">
        <v>85979</v>
      </c>
      <c r="EY72" s="229">
        <v>0.14729999999999999</v>
      </c>
      <c r="EZ72" s="229">
        <v>0.51129999999999998</v>
      </c>
      <c r="FA72" s="227" t="s">
        <v>555</v>
      </c>
      <c r="FB72" s="161">
        <f t="shared" si="1"/>
        <v>514200</v>
      </c>
    </row>
    <row r="73" spans="1:158" ht="17.25" hidden="1" thickBot="1" x14ac:dyDescent="0.3">
      <c r="A73" s="226">
        <v>46050</v>
      </c>
      <c r="B73" s="227" t="s">
        <v>184</v>
      </c>
      <c r="C73" s="227" t="s">
        <v>220</v>
      </c>
      <c r="D73" s="228">
        <v>500</v>
      </c>
      <c r="E73" s="231">
        <v>1295.5</v>
      </c>
      <c r="F73" s="231">
        <v>1295.7</v>
      </c>
      <c r="G73" s="228">
        <v>-0.2</v>
      </c>
      <c r="H73" s="229">
        <v>-2.0000000000000001E-4</v>
      </c>
      <c r="I73" s="231">
        <v>1286.8</v>
      </c>
      <c r="J73" s="231">
        <v>1288.9000000000001</v>
      </c>
      <c r="K73" s="228">
        <v>-2.1</v>
      </c>
      <c r="L73" s="229">
        <v>-1.6000000000000001E-3</v>
      </c>
      <c r="M73" s="231">
        <v>1295.5</v>
      </c>
      <c r="N73" s="231">
        <v>1287.0999999999999</v>
      </c>
      <c r="O73" s="228">
        <v>8.4</v>
      </c>
      <c r="P73" s="229">
        <v>6.4999999999999997E-3</v>
      </c>
      <c r="Q73" s="231">
        <v>1302.5999999999999</v>
      </c>
      <c r="R73" s="231">
        <v>1295.7</v>
      </c>
      <c r="S73" s="228">
        <v>6.9</v>
      </c>
      <c r="T73" s="229">
        <v>5.3E-3</v>
      </c>
      <c r="U73" s="231">
        <v>1310.8</v>
      </c>
      <c r="V73" s="231">
        <v>1305.4000000000001</v>
      </c>
      <c r="W73" s="228">
        <v>5.4</v>
      </c>
      <c r="X73" s="229">
        <v>4.1000000000000003E-3</v>
      </c>
      <c r="Y73" s="228">
        <v>8.6999999999999993</v>
      </c>
      <c r="Z73" s="228">
        <v>6.8</v>
      </c>
      <c r="AA73" s="228">
        <v>1.9</v>
      </c>
      <c r="AB73" s="229">
        <v>6.7999999999999996E-3</v>
      </c>
      <c r="AC73" s="228">
        <v>8.6999999999999993</v>
      </c>
      <c r="AD73" s="228">
        <v>-1.8</v>
      </c>
      <c r="AE73" s="228">
        <v>10.5</v>
      </c>
      <c r="AF73" s="229">
        <v>6.7999999999999996E-3</v>
      </c>
      <c r="AG73" s="228">
        <v>15.8</v>
      </c>
      <c r="AH73" s="228">
        <v>6.8</v>
      </c>
      <c r="AI73" s="228">
        <v>9</v>
      </c>
      <c r="AJ73" s="229">
        <v>1.23E-2</v>
      </c>
      <c r="AK73" s="228">
        <v>24</v>
      </c>
      <c r="AL73" s="228">
        <v>16.5</v>
      </c>
      <c r="AM73" s="228">
        <v>7.5</v>
      </c>
      <c r="AN73" s="229">
        <v>1.8700000000000001E-2</v>
      </c>
      <c r="AO73" s="231">
        <v>1296.45</v>
      </c>
      <c r="AP73" s="231">
        <v>1305.82</v>
      </c>
      <c r="AQ73" s="228">
        <v>0</v>
      </c>
      <c r="AR73" s="230">
        <v>1175000</v>
      </c>
      <c r="AS73" s="230">
        <v>7175500</v>
      </c>
      <c r="AT73" s="230">
        <v>-6000500</v>
      </c>
      <c r="AU73" s="229">
        <v>-0.83620000000000005</v>
      </c>
      <c r="AV73" s="230">
        <v>1054000</v>
      </c>
      <c r="AW73" s="230">
        <v>3237000</v>
      </c>
      <c r="AX73" s="230">
        <v>-2183000</v>
      </c>
      <c r="AY73" s="229">
        <v>-0.6744</v>
      </c>
      <c r="AZ73" s="230">
        <v>117000</v>
      </c>
      <c r="BA73" s="230">
        <v>3877000</v>
      </c>
      <c r="BB73" s="230">
        <v>-3760000</v>
      </c>
      <c r="BC73" s="229">
        <v>-0.9698</v>
      </c>
      <c r="BD73" s="230">
        <v>4000</v>
      </c>
      <c r="BE73" s="230">
        <v>61500</v>
      </c>
      <c r="BF73" s="230">
        <v>-57500</v>
      </c>
      <c r="BG73" s="229">
        <v>-0.93500000000000005</v>
      </c>
      <c r="BH73" s="230">
        <v>1396000</v>
      </c>
      <c r="BI73" s="230">
        <v>4504500</v>
      </c>
      <c r="BJ73" s="230">
        <v>-3108500</v>
      </c>
      <c r="BK73" s="229">
        <v>-0.69010000000000005</v>
      </c>
      <c r="BL73" s="230">
        <v>721000</v>
      </c>
      <c r="BM73" s="230">
        <v>4612500</v>
      </c>
      <c r="BN73" s="230">
        <v>-3891500</v>
      </c>
      <c r="BO73" s="229">
        <v>-0.84370000000000001</v>
      </c>
      <c r="BP73" s="230">
        <v>3292000</v>
      </c>
      <c r="BQ73" s="230">
        <v>16292500</v>
      </c>
      <c r="BR73" s="230">
        <v>-13000500</v>
      </c>
      <c r="BS73" s="229">
        <v>-0.79790000000000005</v>
      </c>
      <c r="BT73" s="230">
        <v>813081</v>
      </c>
      <c r="BU73" s="230">
        <v>1118521</v>
      </c>
      <c r="BV73" s="230">
        <v>-305440</v>
      </c>
      <c r="BW73" s="229">
        <v>-0.27310000000000001</v>
      </c>
      <c r="BX73" s="230">
        <v>9066000</v>
      </c>
      <c r="BY73" s="230">
        <v>8857000</v>
      </c>
      <c r="BZ73" s="230">
        <v>209000</v>
      </c>
      <c r="CA73" s="229">
        <v>2.3599999999999999E-2</v>
      </c>
      <c r="CB73" s="230">
        <v>8858500</v>
      </c>
      <c r="CC73" s="230">
        <v>704000</v>
      </c>
      <c r="CD73" s="230">
        <v>8154500</v>
      </c>
      <c r="CE73" s="229">
        <v>11.5831</v>
      </c>
      <c r="CF73" s="230">
        <v>204000</v>
      </c>
      <c r="CG73" s="230">
        <v>8682500</v>
      </c>
      <c r="CH73" s="230">
        <v>-8478500</v>
      </c>
      <c r="CI73" s="229">
        <v>-0.97650000000000003</v>
      </c>
      <c r="CJ73" s="230">
        <v>3500</v>
      </c>
      <c r="CK73" s="230">
        <v>174500</v>
      </c>
      <c r="CL73" s="230">
        <v>-171000</v>
      </c>
      <c r="CM73" s="229">
        <v>-0.97989999999999999</v>
      </c>
      <c r="CN73" s="230">
        <v>2008000</v>
      </c>
      <c r="CO73" s="230">
        <v>1706500</v>
      </c>
      <c r="CP73" s="230">
        <v>301500</v>
      </c>
      <c r="CQ73" s="229">
        <v>0.1767</v>
      </c>
      <c r="CR73" s="230">
        <v>1887000</v>
      </c>
      <c r="CS73" s="230">
        <v>1598000</v>
      </c>
      <c r="CT73" s="230">
        <v>289000</v>
      </c>
      <c r="CU73" s="229">
        <v>0.18090000000000001</v>
      </c>
      <c r="CV73" s="230">
        <v>12961000</v>
      </c>
      <c r="CW73" s="230">
        <v>12161500</v>
      </c>
      <c r="CX73" s="230">
        <v>799500</v>
      </c>
      <c r="CY73" s="229">
        <v>6.5699999999999995E-2</v>
      </c>
      <c r="CZ73" s="228">
        <v>26.13</v>
      </c>
      <c r="DA73" s="228">
        <v>26.41</v>
      </c>
      <c r="DB73" s="228">
        <v>-0.28000000000000003</v>
      </c>
      <c r="DC73" s="228">
        <v>-0.28000000000000003</v>
      </c>
      <c r="DD73" s="228">
        <v>28.33</v>
      </c>
      <c r="DE73" s="228">
        <v>28.41</v>
      </c>
      <c r="DF73" s="228">
        <v>-2.2000000000000002</v>
      </c>
      <c r="DG73" s="228">
        <v>-0.08</v>
      </c>
      <c r="DH73" s="228">
        <v>26.2</v>
      </c>
      <c r="DI73" s="228">
        <v>26.87</v>
      </c>
      <c r="DJ73" s="228">
        <v>-0.67</v>
      </c>
      <c r="DK73" s="228">
        <v>-0.67</v>
      </c>
      <c r="DL73" s="228">
        <v>25.99</v>
      </c>
      <c r="DM73" s="228">
        <v>25.84</v>
      </c>
      <c r="DN73" s="228">
        <v>0.15</v>
      </c>
      <c r="DO73" s="228">
        <v>0.15</v>
      </c>
      <c r="DP73" s="228">
        <v>0.94</v>
      </c>
      <c r="DQ73" s="228">
        <v>0.94</v>
      </c>
      <c r="DR73" s="228">
        <v>0</v>
      </c>
      <c r="DS73" s="229">
        <v>0</v>
      </c>
      <c r="DT73" s="231">
        <v>1400</v>
      </c>
      <c r="DU73" s="231">
        <v>1300</v>
      </c>
      <c r="DV73" s="228">
        <v>0.52</v>
      </c>
      <c r="DW73" s="228">
        <v>1.02</v>
      </c>
      <c r="DX73" s="228">
        <v>-0.5</v>
      </c>
      <c r="DY73" s="229">
        <v>-0.49020000000000002</v>
      </c>
      <c r="DZ73" s="229">
        <v>2.29E-2</v>
      </c>
      <c r="EA73" s="230">
        <v>8857000</v>
      </c>
      <c r="EB73" s="229">
        <v>5.4999999999999997E-3</v>
      </c>
      <c r="EC73" s="229">
        <v>2.29E-2</v>
      </c>
      <c r="ED73" s="228">
        <v>9.3699999999999992</v>
      </c>
      <c r="EE73" s="229">
        <v>7.1999999999999998E-3</v>
      </c>
      <c r="EF73" s="230">
        <v>580750</v>
      </c>
      <c r="EG73" s="230">
        <v>571548</v>
      </c>
      <c r="EH73" s="229">
        <v>1.61E-2</v>
      </c>
      <c r="EI73" s="229">
        <v>0.71430000000000005</v>
      </c>
      <c r="EJ73" s="231">
        <v>19178.95</v>
      </c>
      <c r="EK73" s="231">
        <v>9148.2000000000007</v>
      </c>
      <c r="EL73" s="231">
        <v>15244.83</v>
      </c>
      <c r="EM73" s="231">
        <v>16345</v>
      </c>
      <c r="EN73" s="231">
        <v>43571.98</v>
      </c>
      <c r="EO73" s="231">
        <v>215302.16</v>
      </c>
      <c r="EP73" s="231">
        <v>-171730.18</v>
      </c>
      <c r="EQ73" s="229">
        <v>-0.79759999999999998</v>
      </c>
      <c r="ER73" s="231">
        <v>28219</v>
      </c>
      <c r="ES73" s="231">
        <v>24253</v>
      </c>
      <c r="ET73" s="231">
        <v>117465</v>
      </c>
      <c r="EU73" s="231">
        <v>35667502</v>
      </c>
      <c r="EV73" s="231">
        <v>169938</v>
      </c>
      <c r="EW73" s="231">
        <v>159539</v>
      </c>
      <c r="EX73" s="231">
        <v>10399</v>
      </c>
      <c r="EY73" s="229">
        <v>6.5199999999999994E-2</v>
      </c>
      <c r="EZ73" s="229">
        <v>0.3634</v>
      </c>
      <c r="FA73" s="227" t="s">
        <v>567</v>
      </c>
      <c r="FB73" s="161">
        <f t="shared" si="1"/>
        <v>207500</v>
      </c>
    </row>
    <row r="74" spans="1:158" ht="17.25" hidden="1" thickBot="1" x14ac:dyDescent="0.3">
      <c r="A74" s="226">
        <v>46050</v>
      </c>
      <c r="B74" s="227" t="s">
        <v>221</v>
      </c>
      <c r="C74" s="227" t="s">
        <v>222</v>
      </c>
      <c r="D74" s="228">
        <v>350</v>
      </c>
      <c r="E74" s="231">
        <v>1735.8</v>
      </c>
      <c r="F74" s="231">
        <v>1728.2</v>
      </c>
      <c r="G74" s="228">
        <v>7.6</v>
      </c>
      <c r="H74" s="229">
        <v>4.4000000000000003E-3</v>
      </c>
      <c r="I74" s="231">
        <v>1729.6</v>
      </c>
      <c r="J74" s="231">
        <v>1720.2</v>
      </c>
      <c r="K74" s="228">
        <v>9.4</v>
      </c>
      <c r="L74" s="229">
        <v>5.4999999999999997E-3</v>
      </c>
      <c r="M74" s="231">
        <v>1735.8</v>
      </c>
      <c r="N74" s="231">
        <v>1715.7</v>
      </c>
      <c r="O74" s="228">
        <v>20.100000000000001</v>
      </c>
      <c r="P74" s="229">
        <v>1.17E-2</v>
      </c>
      <c r="Q74" s="231">
        <v>1747.5</v>
      </c>
      <c r="R74" s="231">
        <v>1728.2</v>
      </c>
      <c r="S74" s="228">
        <v>19.3</v>
      </c>
      <c r="T74" s="229">
        <v>1.12E-2</v>
      </c>
      <c r="U74" s="231">
        <v>1750.6</v>
      </c>
      <c r="V74" s="231">
        <v>1740.1</v>
      </c>
      <c r="W74" s="228">
        <v>10.5</v>
      </c>
      <c r="X74" s="229">
        <v>6.0000000000000001E-3</v>
      </c>
      <c r="Y74" s="228">
        <v>6.2</v>
      </c>
      <c r="Z74" s="228">
        <v>8</v>
      </c>
      <c r="AA74" s="228">
        <v>-1.8</v>
      </c>
      <c r="AB74" s="229">
        <v>3.5999999999999999E-3</v>
      </c>
      <c r="AC74" s="228">
        <v>6.2</v>
      </c>
      <c r="AD74" s="228">
        <v>-4.5</v>
      </c>
      <c r="AE74" s="228">
        <v>10.7</v>
      </c>
      <c r="AF74" s="229">
        <v>3.5999999999999999E-3</v>
      </c>
      <c r="AG74" s="228">
        <v>17.899999999999999</v>
      </c>
      <c r="AH74" s="228">
        <v>8</v>
      </c>
      <c r="AI74" s="228">
        <v>9.9</v>
      </c>
      <c r="AJ74" s="229">
        <v>1.03E-2</v>
      </c>
      <c r="AK74" s="228">
        <v>21</v>
      </c>
      <c r="AL74" s="228">
        <v>19.899999999999999</v>
      </c>
      <c r="AM74" s="228">
        <v>1.1000000000000001</v>
      </c>
      <c r="AN74" s="229">
        <v>1.21E-2</v>
      </c>
      <c r="AO74" s="231">
        <v>1725.2</v>
      </c>
      <c r="AP74" s="231">
        <v>1734.9</v>
      </c>
      <c r="AQ74" s="228">
        <v>0</v>
      </c>
      <c r="AR74" s="230">
        <v>2313500</v>
      </c>
      <c r="AS74" s="230">
        <v>6486900</v>
      </c>
      <c r="AT74" s="230">
        <v>-4173400</v>
      </c>
      <c r="AU74" s="229">
        <v>-0.64339999999999997</v>
      </c>
      <c r="AV74" s="230">
        <v>2261700</v>
      </c>
      <c r="AW74" s="230">
        <v>2769900</v>
      </c>
      <c r="AX74" s="230">
        <v>-508200</v>
      </c>
      <c r="AY74" s="229">
        <v>-0.1835</v>
      </c>
      <c r="AZ74" s="230">
        <v>38850</v>
      </c>
      <c r="BA74" s="230">
        <v>3644550</v>
      </c>
      <c r="BB74" s="230">
        <v>-3605700</v>
      </c>
      <c r="BC74" s="229">
        <v>-0.98929999999999996</v>
      </c>
      <c r="BD74" s="230">
        <v>12950</v>
      </c>
      <c r="BE74" s="230">
        <v>72450</v>
      </c>
      <c r="BF74" s="230">
        <v>-59500</v>
      </c>
      <c r="BG74" s="229">
        <v>-0.82130000000000003</v>
      </c>
      <c r="BH74" s="230">
        <v>5441800</v>
      </c>
      <c r="BI74" s="230">
        <v>8381450</v>
      </c>
      <c r="BJ74" s="230">
        <v>-2939650</v>
      </c>
      <c r="BK74" s="229">
        <v>-0.35070000000000001</v>
      </c>
      <c r="BL74" s="230">
        <v>3033800</v>
      </c>
      <c r="BM74" s="230">
        <v>5111400</v>
      </c>
      <c r="BN74" s="230">
        <v>-2077600</v>
      </c>
      <c r="BO74" s="229">
        <v>-0.40649999999999997</v>
      </c>
      <c r="BP74" s="230">
        <v>10789100</v>
      </c>
      <c r="BQ74" s="230">
        <v>19979750</v>
      </c>
      <c r="BR74" s="230">
        <v>-9190650</v>
      </c>
      <c r="BS74" s="229">
        <v>-0.46</v>
      </c>
      <c r="BT74" s="230">
        <v>2781066</v>
      </c>
      <c r="BU74" s="230">
        <v>2697143</v>
      </c>
      <c r="BV74" s="230">
        <v>83923</v>
      </c>
      <c r="BW74" s="229">
        <v>3.1099999999999999E-2</v>
      </c>
      <c r="BX74" s="230">
        <v>17467450</v>
      </c>
      <c r="BY74" s="230">
        <v>17423350</v>
      </c>
      <c r="BZ74" s="230">
        <v>44100</v>
      </c>
      <c r="CA74" s="229">
        <v>2.5000000000000001E-3</v>
      </c>
      <c r="CB74" s="230">
        <v>17050600</v>
      </c>
      <c r="CC74" s="230">
        <v>2059750</v>
      </c>
      <c r="CD74" s="230">
        <v>14990850</v>
      </c>
      <c r="CE74" s="229">
        <v>7.2779999999999996</v>
      </c>
      <c r="CF74" s="230">
        <v>406700</v>
      </c>
      <c r="CG74" s="230">
        <v>17023300</v>
      </c>
      <c r="CH74" s="230">
        <v>-16616600</v>
      </c>
      <c r="CI74" s="229">
        <v>-0.97609999999999997</v>
      </c>
      <c r="CJ74" s="230">
        <v>10150</v>
      </c>
      <c r="CK74" s="230">
        <v>400050</v>
      </c>
      <c r="CL74" s="230">
        <v>-389900</v>
      </c>
      <c r="CM74" s="229">
        <v>-0.97460000000000002</v>
      </c>
      <c r="CN74" s="230">
        <v>1983450</v>
      </c>
      <c r="CO74" s="230">
        <v>1625400</v>
      </c>
      <c r="CP74" s="230">
        <v>358050</v>
      </c>
      <c r="CQ74" s="229">
        <v>0.2203</v>
      </c>
      <c r="CR74" s="230">
        <v>1652350</v>
      </c>
      <c r="CS74" s="230">
        <v>1255800</v>
      </c>
      <c r="CT74" s="230">
        <v>396550</v>
      </c>
      <c r="CU74" s="229">
        <v>0.31580000000000003</v>
      </c>
      <c r="CV74" s="230">
        <v>21103250</v>
      </c>
      <c r="CW74" s="230">
        <v>20304550</v>
      </c>
      <c r="CX74" s="230">
        <v>798700</v>
      </c>
      <c r="CY74" s="229">
        <v>3.9300000000000002E-2</v>
      </c>
      <c r="CZ74" s="228">
        <v>22.11</v>
      </c>
      <c r="DA74" s="228">
        <v>23</v>
      </c>
      <c r="DB74" s="228">
        <v>-0.89</v>
      </c>
      <c r="DC74" s="228">
        <v>-0.89</v>
      </c>
      <c r="DD74" s="228">
        <v>27.25</v>
      </c>
      <c r="DE74" s="228">
        <v>27.3</v>
      </c>
      <c r="DF74" s="228">
        <v>-5.14</v>
      </c>
      <c r="DG74" s="228">
        <v>-0.05</v>
      </c>
      <c r="DH74" s="228">
        <v>21.27</v>
      </c>
      <c r="DI74" s="228">
        <v>22.2</v>
      </c>
      <c r="DJ74" s="228">
        <v>-0.93</v>
      </c>
      <c r="DK74" s="228">
        <v>-0.93</v>
      </c>
      <c r="DL74" s="228">
        <v>23.63</v>
      </c>
      <c r="DM74" s="228">
        <v>24.24</v>
      </c>
      <c r="DN74" s="228">
        <v>-0.61</v>
      </c>
      <c r="DO74" s="228">
        <v>-0.61</v>
      </c>
      <c r="DP74" s="228">
        <v>0.83</v>
      </c>
      <c r="DQ74" s="228">
        <v>0.77</v>
      </c>
      <c r="DR74" s="228">
        <v>0.06</v>
      </c>
      <c r="DS74" s="229">
        <v>7.7899999999999997E-2</v>
      </c>
      <c r="DT74" s="231">
        <v>1760</v>
      </c>
      <c r="DU74" s="231">
        <v>1620</v>
      </c>
      <c r="DV74" s="228">
        <v>0.56000000000000005</v>
      </c>
      <c r="DW74" s="228">
        <v>0.61</v>
      </c>
      <c r="DX74" s="228">
        <v>-0.05</v>
      </c>
      <c r="DY74" s="229">
        <v>-8.2000000000000003E-2</v>
      </c>
      <c r="DZ74" s="229">
        <v>2.3900000000000001E-2</v>
      </c>
      <c r="EA74" s="230">
        <v>17423350</v>
      </c>
      <c r="EB74" s="229">
        <v>6.7000000000000002E-3</v>
      </c>
      <c r="EC74" s="229">
        <v>2.3900000000000001E-2</v>
      </c>
      <c r="ED74" s="228">
        <v>9.6999999999999993</v>
      </c>
      <c r="EE74" s="229">
        <v>5.5999999999999999E-3</v>
      </c>
      <c r="EF74" s="230">
        <v>1799184</v>
      </c>
      <c r="EG74" s="230">
        <v>1545670</v>
      </c>
      <c r="EH74" s="229">
        <v>0.16400000000000001</v>
      </c>
      <c r="EI74" s="229">
        <v>0.64690000000000003</v>
      </c>
      <c r="EJ74" s="231">
        <v>97259.4</v>
      </c>
      <c r="EK74" s="231">
        <v>51515.64</v>
      </c>
      <c r="EL74" s="231">
        <v>39917.97</v>
      </c>
      <c r="EM74" s="231">
        <v>30394</v>
      </c>
      <c r="EN74" s="231">
        <v>188693.01</v>
      </c>
      <c r="EO74" s="231">
        <v>344591.16</v>
      </c>
      <c r="EP74" s="231">
        <v>-155898.15</v>
      </c>
      <c r="EQ74" s="229">
        <v>-0.45240000000000002</v>
      </c>
      <c r="ER74" s="231">
        <v>35027</v>
      </c>
      <c r="ES74" s="231">
        <v>27213</v>
      </c>
      <c r="ET74" s="231">
        <v>303249</v>
      </c>
      <c r="EU74" s="231">
        <v>106857976</v>
      </c>
      <c r="EV74" s="231">
        <v>365489</v>
      </c>
      <c r="EW74" s="231">
        <v>350422</v>
      </c>
      <c r="EX74" s="231">
        <v>15067</v>
      </c>
      <c r="EY74" s="229">
        <v>4.2999999999999997E-2</v>
      </c>
      <c r="EZ74" s="229">
        <v>0.19750000000000001</v>
      </c>
      <c r="FA74" s="227" t="s">
        <v>555</v>
      </c>
      <c r="FB74" s="161">
        <f t="shared" si="1"/>
        <v>416850</v>
      </c>
    </row>
    <row r="75" spans="1:158" ht="17.25" hidden="1" thickBot="1" x14ac:dyDescent="0.3">
      <c r="A75" s="226">
        <v>46050</v>
      </c>
      <c r="B75" s="227" t="s">
        <v>175</v>
      </c>
      <c r="C75" s="227" t="s">
        <v>475</v>
      </c>
      <c r="D75" s="228">
        <v>300</v>
      </c>
      <c r="E75" s="231">
        <v>2489.8000000000002</v>
      </c>
      <c r="F75" s="231">
        <v>2452.6</v>
      </c>
      <c r="G75" s="228">
        <v>37.200000000000003</v>
      </c>
      <c r="H75" s="229">
        <v>1.52E-2</v>
      </c>
      <c r="I75" s="231">
        <v>2477.6</v>
      </c>
      <c r="J75" s="231">
        <v>2436.8000000000002</v>
      </c>
      <c r="K75" s="228">
        <v>40.799999999999997</v>
      </c>
      <c r="L75" s="229">
        <v>1.67E-2</v>
      </c>
      <c r="M75" s="231">
        <v>2489.8000000000002</v>
      </c>
      <c r="N75" s="231">
        <v>2440.6999999999998</v>
      </c>
      <c r="O75" s="228">
        <v>49.1</v>
      </c>
      <c r="P75" s="229">
        <v>2.01E-2</v>
      </c>
      <c r="Q75" s="231">
        <v>2503.6999999999998</v>
      </c>
      <c r="R75" s="231">
        <v>2452.6</v>
      </c>
      <c r="S75" s="228">
        <v>51.1</v>
      </c>
      <c r="T75" s="229">
        <v>2.0799999999999999E-2</v>
      </c>
      <c r="U75" s="228">
        <v>0</v>
      </c>
      <c r="V75" s="231">
        <v>2467.8000000000002</v>
      </c>
      <c r="W75" s="228">
        <v>0</v>
      </c>
      <c r="X75" s="229">
        <v>0</v>
      </c>
      <c r="Y75" s="228">
        <v>12.2</v>
      </c>
      <c r="Z75" s="228">
        <v>15.8</v>
      </c>
      <c r="AA75" s="228">
        <v>-3.6</v>
      </c>
      <c r="AB75" s="229">
        <v>4.8999999999999998E-3</v>
      </c>
      <c r="AC75" s="228">
        <v>12.2</v>
      </c>
      <c r="AD75" s="228">
        <v>3.9</v>
      </c>
      <c r="AE75" s="228">
        <v>8.3000000000000007</v>
      </c>
      <c r="AF75" s="229">
        <v>4.8999999999999998E-3</v>
      </c>
      <c r="AG75" s="228">
        <v>26.1</v>
      </c>
      <c r="AH75" s="228">
        <v>15.8</v>
      </c>
      <c r="AI75" s="228">
        <v>10.3</v>
      </c>
      <c r="AJ75" s="229">
        <v>1.0500000000000001E-2</v>
      </c>
      <c r="AK75" s="228">
        <v>0</v>
      </c>
      <c r="AL75" s="228">
        <v>31</v>
      </c>
      <c r="AM75" s="228">
        <v>0</v>
      </c>
      <c r="AN75" s="229">
        <v>0</v>
      </c>
      <c r="AO75" s="231">
        <v>2465.58</v>
      </c>
      <c r="AP75" s="231">
        <v>2474.84</v>
      </c>
      <c r="AQ75" s="228">
        <v>0</v>
      </c>
      <c r="AR75" s="230">
        <v>1109100</v>
      </c>
      <c r="AS75" s="230">
        <v>2547900</v>
      </c>
      <c r="AT75" s="230">
        <v>-1438800</v>
      </c>
      <c r="AU75" s="229">
        <v>-0.56469999999999998</v>
      </c>
      <c r="AV75" s="230">
        <v>1096500</v>
      </c>
      <c r="AW75" s="230">
        <v>1086600</v>
      </c>
      <c r="AX75" s="230">
        <v>9900</v>
      </c>
      <c r="AY75" s="229">
        <v>9.1000000000000004E-3</v>
      </c>
      <c r="AZ75" s="230">
        <v>12600</v>
      </c>
      <c r="BA75" s="230">
        <v>1446000</v>
      </c>
      <c r="BB75" s="230">
        <v>-1433400</v>
      </c>
      <c r="BC75" s="229">
        <v>-0.99129999999999996</v>
      </c>
      <c r="BD75" s="228">
        <v>0</v>
      </c>
      <c r="BE75" s="230">
        <v>15300</v>
      </c>
      <c r="BF75" s="228">
        <v>0</v>
      </c>
      <c r="BG75" s="229">
        <v>0</v>
      </c>
      <c r="BH75" s="230">
        <v>1396500</v>
      </c>
      <c r="BI75" s="230">
        <v>1830900</v>
      </c>
      <c r="BJ75" s="230">
        <v>-434400</v>
      </c>
      <c r="BK75" s="229">
        <v>-0.23730000000000001</v>
      </c>
      <c r="BL75" s="230">
        <v>411900</v>
      </c>
      <c r="BM75" s="230">
        <v>1296000</v>
      </c>
      <c r="BN75" s="230">
        <v>-884100</v>
      </c>
      <c r="BO75" s="229">
        <v>-0.68220000000000003</v>
      </c>
      <c r="BP75" s="230">
        <v>2917500</v>
      </c>
      <c r="BQ75" s="230">
        <v>5674800</v>
      </c>
      <c r="BR75" s="230">
        <v>-2757300</v>
      </c>
      <c r="BS75" s="229">
        <v>-0.4859</v>
      </c>
      <c r="BT75" s="230">
        <v>1308519</v>
      </c>
      <c r="BU75" s="230">
        <v>1454394</v>
      </c>
      <c r="BV75" s="230">
        <v>-145875</v>
      </c>
      <c r="BW75" s="229">
        <v>-0.1003</v>
      </c>
      <c r="BX75" s="230">
        <v>7243800</v>
      </c>
      <c r="BY75" s="230">
        <v>7068000</v>
      </c>
      <c r="BZ75" s="230">
        <v>175800</v>
      </c>
      <c r="CA75" s="229">
        <v>2.4899999999999999E-2</v>
      </c>
      <c r="CB75" s="230">
        <v>7204500</v>
      </c>
      <c r="CC75" s="230">
        <v>910800</v>
      </c>
      <c r="CD75" s="230">
        <v>6293700</v>
      </c>
      <c r="CE75" s="229">
        <v>6.9100999999999999</v>
      </c>
      <c r="CF75" s="230">
        <v>39300</v>
      </c>
      <c r="CG75" s="230">
        <v>7032300</v>
      </c>
      <c r="CH75" s="230">
        <v>-6993000</v>
      </c>
      <c r="CI75" s="229">
        <v>-0.99439999999999995</v>
      </c>
      <c r="CJ75" s="228">
        <v>0</v>
      </c>
      <c r="CK75" s="230">
        <v>35700</v>
      </c>
      <c r="CL75" s="230">
        <v>-35700</v>
      </c>
      <c r="CM75" s="229">
        <v>-1</v>
      </c>
      <c r="CN75" s="230">
        <v>1002900</v>
      </c>
      <c r="CO75" s="230">
        <v>796800</v>
      </c>
      <c r="CP75" s="230">
        <v>206100</v>
      </c>
      <c r="CQ75" s="229">
        <v>0.25869999999999999</v>
      </c>
      <c r="CR75" s="230">
        <v>634500</v>
      </c>
      <c r="CS75" s="230">
        <v>510600</v>
      </c>
      <c r="CT75" s="230">
        <v>123900</v>
      </c>
      <c r="CU75" s="229">
        <v>0.2427</v>
      </c>
      <c r="CV75" s="230">
        <v>8881200</v>
      </c>
      <c r="CW75" s="230">
        <v>8375400</v>
      </c>
      <c r="CX75" s="230">
        <v>505800</v>
      </c>
      <c r="CY75" s="229">
        <v>6.0400000000000002E-2</v>
      </c>
      <c r="CZ75" s="228">
        <v>26.1</v>
      </c>
      <c r="DA75" s="228">
        <v>26.59</v>
      </c>
      <c r="DB75" s="228">
        <v>-0.49</v>
      </c>
      <c r="DC75" s="228">
        <v>-0.49</v>
      </c>
      <c r="DD75" s="228">
        <v>33.64</v>
      </c>
      <c r="DE75" s="228">
        <v>33.65</v>
      </c>
      <c r="DF75" s="228">
        <v>-7.54</v>
      </c>
      <c r="DG75" s="228">
        <v>-0.01</v>
      </c>
      <c r="DH75" s="228">
        <v>25.6</v>
      </c>
      <c r="DI75" s="228">
        <v>26.07</v>
      </c>
      <c r="DJ75" s="228">
        <v>-0.47</v>
      </c>
      <c r="DK75" s="228">
        <v>-0.47</v>
      </c>
      <c r="DL75" s="228">
        <v>27.78</v>
      </c>
      <c r="DM75" s="228">
        <v>27.93</v>
      </c>
      <c r="DN75" s="228">
        <v>-0.15</v>
      </c>
      <c r="DO75" s="228">
        <v>-0.15</v>
      </c>
      <c r="DP75" s="228">
        <v>0.63</v>
      </c>
      <c r="DQ75" s="228">
        <v>0.64</v>
      </c>
      <c r="DR75" s="228">
        <v>-0.01</v>
      </c>
      <c r="DS75" s="229">
        <v>-1.5599999999999999E-2</v>
      </c>
      <c r="DT75" s="231">
        <v>2500</v>
      </c>
      <c r="DU75" s="231">
        <v>2400</v>
      </c>
      <c r="DV75" s="228">
        <v>0.28999999999999998</v>
      </c>
      <c r="DW75" s="228">
        <v>0.71</v>
      </c>
      <c r="DX75" s="228">
        <v>-0.42</v>
      </c>
      <c r="DY75" s="229">
        <v>-0.59150000000000003</v>
      </c>
      <c r="DZ75" s="229">
        <v>5.4000000000000003E-3</v>
      </c>
      <c r="EA75" s="230">
        <v>7068000</v>
      </c>
      <c r="EB75" s="229">
        <v>5.5999999999999999E-3</v>
      </c>
      <c r="EC75" s="229">
        <v>5.4000000000000003E-3</v>
      </c>
      <c r="ED75" s="228">
        <v>9.26</v>
      </c>
      <c r="EE75" s="229">
        <v>3.8E-3</v>
      </c>
      <c r="EF75" s="230">
        <v>900953</v>
      </c>
      <c r="EG75" s="230">
        <v>939048</v>
      </c>
      <c r="EH75" s="229">
        <v>-4.0599999999999997E-2</v>
      </c>
      <c r="EI75" s="229">
        <v>0.6885</v>
      </c>
      <c r="EJ75" s="231">
        <v>36367.15</v>
      </c>
      <c r="EK75" s="231">
        <v>10027.620000000001</v>
      </c>
      <c r="EL75" s="231">
        <v>27346.87</v>
      </c>
      <c r="EM75" s="231">
        <v>16303</v>
      </c>
      <c r="EN75" s="231">
        <v>73741.64</v>
      </c>
      <c r="EO75" s="231">
        <v>141823.46</v>
      </c>
      <c r="EP75" s="231">
        <v>-68081.820000000007</v>
      </c>
      <c r="EQ75" s="229">
        <v>-0.48</v>
      </c>
      <c r="ER75" s="231">
        <v>26381</v>
      </c>
      <c r="ES75" s="231">
        <v>15518</v>
      </c>
      <c r="ET75" s="231">
        <v>180362</v>
      </c>
      <c r="EU75" s="231">
        <v>30592324</v>
      </c>
      <c r="EV75" s="231">
        <v>222261</v>
      </c>
      <c r="EW75" s="231">
        <v>206950</v>
      </c>
      <c r="EX75" s="231">
        <v>15311</v>
      </c>
      <c r="EY75" s="229">
        <v>7.3999999999999996E-2</v>
      </c>
      <c r="EZ75" s="229">
        <v>0.2903</v>
      </c>
      <c r="FA75" s="227" t="s">
        <v>555</v>
      </c>
      <c r="FB75" s="161">
        <f t="shared" si="1"/>
        <v>39300</v>
      </c>
    </row>
    <row r="76" spans="1:158" ht="17.25" hidden="1" thickBot="1" x14ac:dyDescent="0.3">
      <c r="A76" s="226">
        <v>46050</v>
      </c>
      <c r="B76" s="227" t="s">
        <v>172</v>
      </c>
      <c r="C76" s="227" t="s">
        <v>224</v>
      </c>
      <c r="D76" s="228">
        <v>550</v>
      </c>
      <c r="E76" s="228">
        <v>936.2</v>
      </c>
      <c r="F76" s="228">
        <v>932.8</v>
      </c>
      <c r="G76" s="228">
        <v>3.4</v>
      </c>
      <c r="H76" s="229">
        <v>3.5999999999999999E-3</v>
      </c>
      <c r="I76" s="228">
        <v>932.7</v>
      </c>
      <c r="J76" s="228">
        <v>926.4</v>
      </c>
      <c r="K76" s="228">
        <v>6.3</v>
      </c>
      <c r="L76" s="229">
        <v>6.7999999999999996E-3</v>
      </c>
      <c r="M76" s="228">
        <v>936.2</v>
      </c>
      <c r="N76" s="228">
        <v>925.2</v>
      </c>
      <c r="O76" s="228">
        <v>11</v>
      </c>
      <c r="P76" s="229">
        <v>1.1900000000000001E-2</v>
      </c>
      <c r="Q76" s="228">
        <v>942.25</v>
      </c>
      <c r="R76" s="228">
        <v>932.8</v>
      </c>
      <c r="S76" s="228">
        <v>9.4499999999999993</v>
      </c>
      <c r="T76" s="229">
        <v>1.01E-2</v>
      </c>
      <c r="U76" s="228">
        <v>947.75</v>
      </c>
      <c r="V76" s="228">
        <v>938.6</v>
      </c>
      <c r="W76" s="228">
        <v>9.15</v>
      </c>
      <c r="X76" s="229">
        <v>9.7000000000000003E-3</v>
      </c>
      <c r="Y76" s="228">
        <v>3.5</v>
      </c>
      <c r="Z76" s="228">
        <v>6.4</v>
      </c>
      <c r="AA76" s="228">
        <v>-2.9</v>
      </c>
      <c r="AB76" s="229">
        <v>3.8E-3</v>
      </c>
      <c r="AC76" s="228">
        <v>3.5</v>
      </c>
      <c r="AD76" s="228">
        <v>-1.2</v>
      </c>
      <c r="AE76" s="228">
        <v>4.7</v>
      </c>
      <c r="AF76" s="229">
        <v>3.8E-3</v>
      </c>
      <c r="AG76" s="228">
        <v>9.5500000000000007</v>
      </c>
      <c r="AH76" s="228">
        <v>6.4</v>
      </c>
      <c r="AI76" s="228">
        <v>3.15</v>
      </c>
      <c r="AJ76" s="229">
        <v>1.0200000000000001E-2</v>
      </c>
      <c r="AK76" s="228">
        <v>15.05</v>
      </c>
      <c r="AL76" s="228">
        <v>12.2</v>
      </c>
      <c r="AM76" s="228">
        <v>2.85</v>
      </c>
      <c r="AN76" s="229">
        <v>1.61E-2</v>
      </c>
      <c r="AO76" s="228">
        <v>938.58</v>
      </c>
      <c r="AP76" s="228">
        <v>943.93</v>
      </c>
      <c r="AQ76" s="228">
        <v>0</v>
      </c>
      <c r="AR76" s="230">
        <v>29603200</v>
      </c>
      <c r="AS76" s="230">
        <v>103294950</v>
      </c>
      <c r="AT76" s="230">
        <v>-73691750</v>
      </c>
      <c r="AU76" s="229">
        <v>-0.71340000000000003</v>
      </c>
      <c r="AV76" s="230">
        <v>28384400</v>
      </c>
      <c r="AW76" s="230">
        <v>42282900</v>
      </c>
      <c r="AX76" s="230">
        <v>-13898500</v>
      </c>
      <c r="AY76" s="229">
        <v>-0.32869999999999999</v>
      </c>
      <c r="AZ76" s="230">
        <v>1034550</v>
      </c>
      <c r="BA76" s="230">
        <v>59525400</v>
      </c>
      <c r="BB76" s="230">
        <v>-58490850</v>
      </c>
      <c r="BC76" s="229">
        <v>-0.98260000000000003</v>
      </c>
      <c r="BD76" s="230">
        <v>184250</v>
      </c>
      <c r="BE76" s="230">
        <v>1486650</v>
      </c>
      <c r="BF76" s="230">
        <v>-1302400</v>
      </c>
      <c r="BG76" s="229">
        <v>-0.87609999999999999</v>
      </c>
      <c r="BH76" s="230">
        <v>66180950</v>
      </c>
      <c r="BI76" s="230">
        <v>83163300</v>
      </c>
      <c r="BJ76" s="230">
        <v>-16982350</v>
      </c>
      <c r="BK76" s="229">
        <v>-0.20419999999999999</v>
      </c>
      <c r="BL76" s="230">
        <v>39432800</v>
      </c>
      <c r="BM76" s="230">
        <v>53791650</v>
      </c>
      <c r="BN76" s="230">
        <v>-14358850</v>
      </c>
      <c r="BO76" s="229">
        <v>-0.26690000000000003</v>
      </c>
      <c r="BP76" s="230">
        <v>135216950</v>
      </c>
      <c r="BQ76" s="230">
        <v>240249900</v>
      </c>
      <c r="BR76" s="230">
        <v>-105032950</v>
      </c>
      <c r="BS76" s="229">
        <v>-0.43719999999999998</v>
      </c>
      <c r="BT76" s="230">
        <v>36672247</v>
      </c>
      <c r="BU76" s="230">
        <v>45836965</v>
      </c>
      <c r="BV76" s="230">
        <v>-9164718</v>
      </c>
      <c r="BW76" s="229">
        <v>-0.19989999999999999</v>
      </c>
      <c r="BX76" s="230">
        <v>258325100</v>
      </c>
      <c r="BY76" s="230">
        <v>261030550</v>
      </c>
      <c r="BZ76" s="230">
        <v>-2705450</v>
      </c>
      <c r="CA76" s="229">
        <v>-1.04E-2</v>
      </c>
      <c r="CB76" s="230">
        <v>233356750</v>
      </c>
      <c r="CC76" s="230">
        <v>15528700</v>
      </c>
      <c r="CD76" s="230">
        <v>217828050</v>
      </c>
      <c r="CE76" s="229">
        <v>14.0274</v>
      </c>
      <c r="CF76" s="230">
        <v>24825900</v>
      </c>
      <c r="CG76" s="230">
        <v>236524200</v>
      </c>
      <c r="CH76" s="230">
        <v>-211698300</v>
      </c>
      <c r="CI76" s="229">
        <v>-0.89500000000000002</v>
      </c>
      <c r="CJ76" s="230">
        <v>142450</v>
      </c>
      <c r="CK76" s="230">
        <v>24506350</v>
      </c>
      <c r="CL76" s="230">
        <v>-24363900</v>
      </c>
      <c r="CM76" s="229">
        <v>-0.99419999999999997</v>
      </c>
      <c r="CN76" s="230">
        <v>36298900</v>
      </c>
      <c r="CO76" s="230">
        <v>35664200</v>
      </c>
      <c r="CP76" s="230">
        <v>634700</v>
      </c>
      <c r="CQ76" s="229">
        <v>1.78E-2</v>
      </c>
      <c r="CR76" s="230">
        <v>25674000</v>
      </c>
      <c r="CS76" s="230">
        <v>24447500</v>
      </c>
      <c r="CT76" s="230">
        <v>1226500</v>
      </c>
      <c r="CU76" s="229">
        <v>5.0200000000000002E-2</v>
      </c>
      <c r="CV76" s="230">
        <v>320298000</v>
      </c>
      <c r="CW76" s="230">
        <v>321142250</v>
      </c>
      <c r="CX76" s="230">
        <v>-844250</v>
      </c>
      <c r="CY76" s="229">
        <v>-2.5999999999999999E-3</v>
      </c>
      <c r="CZ76" s="228">
        <v>19.63</v>
      </c>
      <c r="DA76" s="228">
        <v>20.82</v>
      </c>
      <c r="DB76" s="228">
        <v>-1.19</v>
      </c>
      <c r="DC76" s="228">
        <v>-1.19</v>
      </c>
      <c r="DD76" s="228">
        <v>19.559999999999999</v>
      </c>
      <c r="DE76" s="228">
        <v>19.59</v>
      </c>
      <c r="DF76" s="228">
        <v>7.0000000000000007E-2</v>
      </c>
      <c r="DG76" s="228">
        <v>-0.03</v>
      </c>
      <c r="DH76" s="228">
        <v>19.43</v>
      </c>
      <c r="DI76" s="228">
        <v>20.36</v>
      </c>
      <c r="DJ76" s="228">
        <v>-0.93</v>
      </c>
      <c r="DK76" s="228">
        <v>-0.93</v>
      </c>
      <c r="DL76" s="228">
        <v>19.96</v>
      </c>
      <c r="DM76" s="228">
        <v>21.59</v>
      </c>
      <c r="DN76" s="228">
        <v>-1.63</v>
      </c>
      <c r="DO76" s="228">
        <v>-1.63</v>
      </c>
      <c r="DP76" s="228">
        <v>0.71</v>
      </c>
      <c r="DQ76" s="228">
        <v>0.69</v>
      </c>
      <c r="DR76" s="228">
        <v>0.02</v>
      </c>
      <c r="DS76" s="229">
        <v>2.9000000000000001E-2</v>
      </c>
      <c r="DT76" s="231">
        <v>1000</v>
      </c>
      <c r="DU76" s="231">
        <v>1000</v>
      </c>
      <c r="DV76" s="228">
        <v>0.6</v>
      </c>
      <c r="DW76" s="228">
        <v>0.65</v>
      </c>
      <c r="DX76" s="228">
        <v>-0.05</v>
      </c>
      <c r="DY76" s="229">
        <v>-7.6899999999999996E-2</v>
      </c>
      <c r="DZ76" s="229">
        <v>9.6699999999999994E-2</v>
      </c>
      <c r="EA76" s="230">
        <v>261030550</v>
      </c>
      <c r="EB76" s="229">
        <v>6.4999999999999997E-3</v>
      </c>
      <c r="EC76" s="229">
        <v>9.6699999999999994E-2</v>
      </c>
      <c r="ED76" s="228">
        <v>5.35</v>
      </c>
      <c r="EE76" s="229">
        <v>5.7000000000000002E-3</v>
      </c>
      <c r="EF76" s="230">
        <v>26602847</v>
      </c>
      <c r="EG76" s="230">
        <v>25563338</v>
      </c>
      <c r="EH76" s="229">
        <v>4.07E-2</v>
      </c>
      <c r="EI76" s="229">
        <v>0.72540000000000004</v>
      </c>
      <c r="EJ76" s="231">
        <v>641816.9</v>
      </c>
      <c r="EK76" s="231">
        <v>369726.45</v>
      </c>
      <c r="EL76" s="231">
        <v>277921.73</v>
      </c>
      <c r="EM76" s="231">
        <v>230195</v>
      </c>
      <c r="EN76" s="231">
        <v>1289465.08</v>
      </c>
      <c r="EO76" s="231">
        <v>2242863.29</v>
      </c>
      <c r="EP76" s="231">
        <v>-953398.21</v>
      </c>
      <c r="EQ76" s="229">
        <v>-0.42509999999999998</v>
      </c>
      <c r="ER76" s="231">
        <v>348036</v>
      </c>
      <c r="ES76" s="231">
        <v>237632</v>
      </c>
      <c r="ET76" s="231">
        <v>2419958</v>
      </c>
      <c r="EU76" s="231">
        <v>1330694977</v>
      </c>
      <c r="EV76" s="231">
        <v>3005626</v>
      </c>
      <c r="EW76" s="231">
        <v>3003066</v>
      </c>
      <c r="EX76" s="231">
        <v>2560</v>
      </c>
      <c r="EY76" s="229">
        <v>8.9999999999999998E-4</v>
      </c>
      <c r="EZ76" s="229">
        <v>0.2407</v>
      </c>
      <c r="FA76" s="227" t="s">
        <v>556</v>
      </c>
      <c r="FB76" s="161">
        <f t="shared" si="1"/>
        <v>24968350</v>
      </c>
    </row>
    <row r="77" spans="1:158" ht="17.25" hidden="1" thickBot="1" x14ac:dyDescent="0.3">
      <c r="A77" s="226">
        <v>46050</v>
      </c>
      <c r="B77" s="227" t="s">
        <v>175</v>
      </c>
      <c r="C77" s="227" t="s">
        <v>225</v>
      </c>
      <c r="D77" s="228">
        <v>1100</v>
      </c>
      <c r="E77" s="228">
        <v>730.5</v>
      </c>
      <c r="F77" s="228">
        <v>724.4</v>
      </c>
      <c r="G77" s="228">
        <v>6.1</v>
      </c>
      <c r="H77" s="229">
        <v>8.3999999999999995E-3</v>
      </c>
      <c r="I77" s="228">
        <v>728.6</v>
      </c>
      <c r="J77" s="228">
        <v>720.05</v>
      </c>
      <c r="K77" s="228">
        <v>8.5500000000000007</v>
      </c>
      <c r="L77" s="229">
        <v>1.1900000000000001E-2</v>
      </c>
      <c r="M77" s="228">
        <v>730.5</v>
      </c>
      <c r="N77" s="228">
        <v>721.8</v>
      </c>
      <c r="O77" s="228">
        <v>8.6999999999999993</v>
      </c>
      <c r="P77" s="229">
        <v>1.21E-2</v>
      </c>
      <c r="Q77" s="228">
        <v>735.4</v>
      </c>
      <c r="R77" s="228">
        <v>724.4</v>
      </c>
      <c r="S77" s="228">
        <v>11</v>
      </c>
      <c r="T77" s="229">
        <v>1.52E-2</v>
      </c>
      <c r="U77" s="228">
        <v>737.05</v>
      </c>
      <c r="V77" s="228">
        <v>728.9</v>
      </c>
      <c r="W77" s="228">
        <v>8.15</v>
      </c>
      <c r="X77" s="229">
        <v>1.12E-2</v>
      </c>
      <c r="Y77" s="228">
        <v>1.9</v>
      </c>
      <c r="Z77" s="228">
        <v>4.3499999999999996</v>
      </c>
      <c r="AA77" s="228">
        <v>-2.4500000000000002</v>
      </c>
      <c r="AB77" s="229">
        <v>2.5999999999999999E-3</v>
      </c>
      <c r="AC77" s="228">
        <v>1.9</v>
      </c>
      <c r="AD77" s="228">
        <v>1.75</v>
      </c>
      <c r="AE77" s="228">
        <v>0.15</v>
      </c>
      <c r="AF77" s="229">
        <v>2.5999999999999999E-3</v>
      </c>
      <c r="AG77" s="228">
        <v>6.8</v>
      </c>
      <c r="AH77" s="228">
        <v>4.3499999999999996</v>
      </c>
      <c r="AI77" s="228">
        <v>2.4500000000000002</v>
      </c>
      <c r="AJ77" s="229">
        <v>9.2999999999999992E-3</v>
      </c>
      <c r="AK77" s="228">
        <v>8.4499999999999993</v>
      </c>
      <c r="AL77" s="228">
        <v>8.85</v>
      </c>
      <c r="AM77" s="228">
        <v>-0.4</v>
      </c>
      <c r="AN77" s="229">
        <v>1.1599999999999999E-2</v>
      </c>
      <c r="AO77" s="228">
        <v>727.52</v>
      </c>
      <c r="AP77" s="228">
        <v>732.21</v>
      </c>
      <c r="AQ77" s="228">
        <v>0</v>
      </c>
      <c r="AR77" s="230">
        <v>3069000</v>
      </c>
      <c r="AS77" s="230">
        <v>14846700</v>
      </c>
      <c r="AT77" s="230">
        <v>-11777700</v>
      </c>
      <c r="AU77" s="229">
        <v>-0.79330000000000001</v>
      </c>
      <c r="AV77" s="230">
        <v>2976600</v>
      </c>
      <c r="AW77" s="230">
        <v>6910200</v>
      </c>
      <c r="AX77" s="230">
        <v>-3933600</v>
      </c>
      <c r="AY77" s="229">
        <v>-0.56920000000000004</v>
      </c>
      <c r="AZ77" s="230">
        <v>82500</v>
      </c>
      <c r="BA77" s="230">
        <v>7812200</v>
      </c>
      <c r="BB77" s="230">
        <v>-7729700</v>
      </c>
      <c r="BC77" s="229">
        <v>-0.98939999999999995</v>
      </c>
      <c r="BD77" s="230">
        <v>9900</v>
      </c>
      <c r="BE77" s="230">
        <v>124300</v>
      </c>
      <c r="BF77" s="230">
        <v>-114400</v>
      </c>
      <c r="BG77" s="229">
        <v>-0.9204</v>
      </c>
      <c r="BH77" s="230">
        <v>10128800</v>
      </c>
      <c r="BI77" s="230">
        <v>8346800</v>
      </c>
      <c r="BJ77" s="230">
        <v>1782000</v>
      </c>
      <c r="BK77" s="229">
        <v>0.2135</v>
      </c>
      <c r="BL77" s="230">
        <v>3155900</v>
      </c>
      <c r="BM77" s="230">
        <v>5448300</v>
      </c>
      <c r="BN77" s="230">
        <v>-2292400</v>
      </c>
      <c r="BO77" s="229">
        <v>-0.42080000000000001</v>
      </c>
      <c r="BP77" s="230">
        <v>16353700</v>
      </c>
      <c r="BQ77" s="230">
        <v>28641800</v>
      </c>
      <c r="BR77" s="230">
        <v>-12288100</v>
      </c>
      <c r="BS77" s="229">
        <v>-0.42899999999999999</v>
      </c>
      <c r="BT77" s="230">
        <v>1828349</v>
      </c>
      <c r="BU77" s="230">
        <v>3378298</v>
      </c>
      <c r="BV77" s="230">
        <v>-1549949</v>
      </c>
      <c r="BW77" s="229">
        <v>-0.45879999999999999</v>
      </c>
      <c r="BX77" s="230">
        <v>32654600</v>
      </c>
      <c r="BY77" s="230">
        <v>33836000</v>
      </c>
      <c r="BZ77" s="230">
        <v>-1181400</v>
      </c>
      <c r="CA77" s="229">
        <v>-3.49E-2</v>
      </c>
      <c r="CB77" s="230">
        <v>32193700</v>
      </c>
      <c r="CC77" s="230">
        <v>5294300</v>
      </c>
      <c r="CD77" s="230">
        <v>26899400</v>
      </c>
      <c r="CE77" s="229">
        <v>5.0808</v>
      </c>
      <c r="CF77" s="230">
        <v>452100</v>
      </c>
      <c r="CG77" s="230">
        <v>33419100</v>
      </c>
      <c r="CH77" s="230">
        <v>-32967000</v>
      </c>
      <c r="CI77" s="229">
        <v>-0.98650000000000004</v>
      </c>
      <c r="CJ77" s="230">
        <v>8800</v>
      </c>
      <c r="CK77" s="230">
        <v>416900</v>
      </c>
      <c r="CL77" s="230">
        <v>-408100</v>
      </c>
      <c r="CM77" s="229">
        <v>-0.97889999999999999</v>
      </c>
      <c r="CN77" s="230">
        <v>5750800</v>
      </c>
      <c r="CO77" s="230">
        <v>3319800</v>
      </c>
      <c r="CP77" s="230">
        <v>2431000</v>
      </c>
      <c r="CQ77" s="229">
        <v>0.73229999999999995</v>
      </c>
      <c r="CR77" s="230">
        <v>3374800</v>
      </c>
      <c r="CS77" s="230">
        <v>2867700</v>
      </c>
      <c r="CT77" s="230">
        <v>507100</v>
      </c>
      <c r="CU77" s="229">
        <v>0.17680000000000001</v>
      </c>
      <c r="CV77" s="230">
        <v>41780200</v>
      </c>
      <c r="CW77" s="230">
        <v>40023500</v>
      </c>
      <c r="CX77" s="230">
        <v>1756700</v>
      </c>
      <c r="CY77" s="229">
        <v>4.3900000000000002E-2</v>
      </c>
      <c r="CZ77" s="228">
        <v>21.21</v>
      </c>
      <c r="DA77" s="228">
        <v>23.12</v>
      </c>
      <c r="DB77" s="228">
        <v>-1.91</v>
      </c>
      <c r="DC77" s="228">
        <v>-1.91</v>
      </c>
      <c r="DD77" s="228">
        <v>24.69</v>
      </c>
      <c r="DE77" s="228">
        <v>24.7</v>
      </c>
      <c r="DF77" s="228">
        <v>-3.48</v>
      </c>
      <c r="DG77" s="228">
        <v>-0.01</v>
      </c>
      <c r="DH77" s="228">
        <v>20.74</v>
      </c>
      <c r="DI77" s="228">
        <v>22.76</v>
      </c>
      <c r="DJ77" s="228">
        <v>-2.02</v>
      </c>
      <c r="DK77" s="228">
        <v>-2.02</v>
      </c>
      <c r="DL77" s="228">
        <v>22.74</v>
      </c>
      <c r="DM77" s="228">
        <v>23.84</v>
      </c>
      <c r="DN77" s="228">
        <v>-1.1000000000000001</v>
      </c>
      <c r="DO77" s="228">
        <v>-1.1000000000000001</v>
      </c>
      <c r="DP77" s="228">
        <v>0.59</v>
      </c>
      <c r="DQ77" s="228">
        <v>0.86</v>
      </c>
      <c r="DR77" s="228">
        <v>-0.27</v>
      </c>
      <c r="DS77" s="229">
        <v>-0.314</v>
      </c>
      <c r="DT77" s="228">
        <v>740</v>
      </c>
      <c r="DU77" s="228">
        <v>720</v>
      </c>
      <c r="DV77" s="228">
        <v>0.31</v>
      </c>
      <c r="DW77" s="228">
        <v>0.65</v>
      </c>
      <c r="DX77" s="228">
        <v>-0.34</v>
      </c>
      <c r="DY77" s="229">
        <v>-0.52310000000000001</v>
      </c>
      <c r="DZ77" s="229">
        <v>1.41E-2</v>
      </c>
      <c r="EA77" s="230">
        <v>33836000</v>
      </c>
      <c r="EB77" s="229">
        <v>6.7000000000000002E-3</v>
      </c>
      <c r="EC77" s="229">
        <v>1.41E-2</v>
      </c>
      <c r="ED77" s="228">
        <v>4.6900000000000004</v>
      </c>
      <c r="EE77" s="229">
        <v>6.4000000000000003E-3</v>
      </c>
      <c r="EF77" s="230">
        <v>1214770</v>
      </c>
      <c r="EG77" s="230">
        <v>1920016</v>
      </c>
      <c r="EH77" s="229">
        <v>-0.36730000000000002</v>
      </c>
      <c r="EI77" s="229">
        <v>0.66439999999999999</v>
      </c>
      <c r="EJ77" s="231">
        <v>77428.100000000006</v>
      </c>
      <c r="EK77" s="231">
        <v>22636.400000000001</v>
      </c>
      <c r="EL77" s="231">
        <v>22332.28</v>
      </c>
      <c r="EM77" s="231">
        <v>20645</v>
      </c>
      <c r="EN77" s="231">
        <v>122396.78</v>
      </c>
      <c r="EO77" s="231">
        <v>208799.89</v>
      </c>
      <c r="EP77" s="231">
        <v>-86403.11</v>
      </c>
      <c r="EQ77" s="229">
        <v>-0.4138</v>
      </c>
      <c r="ER77" s="231">
        <v>43687</v>
      </c>
      <c r="ES77" s="231">
        <v>24017</v>
      </c>
      <c r="ET77" s="231">
        <v>238565</v>
      </c>
      <c r="EU77" s="231">
        <v>128849634</v>
      </c>
      <c r="EV77" s="231">
        <v>306268</v>
      </c>
      <c r="EW77" s="231">
        <v>290844</v>
      </c>
      <c r="EX77" s="231">
        <v>15424</v>
      </c>
      <c r="EY77" s="229">
        <v>5.2999999999999999E-2</v>
      </c>
      <c r="EZ77" s="229">
        <v>0.32429999999999998</v>
      </c>
      <c r="FA77" s="227" t="s">
        <v>556</v>
      </c>
      <c r="FB77" s="161">
        <f t="shared" si="1"/>
        <v>460900</v>
      </c>
    </row>
    <row r="78" spans="1:158" ht="17.25" hidden="1" thickBot="1" x14ac:dyDescent="0.3">
      <c r="A78" s="226">
        <v>46050</v>
      </c>
      <c r="B78" s="227" t="s">
        <v>162</v>
      </c>
      <c r="C78" s="227" t="s">
        <v>226</v>
      </c>
      <c r="D78" s="228">
        <v>150</v>
      </c>
      <c r="E78" s="231">
        <v>5511</v>
      </c>
      <c r="F78" s="231">
        <v>5366.5</v>
      </c>
      <c r="G78" s="228">
        <v>144.5</v>
      </c>
      <c r="H78" s="229">
        <v>2.69E-2</v>
      </c>
      <c r="I78" s="231">
        <v>5512.5</v>
      </c>
      <c r="J78" s="231">
        <v>5380</v>
      </c>
      <c r="K78" s="228">
        <v>132.5</v>
      </c>
      <c r="L78" s="229">
        <v>2.46E-2</v>
      </c>
      <c r="M78" s="231">
        <v>5511</v>
      </c>
      <c r="N78" s="231">
        <v>5372.5</v>
      </c>
      <c r="O78" s="228">
        <v>138.5</v>
      </c>
      <c r="P78" s="229">
        <v>2.58E-2</v>
      </c>
      <c r="Q78" s="231">
        <v>5538.5</v>
      </c>
      <c r="R78" s="231">
        <v>5366.5</v>
      </c>
      <c r="S78" s="228">
        <v>172</v>
      </c>
      <c r="T78" s="229">
        <v>3.2099999999999997E-2</v>
      </c>
      <c r="U78" s="231">
        <v>5568.5</v>
      </c>
      <c r="V78" s="231">
        <v>5411</v>
      </c>
      <c r="W78" s="228">
        <v>157.5</v>
      </c>
      <c r="X78" s="229">
        <v>2.9100000000000001E-2</v>
      </c>
      <c r="Y78" s="228">
        <v>-1.5</v>
      </c>
      <c r="Z78" s="228">
        <v>-13.5</v>
      </c>
      <c r="AA78" s="228">
        <v>12</v>
      </c>
      <c r="AB78" s="229">
        <v>-2.9999999999999997E-4</v>
      </c>
      <c r="AC78" s="228">
        <v>-1.5</v>
      </c>
      <c r="AD78" s="228">
        <v>-7.5</v>
      </c>
      <c r="AE78" s="228">
        <v>6</v>
      </c>
      <c r="AF78" s="229">
        <v>-2.9999999999999997E-4</v>
      </c>
      <c r="AG78" s="228">
        <v>26</v>
      </c>
      <c r="AH78" s="228">
        <v>-13.5</v>
      </c>
      <c r="AI78" s="228">
        <v>39.5</v>
      </c>
      <c r="AJ78" s="229">
        <v>4.7000000000000002E-3</v>
      </c>
      <c r="AK78" s="228">
        <v>56</v>
      </c>
      <c r="AL78" s="228">
        <v>31</v>
      </c>
      <c r="AM78" s="228">
        <v>25</v>
      </c>
      <c r="AN78" s="229">
        <v>1.0200000000000001E-2</v>
      </c>
      <c r="AO78" s="231">
        <v>5416.47</v>
      </c>
      <c r="AP78" s="231">
        <v>5451.09</v>
      </c>
      <c r="AQ78" s="228">
        <v>0</v>
      </c>
      <c r="AR78" s="230">
        <v>1039650</v>
      </c>
      <c r="AS78" s="230">
        <v>2130450</v>
      </c>
      <c r="AT78" s="230">
        <v>-1090800</v>
      </c>
      <c r="AU78" s="229">
        <v>-0.51200000000000001</v>
      </c>
      <c r="AV78" s="230">
        <v>1009950</v>
      </c>
      <c r="AW78" s="230">
        <v>912600</v>
      </c>
      <c r="AX78" s="230">
        <v>97350</v>
      </c>
      <c r="AY78" s="229">
        <v>0.1067</v>
      </c>
      <c r="AZ78" s="230">
        <v>27600</v>
      </c>
      <c r="BA78" s="230">
        <v>1197300</v>
      </c>
      <c r="BB78" s="230">
        <v>-1169700</v>
      </c>
      <c r="BC78" s="229">
        <v>-0.97689999999999999</v>
      </c>
      <c r="BD78" s="230">
        <v>2100</v>
      </c>
      <c r="BE78" s="230">
        <v>20550</v>
      </c>
      <c r="BF78" s="230">
        <v>-18450</v>
      </c>
      <c r="BG78" s="229">
        <v>-0.89780000000000004</v>
      </c>
      <c r="BH78" s="230">
        <v>2560650</v>
      </c>
      <c r="BI78" s="230">
        <v>3319950</v>
      </c>
      <c r="BJ78" s="230">
        <v>-759300</v>
      </c>
      <c r="BK78" s="229">
        <v>-0.22869999999999999</v>
      </c>
      <c r="BL78" s="230">
        <v>1166250</v>
      </c>
      <c r="BM78" s="230">
        <v>1709100</v>
      </c>
      <c r="BN78" s="230">
        <v>-542850</v>
      </c>
      <c r="BO78" s="229">
        <v>-0.31759999999999999</v>
      </c>
      <c r="BP78" s="230">
        <v>4766550</v>
      </c>
      <c r="BQ78" s="230">
        <v>7159500</v>
      </c>
      <c r="BR78" s="230">
        <v>-2392950</v>
      </c>
      <c r="BS78" s="229">
        <v>-0.3342</v>
      </c>
      <c r="BT78" s="230">
        <v>563676</v>
      </c>
      <c r="BU78" s="230">
        <v>412484</v>
      </c>
      <c r="BV78" s="230">
        <v>151192</v>
      </c>
      <c r="BW78" s="229">
        <v>0.36649999999999999</v>
      </c>
      <c r="BX78" s="230">
        <v>3500100</v>
      </c>
      <c r="BY78" s="230">
        <v>3528150</v>
      </c>
      <c r="BZ78" s="230">
        <v>-28050</v>
      </c>
      <c r="CA78" s="229">
        <v>-8.0000000000000002E-3</v>
      </c>
      <c r="CB78" s="230">
        <v>3444000</v>
      </c>
      <c r="CC78" s="230">
        <v>1229850</v>
      </c>
      <c r="CD78" s="230">
        <v>2214150</v>
      </c>
      <c r="CE78" s="229">
        <v>1.8003</v>
      </c>
      <c r="CF78" s="230">
        <v>54450</v>
      </c>
      <c r="CG78" s="230">
        <v>3475350</v>
      </c>
      <c r="CH78" s="230">
        <v>-3420900</v>
      </c>
      <c r="CI78" s="229">
        <v>-0.98429999999999995</v>
      </c>
      <c r="CJ78" s="230">
        <v>1650</v>
      </c>
      <c r="CK78" s="230">
        <v>52800</v>
      </c>
      <c r="CL78" s="230">
        <v>-51150</v>
      </c>
      <c r="CM78" s="229">
        <v>-0.96879999999999999</v>
      </c>
      <c r="CN78" s="230">
        <v>934950</v>
      </c>
      <c r="CO78" s="230">
        <v>779400</v>
      </c>
      <c r="CP78" s="230">
        <v>155550</v>
      </c>
      <c r="CQ78" s="229">
        <v>0.1996</v>
      </c>
      <c r="CR78" s="230">
        <v>690000</v>
      </c>
      <c r="CS78" s="230">
        <v>593400</v>
      </c>
      <c r="CT78" s="230">
        <v>96600</v>
      </c>
      <c r="CU78" s="229">
        <v>0.1628</v>
      </c>
      <c r="CV78" s="230">
        <v>5125050</v>
      </c>
      <c r="CW78" s="230">
        <v>4900950</v>
      </c>
      <c r="CX78" s="230">
        <v>224100</v>
      </c>
      <c r="CY78" s="229">
        <v>4.5699999999999998E-2</v>
      </c>
      <c r="CZ78" s="228">
        <v>30.78</v>
      </c>
      <c r="DA78" s="228">
        <v>30.47</v>
      </c>
      <c r="DB78" s="228">
        <v>0.31</v>
      </c>
      <c r="DC78" s="228">
        <v>0.31</v>
      </c>
      <c r="DD78" s="228">
        <v>30.01</v>
      </c>
      <c r="DE78" s="228">
        <v>29.91</v>
      </c>
      <c r="DF78" s="228">
        <v>0.77</v>
      </c>
      <c r="DG78" s="228">
        <v>0.1</v>
      </c>
      <c r="DH78" s="228">
        <v>30.38</v>
      </c>
      <c r="DI78" s="228">
        <v>30.58</v>
      </c>
      <c r="DJ78" s="228">
        <v>-0.2</v>
      </c>
      <c r="DK78" s="228">
        <v>-0.2</v>
      </c>
      <c r="DL78" s="228">
        <v>31.68</v>
      </c>
      <c r="DM78" s="228">
        <v>30.29</v>
      </c>
      <c r="DN78" s="228">
        <v>1.39</v>
      </c>
      <c r="DO78" s="228">
        <v>1.39</v>
      </c>
      <c r="DP78" s="228">
        <v>0.74</v>
      </c>
      <c r="DQ78" s="228">
        <v>0.76</v>
      </c>
      <c r="DR78" s="228">
        <v>-0.02</v>
      </c>
      <c r="DS78" s="229">
        <v>-2.63E-2</v>
      </c>
      <c r="DT78" s="231">
        <v>6000</v>
      </c>
      <c r="DU78" s="231">
        <v>5500</v>
      </c>
      <c r="DV78" s="228">
        <v>0.46</v>
      </c>
      <c r="DW78" s="228">
        <v>0.51</v>
      </c>
      <c r="DX78" s="228">
        <v>-0.05</v>
      </c>
      <c r="DY78" s="229">
        <v>-9.8000000000000004E-2</v>
      </c>
      <c r="DZ78" s="229">
        <v>1.6E-2</v>
      </c>
      <c r="EA78" s="230">
        <v>3528150</v>
      </c>
      <c r="EB78" s="229">
        <v>5.0000000000000001E-3</v>
      </c>
      <c r="EC78" s="229">
        <v>1.6E-2</v>
      </c>
      <c r="ED78" s="228">
        <v>34.619999999999997</v>
      </c>
      <c r="EE78" s="229">
        <v>6.4000000000000003E-3</v>
      </c>
      <c r="EF78" s="230">
        <v>290795</v>
      </c>
      <c r="EG78" s="230">
        <v>195878</v>
      </c>
      <c r="EH78" s="229">
        <v>0.48459999999999998</v>
      </c>
      <c r="EI78" s="229">
        <v>0.51590000000000003</v>
      </c>
      <c r="EJ78" s="231">
        <v>147823.54999999999</v>
      </c>
      <c r="EK78" s="231">
        <v>62686.36</v>
      </c>
      <c r="EL78" s="231">
        <v>56323</v>
      </c>
      <c r="EM78" s="231">
        <v>24984</v>
      </c>
      <c r="EN78" s="231">
        <v>266832.90999999997</v>
      </c>
      <c r="EO78" s="231">
        <v>399882.86</v>
      </c>
      <c r="EP78" s="231">
        <v>-133049.95000000001</v>
      </c>
      <c r="EQ78" s="229">
        <v>-0.3327</v>
      </c>
      <c r="ER78" s="231">
        <v>54606</v>
      </c>
      <c r="ES78" s="231">
        <v>36806</v>
      </c>
      <c r="ET78" s="231">
        <v>192906</v>
      </c>
      <c r="EU78" s="231">
        <v>19586951</v>
      </c>
      <c r="EV78" s="231">
        <v>284318</v>
      </c>
      <c r="EW78" s="231">
        <v>266562</v>
      </c>
      <c r="EX78" s="231">
        <v>17756</v>
      </c>
      <c r="EY78" s="229">
        <v>6.6600000000000006E-2</v>
      </c>
      <c r="EZ78" s="229">
        <v>0.26169999999999999</v>
      </c>
      <c r="FA78" s="227" t="s">
        <v>556</v>
      </c>
      <c r="FB78" s="161">
        <f t="shared" si="1"/>
        <v>56100</v>
      </c>
    </row>
    <row r="79" spans="1:158" ht="17.25" hidden="1" thickBot="1" x14ac:dyDescent="0.3">
      <c r="A79" s="226">
        <v>46050</v>
      </c>
      <c r="B79" s="227" t="s">
        <v>227</v>
      </c>
      <c r="C79" s="227" t="s">
        <v>228</v>
      </c>
      <c r="D79" s="228">
        <v>700</v>
      </c>
      <c r="E79" s="228">
        <v>998.85</v>
      </c>
      <c r="F79" s="228">
        <v>963.65</v>
      </c>
      <c r="G79" s="228">
        <v>35.200000000000003</v>
      </c>
      <c r="H79" s="229">
        <v>3.6499999999999998E-2</v>
      </c>
      <c r="I79" s="228">
        <v>998.2</v>
      </c>
      <c r="J79" s="228">
        <v>961.85</v>
      </c>
      <c r="K79" s="228">
        <v>36.35</v>
      </c>
      <c r="L79" s="229">
        <v>3.78E-2</v>
      </c>
      <c r="M79" s="228">
        <v>998.85</v>
      </c>
      <c r="N79" s="228">
        <v>960.1</v>
      </c>
      <c r="O79" s="228">
        <v>38.75</v>
      </c>
      <c r="P79" s="229">
        <v>4.0399999999999998E-2</v>
      </c>
      <c r="Q79" s="231">
        <v>1006.2</v>
      </c>
      <c r="R79" s="228">
        <v>963.65</v>
      </c>
      <c r="S79" s="228">
        <v>42.55</v>
      </c>
      <c r="T79" s="229">
        <v>4.4200000000000003E-2</v>
      </c>
      <c r="U79" s="231">
        <v>1014.1</v>
      </c>
      <c r="V79" s="228">
        <v>969.4</v>
      </c>
      <c r="W79" s="228">
        <v>44.7</v>
      </c>
      <c r="X79" s="229">
        <v>4.6100000000000002E-2</v>
      </c>
      <c r="Y79" s="228">
        <v>0.65</v>
      </c>
      <c r="Z79" s="228">
        <v>1.8</v>
      </c>
      <c r="AA79" s="228">
        <v>-1.1499999999999999</v>
      </c>
      <c r="AB79" s="229">
        <v>6.9999999999999999E-4</v>
      </c>
      <c r="AC79" s="228">
        <v>0.65</v>
      </c>
      <c r="AD79" s="228">
        <v>-1.75</v>
      </c>
      <c r="AE79" s="228">
        <v>2.4</v>
      </c>
      <c r="AF79" s="229">
        <v>6.9999999999999999E-4</v>
      </c>
      <c r="AG79" s="228">
        <v>8</v>
      </c>
      <c r="AH79" s="228">
        <v>1.8</v>
      </c>
      <c r="AI79" s="228">
        <v>6.2</v>
      </c>
      <c r="AJ79" s="229">
        <v>8.0000000000000002E-3</v>
      </c>
      <c r="AK79" s="228">
        <v>15.9</v>
      </c>
      <c r="AL79" s="228">
        <v>7.55</v>
      </c>
      <c r="AM79" s="228">
        <v>8.35</v>
      </c>
      <c r="AN79" s="229">
        <v>1.5900000000000001E-2</v>
      </c>
      <c r="AO79" s="228">
        <v>993.16</v>
      </c>
      <c r="AP79" s="228">
        <v>999.74</v>
      </c>
      <c r="AQ79" s="228">
        <v>0</v>
      </c>
      <c r="AR79" s="230">
        <v>18457600</v>
      </c>
      <c r="AS79" s="230">
        <v>30888200</v>
      </c>
      <c r="AT79" s="230">
        <v>-12430600</v>
      </c>
      <c r="AU79" s="229">
        <v>-0.40239999999999998</v>
      </c>
      <c r="AV79" s="230">
        <v>17570700</v>
      </c>
      <c r="AW79" s="230">
        <v>12242300</v>
      </c>
      <c r="AX79" s="230">
        <v>5328400</v>
      </c>
      <c r="AY79" s="229">
        <v>0.43519999999999998</v>
      </c>
      <c r="AZ79" s="230">
        <v>805000</v>
      </c>
      <c r="BA79" s="230">
        <v>18336500</v>
      </c>
      <c r="BB79" s="230">
        <v>-17531500</v>
      </c>
      <c r="BC79" s="229">
        <v>-0.95609999999999995</v>
      </c>
      <c r="BD79" s="230">
        <v>81900</v>
      </c>
      <c r="BE79" s="230">
        <v>309400</v>
      </c>
      <c r="BF79" s="230">
        <v>-227500</v>
      </c>
      <c r="BG79" s="229">
        <v>-0.73529999999999995</v>
      </c>
      <c r="BH79" s="230">
        <v>39139100</v>
      </c>
      <c r="BI79" s="230">
        <v>24843000</v>
      </c>
      <c r="BJ79" s="230">
        <v>14296100</v>
      </c>
      <c r="BK79" s="229">
        <v>0.57550000000000001</v>
      </c>
      <c r="BL79" s="230">
        <v>16938600</v>
      </c>
      <c r="BM79" s="230">
        <v>13556200</v>
      </c>
      <c r="BN79" s="230">
        <v>3382400</v>
      </c>
      <c r="BO79" s="229">
        <v>0.2495</v>
      </c>
      <c r="BP79" s="230">
        <v>74535300</v>
      </c>
      <c r="BQ79" s="230">
        <v>69287400</v>
      </c>
      <c r="BR79" s="230">
        <v>5247900</v>
      </c>
      <c r="BS79" s="229">
        <v>7.5700000000000003E-2</v>
      </c>
      <c r="BT79" s="230">
        <v>13237196</v>
      </c>
      <c r="BU79" s="230">
        <v>10223319</v>
      </c>
      <c r="BV79" s="230">
        <v>3013877</v>
      </c>
      <c r="BW79" s="229">
        <v>0.29480000000000001</v>
      </c>
      <c r="BX79" s="230">
        <v>46566800</v>
      </c>
      <c r="BY79" s="230">
        <v>47133100</v>
      </c>
      <c r="BZ79" s="230">
        <v>-566300</v>
      </c>
      <c r="CA79" s="229">
        <v>-1.2E-2</v>
      </c>
      <c r="CB79" s="230">
        <v>44949800</v>
      </c>
      <c r="CC79" s="230">
        <v>2684500</v>
      </c>
      <c r="CD79" s="230">
        <v>42265300</v>
      </c>
      <c r="CE79" s="229">
        <v>15.744199999999999</v>
      </c>
      <c r="CF79" s="230">
        <v>1568700</v>
      </c>
      <c r="CG79" s="230">
        <v>45857700</v>
      </c>
      <c r="CH79" s="230">
        <v>-44289000</v>
      </c>
      <c r="CI79" s="229">
        <v>-0.96579999999999999</v>
      </c>
      <c r="CJ79" s="230">
        <v>48300</v>
      </c>
      <c r="CK79" s="230">
        <v>1275400</v>
      </c>
      <c r="CL79" s="230">
        <v>-1227100</v>
      </c>
      <c r="CM79" s="229">
        <v>-0.96209999999999996</v>
      </c>
      <c r="CN79" s="230">
        <v>5546100</v>
      </c>
      <c r="CO79" s="230">
        <v>4519900</v>
      </c>
      <c r="CP79" s="230">
        <v>1026200</v>
      </c>
      <c r="CQ79" s="229">
        <v>0.22700000000000001</v>
      </c>
      <c r="CR79" s="230">
        <v>4935700</v>
      </c>
      <c r="CS79" s="230">
        <v>3656800</v>
      </c>
      <c r="CT79" s="230">
        <v>1278900</v>
      </c>
      <c r="CU79" s="229">
        <v>0.34970000000000001</v>
      </c>
      <c r="CV79" s="230">
        <v>57048600</v>
      </c>
      <c r="CW79" s="230">
        <v>55309800</v>
      </c>
      <c r="CX79" s="230">
        <v>1738800</v>
      </c>
      <c r="CY79" s="229">
        <v>3.1399999999999997E-2</v>
      </c>
      <c r="CZ79" s="228">
        <v>33.619999999999997</v>
      </c>
      <c r="DA79" s="228">
        <v>32.799999999999997</v>
      </c>
      <c r="DB79" s="228">
        <v>0.82</v>
      </c>
      <c r="DC79" s="228">
        <v>0.82</v>
      </c>
      <c r="DD79" s="228">
        <v>32.49</v>
      </c>
      <c r="DE79" s="228">
        <v>32.18</v>
      </c>
      <c r="DF79" s="228">
        <v>1.1299999999999999</v>
      </c>
      <c r="DG79" s="228">
        <v>0.31</v>
      </c>
      <c r="DH79" s="228">
        <v>33.450000000000003</v>
      </c>
      <c r="DI79" s="228">
        <v>32.79</v>
      </c>
      <c r="DJ79" s="228">
        <v>0.66</v>
      </c>
      <c r="DK79" s="228">
        <v>0.66</v>
      </c>
      <c r="DL79" s="228">
        <v>33.99</v>
      </c>
      <c r="DM79" s="228">
        <v>32.82</v>
      </c>
      <c r="DN79" s="228">
        <v>1.17</v>
      </c>
      <c r="DO79" s="228">
        <v>1.17</v>
      </c>
      <c r="DP79" s="228">
        <v>0.89</v>
      </c>
      <c r="DQ79" s="228">
        <v>0.81</v>
      </c>
      <c r="DR79" s="228">
        <v>0.08</v>
      </c>
      <c r="DS79" s="229">
        <v>9.8799999999999999E-2</v>
      </c>
      <c r="DT79" s="231">
        <v>1000</v>
      </c>
      <c r="DU79" s="228">
        <v>900</v>
      </c>
      <c r="DV79" s="228">
        <v>0.43</v>
      </c>
      <c r="DW79" s="228">
        <v>0.55000000000000004</v>
      </c>
      <c r="DX79" s="228">
        <v>-0.12</v>
      </c>
      <c r="DY79" s="229">
        <v>-0.21820000000000001</v>
      </c>
      <c r="DZ79" s="229">
        <v>3.4700000000000002E-2</v>
      </c>
      <c r="EA79" s="230">
        <v>47133100</v>
      </c>
      <c r="EB79" s="229">
        <v>7.4000000000000003E-3</v>
      </c>
      <c r="EC79" s="229">
        <v>3.4700000000000002E-2</v>
      </c>
      <c r="ED79" s="228">
        <v>6.58</v>
      </c>
      <c r="EE79" s="229">
        <v>6.6E-3</v>
      </c>
      <c r="EF79" s="230">
        <v>7762344</v>
      </c>
      <c r="EG79" s="230">
        <v>5412667</v>
      </c>
      <c r="EH79" s="229">
        <v>0.43409999999999999</v>
      </c>
      <c r="EI79" s="229">
        <v>0.58640000000000003</v>
      </c>
      <c r="EJ79" s="231">
        <v>406770.47</v>
      </c>
      <c r="EK79" s="231">
        <v>165736.76</v>
      </c>
      <c r="EL79" s="231">
        <v>183379.68</v>
      </c>
      <c r="EM79" s="231">
        <v>46280</v>
      </c>
      <c r="EN79" s="231">
        <v>755886.91</v>
      </c>
      <c r="EO79" s="231">
        <v>671444.02</v>
      </c>
      <c r="EP79" s="231">
        <v>84442.89</v>
      </c>
      <c r="EQ79" s="229">
        <v>0.1258</v>
      </c>
      <c r="ER79" s="231">
        <v>55056</v>
      </c>
      <c r="ES79" s="231">
        <v>45953</v>
      </c>
      <c r="ET79" s="231">
        <v>465255</v>
      </c>
      <c r="EU79" s="231">
        <v>212176873</v>
      </c>
      <c r="EV79" s="231">
        <v>566264</v>
      </c>
      <c r="EW79" s="231">
        <v>531872</v>
      </c>
      <c r="EX79" s="231">
        <v>34392</v>
      </c>
      <c r="EY79" s="229">
        <v>6.4699999999999994E-2</v>
      </c>
      <c r="EZ79" s="229">
        <v>0.26889999999999997</v>
      </c>
      <c r="FA79" s="227" t="s">
        <v>556</v>
      </c>
      <c r="FB79" s="161">
        <f t="shared" si="1"/>
        <v>1617000</v>
      </c>
    </row>
    <row r="80" spans="1:158" ht="17.25" hidden="1" thickBot="1" x14ac:dyDescent="0.3">
      <c r="A80" s="226">
        <v>46050</v>
      </c>
      <c r="B80" s="227" t="s">
        <v>193</v>
      </c>
      <c r="C80" s="227" t="s">
        <v>229</v>
      </c>
      <c r="D80" s="228">
        <v>2025</v>
      </c>
      <c r="E80" s="228">
        <v>434.75</v>
      </c>
      <c r="F80" s="228">
        <v>421.85</v>
      </c>
      <c r="G80" s="228">
        <v>12.9</v>
      </c>
      <c r="H80" s="229">
        <v>3.0599999999999999E-2</v>
      </c>
      <c r="I80" s="228">
        <v>433.25</v>
      </c>
      <c r="J80" s="228">
        <v>419.35</v>
      </c>
      <c r="K80" s="228">
        <v>13.9</v>
      </c>
      <c r="L80" s="229">
        <v>3.3099999999999997E-2</v>
      </c>
      <c r="M80" s="228">
        <v>434.75</v>
      </c>
      <c r="N80" s="228">
        <v>419.35</v>
      </c>
      <c r="O80" s="228">
        <v>15.4</v>
      </c>
      <c r="P80" s="229">
        <v>3.6700000000000003E-2</v>
      </c>
      <c r="Q80" s="228">
        <v>437.35</v>
      </c>
      <c r="R80" s="228">
        <v>421.85</v>
      </c>
      <c r="S80" s="228">
        <v>15.5</v>
      </c>
      <c r="T80" s="229">
        <v>3.6700000000000003E-2</v>
      </c>
      <c r="U80" s="228">
        <v>435.05</v>
      </c>
      <c r="V80" s="228">
        <v>424.7</v>
      </c>
      <c r="W80" s="228">
        <v>10.35</v>
      </c>
      <c r="X80" s="229">
        <v>2.4400000000000002E-2</v>
      </c>
      <c r="Y80" s="228">
        <v>1.5</v>
      </c>
      <c r="Z80" s="228">
        <v>2.5</v>
      </c>
      <c r="AA80" s="228">
        <v>-1</v>
      </c>
      <c r="AB80" s="229">
        <v>3.5000000000000001E-3</v>
      </c>
      <c r="AC80" s="228">
        <v>1.5</v>
      </c>
      <c r="AD80" s="228">
        <v>0</v>
      </c>
      <c r="AE80" s="228">
        <v>1.5</v>
      </c>
      <c r="AF80" s="229">
        <v>3.5000000000000001E-3</v>
      </c>
      <c r="AG80" s="228">
        <v>4.0999999999999996</v>
      </c>
      <c r="AH80" s="228">
        <v>2.5</v>
      </c>
      <c r="AI80" s="228">
        <v>1.6</v>
      </c>
      <c r="AJ80" s="229">
        <v>9.4999999999999998E-3</v>
      </c>
      <c r="AK80" s="228">
        <v>1.8</v>
      </c>
      <c r="AL80" s="228">
        <v>5.35</v>
      </c>
      <c r="AM80" s="228">
        <v>-3.55</v>
      </c>
      <c r="AN80" s="229">
        <v>4.1999999999999997E-3</v>
      </c>
      <c r="AO80" s="228">
        <v>432.54</v>
      </c>
      <c r="AP80" s="228">
        <v>435.24</v>
      </c>
      <c r="AQ80" s="228">
        <v>0</v>
      </c>
      <c r="AR80" s="230">
        <v>7804350</v>
      </c>
      <c r="AS80" s="230">
        <v>27181575</v>
      </c>
      <c r="AT80" s="230">
        <v>-19377225</v>
      </c>
      <c r="AU80" s="229">
        <v>-0.71289999999999998</v>
      </c>
      <c r="AV80" s="230">
        <v>7520850</v>
      </c>
      <c r="AW80" s="230">
        <v>12670425</v>
      </c>
      <c r="AX80" s="230">
        <v>-5149575</v>
      </c>
      <c r="AY80" s="229">
        <v>-0.40639999999999998</v>
      </c>
      <c r="AZ80" s="230">
        <v>273375</v>
      </c>
      <c r="BA80" s="230">
        <v>14361300</v>
      </c>
      <c r="BB80" s="230">
        <v>-14087925</v>
      </c>
      <c r="BC80" s="229">
        <v>-0.98099999999999998</v>
      </c>
      <c r="BD80" s="230">
        <v>10125</v>
      </c>
      <c r="BE80" s="230">
        <v>149850</v>
      </c>
      <c r="BF80" s="230">
        <v>-139725</v>
      </c>
      <c r="BG80" s="229">
        <v>-0.93240000000000001</v>
      </c>
      <c r="BH80" s="230">
        <v>22153500</v>
      </c>
      <c r="BI80" s="230">
        <v>14474700</v>
      </c>
      <c r="BJ80" s="230">
        <v>7678800</v>
      </c>
      <c r="BK80" s="229">
        <v>0.53049999999999997</v>
      </c>
      <c r="BL80" s="230">
        <v>9841500</v>
      </c>
      <c r="BM80" s="230">
        <v>9604575</v>
      </c>
      <c r="BN80" s="230">
        <v>236925</v>
      </c>
      <c r="BO80" s="229">
        <v>2.47E-2</v>
      </c>
      <c r="BP80" s="230">
        <v>39799350</v>
      </c>
      <c r="BQ80" s="230">
        <v>51260850</v>
      </c>
      <c r="BR80" s="230">
        <v>-11461500</v>
      </c>
      <c r="BS80" s="229">
        <v>-0.22359999999999999</v>
      </c>
      <c r="BT80" s="230">
        <v>5401432</v>
      </c>
      <c r="BU80" s="230">
        <v>4328490</v>
      </c>
      <c r="BV80" s="230">
        <v>1072942</v>
      </c>
      <c r="BW80" s="229">
        <v>0.24790000000000001</v>
      </c>
      <c r="BX80" s="230">
        <v>36393300</v>
      </c>
      <c r="BY80" s="230">
        <v>36150300</v>
      </c>
      <c r="BZ80" s="230">
        <v>243000</v>
      </c>
      <c r="CA80" s="229">
        <v>6.7000000000000002E-3</v>
      </c>
      <c r="CB80" s="230">
        <v>35972100</v>
      </c>
      <c r="CC80" s="230">
        <v>3711825</v>
      </c>
      <c r="CD80" s="230">
        <v>32260275</v>
      </c>
      <c r="CE80" s="229">
        <v>8.6912000000000003</v>
      </c>
      <c r="CF80" s="230">
        <v>413100</v>
      </c>
      <c r="CG80" s="230">
        <v>35761500</v>
      </c>
      <c r="CH80" s="230">
        <v>-35348400</v>
      </c>
      <c r="CI80" s="229">
        <v>-0.98839999999999995</v>
      </c>
      <c r="CJ80" s="230">
        <v>8100</v>
      </c>
      <c r="CK80" s="230">
        <v>388800</v>
      </c>
      <c r="CL80" s="230">
        <v>-380700</v>
      </c>
      <c r="CM80" s="229">
        <v>-0.97919999999999996</v>
      </c>
      <c r="CN80" s="230">
        <v>8237700</v>
      </c>
      <c r="CO80" s="230">
        <v>6907275</v>
      </c>
      <c r="CP80" s="230">
        <v>1330425</v>
      </c>
      <c r="CQ80" s="229">
        <v>0.19259999999999999</v>
      </c>
      <c r="CR80" s="230">
        <v>7417575</v>
      </c>
      <c r="CS80" s="230">
        <v>6627825</v>
      </c>
      <c r="CT80" s="230">
        <v>789750</v>
      </c>
      <c r="CU80" s="229">
        <v>0.1192</v>
      </c>
      <c r="CV80" s="230">
        <v>52048575</v>
      </c>
      <c r="CW80" s="230">
        <v>49685400</v>
      </c>
      <c r="CX80" s="230">
        <v>2363175</v>
      </c>
      <c r="CY80" s="229">
        <v>4.7600000000000003E-2</v>
      </c>
      <c r="CZ80" s="228">
        <v>33.43</v>
      </c>
      <c r="DA80" s="228">
        <v>34.35</v>
      </c>
      <c r="DB80" s="228">
        <v>-0.92</v>
      </c>
      <c r="DC80" s="228">
        <v>-0.92</v>
      </c>
      <c r="DD80" s="228">
        <v>38.94</v>
      </c>
      <c r="DE80" s="228">
        <v>38.83</v>
      </c>
      <c r="DF80" s="228">
        <v>-5.51</v>
      </c>
      <c r="DG80" s="228">
        <v>0.11</v>
      </c>
      <c r="DH80" s="228">
        <v>33.090000000000003</v>
      </c>
      <c r="DI80" s="228">
        <v>33.94</v>
      </c>
      <c r="DJ80" s="228">
        <v>-0.85</v>
      </c>
      <c r="DK80" s="228">
        <v>-0.85</v>
      </c>
      <c r="DL80" s="228">
        <v>34.21</v>
      </c>
      <c r="DM80" s="228">
        <v>34.94</v>
      </c>
      <c r="DN80" s="228">
        <v>-0.73</v>
      </c>
      <c r="DO80" s="228">
        <v>-0.73</v>
      </c>
      <c r="DP80" s="228">
        <v>0.9</v>
      </c>
      <c r="DQ80" s="228">
        <v>0.96</v>
      </c>
      <c r="DR80" s="228">
        <v>-0.06</v>
      </c>
      <c r="DS80" s="229">
        <v>-6.25E-2</v>
      </c>
      <c r="DT80" s="228">
        <v>450</v>
      </c>
      <c r="DU80" s="228">
        <v>440</v>
      </c>
      <c r="DV80" s="228">
        <v>0.44</v>
      </c>
      <c r="DW80" s="228">
        <v>0.66</v>
      </c>
      <c r="DX80" s="228">
        <v>-0.22</v>
      </c>
      <c r="DY80" s="229">
        <v>-0.33329999999999999</v>
      </c>
      <c r="DZ80" s="229">
        <v>1.1599999999999999E-2</v>
      </c>
      <c r="EA80" s="230">
        <v>36150300</v>
      </c>
      <c r="EB80" s="229">
        <v>6.0000000000000001E-3</v>
      </c>
      <c r="EC80" s="229">
        <v>1.1599999999999999E-2</v>
      </c>
      <c r="ED80" s="228">
        <v>2.7</v>
      </c>
      <c r="EE80" s="229">
        <v>6.1999999999999998E-3</v>
      </c>
      <c r="EF80" s="230">
        <v>2620597</v>
      </c>
      <c r="EG80" s="230">
        <v>2153371</v>
      </c>
      <c r="EH80" s="229">
        <v>0.217</v>
      </c>
      <c r="EI80" s="229">
        <v>0.48520000000000002</v>
      </c>
      <c r="EJ80" s="231">
        <v>101961.60000000001</v>
      </c>
      <c r="EK80" s="231">
        <v>42481.66</v>
      </c>
      <c r="EL80" s="231">
        <v>33764.33</v>
      </c>
      <c r="EM80" s="231">
        <v>13254</v>
      </c>
      <c r="EN80" s="231">
        <v>178207.59</v>
      </c>
      <c r="EO80" s="231">
        <v>220049.96</v>
      </c>
      <c r="EP80" s="231">
        <v>-41842.370000000003</v>
      </c>
      <c r="EQ80" s="229">
        <v>-0.19009999999999999</v>
      </c>
      <c r="ER80" s="231">
        <v>37766</v>
      </c>
      <c r="ES80" s="231">
        <v>31617</v>
      </c>
      <c r="ET80" s="231">
        <v>158231</v>
      </c>
      <c r="EU80" s="231">
        <v>143933168</v>
      </c>
      <c r="EV80" s="231">
        <v>227614</v>
      </c>
      <c r="EW80" s="231">
        <v>212131</v>
      </c>
      <c r="EX80" s="231">
        <v>15483</v>
      </c>
      <c r="EY80" s="229">
        <v>7.2999999999999995E-2</v>
      </c>
      <c r="EZ80" s="229">
        <v>0.36159999999999998</v>
      </c>
      <c r="FA80" s="227" t="s">
        <v>555</v>
      </c>
      <c r="FB80" s="161">
        <f t="shared" si="1"/>
        <v>421200</v>
      </c>
    </row>
    <row r="81" spans="1:158" ht="17.25" hidden="1" thickBot="1" x14ac:dyDescent="0.3">
      <c r="A81" s="226">
        <v>46050</v>
      </c>
      <c r="B81" s="227" t="s">
        <v>168</v>
      </c>
      <c r="C81" s="227" t="s">
        <v>230</v>
      </c>
      <c r="D81" s="228">
        <v>300</v>
      </c>
      <c r="E81" s="231">
        <v>2382.4</v>
      </c>
      <c r="F81" s="231">
        <v>2417.6999999999998</v>
      </c>
      <c r="G81" s="228">
        <v>-35.299999999999997</v>
      </c>
      <c r="H81" s="229">
        <v>-1.46E-2</v>
      </c>
      <c r="I81" s="231">
        <v>2378.4</v>
      </c>
      <c r="J81" s="231">
        <v>2400.9</v>
      </c>
      <c r="K81" s="228">
        <v>-22.5</v>
      </c>
      <c r="L81" s="229">
        <v>-9.4000000000000004E-3</v>
      </c>
      <c r="M81" s="231">
        <v>2382.4</v>
      </c>
      <c r="N81" s="231">
        <v>2402.9</v>
      </c>
      <c r="O81" s="228">
        <v>-20.5</v>
      </c>
      <c r="P81" s="229">
        <v>-8.5000000000000006E-3</v>
      </c>
      <c r="Q81" s="231">
        <v>2396.9</v>
      </c>
      <c r="R81" s="231">
        <v>2417.6999999999998</v>
      </c>
      <c r="S81" s="228">
        <v>-20.8</v>
      </c>
      <c r="T81" s="229">
        <v>-8.6E-3</v>
      </c>
      <c r="U81" s="231">
        <v>2405</v>
      </c>
      <c r="V81" s="231">
        <v>2431.3000000000002</v>
      </c>
      <c r="W81" s="228">
        <v>-26.3</v>
      </c>
      <c r="X81" s="229">
        <v>-1.0800000000000001E-2</v>
      </c>
      <c r="Y81" s="228">
        <v>4</v>
      </c>
      <c r="Z81" s="228">
        <v>16.8</v>
      </c>
      <c r="AA81" s="228">
        <v>-12.8</v>
      </c>
      <c r="AB81" s="229">
        <v>1.6999999999999999E-3</v>
      </c>
      <c r="AC81" s="228">
        <v>4</v>
      </c>
      <c r="AD81" s="228">
        <v>2</v>
      </c>
      <c r="AE81" s="228">
        <v>2</v>
      </c>
      <c r="AF81" s="229">
        <v>1.6999999999999999E-3</v>
      </c>
      <c r="AG81" s="228">
        <v>18.5</v>
      </c>
      <c r="AH81" s="228">
        <v>16.8</v>
      </c>
      <c r="AI81" s="228">
        <v>1.7</v>
      </c>
      <c r="AJ81" s="229">
        <v>7.7999999999999996E-3</v>
      </c>
      <c r="AK81" s="228">
        <v>26.6</v>
      </c>
      <c r="AL81" s="228">
        <v>30.4</v>
      </c>
      <c r="AM81" s="228">
        <v>-3.8</v>
      </c>
      <c r="AN81" s="229">
        <v>1.12E-2</v>
      </c>
      <c r="AO81" s="231">
        <v>2375.0100000000002</v>
      </c>
      <c r="AP81" s="231">
        <v>2385.89</v>
      </c>
      <c r="AQ81" s="228">
        <v>0</v>
      </c>
      <c r="AR81" s="230">
        <v>2781900</v>
      </c>
      <c r="AS81" s="230">
        <v>6208200</v>
      </c>
      <c r="AT81" s="230">
        <v>-3426300</v>
      </c>
      <c r="AU81" s="229">
        <v>-0.55189999999999995</v>
      </c>
      <c r="AV81" s="230">
        <v>2686500</v>
      </c>
      <c r="AW81" s="230">
        <v>2586000</v>
      </c>
      <c r="AX81" s="230">
        <v>100500</v>
      </c>
      <c r="AY81" s="229">
        <v>3.8899999999999997E-2</v>
      </c>
      <c r="AZ81" s="230">
        <v>82500</v>
      </c>
      <c r="BA81" s="230">
        <v>3549600</v>
      </c>
      <c r="BB81" s="230">
        <v>-3467100</v>
      </c>
      <c r="BC81" s="229">
        <v>-0.9768</v>
      </c>
      <c r="BD81" s="230">
        <v>12900</v>
      </c>
      <c r="BE81" s="230">
        <v>72600</v>
      </c>
      <c r="BF81" s="230">
        <v>-59700</v>
      </c>
      <c r="BG81" s="229">
        <v>-0.82230000000000003</v>
      </c>
      <c r="BH81" s="230">
        <v>4616100</v>
      </c>
      <c r="BI81" s="230">
        <v>7200000</v>
      </c>
      <c r="BJ81" s="230">
        <v>-2583900</v>
      </c>
      <c r="BK81" s="229">
        <v>-0.3589</v>
      </c>
      <c r="BL81" s="230">
        <v>3696900</v>
      </c>
      <c r="BM81" s="230">
        <v>4110300</v>
      </c>
      <c r="BN81" s="230">
        <v>-413400</v>
      </c>
      <c r="BO81" s="229">
        <v>-0.10059999999999999</v>
      </c>
      <c r="BP81" s="230">
        <v>11094900</v>
      </c>
      <c r="BQ81" s="230">
        <v>17518500</v>
      </c>
      <c r="BR81" s="230">
        <v>-6423600</v>
      </c>
      <c r="BS81" s="229">
        <v>-0.36670000000000003</v>
      </c>
      <c r="BT81" s="230">
        <v>1869497</v>
      </c>
      <c r="BU81" s="230">
        <v>2113932</v>
      </c>
      <c r="BV81" s="230">
        <v>-244435</v>
      </c>
      <c r="BW81" s="229">
        <v>-0.11559999999999999</v>
      </c>
      <c r="BX81" s="230">
        <v>13987200</v>
      </c>
      <c r="BY81" s="230">
        <v>13632300</v>
      </c>
      <c r="BZ81" s="230">
        <v>354900</v>
      </c>
      <c r="CA81" s="229">
        <v>2.5999999999999999E-2</v>
      </c>
      <c r="CB81" s="230">
        <v>13768500</v>
      </c>
      <c r="CC81" s="230">
        <v>1327200</v>
      </c>
      <c r="CD81" s="230">
        <v>12441300</v>
      </c>
      <c r="CE81" s="229">
        <v>9.3741000000000003</v>
      </c>
      <c r="CF81" s="230">
        <v>210600</v>
      </c>
      <c r="CG81" s="230">
        <v>13420500</v>
      </c>
      <c r="CH81" s="230">
        <v>-13209900</v>
      </c>
      <c r="CI81" s="229">
        <v>-0.98429999999999995</v>
      </c>
      <c r="CJ81" s="230">
        <v>8100</v>
      </c>
      <c r="CK81" s="230">
        <v>211800</v>
      </c>
      <c r="CL81" s="230">
        <v>-203700</v>
      </c>
      <c r="CM81" s="229">
        <v>-0.96179999999999999</v>
      </c>
      <c r="CN81" s="230">
        <v>2114700</v>
      </c>
      <c r="CO81" s="230">
        <v>1623600</v>
      </c>
      <c r="CP81" s="230">
        <v>491100</v>
      </c>
      <c r="CQ81" s="229">
        <v>0.30249999999999999</v>
      </c>
      <c r="CR81" s="230">
        <v>2148000</v>
      </c>
      <c r="CS81" s="230">
        <v>1398300</v>
      </c>
      <c r="CT81" s="230">
        <v>749700</v>
      </c>
      <c r="CU81" s="229">
        <v>0.53620000000000001</v>
      </c>
      <c r="CV81" s="230">
        <v>18249900</v>
      </c>
      <c r="CW81" s="230">
        <v>16654200</v>
      </c>
      <c r="CX81" s="230">
        <v>1595700</v>
      </c>
      <c r="CY81" s="229">
        <v>9.5799999999999996E-2</v>
      </c>
      <c r="CZ81" s="228">
        <v>26.04</v>
      </c>
      <c r="DA81" s="228">
        <v>24.64</v>
      </c>
      <c r="DB81" s="228">
        <v>1.4</v>
      </c>
      <c r="DC81" s="228">
        <v>1.4</v>
      </c>
      <c r="DD81" s="228">
        <v>21.77</v>
      </c>
      <c r="DE81" s="228">
        <v>21.79</v>
      </c>
      <c r="DF81" s="228">
        <v>4.2699999999999996</v>
      </c>
      <c r="DG81" s="228">
        <v>-0.02</v>
      </c>
      <c r="DH81" s="228">
        <v>25.59</v>
      </c>
      <c r="DI81" s="228">
        <v>24.35</v>
      </c>
      <c r="DJ81" s="228">
        <v>1.24</v>
      </c>
      <c r="DK81" s="228">
        <v>1.24</v>
      </c>
      <c r="DL81" s="228">
        <v>26.61</v>
      </c>
      <c r="DM81" s="228">
        <v>25.12</v>
      </c>
      <c r="DN81" s="228">
        <v>1.49</v>
      </c>
      <c r="DO81" s="228">
        <v>1.49</v>
      </c>
      <c r="DP81" s="228">
        <v>1.02</v>
      </c>
      <c r="DQ81" s="228">
        <v>0.86</v>
      </c>
      <c r="DR81" s="228">
        <v>0.16</v>
      </c>
      <c r="DS81" s="229">
        <v>0.186</v>
      </c>
      <c r="DT81" s="231">
        <v>2500</v>
      </c>
      <c r="DU81" s="231">
        <v>2340</v>
      </c>
      <c r="DV81" s="228">
        <v>0.8</v>
      </c>
      <c r="DW81" s="228">
        <v>0.56999999999999995</v>
      </c>
      <c r="DX81" s="228">
        <v>0.23</v>
      </c>
      <c r="DY81" s="229">
        <v>0.40350000000000003</v>
      </c>
      <c r="DZ81" s="229">
        <v>1.5599999999999999E-2</v>
      </c>
      <c r="EA81" s="230">
        <v>13632300</v>
      </c>
      <c r="EB81" s="229">
        <v>6.1000000000000004E-3</v>
      </c>
      <c r="EC81" s="229">
        <v>1.5599999999999999E-2</v>
      </c>
      <c r="ED81" s="228">
        <v>10.88</v>
      </c>
      <c r="EE81" s="229">
        <v>4.5999999999999999E-3</v>
      </c>
      <c r="EF81" s="230">
        <v>1162976</v>
      </c>
      <c r="EG81" s="230">
        <v>1151249</v>
      </c>
      <c r="EH81" s="229">
        <v>1.0200000000000001E-2</v>
      </c>
      <c r="EI81" s="229">
        <v>0.62209999999999999</v>
      </c>
      <c r="EJ81" s="231">
        <v>115653.5</v>
      </c>
      <c r="EK81" s="231">
        <v>86683.32</v>
      </c>
      <c r="EL81" s="231">
        <v>66081.7</v>
      </c>
      <c r="EM81" s="231">
        <v>33591</v>
      </c>
      <c r="EN81" s="231">
        <v>268418.52</v>
      </c>
      <c r="EO81" s="231">
        <v>424741.21</v>
      </c>
      <c r="EP81" s="231">
        <v>-156322.69</v>
      </c>
      <c r="EQ81" s="229">
        <v>-0.36799999999999999</v>
      </c>
      <c r="ER81" s="231">
        <v>53214</v>
      </c>
      <c r="ES81" s="231">
        <v>49418</v>
      </c>
      <c r="ET81" s="231">
        <v>333263</v>
      </c>
      <c r="EU81" s="231">
        <v>91001773</v>
      </c>
      <c r="EV81" s="231">
        <v>435895</v>
      </c>
      <c r="EW81" s="231">
        <v>403150</v>
      </c>
      <c r="EX81" s="231">
        <v>32745</v>
      </c>
      <c r="EY81" s="229">
        <v>8.1199999999999994E-2</v>
      </c>
      <c r="EZ81" s="229">
        <v>0.20050000000000001</v>
      </c>
      <c r="FA81" s="227" t="s">
        <v>567</v>
      </c>
      <c r="FB81" s="161">
        <f t="shared" si="1"/>
        <v>218700</v>
      </c>
    </row>
    <row r="82" spans="1:158" ht="17.25" hidden="1" thickBot="1" x14ac:dyDescent="0.3">
      <c r="A82" s="226">
        <v>46050</v>
      </c>
      <c r="B82" s="227" t="s">
        <v>227</v>
      </c>
      <c r="C82" s="227" t="s">
        <v>667</v>
      </c>
      <c r="D82" s="228">
        <v>1225</v>
      </c>
      <c r="E82" s="228">
        <v>706.35</v>
      </c>
      <c r="F82" s="228">
        <v>725.9</v>
      </c>
      <c r="G82" s="228">
        <v>-19.55</v>
      </c>
      <c r="H82" s="229">
        <v>-2.69E-2</v>
      </c>
      <c r="I82" s="228">
        <v>708.2</v>
      </c>
      <c r="J82" s="228">
        <v>727.2</v>
      </c>
      <c r="K82" s="228">
        <v>-19</v>
      </c>
      <c r="L82" s="229">
        <v>-2.6100000000000002E-2</v>
      </c>
      <c r="M82" s="228">
        <v>706.35</v>
      </c>
      <c r="N82" s="228">
        <v>726.5</v>
      </c>
      <c r="O82" s="228">
        <v>-20.149999999999999</v>
      </c>
      <c r="P82" s="229">
        <v>-2.7699999999999999E-2</v>
      </c>
      <c r="Q82" s="228">
        <v>710.45</v>
      </c>
      <c r="R82" s="228">
        <v>725.9</v>
      </c>
      <c r="S82" s="228">
        <v>-15.45</v>
      </c>
      <c r="T82" s="229">
        <v>-2.1299999999999999E-2</v>
      </c>
      <c r="U82" s="228">
        <v>713.1</v>
      </c>
      <c r="V82" s="228">
        <v>727.45</v>
      </c>
      <c r="W82" s="228">
        <v>-14.35</v>
      </c>
      <c r="X82" s="229">
        <v>-1.9699999999999999E-2</v>
      </c>
      <c r="Y82" s="228">
        <v>-1.85</v>
      </c>
      <c r="Z82" s="228">
        <v>-1.3</v>
      </c>
      <c r="AA82" s="228">
        <v>-0.55000000000000004</v>
      </c>
      <c r="AB82" s="229">
        <v>-2.5999999999999999E-3</v>
      </c>
      <c r="AC82" s="228">
        <v>-1.85</v>
      </c>
      <c r="AD82" s="228">
        <v>-0.7</v>
      </c>
      <c r="AE82" s="228">
        <v>-1.1499999999999999</v>
      </c>
      <c r="AF82" s="229">
        <v>-2.5999999999999999E-3</v>
      </c>
      <c r="AG82" s="228">
        <v>2.25</v>
      </c>
      <c r="AH82" s="228">
        <v>-1.3</v>
      </c>
      <c r="AI82" s="228">
        <v>3.55</v>
      </c>
      <c r="AJ82" s="229">
        <v>3.2000000000000002E-3</v>
      </c>
      <c r="AK82" s="228">
        <v>4.9000000000000004</v>
      </c>
      <c r="AL82" s="228">
        <v>0.25</v>
      </c>
      <c r="AM82" s="228">
        <v>4.6500000000000004</v>
      </c>
      <c r="AN82" s="229">
        <v>6.8999999999999999E-3</v>
      </c>
      <c r="AO82" s="228">
        <v>714.18</v>
      </c>
      <c r="AP82" s="228">
        <v>716.81</v>
      </c>
      <c r="AQ82" s="228">
        <v>0</v>
      </c>
      <c r="AR82" s="230">
        <v>44419725</v>
      </c>
      <c r="AS82" s="230">
        <v>44991800</v>
      </c>
      <c r="AT82" s="230">
        <v>-572075</v>
      </c>
      <c r="AU82" s="229">
        <v>-1.2699999999999999E-2</v>
      </c>
      <c r="AV82" s="230">
        <v>42599375</v>
      </c>
      <c r="AW82" s="230">
        <v>16755550</v>
      </c>
      <c r="AX82" s="230">
        <v>25843825</v>
      </c>
      <c r="AY82" s="229">
        <v>1.5424</v>
      </c>
      <c r="AZ82" s="230">
        <v>1661100</v>
      </c>
      <c r="BA82" s="230">
        <v>27137425</v>
      </c>
      <c r="BB82" s="230">
        <v>-25476325</v>
      </c>
      <c r="BC82" s="229">
        <v>-0.93879999999999997</v>
      </c>
      <c r="BD82" s="230">
        <v>159250</v>
      </c>
      <c r="BE82" s="230">
        <v>1098825</v>
      </c>
      <c r="BF82" s="230">
        <v>-939575</v>
      </c>
      <c r="BG82" s="229">
        <v>-0.85509999999999997</v>
      </c>
      <c r="BH82" s="230">
        <v>172978575</v>
      </c>
      <c r="BI82" s="230">
        <v>164228400</v>
      </c>
      <c r="BJ82" s="230">
        <v>8750175</v>
      </c>
      <c r="BK82" s="229">
        <v>5.33E-2</v>
      </c>
      <c r="BL82" s="230">
        <v>65836400</v>
      </c>
      <c r="BM82" s="230">
        <v>81128075</v>
      </c>
      <c r="BN82" s="230">
        <v>-15291675</v>
      </c>
      <c r="BO82" s="229">
        <v>-0.1885</v>
      </c>
      <c r="BP82" s="230">
        <v>283234700</v>
      </c>
      <c r="BQ82" s="230">
        <v>290348275</v>
      </c>
      <c r="BR82" s="230">
        <v>-7113575</v>
      </c>
      <c r="BS82" s="229">
        <v>-2.4500000000000001E-2</v>
      </c>
      <c r="BT82" s="230">
        <v>40215016</v>
      </c>
      <c r="BU82" s="230">
        <v>27755032</v>
      </c>
      <c r="BV82" s="230">
        <v>12459984</v>
      </c>
      <c r="BW82" s="229">
        <v>0.44890000000000002</v>
      </c>
      <c r="BX82" s="230">
        <v>38182025</v>
      </c>
      <c r="BY82" s="230">
        <v>33176675</v>
      </c>
      <c r="BZ82" s="230">
        <v>5005350</v>
      </c>
      <c r="CA82" s="229">
        <v>0.15090000000000001</v>
      </c>
      <c r="CB82" s="230">
        <v>36087275</v>
      </c>
      <c r="CC82" s="230">
        <v>4487175</v>
      </c>
      <c r="CD82" s="230">
        <v>31600100</v>
      </c>
      <c r="CE82" s="229">
        <v>7.0423</v>
      </c>
      <c r="CF82" s="230">
        <v>2005325</v>
      </c>
      <c r="CG82" s="230">
        <v>31505775</v>
      </c>
      <c r="CH82" s="230">
        <v>-29500450</v>
      </c>
      <c r="CI82" s="229">
        <v>-0.93640000000000001</v>
      </c>
      <c r="CJ82" s="230">
        <v>89425</v>
      </c>
      <c r="CK82" s="230">
        <v>1670900</v>
      </c>
      <c r="CL82" s="230">
        <v>-1581475</v>
      </c>
      <c r="CM82" s="229">
        <v>-0.94650000000000001</v>
      </c>
      <c r="CN82" s="230">
        <v>33049275</v>
      </c>
      <c r="CO82" s="230">
        <v>26566575</v>
      </c>
      <c r="CP82" s="230">
        <v>6482700</v>
      </c>
      <c r="CQ82" s="229">
        <v>0.24399999999999999</v>
      </c>
      <c r="CR82" s="230">
        <v>24212125</v>
      </c>
      <c r="CS82" s="230">
        <v>15650600</v>
      </c>
      <c r="CT82" s="230">
        <v>8561525</v>
      </c>
      <c r="CU82" s="229">
        <v>0.54700000000000004</v>
      </c>
      <c r="CV82" s="230">
        <v>95443425</v>
      </c>
      <c r="CW82" s="230">
        <v>75393850</v>
      </c>
      <c r="CX82" s="230">
        <v>20049575</v>
      </c>
      <c r="CY82" s="229">
        <v>0.26590000000000003</v>
      </c>
      <c r="CZ82" s="228">
        <v>53.5</v>
      </c>
      <c r="DA82" s="228">
        <v>56.11</v>
      </c>
      <c r="DB82" s="228">
        <v>-2.61</v>
      </c>
      <c r="DC82" s="228">
        <v>-2.61</v>
      </c>
      <c r="DD82" s="228">
        <v>45.12</v>
      </c>
      <c r="DE82" s="228">
        <v>45.08</v>
      </c>
      <c r="DF82" s="228">
        <v>8.3800000000000008</v>
      </c>
      <c r="DG82" s="228">
        <v>0.04</v>
      </c>
      <c r="DH82" s="228">
        <v>53.62</v>
      </c>
      <c r="DI82" s="228">
        <v>55.87</v>
      </c>
      <c r="DJ82" s="228">
        <v>-2.25</v>
      </c>
      <c r="DK82" s="228">
        <v>-2.25</v>
      </c>
      <c r="DL82" s="228">
        <v>53.19</v>
      </c>
      <c r="DM82" s="228">
        <v>56.78</v>
      </c>
      <c r="DN82" s="228">
        <v>-3.59</v>
      </c>
      <c r="DO82" s="228">
        <v>-3.59</v>
      </c>
      <c r="DP82" s="228">
        <v>0.73</v>
      </c>
      <c r="DQ82" s="228">
        <v>0.59</v>
      </c>
      <c r="DR82" s="228">
        <v>0.14000000000000001</v>
      </c>
      <c r="DS82" s="229">
        <v>0.23730000000000001</v>
      </c>
      <c r="DT82" s="228">
        <v>750</v>
      </c>
      <c r="DU82" s="228">
        <v>700</v>
      </c>
      <c r="DV82" s="228">
        <v>0.38</v>
      </c>
      <c r="DW82" s="228">
        <v>0.49</v>
      </c>
      <c r="DX82" s="228">
        <v>-0.11</v>
      </c>
      <c r="DY82" s="229">
        <v>-0.22450000000000001</v>
      </c>
      <c r="DZ82" s="229">
        <v>5.4899999999999997E-2</v>
      </c>
      <c r="EA82" s="230">
        <v>33176675</v>
      </c>
      <c r="EB82" s="229">
        <v>5.7999999999999996E-3</v>
      </c>
      <c r="EC82" s="229">
        <v>5.4899999999999997E-2</v>
      </c>
      <c r="ED82" s="228">
        <v>2.63</v>
      </c>
      <c r="EE82" s="229">
        <v>3.7000000000000002E-3</v>
      </c>
      <c r="EF82" s="230">
        <v>11297509</v>
      </c>
      <c r="EG82" s="230">
        <v>9466134</v>
      </c>
      <c r="EH82" s="229">
        <v>0.19350000000000001</v>
      </c>
      <c r="EI82" s="229">
        <v>0.28089999999999998</v>
      </c>
      <c r="EJ82" s="231">
        <v>1357636.27</v>
      </c>
      <c r="EK82" s="231">
        <v>465685.84</v>
      </c>
      <c r="EL82" s="231">
        <v>317291.95</v>
      </c>
      <c r="EM82" s="231">
        <v>40041</v>
      </c>
      <c r="EN82" s="231">
        <v>2140614.06</v>
      </c>
      <c r="EO82" s="231">
        <v>2120080.0499999998</v>
      </c>
      <c r="EP82" s="231">
        <v>20534.009999999998</v>
      </c>
      <c r="EQ82" s="229">
        <v>9.7000000000000003E-3</v>
      </c>
      <c r="ER82" s="231">
        <v>243988</v>
      </c>
      <c r="ES82" s="231">
        <v>161099</v>
      </c>
      <c r="ET82" s="231">
        <v>269787</v>
      </c>
      <c r="EU82" s="231">
        <v>161247058</v>
      </c>
      <c r="EV82" s="231">
        <v>674874</v>
      </c>
      <c r="EW82" s="231">
        <v>538506</v>
      </c>
      <c r="EX82" s="231">
        <v>136368</v>
      </c>
      <c r="EY82" s="229">
        <v>0.25319999999999998</v>
      </c>
      <c r="EZ82" s="229">
        <v>0.59189999999999998</v>
      </c>
      <c r="FA82" s="227" t="s">
        <v>567</v>
      </c>
      <c r="FB82" s="161">
        <f t="shared" si="1"/>
        <v>2094750</v>
      </c>
    </row>
    <row r="83" spans="1:158" ht="17.25" hidden="1" thickBot="1" x14ac:dyDescent="0.3">
      <c r="A83" s="226">
        <v>46050</v>
      </c>
      <c r="B83" s="227" t="s">
        <v>206</v>
      </c>
      <c r="C83" s="227" t="s">
        <v>608</v>
      </c>
      <c r="D83" s="228">
        <v>2775</v>
      </c>
      <c r="E83" s="228">
        <v>204.7</v>
      </c>
      <c r="F83" s="228">
        <v>198.39</v>
      </c>
      <c r="G83" s="228">
        <v>6.31</v>
      </c>
      <c r="H83" s="229">
        <v>3.1800000000000002E-2</v>
      </c>
      <c r="I83" s="228">
        <v>204.33</v>
      </c>
      <c r="J83" s="228">
        <v>198.13</v>
      </c>
      <c r="K83" s="228">
        <v>6.2</v>
      </c>
      <c r="L83" s="229">
        <v>3.1300000000000001E-2</v>
      </c>
      <c r="M83" s="228">
        <v>204.7</v>
      </c>
      <c r="N83" s="228">
        <v>198.02</v>
      </c>
      <c r="O83" s="228">
        <v>6.68</v>
      </c>
      <c r="P83" s="229">
        <v>3.3700000000000001E-2</v>
      </c>
      <c r="Q83" s="228">
        <v>205.64</v>
      </c>
      <c r="R83" s="228">
        <v>198.39</v>
      </c>
      <c r="S83" s="228">
        <v>7.25</v>
      </c>
      <c r="T83" s="229">
        <v>3.6499999999999998E-2</v>
      </c>
      <c r="U83" s="228">
        <v>205</v>
      </c>
      <c r="V83" s="228">
        <v>200</v>
      </c>
      <c r="W83" s="228">
        <v>5</v>
      </c>
      <c r="X83" s="229">
        <v>2.5000000000000001E-2</v>
      </c>
      <c r="Y83" s="228">
        <v>0.37</v>
      </c>
      <c r="Z83" s="228">
        <v>0.26</v>
      </c>
      <c r="AA83" s="228">
        <v>0.11</v>
      </c>
      <c r="AB83" s="229">
        <v>1.8E-3</v>
      </c>
      <c r="AC83" s="228">
        <v>0.37</v>
      </c>
      <c r="AD83" s="228">
        <v>-0.11</v>
      </c>
      <c r="AE83" s="228">
        <v>0.48</v>
      </c>
      <c r="AF83" s="229">
        <v>1.8E-3</v>
      </c>
      <c r="AG83" s="228">
        <v>1.31</v>
      </c>
      <c r="AH83" s="228">
        <v>0.26</v>
      </c>
      <c r="AI83" s="228">
        <v>1.05</v>
      </c>
      <c r="AJ83" s="229">
        <v>6.4000000000000003E-3</v>
      </c>
      <c r="AK83" s="228">
        <v>0.67</v>
      </c>
      <c r="AL83" s="228">
        <v>1.87</v>
      </c>
      <c r="AM83" s="228">
        <v>-1.2</v>
      </c>
      <c r="AN83" s="229">
        <v>3.3E-3</v>
      </c>
      <c r="AO83" s="228">
        <v>201.39</v>
      </c>
      <c r="AP83" s="228">
        <v>202.1</v>
      </c>
      <c r="AQ83" s="228">
        <v>0</v>
      </c>
      <c r="AR83" s="230">
        <v>9737475</v>
      </c>
      <c r="AS83" s="230">
        <v>48737325</v>
      </c>
      <c r="AT83" s="230">
        <v>-38999850</v>
      </c>
      <c r="AU83" s="229">
        <v>-0.80020000000000002</v>
      </c>
      <c r="AV83" s="230">
        <v>9143625</v>
      </c>
      <c r="AW83" s="230">
        <v>21811500</v>
      </c>
      <c r="AX83" s="230">
        <v>-12667875</v>
      </c>
      <c r="AY83" s="229">
        <v>-0.58079999999999998</v>
      </c>
      <c r="AZ83" s="230">
        <v>591075</v>
      </c>
      <c r="BA83" s="230">
        <v>26337525</v>
      </c>
      <c r="BB83" s="230">
        <v>-25746450</v>
      </c>
      <c r="BC83" s="229">
        <v>-0.97760000000000002</v>
      </c>
      <c r="BD83" s="230">
        <v>2775</v>
      </c>
      <c r="BE83" s="230">
        <v>588300</v>
      </c>
      <c r="BF83" s="230">
        <v>-585525</v>
      </c>
      <c r="BG83" s="229">
        <v>-0.99529999999999996</v>
      </c>
      <c r="BH83" s="230">
        <v>15503925</v>
      </c>
      <c r="BI83" s="230">
        <v>19189125</v>
      </c>
      <c r="BJ83" s="230">
        <v>-3685200</v>
      </c>
      <c r="BK83" s="229">
        <v>-0.192</v>
      </c>
      <c r="BL83" s="230">
        <v>7928175</v>
      </c>
      <c r="BM83" s="230">
        <v>17962575</v>
      </c>
      <c r="BN83" s="230">
        <v>-10034400</v>
      </c>
      <c r="BO83" s="229">
        <v>-0.55859999999999999</v>
      </c>
      <c r="BP83" s="230">
        <v>33169575</v>
      </c>
      <c r="BQ83" s="230">
        <v>85889025</v>
      </c>
      <c r="BR83" s="230">
        <v>-52719450</v>
      </c>
      <c r="BS83" s="229">
        <v>-0.61380000000000001</v>
      </c>
      <c r="BT83" s="230">
        <v>4199756</v>
      </c>
      <c r="BU83" s="230">
        <v>7660201</v>
      </c>
      <c r="BV83" s="230">
        <v>-3460445</v>
      </c>
      <c r="BW83" s="229">
        <v>-0.45169999999999999</v>
      </c>
      <c r="BX83" s="230">
        <v>36679950</v>
      </c>
      <c r="BY83" s="230">
        <v>36108300</v>
      </c>
      <c r="BZ83" s="230">
        <v>571650</v>
      </c>
      <c r="CA83" s="229">
        <v>1.5800000000000002E-2</v>
      </c>
      <c r="CB83" s="230">
        <v>35506125</v>
      </c>
      <c r="CC83" s="230">
        <v>2577975</v>
      </c>
      <c r="CD83" s="230">
        <v>32928150</v>
      </c>
      <c r="CE83" s="229">
        <v>12.7729</v>
      </c>
      <c r="CF83" s="230">
        <v>1171050</v>
      </c>
      <c r="CG83" s="230">
        <v>35053800</v>
      </c>
      <c r="CH83" s="230">
        <v>-33882750</v>
      </c>
      <c r="CI83" s="229">
        <v>-0.96660000000000001</v>
      </c>
      <c r="CJ83" s="230">
        <v>2775</v>
      </c>
      <c r="CK83" s="230">
        <v>1054500</v>
      </c>
      <c r="CL83" s="230">
        <v>-1051725</v>
      </c>
      <c r="CM83" s="229">
        <v>-0.99739999999999995</v>
      </c>
      <c r="CN83" s="230">
        <v>12298800</v>
      </c>
      <c r="CO83" s="230">
        <v>10203675</v>
      </c>
      <c r="CP83" s="230">
        <v>2095125</v>
      </c>
      <c r="CQ83" s="229">
        <v>0.20530000000000001</v>
      </c>
      <c r="CR83" s="230">
        <v>11702175</v>
      </c>
      <c r="CS83" s="230">
        <v>10001100</v>
      </c>
      <c r="CT83" s="230">
        <v>1701075</v>
      </c>
      <c r="CU83" s="229">
        <v>0.1701</v>
      </c>
      <c r="CV83" s="230">
        <v>60680925</v>
      </c>
      <c r="CW83" s="230">
        <v>56313075</v>
      </c>
      <c r="CX83" s="230">
        <v>4367850</v>
      </c>
      <c r="CY83" s="229">
        <v>7.7600000000000002E-2</v>
      </c>
      <c r="CZ83" s="228">
        <v>44.54</v>
      </c>
      <c r="DA83" s="228">
        <v>46.93</v>
      </c>
      <c r="DB83" s="228">
        <v>-2.39</v>
      </c>
      <c r="DC83" s="228">
        <v>-2.39</v>
      </c>
      <c r="DD83" s="228">
        <v>50.01</v>
      </c>
      <c r="DE83" s="228">
        <v>49.96</v>
      </c>
      <c r="DF83" s="228">
        <v>-5.47</v>
      </c>
      <c r="DG83" s="228">
        <v>0.05</v>
      </c>
      <c r="DH83" s="228">
        <v>44.03</v>
      </c>
      <c r="DI83" s="228">
        <v>46.98</v>
      </c>
      <c r="DJ83" s="228">
        <v>-2.95</v>
      </c>
      <c r="DK83" s="228">
        <v>-2.95</v>
      </c>
      <c r="DL83" s="228">
        <v>45.53</v>
      </c>
      <c r="DM83" s="228">
        <v>46.89</v>
      </c>
      <c r="DN83" s="228">
        <v>-1.36</v>
      </c>
      <c r="DO83" s="228">
        <v>-1.36</v>
      </c>
      <c r="DP83" s="228">
        <v>0.95</v>
      </c>
      <c r="DQ83" s="228">
        <v>0.98</v>
      </c>
      <c r="DR83" s="228">
        <v>-0.03</v>
      </c>
      <c r="DS83" s="229">
        <v>-3.0599999999999999E-2</v>
      </c>
      <c r="DT83" s="228">
        <v>210</v>
      </c>
      <c r="DU83" s="228">
        <v>200</v>
      </c>
      <c r="DV83" s="228">
        <v>0.51</v>
      </c>
      <c r="DW83" s="228">
        <v>0.94</v>
      </c>
      <c r="DX83" s="228">
        <v>-0.43</v>
      </c>
      <c r="DY83" s="229">
        <v>-0.45739999999999997</v>
      </c>
      <c r="DZ83" s="229">
        <v>3.2000000000000001E-2</v>
      </c>
      <c r="EA83" s="230">
        <v>36108300</v>
      </c>
      <c r="EB83" s="229">
        <v>4.5999999999999999E-3</v>
      </c>
      <c r="EC83" s="229">
        <v>3.2000000000000001E-2</v>
      </c>
      <c r="ED83" s="228">
        <v>0.71</v>
      </c>
      <c r="EE83" s="229">
        <v>3.5000000000000001E-3</v>
      </c>
      <c r="EF83" s="230">
        <v>1152366</v>
      </c>
      <c r="EG83" s="230">
        <v>1558912</v>
      </c>
      <c r="EH83" s="229">
        <v>-0.26079999999999998</v>
      </c>
      <c r="EI83" s="229">
        <v>0.27439999999999998</v>
      </c>
      <c r="EJ83" s="231">
        <v>33984.339999999997</v>
      </c>
      <c r="EK83" s="231">
        <v>15627.38</v>
      </c>
      <c r="EL83" s="231">
        <v>19614.84</v>
      </c>
      <c r="EM83" s="231">
        <v>12271</v>
      </c>
      <c r="EN83" s="231">
        <v>69226.559999999998</v>
      </c>
      <c r="EO83" s="231">
        <v>173955.13</v>
      </c>
      <c r="EP83" s="231">
        <v>-104728.57</v>
      </c>
      <c r="EQ83" s="229">
        <v>-0.60199999999999998</v>
      </c>
      <c r="ER83" s="231">
        <v>26597</v>
      </c>
      <c r="ES83" s="231">
        <v>23336</v>
      </c>
      <c r="ET83" s="231">
        <v>75095</v>
      </c>
      <c r="EU83" s="231">
        <v>75071250</v>
      </c>
      <c r="EV83" s="231">
        <v>125027</v>
      </c>
      <c r="EW83" s="231">
        <v>113753</v>
      </c>
      <c r="EX83" s="231">
        <v>11274</v>
      </c>
      <c r="EY83" s="229">
        <v>9.9099999999999994E-2</v>
      </c>
      <c r="EZ83" s="229">
        <v>0.80830000000000002</v>
      </c>
      <c r="FA83" s="227" t="s">
        <v>555</v>
      </c>
      <c r="FB83" s="161">
        <f t="shared" si="1"/>
        <v>1173825</v>
      </c>
    </row>
    <row r="84" spans="1:158" ht="17.25" hidden="1" thickBot="1" x14ac:dyDescent="0.3">
      <c r="A84" s="226">
        <v>46050</v>
      </c>
      <c r="B84" s="227" t="s">
        <v>172</v>
      </c>
      <c r="C84" s="227" t="s">
        <v>232</v>
      </c>
      <c r="D84" s="228">
        <v>700</v>
      </c>
      <c r="E84" s="231">
        <v>1373.2</v>
      </c>
      <c r="F84" s="231">
        <v>1371.1</v>
      </c>
      <c r="G84" s="228">
        <v>2.1</v>
      </c>
      <c r="H84" s="229">
        <v>1.5E-3</v>
      </c>
      <c r="I84" s="231">
        <v>1367.7</v>
      </c>
      <c r="J84" s="231">
        <v>1361.4</v>
      </c>
      <c r="K84" s="228">
        <v>6.3</v>
      </c>
      <c r="L84" s="229">
        <v>4.5999999999999999E-3</v>
      </c>
      <c r="M84" s="231">
        <v>1373.2</v>
      </c>
      <c r="N84" s="231">
        <v>1363.6</v>
      </c>
      <c r="O84" s="228">
        <v>9.6</v>
      </c>
      <c r="P84" s="229">
        <v>7.0000000000000001E-3</v>
      </c>
      <c r="Q84" s="231">
        <v>1382.1</v>
      </c>
      <c r="R84" s="231">
        <v>1371.1</v>
      </c>
      <c r="S84" s="228">
        <v>11</v>
      </c>
      <c r="T84" s="229">
        <v>8.0000000000000002E-3</v>
      </c>
      <c r="U84" s="231">
        <v>1390.4</v>
      </c>
      <c r="V84" s="231">
        <v>1379.3</v>
      </c>
      <c r="W84" s="228">
        <v>11.1</v>
      </c>
      <c r="X84" s="229">
        <v>8.0000000000000002E-3</v>
      </c>
      <c r="Y84" s="228">
        <v>5.5</v>
      </c>
      <c r="Z84" s="228">
        <v>9.6999999999999993</v>
      </c>
      <c r="AA84" s="228">
        <v>-4.2</v>
      </c>
      <c r="AB84" s="229">
        <v>4.0000000000000001E-3</v>
      </c>
      <c r="AC84" s="228">
        <v>5.5</v>
      </c>
      <c r="AD84" s="228">
        <v>2.2000000000000002</v>
      </c>
      <c r="AE84" s="228">
        <v>3.3</v>
      </c>
      <c r="AF84" s="229">
        <v>4.0000000000000001E-3</v>
      </c>
      <c r="AG84" s="228">
        <v>14.4</v>
      </c>
      <c r="AH84" s="228">
        <v>9.6999999999999993</v>
      </c>
      <c r="AI84" s="228">
        <v>4.7</v>
      </c>
      <c r="AJ84" s="229">
        <v>1.0500000000000001E-2</v>
      </c>
      <c r="AK84" s="228">
        <v>22.7</v>
      </c>
      <c r="AL84" s="228">
        <v>17.899999999999999</v>
      </c>
      <c r="AM84" s="228">
        <v>4.8</v>
      </c>
      <c r="AN84" s="229">
        <v>1.66E-2</v>
      </c>
      <c r="AO84" s="231">
        <v>1376.14</v>
      </c>
      <c r="AP84" s="231">
        <v>1383.75</v>
      </c>
      <c r="AQ84" s="228">
        <v>0</v>
      </c>
      <c r="AR84" s="230">
        <v>13757100</v>
      </c>
      <c r="AS84" s="230">
        <v>55083700</v>
      </c>
      <c r="AT84" s="230">
        <v>-41326600</v>
      </c>
      <c r="AU84" s="229">
        <v>-0.75029999999999997</v>
      </c>
      <c r="AV84" s="230">
        <v>13261500</v>
      </c>
      <c r="AW84" s="230">
        <v>20992300</v>
      </c>
      <c r="AX84" s="230">
        <v>-7730800</v>
      </c>
      <c r="AY84" s="229">
        <v>-0.36830000000000002</v>
      </c>
      <c r="AZ84" s="230">
        <v>442400</v>
      </c>
      <c r="BA84" s="230">
        <v>33454400</v>
      </c>
      <c r="BB84" s="230">
        <v>-33012000</v>
      </c>
      <c r="BC84" s="229">
        <v>-0.98680000000000001</v>
      </c>
      <c r="BD84" s="230">
        <v>53200</v>
      </c>
      <c r="BE84" s="230">
        <v>637000</v>
      </c>
      <c r="BF84" s="230">
        <v>-583800</v>
      </c>
      <c r="BG84" s="229">
        <v>-0.91649999999999998</v>
      </c>
      <c r="BH84" s="230">
        <v>30606100</v>
      </c>
      <c r="BI84" s="230">
        <v>66488100</v>
      </c>
      <c r="BJ84" s="230">
        <v>-35882000</v>
      </c>
      <c r="BK84" s="229">
        <v>-0.53969999999999996</v>
      </c>
      <c r="BL84" s="230">
        <v>20928600</v>
      </c>
      <c r="BM84" s="230">
        <v>39831400</v>
      </c>
      <c r="BN84" s="230">
        <v>-18902800</v>
      </c>
      <c r="BO84" s="229">
        <v>-0.47460000000000002</v>
      </c>
      <c r="BP84" s="230">
        <v>65291800</v>
      </c>
      <c r="BQ84" s="230">
        <v>161403200</v>
      </c>
      <c r="BR84" s="230">
        <v>-96111400</v>
      </c>
      <c r="BS84" s="229">
        <v>-0.59550000000000003</v>
      </c>
      <c r="BT84" s="230">
        <v>14097123</v>
      </c>
      <c r="BU84" s="230">
        <v>25459516</v>
      </c>
      <c r="BV84" s="230">
        <v>-11362393</v>
      </c>
      <c r="BW84" s="229">
        <v>-0.44629999999999997</v>
      </c>
      <c r="BX84" s="230">
        <v>126835800</v>
      </c>
      <c r="BY84" s="230">
        <v>128141300</v>
      </c>
      <c r="BZ84" s="230">
        <v>-1305500</v>
      </c>
      <c r="CA84" s="229">
        <v>-1.0200000000000001E-2</v>
      </c>
      <c r="CB84" s="230">
        <v>114639700</v>
      </c>
      <c r="CC84" s="230">
        <v>7996800</v>
      </c>
      <c r="CD84" s="230">
        <v>106642900</v>
      </c>
      <c r="CE84" s="229">
        <v>13.335699999999999</v>
      </c>
      <c r="CF84" s="230">
        <v>12145700</v>
      </c>
      <c r="CG84" s="230">
        <v>116222400</v>
      </c>
      <c r="CH84" s="230">
        <v>-104076700</v>
      </c>
      <c r="CI84" s="229">
        <v>-0.89549999999999996</v>
      </c>
      <c r="CJ84" s="230">
        <v>50400</v>
      </c>
      <c r="CK84" s="230">
        <v>11918900</v>
      </c>
      <c r="CL84" s="230">
        <v>-11868500</v>
      </c>
      <c r="CM84" s="229">
        <v>-0.99580000000000002</v>
      </c>
      <c r="CN84" s="230">
        <v>16459800</v>
      </c>
      <c r="CO84" s="230">
        <v>15206800</v>
      </c>
      <c r="CP84" s="230">
        <v>1253000</v>
      </c>
      <c r="CQ84" s="229">
        <v>8.2400000000000001E-2</v>
      </c>
      <c r="CR84" s="230">
        <v>16323300</v>
      </c>
      <c r="CS84" s="230">
        <v>14679000</v>
      </c>
      <c r="CT84" s="230">
        <v>1644300</v>
      </c>
      <c r="CU84" s="229">
        <v>0.112</v>
      </c>
      <c r="CV84" s="230">
        <v>159618900</v>
      </c>
      <c r="CW84" s="230">
        <v>158027100</v>
      </c>
      <c r="CX84" s="230">
        <v>1591800</v>
      </c>
      <c r="CY84" s="229">
        <v>1.01E-2</v>
      </c>
      <c r="CZ84" s="228">
        <v>17.77</v>
      </c>
      <c r="DA84" s="228">
        <v>18.100000000000001</v>
      </c>
      <c r="DB84" s="228">
        <v>-0.33</v>
      </c>
      <c r="DC84" s="228">
        <v>-0.33</v>
      </c>
      <c r="DD84" s="228">
        <v>20.71</v>
      </c>
      <c r="DE84" s="228">
        <v>20.76</v>
      </c>
      <c r="DF84" s="228">
        <v>-2.94</v>
      </c>
      <c r="DG84" s="228">
        <v>-0.05</v>
      </c>
      <c r="DH84" s="228">
        <v>17.59</v>
      </c>
      <c r="DI84" s="228">
        <v>17.61</v>
      </c>
      <c r="DJ84" s="228">
        <v>-0.02</v>
      </c>
      <c r="DK84" s="228">
        <v>-0.02</v>
      </c>
      <c r="DL84" s="228">
        <v>18.02</v>
      </c>
      <c r="DM84" s="228">
        <v>18.73</v>
      </c>
      <c r="DN84" s="228">
        <v>-0.71</v>
      </c>
      <c r="DO84" s="228">
        <v>-0.71</v>
      </c>
      <c r="DP84" s="228">
        <v>0.99</v>
      </c>
      <c r="DQ84" s="228">
        <v>0.97</v>
      </c>
      <c r="DR84" s="228">
        <v>0.02</v>
      </c>
      <c r="DS84" s="229">
        <v>2.06E-2</v>
      </c>
      <c r="DT84" s="231">
        <v>1400</v>
      </c>
      <c r="DU84" s="231">
        <v>1400</v>
      </c>
      <c r="DV84" s="228">
        <v>0.68</v>
      </c>
      <c r="DW84" s="228">
        <v>0.6</v>
      </c>
      <c r="DX84" s="228">
        <v>0.08</v>
      </c>
      <c r="DY84" s="229">
        <v>0.1333</v>
      </c>
      <c r="DZ84" s="229">
        <v>9.6199999999999994E-2</v>
      </c>
      <c r="EA84" s="230">
        <v>128141300</v>
      </c>
      <c r="EB84" s="229">
        <v>6.4999999999999997E-3</v>
      </c>
      <c r="EC84" s="229">
        <v>9.6199999999999994E-2</v>
      </c>
      <c r="ED84" s="228">
        <v>7.61</v>
      </c>
      <c r="EE84" s="229">
        <v>5.4999999999999997E-3</v>
      </c>
      <c r="EF84" s="230">
        <v>10632094</v>
      </c>
      <c r="EG84" s="230">
        <v>14780781</v>
      </c>
      <c r="EH84" s="229">
        <v>-0.28070000000000001</v>
      </c>
      <c r="EI84" s="229">
        <v>0.75419999999999998</v>
      </c>
      <c r="EJ84" s="231">
        <v>435744.81</v>
      </c>
      <c r="EK84" s="231">
        <v>284974.2</v>
      </c>
      <c r="EL84" s="231">
        <v>189358.95</v>
      </c>
      <c r="EM84" s="231">
        <v>91411</v>
      </c>
      <c r="EN84" s="231">
        <v>910077.96</v>
      </c>
      <c r="EO84" s="231">
        <v>2213717.17</v>
      </c>
      <c r="EP84" s="231">
        <v>-1303639.21</v>
      </c>
      <c r="EQ84" s="229">
        <v>-0.58889999999999998</v>
      </c>
      <c r="ER84" s="231">
        <v>231955</v>
      </c>
      <c r="ES84" s="231">
        <v>219882</v>
      </c>
      <c r="ET84" s="231">
        <v>1742799</v>
      </c>
      <c r="EU84" s="231">
        <v>580601807</v>
      </c>
      <c r="EV84" s="231">
        <v>2194636</v>
      </c>
      <c r="EW84" s="231">
        <v>2168451</v>
      </c>
      <c r="EX84" s="231">
        <v>26185</v>
      </c>
      <c r="EY84" s="229">
        <v>1.21E-2</v>
      </c>
      <c r="EZ84" s="229">
        <v>0.27489999999999998</v>
      </c>
      <c r="FA84" s="227" t="s">
        <v>556</v>
      </c>
      <c r="FB84" s="161">
        <f t="shared" si="1"/>
        <v>12196100</v>
      </c>
    </row>
    <row r="85" spans="1:158" ht="17.25" hidden="1" thickBot="1" x14ac:dyDescent="0.3">
      <c r="A85" s="226">
        <v>46050</v>
      </c>
      <c r="B85" s="227" t="s">
        <v>175</v>
      </c>
      <c r="C85" s="227" t="s">
        <v>472</v>
      </c>
      <c r="D85" s="228">
        <v>325</v>
      </c>
      <c r="E85" s="231">
        <v>1826</v>
      </c>
      <c r="F85" s="231">
        <v>1817.7</v>
      </c>
      <c r="G85" s="228">
        <v>8.3000000000000007</v>
      </c>
      <c r="H85" s="229">
        <v>4.5999999999999999E-3</v>
      </c>
      <c r="I85" s="231">
        <v>1822.2</v>
      </c>
      <c r="J85" s="231">
        <v>1805.9</v>
      </c>
      <c r="K85" s="228">
        <v>16.3</v>
      </c>
      <c r="L85" s="229">
        <v>8.9999999999999993E-3</v>
      </c>
      <c r="M85" s="231">
        <v>1826</v>
      </c>
      <c r="N85" s="231">
        <v>1808.5</v>
      </c>
      <c r="O85" s="228">
        <v>17.5</v>
      </c>
      <c r="P85" s="229">
        <v>9.7000000000000003E-3</v>
      </c>
      <c r="Q85" s="231">
        <v>1826.8</v>
      </c>
      <c r="R85" s="231">
        <v>1817.7</v>
      </c>
      <c r="S85" s="228">
        <v>9.1</v>
      </c>
      <c r="T85" s="229">
        <v>5.0000000000000001E-3</v>
      </c>
      <c r="U85" s="228">
        <v>0</v>
      </c>
      <c r="V85" s="231">
        <v>1828.6</v>
      </c>
      <c r="W85" s="228">
        <v>0</v>
      </c>
      <c r="X85" s="229">
        <v>0</v>
      </c>
      <c r="Y85" s="228">
        <v>3.8</v>
      </c>
      <c r="Z85" s="228">
        <v>11.8</v>
      </c>
      <c r="AA85" s="228">
        <v>-8</v>
      </c>
      <c r="AB85" s="229">
        <v>2.0999999999999999E-3</v>
      </c>
      <c r="AC85" s="228">
        <v>3.8</v>
      </c>
      <c r="AD85" s="228">
        <v>2.6</v>
      </c>
      <c r="AE85" s="228">
        <v>1.2</v>
      </c>
      <c r="AF85" s="229">
        <v>2.0999999999999999E-3</v>
      </c>
      <c r="AG85" s="228">
        <v>4.5999999999999996</v>
      </c>
      <c r="AH85" s="228">
        <v>11.8</v>
      </c>
      <c r="AI85" s="228">
        <v>-7.2</v>
      </c>
      <c r="AJ85" s="229">
        <v>2.5000000000000001E-3</v>
      </c>
      <c r="AK85" s="228">
        <v>0</v>
      </c>
      <c r="AL85" s="228">
        <v>22.7</v>
      </c>
      <c r="AM85" s="228">
        <v>0</v>
      </c>
      <c r="AN85" s="229">
        <v>0</v>
      </c>
      <c r="AO85" s="231">
        <v>1828.46</v>
      </c>
      <c r="AP85" s="231">
        <v>1831.73</v>
      </c>
      <c r="AQ85" s="228">
        <v>0</v>
      </c>
      <c r="AR85" s="230">
        <v>350350</v>
      </c>
      <c r="AS85" s="230">
        <v>2592200</v>
      </c>
      <c r="AT85" s="230">
        <v>-2241850</v>
      </c>
      <c r="AU85" s="229">
        <v>-0.86480000000000001</v>
      </c>
      <c r="AV85" s="230">
        <v>345150</v>
      </c>
      <c r="AW85" s="230">
        <v>1215175</v>
      </c>
      <c r="AX85" s="230">
        <v>-870025</v>
      </c>
      <c r="AY85" s="229">
        <v>-0.71599999999999997</v>
      </c>
      <c r="AZ85" s="230">
        <v>5200</v>
      </c>
      <c r="BA85" s="230">
        <v>1367925</v>
      </c>
      <c r="BB85" s="230">
        <v>-1362725</v>
      </c>
      <c r="BC85" s="229">
        <v>-0.99619999999999997</v>
      </c>
      <c r="BD85" s="228">
        <v>0</v>
      </c>
      <c r="BE85" s="230">
        <v>9100</v>
      </c>
      <c r="BF85" s="228">
        <v>0</v>
      </c>
      <c r="BG85" s="229">
        <v>0</v>
      </c>
      <c r="BH85" s="230">
        <v>299975</v>
      </c>
      <c r="BI85" s="230">
        <v>607750</v>
      </c>
      <c r="BJ85" s="230">
        <v>-307775</v>
      </c>
      <c r="BK85" s="229">
        <v>-0.50639999999999996</v>
      </c>
      <c r="BL85" s="230">
        <v>313625</v>
      </c>
      <c r="BM85" s="230">
        <v>884000</v>
      </c>
      <c r="BN85" s="230">
        <v>-570375</v>
      </c>
      <c r="BO85" s="229">
        <v>-0.6452</v>
      </c>
      <c r="BP85" s="230">
        <v>963950</v>
      </c>
      <c r="BQ85" s="230">
        <v>4083950</v>
      </c>
      <c r="BR85" s="230">
        <v>-3120000</v>
      </c>
      <c r="BS85" s="229">
        <v>-0.76400000000000001</v>
      </c>
      <c r="BT85" s="230">
        <v>1206879</v>
      </c>
      <c r="BU85" s="230">
        <v>1619814</v>
      </c>
      <c r="BV85" s="230">
        <v>-412935</v>
      </c>
      <c r="BW85" s="229">
        <v>-0.25490000000000002</v>
      </c>
      <c r="BX85" s="230">
        <v>5481125</v>
      </c>
      <c r="BY85" s="230">
        <v>5490550</v>
      </c>
      <c r="BZ85" s="230">
        <v>-9425</v>
      </c>
      <c r="CA85" s="229">
        <v>-1.6999999999999999E-3</v>
      </c>
      <c r="CB85" s="230">
        <v>5444075</v>
      </c>
      <c r="CC85" s="230">
        <v>186550</v>
      </c>
      <c r="CD85" s="230">
        <v>5257525</v>
      </c>
      <c r="CE85" s="229">
        <v>28.1829</v>
      </c>
      <c r="CF85" s="230">
        <v>37050</v>
      </c>
      <c r="CG85" s="230">
        <v>5454150</v>
      </c>
      <c r="CH85" s="230">
        <v>-5417100</v>
      </c>
      <c r="CI85" s="229">
        <v>-0.99319999999999997</v>
      </c>
      <c r="CJ85" s="228">
        <v>0</v>
      </c>
      <c r="CK85" s="230">
        <v>36400</v>
      </c>
      <c r="CL85" s="230">
        <v>-36400</v>
      </c>
      <c r="CM85" s="229">
        <v>-1</v>
      </c>
      <c r="CN85" s="230">
        <v>323050</v>
      </c>
      <c r="CO85" s="230">
        <v>253825</v>
      </c>
      <c r="CP85" s="230">
        <v>69225</v>
      </c>
      <c r="CQ85" s="229">
        <v>0.2727</v>
      </c>
      <c r="CR85" s="230">
        <v>401375</v>
      </c>
      <c r="CS85" s="230">
        <v>351650</v>
      </c>
      <c r="CT85" s="230">
        <v>49725</v>
      </c>
      <c r="CU85" s="229">
        <v>0.1414</v>
      </c>
      <c r="CV85" s="230">
        <v>6205550</v>
      </c>
      <c r="CW85" s="230">
        <v>6096025</v>
      </c>
      <c r="CX85" s="230">
        <v>109525</v>
      </c>
      <c r="CY85" s="229">
        <v>1.7999999999999999E-2</v>
      </c>
      <c r="CZ85" s="228">
        <v>24.19</v>
      </c>
      <c r="DA85" s="228">
        <v>25.29</v>
      </c>
      <c r="DB85" s="228">
        <v>-1.1000000000000001</v>
      </c>
      <c r="DC85" s="228">
        <v>-1.1000000000000001</v>
      </c>
      <c r="DD85" s="228">
        <v>27.47</v>
      </c>
      <c r="DE85" s="228">
        <v>27.51</v>
      </c>
      <c r="DF85" s="228">
        <v>-3.28</v>
      </c>
      <c r="DG85" s="228">
        <v>-0.04</v>
      </c>
      <c r="DH85" s="228">
        <v>23.67</v>
      </c>
      <c r="DI85" s="228">
        <v>25.35</v>
      </c>
      <c r="DJ85" s="228">
        <v>-1.68</v>
      </c>
      <c r="DK85" s="228">
        <v>-1.68</v>
      </c>
      <c r="DL85" s="228">
        <v>24.69</v>
      </c>
      <c r="DM85" s="228">
        <v>25.26</v>
      </c>
      <c r="DN85" s="228">
        <v>-0.56999999999999995</v>
      </c>
      <c r="DO85" s="228">
        <v>-0.56999999999999995</v>
      </c>
      <c r="DP85" s="228">
        <v>1.24</v>
      </c>
      <c r="DQ85" s="228">
        <v>1.39</v>
      </c>
      <c r="DR85" s="228">
        <v>-0.15</v>
      </c>
      <c r="DS85" s="229">
        <v>-0.1079</v>
      </c>
      <c r="DT85" s="231">
        <v>2000</v>
      </c>
      <c r="DU85" s="231">
        <v>1700</v>
      </c>
      <c r="DV85" s="228">
        <v>1.05</v>
      </c>
      <c r="DW85" s="228">
        <v>1.45</v>
      </c>
      <c r="DX85" s="228">
        <v>-0.4</v>
      </c>
      <c r="DY85" s="229">
        <v>-0.27589999999999998</v>
      </c>
      <c r="DZ85" s="229">
        <v>6.7999999999999996E-3</v>
      </c>
      <c r="EA85" s="230">
        <v>5490550</v>
      </c>
      <c r="EB85" s="229">
        <v>4.0000000000000002E-4</v>
      </c>
      <c r="EC85" s="229">
        <v>6.7999999999999996E-3</v>
      </c>
      <c r="ED85" s="228">
        <v>3.27</v>
      </c>
      <c r="EE85" s="229">
        <v>1.8E-3</v>
      </c>
      <c r="EF85" s="230">
        <v>862322</v>
      </c>
      <c r="EG85" s="230">
        <v>1033513</v>
      </c>
      <c r="EH85" s="229">
        <v>-0.1656</v>
      </c>
      <c r="EI85" s="229">
        <v>0.71450000000000002</v>
      </c>
      <c r="EJ85" s="231">
        <v>5774.18</v>
      </c>
      <c r="EK85" s="231">
        <v>5661.17</v>
      </c>
      <c r="EL85" s="231">
        <v>6406.18</v>
      </c>
      <c r="EM85" s="231">
        <v>13271</v>
      </c>
      <c r="EN85" s="231">
        <v>17841.53</v>
      </c>
      <c r="EO85" s="231">
        <v>74188.86</v>
      </c>
      <c r="EP85" s="231">
        <v>-56347.33</v>
      </c>
      <c r="EQ85" s="229">
        <v>-0.75949999999999995</v>
      </c>
      <c r="ER85" s="231">
        <v>6241</v>
      </c>
      <c r="ES85" s="231">
        <v>7176</v>
      </c>
      <c r="ET85" s="231">
        <v>100086</v>
      </c>
      <c r="EU85" s="231">
        <v>28747897</v>
      </c>
      <c r="EV85" s="231">
        <v>113503</v>
      </c>
      <c r="EW85" s="231">
        <v>110967</v>
      </c>
      <c r="EX85" s="231">
        <v>2536</v>
      </c>
      <c r="EY85" s="229">
        <v>2.29E-2</v>
      </c>
      <c r="EZ85" s="229">
        <v>0.21590000000000001</v>
      </c>
      <c r="FA85" s="227" t="s">
        <v>556</v>
      </c>
      <c r="FB85" s="161">
        <f t="shared" si="1"/>
        <v>37050</v>
      </c>
    </row>
    <row r="86" spans="1:158" ht="17.25" hidden="1" thickBot="1" x14ac:dyDescent="0.3">
      <c r="A86" s="226">
        <v>46050</v>
      </c>
      <c r="B86" s="227" t="s">
        <v>175</v>
      </c>
      <c r="C86" s="227" t="s">
        <v>233</v>
      </c>
      <c r="D86" s="228">
        <v>925</v>
      </c>
      <c r="E86" s="228">
        <v>644.95000000000005</v>
      </c>
      <c r="F86" s="228">
        <v>648.35</v>
      </c>
      <c r="G86" s="228">
        <v>-3.4</v>
      </c>
      <c r="H86" s="229">
        <v>-5.1999999999999998E-3</v>
      </c>
      <c r="I86" s="228">
        <v>642.4</v>
      </c>
      <c r="J86" s="228">
        <v>643.85</v>
      </c>
      <c r="K86" s="228">
        <v>-1.45</v>
      </c>
      <c r="L86" s="229">
        <v>-2.3E-3</v>
      </c>
      <c r="M86" s="228">
        <v>644.95000000000005</v>
      </c>
      <c r="N86" s="228">
        <v>645.4</v>
      </c>
      <c r="O86" s="228">
        <v>-0.45</v>
      </c>
      <c r="P86" s="229">
        <v>-6.9999999999999999E-4</v>
      </c>
      <c r="Q86" s="228">
        <v>649.1</v>
      </c>
      <c r="R86" s="228">
        <v>648.35</v>
      </c>
      <c r="S86" s="228">
        <v>0.75</v>
      </c>
      <c r="T86" s="229">
        <v>1.1999999999999999E-3</v>
      </c>
      <c r="U86" s="228">
        <v>0</v>
      </c>
      <c r="V86" s="228">
        <v>653.65</v>
      </c>
      <c r="W86" s="228">
        <v>0</v>
      </c>
      <c r="X86" s="229">
        <v>0</v>
      </c>
      <c r="Y86" s="228">
        <v>2.5499999999999998</v>
      </c>
      <c r="Z86" s="228">
        <v>4.5</v>
      </c>
      <c r="AA86" s="228">
        <v>-1.95</v>
      </c>
      <c r="AB86" s="229">
        <v>4.0000000000000001E-3</v>
      </c>
      <c r="AC86" s="228">
        <v>2.5499999999999998</v>
      </c>
      <c r="AD86" s="228">
        <v>1.55</v>
      </c>
      <c r="AE86" s="228">
        <v>1</v>
      </c>
      <c r="AF86" s="229">
        <v>4.0000000000000001E-3</v>
      </c>
      <c r="AG86" s="228">
        <v>6.7</v>
      </c>
      <c r="AH86" s="228">
        <v>4.5</v>
      </c>
      <c r="AI86" s="228">
        <v>2.2000000000000002</v>
      </c>
      <c r="AJ86" s="229">
        <v>1.04E-2</v>
      </c>
      <c r="AK86" s="228">
        <v>0</v>
      </c>
      <c r="AL86" s="228">
        <v>9.8000000000000007</v>
      </c>
      <c r="AM86" s="228">
        <v>0</v>
      </c>
      <c r="AN86" s="229">
        <v>0</v>
      </c>
      <c r="AO86" s="228">
        <v>648.01</v>
      </c>
      <c r="AP86" s="228">
        <v>649.46</v>
      </c>
      <c r="AQ86" s="228">
        <v>0</v>
      </c>
      <c r="AR86" s="230">
        <v>1254300</v>
      </c>
      <c r="AS86" s="230">
        <v>4558400</v>
      </c>
      <c r="AT86" s="230">
        <v>-3304100</v>
      </c>
      <c r="AU86" s="229">
        <v>-0.7248</v>
      </c>
      <c r="AV86" s="230">
        <v>1228400</v>
      </c>
      <c r="AW86" s="230">
        <v>2060900</v>
      </c>
      <c r="AX86" s="230">
        <v>-832500</v>
      </c>
      <c r="AY86" s="229">
        <v>-0.40389999999999998</v>
      </c>
      <c r="AZ86" s="230">
        <v>25900</v>
      </c>
      <c r="BA86" s="230">
        <v>2485475</v>
      </c>
      <c r="BB86" s="230">
        <v>-2459575</v>
      </c>
      <c r="BC86" s="229">
        <v>-0.98960000000000004</v>
      </c>
      <c r="BD86" s="228">
        <v>0</v>
      </c>
      <c r="BE86" s="230">
        <v>12025</v>
      </c>
      <c r="BF86" s="228">
        <v>0</v>
      </c>
      <c r="BG86" s="229">
        <v>0</v>
      </c>
      <c r="BH86" s="230">
        <v>1317200</v>
      </c>
      <c r="BI86" s="230">
        <v>2881375</v>
      </c>
      <c r="BJ86" s="230">
        <v>-1564175</v>
      </c>
      <c r="BK86" s="229">
        <v>-0.54290000000000005</v>
      </c>
      <c r="BL86" s="230">
        <v>1154400</v>
      </c>
      <c r="BM86" s="230">
        <v>2490100</v>
      </c>
      <c r="BN86" s="230">
        <v>-1335700</v>
      </c>
      <c r="BO86" s="229">
        <v>-0.53639999999999999</v>
      </c>
      <c r="BP86" s="230">
        <v>3725900</v>
      </c>
      <c r="BQ86" s="230">
        <v>9929875</v>
      </c>
      <c r="BR86" s="230">
        <v>-6203975</v>
      </c>
      <c r="BS86" s="229">
        <v>-0.62480000000000002</v>
      </c>
      <c r="BT86" s="230">
        <v>455004</v>
      </c>
      <c r="BU86" s="230">
        <v>1778333</v>
      </c>
      <c r="BV86" s="230">
        <v>-1323329</v>
      </c>
      <c r="BW86" s="229">
        <v>-0.74409999999999998</v>
      </c>
      <c r="BX86" s="230">
        <v>13383825</v>
      </c>
      <c r="BY86" s="230">
        <v>13312600</v>
      </c>
      <c r="BZ86" s="230">
        <v>71225</v>
      </c>
      <c r="CA86" s="229">
        <v>5.4000000000000003E-3</v>
      </c>
      <c r="CB86" s="230">
        <v>13344975</v>
      </c>
      <c r="CC86" s="230">
        <v>4129200</v>
      </c>
      <c r="CD86" s="230">
        <v>9215775</v>
      </c>
      <c r="CE86" s="229">
        <v>2.2319</v>
      </c>
      <c r="CF86" s="230">
        <v>38850</v>
      </c>
      <c r="CG86" s="230">
        <v>13278375</v>
      </c>
      <c r="CH86" s="230">
        <v>-13239525</v>
      </c>
      <c r="CI86" s="229">
        <v>-0.99709999999999999</v>
      </c>
      <c r="CJ86" s="228">
        <v>0</v>
      </c>
      <c r="CK86" s="230">
        <v>34225</v>
      </c>
      <c r="CL86" s="230">
        <v>-34225</v>
      </c>
      <c r="CM86" s="229">
        <v>-1</v>
      </c>
      <c r="CN86" s="230">
        <v>1393975</v>
      </c>
      <c r="CO86" s="230">
        <v>1124800</v>
      </c>
      <c r="CP86" s="230">
        <v>269175</v>
      </c>
      <c r="CQ86" s="229">
        <v>0.23930000000000001</v>
      </c>
      <c r="CR86" s="230">
        <v>1334775</v>
      </c>
      <c r="CS86" s="230">
        <v>910200</v>
      </c>
      <c r="CT86" s="230">
        <v>424575</v>
      </c>
      <c r="CU86" s="229">
        <v>0.46650000000000003</v>
      </c>
      <c r="CV86" s="230">
        <v>16112575</v>
      </c>
      <c r="CW86" s="230">
        <v>15347600</v>
      </c>
      <c r="CX86" s="230">
        <v>764975</v>
      </c>
      <c r="CY86" s="229">
        <v>4.9799999999999997E-2</v>
      </c>
      <c r="CZ86" s="228">
        <v>26.45</v>
      </c>
      <c r="DA86" s="228">
        <v>27.03</v>
      </c>
      <c r="DB86" s="228">
        <v>-0.57999999999999996</v>
      </c>
      <c r="DC86" s="228">
        <v>-0.57999999999999996</v>
      </c>
      <c r="DD86" s="228">
        <v>26.82</v>
      </c>
      <c r="DE86" s="228">
        <v>26.88</v>
      </c>
      <c r="DF86" s="228">
        <v>-0.37</v>
      </c>
      <c r="DG86" s="228">
        <v>-0.06</v>
      </c>
      <c r="DH86" s="228">
        <v>25.81</v>
      </c>
      <c r="DI86" s="228">
        <v>25.88</v>
      </c>
      <c r="DJ86" s="228">
        <v>-7.0000000000000007E-2</v>
      </c>
      <c r="DK86" s="228">
        <v>-7.0000000000000007E-2</v>
      </c>
      <c r="DL86" s="228">
        <v>27.19</v>
      </c>
      <c r="DM86" s="228">
        <v>28.82</v>
      </c>
      <c r="DN86" s="228">
        <v>-1.63</v>
      </c>
      <c r="DO86" s="228">
        <v>-1.63</v>
      </c>
      <c r="DP86" s="228">
        <v>0.96</v>
      </c>
      <c r="DQ86" s="228">
        <v>0.81</v>
      </c>
      <c r="DR86" s="228">
        <v>0.15</v>
      </c>
      <c r="DS86" s="229">
        <v>0.1852</v>
      </c>
      <c r="DT86" s="228">
        <v>660</v>
      </c>
      <c r="DU86" s="228">
        <v>600</v>
      </c>
      <c r="DV86" s="228">
        <v>0.88</v>
      </c>
      <c r="DW86" s="228">
        <v>0.86</v>
      </c>
      <c r="DX86" s="228">
        <v>0.02</v>
      </c>
      <c r="DY86" s="229">
        <v>2.3300000000000001E-2</v>
      </c>
      <c r="DZ86" s="229">
        <v>2.8999999999999998E-3</v>
      </c>
      <c r="EA86" s="230">
        <v>13312600</v>
      </c>
      <c r="EB86" s="229">
        <v>6.4000000000000003E-3</v>
      </c>
      <c r="EC86" s="229">
        <v>2.8999999999999998E-3</v>
      </c>
      <c r="ED86" s="228">
        <v>1.45</v>
      </c>
      <c r="EE86" s="229">
        <v>2.2000000000000001E-3</v>
      </c>
      <c r="EF86" s="230">
        <v>236096</v>
      </c>
      <c r="EG86" s="230">
        <v>991904</v>
      </c>
      <c r="EH86" s="229">
        <v>-0.76200000000000001</v>
      </c>
      <c r="EI86" s="229">
        <v>0.51890000000000003</v>
      </c>
      <c r="EJ86" s="231">
        <v>8946.34</v>
      </c>
      <c r="EK86" s="231">
        <v>7381.56</v>
      </c>
      <c r="EL86" s="231">
        <v>8128.37</v>
      </c>
      <c r="EM86" s="231">
        <v>10207</v>
      </c>
      <c r="EN86" s="231">
        <v>24456.27</v>
      </c>
      <c r="EO86" s="231">
        <v>64958.61</v>
      </c>
      <c r="EP86" s="231">
        <v>-40502.339999999997</v>
      </c>
      <c r="EQ86" s="229">
        <v>-0.62350000000000005</v>
      </c>
      <c r="ER86" s="231">
        <v>9390</v>
      </c>
      <c r="ES86" s="231">
        <v>8318</v>
      </c>
      <c r="ET86" s="231">
        <v>86321</v>
      </c>
      <c r="EU86" s="231">
        <v>58746582</v>
      </c>
      <c r="EV86" s="231">
        <v>104029</v>
      </c>
      <c r="EW86" s="231">
        <v>99586</v>
      </c>
      <c r="EX86" s="231">
        <v>4443</v>
      </c>
      <c r="EY86" s="229">
        <v>4.4600000000000001E-2</v>
      </c>
      <c r="EZ86" s="229">
        <v>0.27429999999999999</v>
      </c>
      <c r="FA86" s="227" t="s">
        <v>567</v>
      </c>
      <c r="FB86" s="161">
        <f t="shared" si="1"/>
        <v>38850</v>
      </c>
    </row>
    <row r="87" spans="1:158" ht="17.25" hidden="1" thickBot="1" x14ac:dyDescent="0.3">
      <c r="A87" s="226">
        <v>46050</v>
      </c>
      <c r="B87" s="227" t="s">
        <v>188</v>
      </c>
      <c r="C87" s="227" t="s">
        <v>234</v>
      </c>
      <c r="D87" s="228">
        <v>71475</v>
      </c>
      <c r="E87" s="228">
        <v>10.01</v>
      </c>
      <c r="F87" s="228">
        <v>9.9</v>
      </c>
      <c r="G87" s="228">
        <v>0.11</v>
      </c>
      <c r="H87" s="229">
        <v>1.11E-2</v>
      </c>
      <c r="I87" s="228">
        <v>9.9499999999999993</v>
      </c>
      <c r="J87" s="228">
        <v>9.83</v>
      </c>
      <c r="K87" s="228">
        <v>0.12</v>
      </c>
      <c r="L87" s="229">
        <v>1.2200000000000001E-2</v>
      </c>
      <c r="M87" s="228">
        <v>10.01</v>
      </c>
      <c r="N87" s="228">
        <v>9.83</v>
      </c>
      <c r="O87" s="228">
        <v>0.18</v>
      </c>
      <c r="P87" s="229">
        <v>1.83E-2</v>
      </c>
      <c r="Q87" s="228">
        <v>10.08</v>
      </c>
      <c r="R87" s="228">
        <v>9.9</v>
      </c>
      <c r="S87" s="228">
        <v>0.18</v>
      </c>
      <c r="T87" s="229">
        <v>1.8200000000000001E-2</v>
      </c>
      <c r="U87" s="228">
        <v>10.130000000000001</v>
      </c>
      <c r="V87" s="228">
        <v>9.9700000000000006</v>
      </c>
      <c r="W87" s="228">
        <v>0.16</v>
      </c>
      <c r="X87" s="229">
        <v>1.6E-2</v>
      </c>
      <c r="Y87" s="228">
        <v>0.06</v>
      </c>
      <c r="Z87" s="228">
        <v>7.0000000000000007E-2</v>
      </c>
      <c r="AA87" s="228">
        <v>-0.01</v>
      </c>
      <c r="AB87" s="229">
        <v>6.0000000000000001E-3</v>
      </c>
      <c r="AC87" s="228">
        <v>0.06</v>
      </c>
      <c r="AD87" s="228">
        <v>0</v>
      </c>
      <c r="AE87" s="228">
        <v>0.06</v>
      </c>
      <c r="AF87" s="229">
        <v>6.0000000000000001E-3</v>
      </c>
      <c r="AG87" s="228">
        <v>0.13</v>
      </c>
      <c r="AH87" s="228">
        <v>7.0000000000000007E-2</v>
      </c>
      <c r="AI87" s="228">
        <v>0.06</v>
      </c>
      <c r="AJ87" s="229">
        <v>1.3100000000000001E-2</v>
      </c>
      <c r="AK87" s="228">
        <v>0.18</v>
      </c>
      <c r="AL87" s="228">
        <v>0.14000000000000001</v>
      </c>
      <c r="AM87" s="228">
        <v>0.04</v>
      </c>
      <c r="AN87" s="229">
        <v>1.8100000000000002E-2</v>
      </c>
      <c r="AO87" s="228">
        <v>10.01</v>
      </c>
      <c r="AP87" s="228">
        <v>10.07</v>
      </c>
      <c r="AQ87" s="228">
        <v>0</v>
      </c>
      <c r="AR87" s="230">
        <v>839259450</v>
      </c>
      <c r="AS87" s="230">
        <v>5033483925</v>
      </c>
      <c r="AT87" s="230">
        <v>-4194224475</v>
      </c>
      <c r="AU87" s="229">
        <v>-0.83330000000000004</v>
      </c>
      <c r="AV87" s="230">
        <v>775861125</v>
      </c>
      <c r="AW87" s="230">
        <v>2413639275</v>
      </c>
      <c r="AX87" s="230">
        <v>-1637778150</v>
      </c>
      <c r="AY87" s="229">
        <v>-0.67859999999999998</v>
      </c>
      <c r="AZ87" s="230">
        <v>57465900</v>
      </c>
      <c r="BA87" s="230">
        <v>2558519100</v>
      </c>
      <c r="BB87" s="230">
        <v>-2501053200</v>
      </c>
      <c r="BC87" s="229">
        <v>-0.97750000000000004</v>
      </c>
      <c r="BD87" s="230">
        <v>5932425</v>
      </c>
      <c r="BE87" s="230">
        <v>61325550</v>
      </c>
      <c r="BF87" s="230">
        <v>-55393125</v>
      </c>
      <c r="BG87" s="229">
        <v>-0.90329999999999999</v>
      </c>
      <c r="BH87" s="230">
        <v>1704607275</v>
      </c>
      <c r="BI87" s="230">
        <v>1610832075</v>
      </c>
      <c r="BJ87" s="230">
        <v>93775200</v>
      </c>
      <c r="BK87" s="229">
        <v>5.8200000000000002E-2</v>
      </c>
      <c r="BL87" s="230">
        <v>450435450</v>
      </c>
      <c r="BM87" s="230">
        <v>1221364800</v>
      </c>
      <c r="BN87" s="230">
        <v>-770929350</v>
      </c>
      <c r="BO87" s="229">
        <v>-0.63119999999999998</v>
      </c>
      <c r="BP87" s="230">
        <v>2994302175</v>
      </c>
      <c r="BQ87" s="230">
        <v>7865680800</v>
      </c>
      <c r="BR87" s="230">
        <v>-4871378625</v>
      </c>
      <c r="BS87" s="229">
        <v>-0.61929999999999996</v>
      </c>
      <c r="BT87" s="230">
        <v>692758621</v>
      </c>
      <c r="BU87" s="230">
        <v>609822545</v>
      </c>
      <c r="BV87" s="230">
        <v>82936076</v>
      </c>
      <c r="BW87" s="229">
        <v>0.13600000000000001</v>
      </c>
      <c r="BX87" s="230">
        <v>7147785900</v>
      </c>
      <c r="BY87" s="230">
        <v>7015485675</v>
      </c>
      <c r="BZ87" s="230">
        <v>132300225</v>
      </c>
      <c r="CA87" s="229">
        <v>1.89E-2</v>
      </c>
      <c r="CB87" s="230">
        <v>6976317375</v>
      </c>
      <c r="CC87" s="230">
        <v>322352250</v>
      </c>
      <c r="CD87" s="230">
        <v>6653965125</v>
      </c>
      <c r="CE87" s="229">
        <v>20.6419</v>
      </c>
      <c r="CF87" s="230">
        <v>167251500</v>
      </c>
      <c r="CG87" s="230">
        <v>6859956075</v>
      </c>
      <c r="CH87" s="230">
        <v>-6692704575</v>
      </c>
      <c r="CI87" s="229">
        <v>-0.97560000000000002</v>
      </c>
      <c r="CJ87" s="230">
        <v>4217025</v>
      </c>
      <c r="CK87" s="230">
        <v>155529600</v>
      </c>
      <c r="CL87" s="230">
        <v>-151312575</v>
      </c>
      <c r="CM87" s="229">
        <v>-0.97289999999999999</v>
      </c>
      <c r="CN87" s="230">
        <v>1164184800</v>
      </c>
      <c r="CO87" s="230">
        <v>1005295875</v>
      </c>
      <c r="CP87" s="230">
        <v>158888925</v>
      </c>
      <c r="CQ87" s="229">
        <v>0.15809999999999999</v>
      </c>
      <c r="CR87" s="230">
        <v>838830600</v>
      </c>
      <c r="CS87" s="230">
        <v>758778600</v>
      </c>
      <c r="CT87" s="230">
        <v>80052000</v>
      </c>
      <c r="CU87" s="229">
        <v>0.1055</v>
      </c>
      <c r="CV87" s="230">
        <v>9150801300</v>
      </c>
      <c r="CW87" s="230">
        <v>8779560150</v>
      </c>
      <c r="CX87" s="230">
        <v>371241150</v>
      </c>
      <c r="CY87" s="229">
        <v>4.2299999999999997E-2</v>
      </c>
      <c r="CZ87" s="228">
        <v>60.16</v>
      </c>
      <c r="DA87" s="228">
        <v>61.38</v>
      </c>
      <c r="DB87" s="228">
        <v>-1.22</v>
      </c>
      <c r="DC87" s="228">
        <v>-1.22</v>
      </c>
      <c r="DD87" s="228">
        <v>67.13</v>
      </c>
      <c r="DE87" s="228">
        <v>67.28</v>
      </c>
      <c r="DF87" s="228">
        <v>-6.97</v>
      </c>
      <c r="DG87" s="228">
        <v>-0.15</v>
      </c>
      <c r="DH87" s="228">
        <v>60.62</v>
      </c>
      <c r="DI87" s="228">
        <v>62.98</v>
      </c>
      <c r="DJ87" s="228">
        <v>-2.36</v>
      </c>
      <c r="DK87" s="228">
        <v>-2.36</v>
      </c>
      <c r="DL87" s="228">
        <v>58.4</v>
      </c>
      <c r="DM87" s="228">
        <v>59.15</v>
      </c>
      <c r="DN87" s="228">
        <v>-0.75</v>
      </c>
      <c r="DO87" s="228">
        <v>-0.75</v>
      </c>
      <c r="DP87" s="228">
        <v>0.72</v>
      </c>
      <c r="DQ87" s="228">
        <v>0.75</v>
      </c>
      <c r="DR87" s="228">
        <v>-0.03</v>
      </c>
      <c r="DS87" s="229">
        <v>-0.04</v>
      </c>
      <c r="DT87" s="228">
        <v>11</v>
      </c>
      <c r="DU87" s="228">
        <v>10</v>
      </c>
      <c r="DV87" s="228">
        <v>0.26</v>
      </c>
      <c r="DW87" s="228">
        <v>0.76</v>
      </c>
      <c r="DX87" s="228">
        <v>-0.5</v>
      </c>
      <c r="DY87" s="229">
        <v>-0.65790000000000004</v>
      </c>
      <c r="DZ87" s="229">
        <v>2.4E-2</v>
      </c>
      <c r="EA87" s="230">
        <v>7015485675</v>
      </c>
      <c r="EB87" s="229">
        <v>7.0000000000000001E-3</v>
      </c>
      <c r="EC87" s="229">
        <v>2.4E-2</v>
      </c>
      <c r="ED87" s="228">
        <v>0.06</v>
      </c>
      <c r="EE87" s="229">
        <v>6.0000000000000001E-3</v>
      </c>
      <c r="EF87" s="230">
        <v>160749120</v>
      </c>
      <c r="EG87" s="230">
        <v>111091932</v>
      </c>
      <c r="EH87" s="229">
        <v>0.44700000000000001</v>
      </c>
      <c r="EI87" s="229">
        <v>0.23200000000000001</v>
      </c>
      <c r="EJ87" s="231">
        <v>204640.89</v>
      </c>
      <c r="EK87" s="231">
        <v>43371.49</v>
      </c>
      <c r="EL87" s="231">
        <v>84019.71</v>
      </c>
      <c r="EM87" s="231">
        <v>56798</v>
      </c>
      <c r="EN87" s="231">
        <v>332032.09000000003</v>
      </c>
      <c r="EO87" s="231">
        <v>813146.69</v>
      </c>
      <c r="EP87" s="231">
        <v>-481114.6</v>
      </c>
      <c r="EQ87" s="229">
        <v>-0.5917</v>
      </c>
      <c r="ER87" s="231">
        <v>139727</v>
      </c>
      <c r="ES87" s="231">
        <v>85904</v>
      </c>
      <c r="ET87" s="231">
        <v>715616</v>
      </c>
      <c r="EU87" s="231">
        <v>12037179660</v>
      </c>
      <c r="EV87" s="231">
        <v>941246</v>
      </c>
      <c r="EW87" s="231">
        <v>894736</v>
      </c>
      <c r="EX87" s="231">
        <v>46510</v>
      </c>
      <c r="EY87" s="229">
        <v>5.1999999999999998E-2</v>
      </c>
      <c r="EZ87" s="229">
        <v>0.76019999999999999</v>
      </c>
      <c r="FA87" s="227" t="s">
        <v>555</v>
      </c>
      <c r="FB87" s="161">
        <f t="shared" si="1"/>
        <v>171468525</v>
      </c>
    </row>
    <row r="88" spans="1:158" ht="17.25" hidden="1" thickBot="1" x14ac:dyDescent="0.3">
      <c r="A88" s="226">
        <v>46050</v>
      </c>
      <c r="B88" s="227" t="s">
        <v>172</v>
      </c>
      <c r="C88" s="227" t="s">
        <v>235</v>
      </c>
      <c r="D88" s="228">
        <v>9275</v>
      </c>
      <c r="E88" s="228">
        <v>83.23</v>
      </c>
      <c r="F88" s="228">
        <v>83.81</v>
      </c>
      <c r="G88" s="228">
        <v>-0.57999999999999996</v>
      </c>
      <c r="H88" s="229">
        <v>-6.8999999999999999E-3</v>
      </c>
      <c r="I88" s="228">
        <v>82.93</v>
      </c>
      <c r="J88" s="228">
        <v>83.5</v>
      </c>
      <c r="K88" s="228">
        <v>-0.56999999999999995</v>
      </c>
      <c r="L88" s="229">
        <v>-6.7999999999999996E-3</v>
      </c>
      <c r="M88" s="228">
        <v>83.23</v>
      </c>
      <c r="N88" s="228">
        <v>83.3</v>
      </c>
      <c r="O88" s="228">
        <v>-7.0000000000000007E-2</v>
      </c>
      <c r="P88" s="229">
        <v>-8.0000000000000004E-4</v>
      </c>
      <c r="Q88" s="228">
        <v>83.78</v>
      </c>
      <c r="R88" s="228">
        <v>83.81</v>
      </c>
      <c r="S88" s="228">
        <v>-0.03</v>
      </c>
      <c r="T88" s="229">
        <v>-4.0000000000000002E-4</v>
      </c>
      <c r="U88" s="228">
        <v>84.25</v>
      </c>
      <c r="V88" s="228">
        <v>84.3</v>
      </c>
      <c r="W88" s="228">
        <v>-0.05</v>
      </c>
      <c r="X88" s="229">
        <v>-5.9999999999999995E-4</v>
      </c>
      <c r="Y88" s="228">
        <v>0.3</v>
      </c>
      <c r="Z88" s="228">
        <v>0.31</v>
      </c>
      <c r="AA88" s="228">
        <v>-0.01</v>
      </c>
      <c r="AB88" s="229">
        <v>3.5999999999999999E-3</v>
      </c>
      <c r="AC88" s="228">
        <v>0.3</v>
      </c>
      <c r="AD88" s="228">
        <v>-0.2</v>
      </c>
      <c r="AE88" s="228">
        <v>0.5</v>
      </c>
      <c r="AF88" s="229">
        <v>3.5999999999999999E-3</v>
      </c>
      <c r="AG88" s="228">
        <v>0.85</v>
      </c>
      <c r="AH88" s="228">
        <v>0.31</v>
      </c>
      <c r="AI88" s="228">
        <v>0.54</v>
      </c>
      <c r="AJ88" s="229">
        <v>1.0200000000000001E-2</v>
      </c>
      <c r="AK88" s="228">
        <v>1.32</v>
      </c>
      <c r="AL88" s="228">
        <v>0.8</v>
      </c>
      <c r="AM88" s="228">
        <v>0.52</v>
      </c>
      <c r="AN88" s="229">
        <v>1.5900000000000001E-2</v>
      </c>
      <c r="AO88" s="228">
        <v>82.85</v>
      </c>
      <c r="AP88" s="228">
        <v>83.34</v>
      </c>
      <c r="AQ88" s="228">
        <v>0</v>
      </c>
      <c r="AR88" s="230">
        <v>40958400</v>
      </c>
      <c r="AS88" s="230">
        <v>160244175</v>
      </c>
      <c r="AT88" s="230">
        <v>-119285775</v>
      </c>
      <c r="AU88" s="229">
        <v>-0.74439999999999995</v>
      </c>
      <c r="AV88" s="230">
        <v>38389225</v>
      </c>
      <c r="AW88" s="230">
        <v>60537925</v>
      </c>
      <c r="AX88" s="230">
        <v>-22148700</v>
      </c>
      <c r="AY88" s="229">
        <v>-0.3659</v>
      </c>
      <c r="AZ88" s="230">
        <v>2263100</v>
      </c>
      <c r="BA88" s="230">
        <v>96413625</v>
      </c>
      <c r="BB88" s="230">
        <v>-94150525</v>
      </c>
      <c r="BC88" s="229">
        <v>-0.97650000000000003</v>
      </c>
      <c r="BD88" s="230">
        <v>306075</v>
      </c>
      <c r="BE88" s="230">
        <v>3292625</v>
      </c>
      <c r="BF88" s="230">
        <v>-2986550</v>
      </c>
      <c r="BG88" s="229">
        <v>-0.90700000000000003</v>
      </c>
      <c r="BH88" s="230">
        <v>65268175</v>
      </c>
      <c r="BI88" s="230">
        <v>102321800</v>
      </c>
      <c r="BJ88" s="230">
        <v>-37053625</v>
      </c>
      <c r="BK88" s="229">
        <v>-0.36209999999999998</v>
      </c>
      <c r="BL88" s="230">
        <v>47172650</v>
      </c>
      <c r="BM88" s="230">
        <v>77501900</v>
      </c>
      <c r="BN88" s="230">
        <v>-30329250</v>
      </c>
      <c r="BO88" s="229">
        <v>-0.39129999999999998</v>
      </c>
      <c r="BP88" s="230">
        <v>153399225</v>
      </c>
      <c r="BQ88" s="230">
        <v>340067875</v>
      </c>
      <c r="BR88" s="230">
        <v>-186668650</v>
      </c>
      <c r="BS88" s="229">
        <v>-0.54890000000000005</v>
      </c>
      <c r="BT88" s="230">
        <v>21842188</v>
      </c>
      <c r="BU88" s="230">
        <v>32584395</v>
      </c>
      <c r="BV88" s="230">
        <v>-10742207</v>
      </c>
      <c r="BW88" s="229">
        <v>-0.32969999999999999</v>
      </c>
      <c r="BX88" s="230">
        <v>290326050</v>
      </c>
      <c r="BY88" s="230">
        <v>287311675</v>
      </c>
      <c r="BZ88" s="230">
        <v>3014375</v>
      </c>
      <c r="CA88" s="229">
        <v>1.0500000000000001E-2</v>
      </c>
      <c r="CB88" s="230">
        <v>276561950</v>
      </c>
      <c r="CC88" s="230">
        <v>10443650</v>
      </c>
      <c r="CD88" s="230">
        <v>266118300</v>
      </c>
      <c r="CE88" s="229">
        <v>25.481300000000001</v>
      </c>
      <c r="CF88" s="230">
        <v>13569325</v>
      </c>
      <c r="CG88" s="230">
        <v>273992775</v>
      </c>
      <c r="CH88" s="230">
        <v>-260423450</v>
      </c>
      <c r="CI88" s="229">
        <v>-0.95050000000000001</v>
      </c>
      <c r="CJ88" s="230">
        <v>194775</v>
      </c>
      <c r="CK88" s="230">
        <v>13318900</v>
      </c>
      <c r="CL88" s="230">
        <v>-13124125</v>
      </c>
      <c r="CM88" s="229">
        <v>-0.98540000000000005</v>
      </c>
      <c r="CN88" s="230">
        <v>80321500</v>
      </c>
      <c r="CO88" s="230">
        <v>67828075</v>
      </c>
      <c r="CP88" s="230">
        <v>12493425</v>
      </c>
      <c r="CQ88" s="229">
        <v>0.1842</v>
      </c>
      <c r="CR88" s="230">
        <v>69896400</v>
      </c>
      <c r="CS88" s="230">
        <v>51077425</v>
      </c>
      <c r="CT88" s="230">
        <v>18818975</v>
      </c>
      <c r="CU88" s="229">
        <v>0.36840000000000001</v>
      </c>
      <c r="CV88" s="230">
        <v>440543950</v>
      </c>
      <c r="CW88" s="230">
        <v>406217175</v>
      </c>
      <c r="CX88" s="230">
        <v>34326775</v>
      </c>
      <c r="CY88" s="229">
        <v>8.4500000000000006E-2</v>
      </c>
      <c r="CZ88" s="228">
        <v>36.46</v>
      </c>
      <c r="DA88" s="228">
        <v>35.79</v>
      </c>
      <c r="DB88" s="228">
        <v>0.67</v>
      </c>
      <c r="DC88" s="228">
        <v>0.67</v>
      </c>
      <c r="DD88" s="228">
        <v>31.94</v>
      </c>
      <c r="DE88" s="228">
        <v>32.01</v>
      </c>
      <c r="DF88" s="228">
        <v>4.5199999999999996</v>
      </c>
      <c r="DG88" s="228">
        <v>-7.0000000000000007E-2</v>
      </c>
      <c r="DH88" s="228">
        <v>35.72</v>
      </c>
      <c r="DI88" s="228">
        <v>34.74</v>
      </c>
      <c r="DJ88" s="228">
        <v>0.98</v>
      </c>
      <c r="DK88" s="228">
        <v>0.98</v>
      </c>
      <c r="DL88" s="228">
        <v>37.479999999999997</v>
      </c>
      <c r="DM88" s="228">
        <v>37.369999999999997</v>
      </c>
      <c r="DN88" s="228">
        <v>0.11</v>
      </c>
      <c r="DO88" s="228">
        <v>0.11</v>
      </c>
      <c r="DP88" s="228">
        <v>0.87</v>
      </c>
      <c r="DQ88" s="228">
        <v>0.75</v>
      </c>
      <c r="DR88" s="228">
        <v>0.12</v>
      </c>
      <c r="DS88" s="229">
        <v>0.16</v>
      </c>
      <c r="DT88" s="228">
        <v>85</v>
      </c>
      <c r="DU88" s="228">
        <v>80</v>
      </c>
      <c r="DV88" s="228">
        <v>0.72</v>
      </c>
      <c r="DW88" s="228">
        <v>0.76</v>
      </c>
      <c r="DX88" s="228">
        <v>-0.04</v>
      </c>
      <c r="DY88" s="229">
        <v>-5.2600000000000001E-2</v>
      </c>
      <c r="DZ88" s="229">
        <v>4.7399999999999998E-2</v>
      </c>
      <c r="EA88" s="230">
        <v>287311675</v>
      </c>
      <c r="EB88" s="229">
        <v>6.6E-3</v>
      </c>
      <c r="EC88" s="229">
        <v>4.7399999999999998E-2</v>
      </c>
      <c r="ED88" s="228">
        <v>0.49</v>
      </c>
      <c r="EE88" s="229">
        <v>5.8999999999999999E-3</v>
      </c>
      <c r="EF88" s="230">
        <v>11251463</v>
      </c>
      <c r="EG88" s="230">
        <v>19232037</v>
      </c>
      <c r="EH88" s="229">
        <v>-0.41499999999999998</v>
      </c>
      <c r="EI88" s="229">
        <v>0.5151</v>
      </c>
      <c r="EJ88" s="231">
        <v>58597.48</v>
      </c>
      <c r="EK88" s="231">
        <v>37041.550000000003</v>
      </c>
      <c r="EL88" s="231">
        <v>33948.75</v>
      </c>
      <c r="EM88" s="231">
        <v>21527</v>
      </c>
      <c r="EN88" s="231">
        <v>129587.78</v>
      </c>
      <c r="EO88" s="231">
        <v>285486.71000000002</v>
      </c>
      <c r="EP88" s="231">
        <v>-155898.93</v>
      </c>
      <c r="EQ88" s="229">
        <v>-0.54610000000000003</v>
      </c>
      <c r="ER88" s="231">
        <v>70467</v>
      </c>
      <c r="ES88" s="231">
        <v>55439</v>
      </c>
      <c r="ET88" s="231">
        <v>241715</v>
      </c>
      <c r="EU88" s="231">
        <v>936861183</v>
      </c>
      <c r="EV88" s="231">
        <v>367621</v>
      </c>
      <c r="EW88" s="231">
        <v>341494</v>
      </c>
      <c r="EX88" s="231">
        <v>26127</v>
      </c>
      <c r="EY88" s="229">
        <v>7.6499999999999999E-2</v>
      </c>
      <c r="EZ88" s="229">
        <v>0.47020000000000001</v>
      </c>
      <c r="FA88" s="227" t="s">
        <v>567</v>
      </c>
      <c r="FB88" s="161">
        <f t="shared" si="1"/>
        <v>13764100</v>
      </c>
    </row>
    <row r="89" spans="1:158" ht="17.25" hidden="1" thickBot="1" x14ac:dyDescent="0.3">
      <c r="A89" s="226">
        <v>46050</v>
      </c>
      <c r="B89" s="227" t="s">
        <v>161</v>
      </c>
      <c r="C89" s="227" t="s">
        <v>514</v>
      </c>
      <c r="D89" s="228">
        <v>3750</v>
      </c>
      <c r="E89" s="228">
        <v>128.31</v>
      </c>
      <c r="F89" s="228">
        <v>127.05</v>
      </c>
      <c r="G89" s="228">
        <v>1.26</v>
      </c>
      <c r="H89" s="229">
        <v>9.9000000000000008E-3</v>
      </c>
      <c r="I89" s="228">
        <v>128.71</v>
      </c>
      <c r="J89" s="228">
        <v>127.55</v>
      </c>
      <c r="K89" s="228">
        <v>1.1599999999999999</v>
      </c>
      <c r="L89" s="229">
        <v>9.1000000000000004E-3</v>
      </c>
      <c r="M89" s="228">
        <v>128.31</v>
      </c>
      <c r="N89" s="228">
        <v>127.54</v>
      </c>
      <c r="O89" s="228">
        <v>0.77</v>
      </c>
      <c r="P89" s="229">
        <v>6.0000000000000001E-3</v>
      </c>
      <c r="Q89" s="228">
        <v>128.84</v>
      </c>
      <c r="R89" s="228">
        <v>127.05</v>
      </c>
      <c r="S89" s="228">
        <v>1.79</v>
      </c>
      <c r="T89" s="229">
        <v>1.41E-2</v>
      </c>
      <c r="U89" s="228">
        <v>129.75</v>
      </c>
      <c r="V89" s="228">
        <v>127.74</v>
      </c>
      <c r="W89" s="228">
        <v>2.0099999999999998</v>
      </c>
      <c r="X89" s="229">
        <v>1.5699999999999999E-2</v>
      </c>
      <c r="Y89" s="228">
        <v>-0.4</v>
      </c>
      <c r="Z89" s="228">
        <v>-0.5</v>
      </c>
      <c r="AA89" s="228">
        <v>0.1</v>
      </c>
      <c r="AB89" s="229">
        <v>-3.0999999999999999E-3</v>
      </c>
      <c r="AC89" s="228">
        <v>-0.4</v>
      </c>
      <c r="AD89" s="228">
        <v>-0.01</v>
      </c>
      <c r="AE89" s="228">
        <v>-0.39</v>
      </c>
      <c r="AF89" s="229">
        <v>-3.0999999999999999E-3</v>
      </c>
      <c r="AG89" s="228">
        <v>0.13</v>
      </c>
      <c r="AH89" s="228">
        <v>-0.5</v>
      </c>
      <c r="AI89" s="228">
        <v>0.63</v>
      </c>
      <c r="AJ89" s="229">
        <v>1E-3</v>
      </c>
      <c r="AK89" s="228">
        <v>1.04</v>
      </c>
      <c r="AL89" s="228">
        <v>0.19</v>
      </c>
      <c r="AM89" s="228">
        <v>0.85</v>
      </c>
      <c r="AN89" s="229">
        <v>8.0999999999999996E-3</v>
      </c>
      <c r="AO89" s="228">
        <v>127.4</v>
      </c>
      <c r="AP89" s="228">
        <v>127.94</v>
      </c>
      <c r="AQ89" s="228">
        <v>0</v>
      </c>
      <c r="AR89" s="230">
        <v>9108750</v>
      </c>
      <c r="AS89" s="230">
        <v>63416250</v>
      </c>
      <c r="AT89" s="230">
        <v>-54307500</v>
      </c>
      <c r="AU89" s="229">
        <v>-0.85640000000000005</v>
      </c>
      <c r="AV89" s="230">
        <v>8411250</v>
      </c>
      <c r="AW89" s="230">
        <v>30270000</v>
      </c>
      <c r="AX89" s="230">
        <v>-21858750</v>
      </c>
      <c r="AY89" s="229">
        <v>-0.72209999999999996</v>
      </c>
      <c r="AZ89" s="230">
        <v>630000</v>
      </c>
      <c r="BA89" s="230">
        <v>31845000</v>
      </c>
      <c r="BB89" s="230">
        <v>-31215000</v>
      </c>
      <c r="BC89" s="229">
        <v>-0.98019999999999996</v>
      </c>
      <c r="BD89" s="230">
        <v>67500</v>
      </c>
      <c r="BE89" s="230">
        <v>1301250</v>
      </c>
      <c r="BF89" s="230">
        <v>-1233750</v>
      </c>
      <c r="BG89" s="229">
        <v>-0.94810000000000005</v>
      </c>
      <c r="BH89" s="230">
        <v>24093750</v>
      </c>
      <c r="BI89" s="230">
        <v>59557500</v>
      </c>
      <c r="BJ89" s="230">
        <v>-35463750</v>
      </c>
      <c r="BK89" s="229">
        <v>-0.59550000000000003</v>
      </c>
      <c r="BL89" s="230">
        <v>10128750</v>
      </c>
      <c r="BM89" s="230">
        <v>41722500</v>
      </c>
      <c r="BN89" s="230">
        <v>-31593750</v>
      </c>
      <c r="BO89" s="229">
        <v>-0.75719999999999998</v>
      </c>
      <c r="BP89" s="230">
        <v>43331250</v>
      </c>
      <c r="BQ89" s="230">
        <v>164696250</v>
      </c>
      <c r="BR89" s="230">
        <v>-121365000</v>
      </c>
      <c r="BS89" s="229">
        <v>-0.7369</v>
      </c>
      <c r="BT89" s="230">
        <v>7313845</v>
      </c>
      <c r="BU89" s="230">
        <v>15135555</v>
      </c>
      <c r="BV89" s="230">
        <v>-7821710</v>
      </c>
      <c r="BW89" s="229">
        <v>-0.51680000000000004</v>
      </c>
      <c r="BX89" s="230">
        <v>72532500</v>
      </c>
      <c r="BY89" s="230">
        <v>72138750</v>
      </c>
      <c r="BZ89" s="230">
        <v>393750</v>
      </c>
      <c r="CA89" s="229">
        <v>5.4999999999999997E-3</v>
      </c>
      <c r="CB89" s="230">
        <v>69483750</v>
      </c>
      <c r="CC89" s="230">
        <v>11370000</v>
      </c>
      <c r="CD89" s="230">
        <v>58113750</v>
      </c>
      <c r="CE89" s="229">
        <v>5.1111000000000004</v>
      </c>
      <c r="CF89" s="230">
        <v>2988750</v>
      </c>
      <c r="CG89" s="230">
        <v>69228750</v>
      </c>
      <c r="CH89" s="230">
        <v>-66240000</v>
      </c>
      <c r="CI89" s="229">
        <v>-0.95679999999999998</v>
      </c>
      <c r="CJ89" s="230">
        <v>60000</v>
      </c>
      <c r="CK89" s="230">
        <v>2910000</v>
      </c>
      <c r="CL89" s="230">
        <v>-2850000</v>
      </c>
      <c r="CM89" s="229">
        <v>-0.97940000000000005</v>
      </c>
      <c r="CN89" s="230">
        <v>33011250</v>
      </c>
      <c r="CO89" s="230">
        <v>27937500</v>
      </c>
      <c r="CP89" s="230">
        <v>5073750</v>
      </c>
      <c r="CQ89" s="229">
        <v>0.18160000000000001</v>
      </c>
      <c r="CR89" s="230">
        <v>30821250</v>
      </c>
      <c r="CS89" s="230">
        <v>28788750</v>
      </c>
      <c r="CT89" s="230">
        <v>2032500</v>
      </c>
      <c r="CU89" s="229">
        <v>7.0599999999999996E-2</v>
      </c>
      <c r="CV89" s="230">
        <v>136365000</v>
      </c>
      <c r="CW89" s="230">
        <v>128865000</v>
      </c>
      <c r="CX89" s="230">
        <v>7500000</v>
      </c>
      <c r="CY89" s="229">
        <v>5.8200000000000002E-2</v>
      </c>
      <c r="CZ89" s="228">
        <v>44.01</v>
      </c>
      <c r="DA89" s="228">
        <v>45</v>
      </c>
      <c r="DB89" s="228">
        <v>-0.99</v>
      </c>
      <c r="DC89" s="228">
        <v>-0.99</v>
      </c>
      <c r="DD89" s="228">
        <v>54.3</v>
      </c>
      <c r="DE89" s="228">
        <v>54.42</v>
      </c>
      <c r="DF89" s="228">
        <v>-10.29</v>
      </c>
      <c r="DG89" s="228">
        <v>-0.12</v>
      </c>
      <c r="DH89" s="228">
        <v>43.9</v>
      </c>
      <c r="DI89" s="228">
        <v>44.89</v>
      </c>
      <c r="DJ89" s="228">
        <v>-0.99</v>
      </c>
      <c r="DK89" s="228">
        <v>-0.99</v>
      </c>
      <c r="DL89" s="228">
        <v>44.29</v>
      </c>
      <c r="DM89" s="228">
        <v>45.17</v>
      </c>
      <c r="DN89" s="228">
        <v>-0.88</v>
      </c>
      <c r="DO89" s="228">
        <v>-0.88</v>
      </c>
      <c r="DP89" s="228">
        <v>0.93</v>
      </c>
      <c r="DQ89" s="228">
        <v>1.03</v>
      </c>
      <c r="DR89" s="228">
        <v>-0.1</v>
      </c>
      <c r="DS89" s="229">
        <v>-9.7100000000000006E-2</v>
      </c>
      <c r="DT89" s="228">
        <v>140</v>
      </c>
      <c r="DU89" s="228">
        <v>140</v>
      </c>
      <c r="DV89" s="228">
        <v>0.42</v>
      </c>
      <c r="DW89" s="228">
        <v>0.7</v>
      </c>
      <c r="DX89" s="228">
        <v>-0.28000000000000003</v>
      </c>
      <c r="DY89" s="229">
        <v>-0.4</v>
      </c>
      <c r="DZ89" s="229">
        <v>4.2000000000000003E-2</v>
      </c>
      <c r="EA89" s="230">
        <v>72138750</v>
      </c>
      <c r="EB89" s="229">
        <v>4.1000000000000003E-3</v>
      </c>
      <c r="EC89" s="229">
        <v>4.2000000000000003E-2</v>
      </c>
      <c r="ED89" s="228">
        <v>0.54</v>
      </c>
      <c r="EE89" s="229">
        <v>4.1999999999999997E-3</v>
      </c>
      <c r="EF89" s="230">
        <v>3276342</v>
      </c>
      <c r="EG89" s="230">
        <v>5800660</v>
      </c>
      <c r="EH89" s="229">
        <v>-0.43519999999999998</v>
      </c>
      <c r="EI89" s="229">
        <v>0.44800000000000001</v>
      </c>
      <c r="EJ89" s="231">
        <v>33926.800000000003</v>
      </c>
      <c r="EK89" s="231">
        <v>12773.01</v>
      </c>
      <c r="EL89" s="231">
        <v>11608.88</v>
      </c>
      <c r="EM89" s="231">
        <v>16900</v>
      </c>
      <c r="EN89" s="231">
        <v>58308.69</v>
      </c>
      <c r="EO89" s="231">
        <v>219239.92</v>
      </c>
      <c r="EP89" s="231">
        <v>-160931.23000000001</v>
      </c>
      <c r="EQ89" s="229">
        <v>-0.73399999999999999</v>
      </c>
      <c r="ER89" s="231">
        <v>47021</v>
      </c>
      <c r="ES89" s="231">
        <v>40841</v>
      </c>
      <c r="ET89" s="231">
        <v>93083</v>
      </c>
      <c r="EU89" s="231">
        <v>133395043</v>
      </c>
      <c r="EV89" s="231">
        <v>180945</v>
      </c>
      <c r="EW89" s="231">
        <v>169913</v>
      </c>
      <c r="EX89" s="231">
        <v>11032</v>
      </c>
      <c r="EY89" s="229">
        <v>6.4899999999999999E-2</v>
      </c>
      <c r="EZ89" s="229">
        <v>1.0223</v>
      </c>
      <c r="FA89" s="227" t="s">
        <v>555</v>
      </c>
      <c r="FB89" s="161">
        <f t="shared" si="1"/>
        <v>3048750</v>
      </c>
    </row>
    <row r="90" spans="1:158" ht="17.25" hidden="1" thickBot="1" x14ac:dyDescent="0.3">
      <c r="A90" s="226">
        <v>46050</v>
      </c>
      <c r="B90" s="227" t="s">
        <v>206</v>
      </c>
      <c r="C90" s="227" t="s">
        <v>501</v>
      </c>
      <c r="D90" s="228">
        <v>1000</v>
      </c>
      <c r="E90" s="228">
        <v>659.3</v>
      </c>
      <c r="F90" s="228">
        <v>656.15</v>
      </c>
      <c r="G90" s="228">
        <v>3.15</v>
      </c>
      <c r="H90" s="229">
        <v>4.7999999999999996E-3</v>
      </c>
      <c r="I90" s="228">
        <v>656.2</v>
      </c>
      <c r="J90" s="228">
        <v>651.35</v>
      </c>
      <c r="K90" s="228">
        <v>4.8499999999999996</v>
      </c>
      <c r="L90" s="229">
        <v>7.4000000000000003E-3</v>
      </c>
      <c r="M90" s="228">
        <v>659.3</v>
      </c>
      <c r="N90" s="228">
        <v>652.1</v>
      </c>
      <c r="O90" s="228">
        <v>7.2</v>
      </c>
      <c r="P90" s="229">
        <v>1.0999999999999999E-2</v>
      </c>
      <c r="Q90" s="228">
        <v>663.6</v>
      </c>
      <c r="R90" s="228">
        <v>656.15</v>
      </c>
      <c r="S90" s="228">
        <v>7.45</v>
      </c>
      <c r="T90" s="229">
        <v>1.14E-2</v>
      </c>
      <c r="U90" s="228">
        <v>664.5</v>
      </c>
      <c r="V90" s="228">
        <v>660.8</v>
      </c>
      <c r="W90" s="228">
        <v>3.7</v>
      </c>
      <c r="X90" s="229">
        <v>5.5999999999999999E-3</v>
      </c>
      <c r="Y90" s="228">
        <v>3.1</v>
      </c>
      <c r="Z90" s="228">
        <v>4.8</v>
      </c>
      <c r="AA90" s="228">
        <v>-1.7</v>
      </c>
      <c r="AB90" s="229">
        <v>4.7000000000000002E-3</v>
      </c>
      <c r="AC90" s="228">
        <v>3.1</v>
      </c>
      <c r="AD90" s="228">
        <v>0.75</v>
      </c>
      <c r="AE90" s="228">
        <v>2.35</v>
      </c>
      <c r="AF90" s="229">
        <v>4.7000000000000002E-3</v>
      </c>
      <c r="AG90" s="228">
        <v>7.4</v>
      </c>
      <c r="AH90" s="228">
        <v>4.8</v>
      </c>
      <c r="AI90" s="228">
        <v>2.6</v>
      </c>
      <c r="AJ90" s="229">
        <v>1.1299999999999999E-2</v>
      </c>
      <c r="AK90" s="228">
        <v>8.3000000000000007</v>
      </c>
      <c r="AL90" s="228">
        <v>9.4499999999999993</v>
      </c>
      <c r="AM90" s="228">
        <v>-1.1499999999999999</v>
      </c>
      <c r="AN90" s="229">
        <v>1.26E-2</v>
      </c>
      <c r="AO90" s="228">
        <v>657.67</v>
      </c>
      <c r="AP90" s="228">
        <v>661.42</v>
      </c>
      <c r="AQ90" s="228">
        <v>0</v>
      </c>
      <c r="AR90" s="230">
        <v>2663000</v>
      </c>
      <c r="AS90" s="230">
        <v>22561000</v>
      </c>
      <c r="AT90" s="230">
        <v>-19898000</v>
      </c>
      <c r="AU90" s="229">
        <v>-0.88200000000000001</v>
      </c>
      <c r="AV90" s="230">
        <v>2579000</v>
      </c>
      <c r="AW90" s="230">
        <v>10223000</v>
      </c>
      <c r="AX90" s="230">
        <v>-7644000</v>
      </c>
      <c r="AY90" s="229">
        <v>-0.74770000000000003</v>
      </c>
      <c r="AZ90" s="230">
        <v>69000</v>
      </c>
      <c r="BA90" s="230">
        <v>12029000</v>
      </c>
      <c r="BB90" s="230">
        <v>-11960000</v>
      </c>
      <c r="BC90" s="229">
        <v>-0.99429999999999996</v>
      </c>
      <c r="BD90" s="230">
        <v>15000</v>
      </c>
      <c r="BE90" s="230">
        <v>309000</v>
      </c>
      <c r="BF90" s="230">
        <v>-294000</v>
      </c>
      <c r="BG90" s="229">
        <v>-0.95150000000000001</v>
      </c>
      <c r="BH90" s="230">
        <v>3740000</v>
      </c>
      <c r="BI90" s="230">
        <v>8548000</v>
      </c>
      <c r="BJ90" s="230">
        <v>-4808000</v>
      </c>
      <c r="BK90" s="229">
        <v>-0.5625</v>
      </c>
      <c r="BL90" s="230">
        <v>1383000</v>
      </c>
      <c r="BM90" s="230">
        <v>7574000</v>
      </c>
      <c r="BN90" s="230">
        <v>-6191000</v>
      </c>
      <c r="BO90" s="229">
        <v>-0.81740000000000002</v>
      </c>
      <c r="BP90" s="230">
        <v>7786000</v>
      </c>
      <c r="BQ90" s="230">
        <v>38683000</v>
      </c>
      <c r="BR90" s="230">
        <v>-30897000</v>
      </c>
      <c r="BS90" s="229">
        <v>-0.79869999999999997</v>
      </c>
      <c r="BT90" s="230">
        <v>3716132</v>
      </c>
      <c r="BU90" s="230">
        <v>7274508</v>
      </c>
      <c r="BV90" s="230">
        <v>-3558376</v>
      </c>
      <c r="BW90" s="229">
        <v>-0.48920000000000002</v>
      </c>
      <c r="BX90" s="230">
        <v>27306000</v>
      </c>
      <c r="BY90" s="230">
        <v>27355000</v>
      </c>
      <c r="BZ90" s="230">
        <v>-49000</v>
      </c>
      <c r="CA90" s="229">
        <v>-1.8E-3</v>
      </c>
      <c r="CB90" s="230">
        <v>26660000</v>
      </c>
      <c r="CC90" s="230">
        <v>2041000</v>
      </c>
      <c r="CD90" s="230">
        <v>24619000</v>
      </c>
      <c r="CE90" s="229">
        <v>12.062200000000001</v>
      </c>
      <c r="CF90" s="230">
        <v>631000</v>
      </c>
      <c r="CG90" s="230">
        <v>26731000</v>
      </c>
      <c r="CH90" s="230">
        <v>-26100000</v>
      </c>
      <c r="CI90" s="229">
        <v>-0.97640000000000005</v>
      </c>
      <c r="CJ90" s="230">
        <v>15000</v>
      </c>
      <c r="CK90" s="230">
        <v>624000</v>
      </c>
      <c r="CL90" s="230">
        <v>-609000</v>
      </c>
      <c r="CM90" s="229">
        <v>-0.97599999999999998</v>
      </c>
      <c r="CN90" s="230">
        <v>5661000</v>
      </c>
      <c r="CO90" s="230">
        <v>5157000</v>
      </c>
      <c r="CP90" s="230">
        <v>504000</v>
      </c>
      <c r="CQ90" s="229">
        <v>9.7699999999999995E-2</v>
      </c>
      <c r="CR90" s="230">
        <v>5934000</v>
      </c>
      <c r="CS90" s="230">
        <v>5654000</v>
      </c>
      <c r="CT90" s="230">
        <v>280000</v>
      </c>
      <c r="CU90" s="229">
        <v>4.9500000000000002E-2</v>
      </c>
      <c r="CV90" s="230">
        <v>38901000</v>
      </c>
      <c r="CW90" s="230">
        <v>38166000</v>
      </c>
      <c r="CX90" s="230">
        <v>735000</v>
      </c>
      <c r="CY90" s="229">
        <v>1.9300000000000001E-2</v>
      </c>
      <c r="CZ90" s="228">
        <v>28.74</v>
      </c>
      <c r="DA90" s="228">
        <v>30.52</v>
      </c>
      <c r="DB90" s="228">
        <v>-1.78</v>
      </c>
      <c r="DC90" s="228">
        <v>-1.78</v>
      </c>
      <c r="DD90" s="228">
        <v>33.299999999999997</v>
      </c>
      <c r="DE90" s="228">
        <v>33.36</v>
      </c>
      <c r="DF90" s="228">
        <v>-4.5599999999999996</v>
      </c>
      <c r="DG90" s="228">
        <v>-0.06</v>
      </c>
      <c r="DH90" s="228">
        <v>28.64</v>
      </c>
      <c r="DI90" s="228">
        <v>29.82</v>
      </c>
      <c r="DJ90" s="228">
        <v>-1.18</v>
      </c>
      <c r="DK90" s="228">
        <v>-1.18</v>
      </c>
      <c r="DL90" s="228">
        <v>29.03</v>
      </c>
      <c r="DM90" s="228">
        <v>31.48</v>
      </c>
      <c r="DN90" s="228">
        <v>-2.4500000000000002</v>
      </c>
      <c r="DO90" s="228">
        <v>-2.4500000000000002</v>
      </c>
      <c r="DP90" s="228">
        <v>1.05</v>
      </c>
      <c r="DQ90" s="228">
        <v>1.1000000000000001</v>
      </c>
      <c r="DR90" s="228">
        <v>-0.05</v>
      </c>
      <c r="DS90" s="229">
        <v>-4.5499999999999999E-2</v>
      </c>
      <c r="DT90" s="228">
        <v>700</v>
      </c>
      <c r="DU90" s="228">
        <v>650</v>
      </c>
      <c r="DV90" s="228">
        <v>0.37</v>
      </c>
      <c r="DW90" s="228">
        <v>0.89</v>
      </c>
      <c r="DX90" s="228">
        <v>-0.52</v>
      </c>
      <c r="DY90" s="229">
        <v>-0.58430000000000004</v>
      </c>
      <c r="DZ90" s="229">
        <v>2.3699999999999999E-2</v>
      </c>
      <c r="EA90" s="230">
        <v>27355000</v>
      </c>
      <c r="EB90" s="229">
        <v>6.4999999999999997E-3</v>
      </c>
      <c r="EC90" s="229">
        <v>2.3699999999999999E-2</v>
      </c>
      <c r="ED90" s="228">
        <v>3.75</v>
      </c>
      <c r="EE90" s="229">
        <v>5.7000000000000002E-3</v>
      </c>
      <c r="EF90" s="230">
        <v>2573869</v>
      </c>
      <c r="EG90" s="230">
        <v>5371260</v>
      </c>
      <c r="EH90" s="229">
        <v>-0.52080000000000004</v>
      </c>
      <c r="EI90" s="229">
        <v>0.69259999999999999</v>
      </c>
      <c r="EJ90" s="231">
        <v>26016.43</v>
      </c>
      <c r="EK90" s="231">
        <v>9070.1200000000008</v>
      </c>
      <c r="EL90" s="231">
        <v>17517.34</v>
      </c>
      <c r="EM90" s="231">
        <v>20580</v>
      </c>
      <c r="EN90" s="231">
        <v>52603.89</v>
      </c>
      <c r="EO90" s="231">
        <v>257412.41</v>
      </c>
      <c r="EP90" s="231">
        <v>-204808.52</v>
      </c>
      <c r="EQ90" s="229">
        <v>-0.79559999999999997</v>
      </c>
      <c r="ER90" s="231">
        <v>39386</v>
      </c>
      <c r="ES90" s="231">
        <v>39395</v>
      </c>
      <c r="ET90" s="231">
        <v>180056</v>
      </c>
      <c r="EU90" s="231">
        <v>132129624</v>
      </c>
      <c r="EV90" s="231">
        <v>258838</v>
      </c>
      <c r="EW90" s="231">
        <v>252969</v>
      </c>
      <c r="EX90" s="231">
        <v>5869</v>
      </c>
      <c r="EY90" s="229">
        <v>2.3199999999999998E-2</v>
      </c>
      <c r="EZ90" s="229">
        <v>0.2944</v>
      </c>
      <c r="FA90" s="227" t="s">
        <v>556</v>
      </c>
      <c r="FB90" s="161">
        <f t="shared" si="1"/>
        <v>646000</v>
      </c>
    </row>
    <row r="91" spans="1:158" ht="17.25" hidden="1" thickBot="1" x14ac:dyDescent="0.3">
      <c r="A91" s="226">
        <v>46050</v>
      </c>
      <c r="B91" s="227" t="s">
        <v>172</v>
      </c>
      <c r="C91" s="227" t="s">
        <v>578</v>
      </c>
      <c r="D91" s="228">
        <v>1000</v>
      </c>
      <c r="E91" s="228">
        <v>901</v>
      </c>
      <c r="F91" s="228">
        <v>883</v>
      </c>
      <c r="G91" s="228">
        <v>18</v>
      </c>
      <c r="H91" s="229">
        <v>2.0400000000000001E-2</v>
      </c>
      <c r="I91" s="228">
        <v>898.35</v>
      </c>
      <c r="J91" s="228">
        <v>876.7</v>
      </c>
      <c r="K91" s="228">
        <v>21.65</v>
      </c>
      <c r="L91" s="229">
        <v>2.47E-2</v>
      </c>
      <c r="M91" s="228">
        <v>901</v>
      </c>
      <c r="N91" s="228">
        <v>877.5</v>
      </c>
      <c r="O91" s="228">
        <v>23.5</v>
      </c>
      <c r="P91" s="229">
        <v>2.6800000000000001E-2</v>
      </c>
      <c r="Q91" s="228">
        <v>904.25</v>
      </c>
      <c r="R91" s="228">
        <v>883</v>
      </c>
      <c r="S91" s="228">
        <v>21.25</v>
      </c>
      <c r="T91" s="229">
        <v>2.41E-2</v>
      </c>
      <c r="U91" s="228">
        <v>908.7</v>
      </c>
      <c r="V91" s="228">
        <v>886</v>
      </c>
      <c r="W91" s="228">
        <v>22.7</v>
      </c>
      <c r="X91" s="229">
        <v>2.5600000000000001E-2</v>
      </c>
      <c r="Y91" s="228">
        <v>2.65</v>
      </c>
      <c r="Z91" s="228">
        <v>6.3</v>
      </c>
      <c r="AA91" s="228">
        <v>-3.65</v>
      </c>
      <c r="AB91" s="229">
        <v>2.8999999999999998E-3</v>
      </c>
      <c r="AC91" s="228">
        <v>2.65</v>
      </c>
      <c r="AD91" s="228">
        <v>0.8</v>
      </c>
      <c r="AE91" s="228">
        <v>1.85</v>
      </c>
      <c r="AF91" s="229">
        <v>2.8999999999999998E-3</v>
      </c>
      <c r="AG91" s="228">
        <v>5.9</v>
      </c>
      <c r="AH91" s="228">
        <v>6.3</v>
      </c>
      <c r="AI91" s="228">
        <v>-0.4</v>
      </c>
      <c r="AJ91" s="229">
        <v>6.6E-3</v>
      </c>
      <c r="AK91" s="228">
        <v>10.35</v>
      </c>
      <c r="AL91" s="228">
        <v>9.3000000000000007</v>
      </c>
      <c r="AM91" s="228">
        <v>1.05</v>
      </c>
      <c r="AN91" s="229">
        <v>1.15E-2</v>
      </c>
      <c r="AO91" s="228">
        <v>892.58</v>
      </c>
      <c r="AP91" s="228">
        <v>896.09</v>
      </c>
      <c r="AQ91" s="228">
        <v>0</v>
      </c>
      <c r="AR91" s="230">
        <v>2367000</v>
      </c>
      <c r="AS91" s="230">
        <v>6227000</v>
      </c>
      <c r="AT91" s="230">
        <v>-3860000</v>
      </c>
      <c r="AU91" s="229">
        <v>-0.61990000000000001</v>
      </c>
      <c r="AV91" s="230">
        <v>2264000</v>
      </c>
      <c r="AW91" s="230">
        <v>2012000</v>
      </c>
      <c r="AX91" s="230">
        <v>252000</v>
      </c>
      <c r="AY91" s="229">
        <v>0.12520000000000001</v>
      </c>
      <c r="AZ91" s="230">
        <v>97000</v>
      </c>
      <c r="BA91" s="230">
        <v>4132000</v>
      </c>
      <c r="BB91" s="230">
        <v>-4035000</v>
      </c>
      <c r="BC91" s="229">
        <v>-0.97650000000000003</v>
      </c>
      <c r="BD91" s="230">
        <v>6000</v>
      </c>
      <c r="BE91" s="230">
        <v>83000</v>
      </c>
      <c r="BF91" s="230">
        <v>-77000</v>
      </c>
      <c r="BG91" s="229">
        <v>-0.92769999999999997</v>
      </c>
      <c r="BH91" s="230">
        <v>5097000</v>
      </c>
      <c r="BI91" s="230">
        <v>7289000</v>
      </c>
      <c r="BJ91" s="230">
        <v>-2192000</v>
      </c>
      <c r="BK91" s="229">
        <v>-0.30070000000000002</v>
      </c>
      <c r="BL91" s="230">
        <v>1538000</v>
      </c>
      <c r="BM91" s="230">
        <v>4258000</v>
      </c>
      <c r="BN91" s="230">
        <v>-2720000</v>
      </c>
      <c r="BO91" s="229">
        <v>-0.63880000000000003</v>
      </c>
      <c r="BP91" s="230">
        <v>9002000</v>
      </c>
      <c r="BQ91" s="230">
        <v>17774000</v>
      </c>
      <c r="BR91" s="230">
        <v>-8772000</v>
      </c>
      <c r="BS91" s="229">
        <v>-0.49349999999999999</v>
      </c>
      <c r="BT91" s="230">
        <v>1191650</v>
      </c>
      <c r="BU91" s="230">
        <v>1736991</v>
      </c>
      <c r="BV91" s="230">
        <v>-545341</v>
      </c>
      <c r="BW91" s="229">
        <v>-0.314</v>
      </c>
      <c r="BX91" s="230">
        <v>9805000</v>
      </c>
      <c r="BY91" s="230">
        <v>9581000</v>
      </c>
      <c r="BZ91" s="230">
        <v>224000</v>
      </c>
      <c r="CA91" s="229">
        <v>2.3400000000000001E-2</v>
      </c>
      <c r="CB91" s="230">
        <v>9662000</v>
      </c>
      <c r="CC91" s="230">
        <v>592000</v>
      </c>
      <c r="CD91" s="230">
        <v>9070000</v>
      </c>
      <c r="CE91" s="229">
        <v>15.3209</v>
      </c>
      <c r="CF91" s="230">
        <v>140000</v>
      </c>
      <c r="CG91" s="230">
        <v>9464000</v>
      </c>
      <c r="CH91" s="230">
        <v>-9324000</v>
      </c>
      <c r="CI91" s="229">
        <v>-0.98519999999999996</v>
      </c>
      <c r="CJ91" s="230">
        <v>3000</v>
      </c>
      <c r="CK91" s="230">
        <v>117000</v>
      </c>
      <c r="CL91" s="230">
        <v>-114000</v>
      </c>
      <c r="CM91" s="229">
        <v>-0.97440000000000004</v>
      </c>
      <c r="CN91" s="230">
        <v>2554000</v>
      </c>
      <c r="CO91" s="230">
        <v>2216000</v>
      </c>
      <c r="CP91" s="230">
        <v>338000</v>
      </c>
      <c r="CQ91" s="229">
        <v>0.1525</v>
      </c>
      <c r="CR91" s="230">
        <v>1674000</v>
      </c>
      <c r="CS91" s="230">
        <v>1373000</v>
      </c>
      <c r="CT91" s="230">
        <v>301000</v>
      </c>
      <c r="CU91" s="229">
        <v>0.21920000000000001</v>
      </c>
      <c r="CV91" s="230">
        <v>14033000</v>
      </c>
      <c r="CW91" s="230">
        <v>13170000</v>
      </c>
      <c r="CX91" s="230">
        <v>863000</v>
      </c>
      <c r="CY91" s="229">
        <v>6.5500000000000003E-2</v>
      </c>
      <c r="CZ91" s="228">
        <v>33.42</v>
      </c>
      <c r="DA91" s="228">
        <v>34.6</v>
      </c>
      <c r="DB91" s="228">
        <v>-1.18</v>
      </c>
      <c r="DC91" s="228">
        <v>-1.18</v>
      </c>
      <c r="DD91" s="228">
        <v>37.89</v>
      </c>
      <c r="DE91" s="228">
        <v>37.840000000000003</v>
      </c>
      <c r="DF91" s="228">
        <v>-4.47</v>
      </c>
      <c r="DG91" s="228">
        <v>0.05</v>
      </c>
      <c r="DH91" s="228">
        <v>33.270000000000003</v>
      </c>
      <c r="DI91" s="228">
        <v>34.479999999999997</v>
      </c>
      <c r="DJ91" s="228">
        <v>-1.21</v>
      </c>
      <c r="DK91" s="228">
        <v>-1.21</v>
      </c>
      <c r="DL91" s="228">
        <v>33.92</v>
      </c>
      <c r="DM91" s="228">
        <v>34.909999999999997</v>
      </c>
      <c r="DN91" s="228">
        <v>-0.99</v>
      </c>
      <c r="DO91" s="228">
        <v>-0.99</v>
      </c>
      <c r="DP91" s="228">
        <v>0.66</v>
      </c>
      <c r="DQ91" s="228">
        <v>0.62</v>
      </c>
      <c r="DR91" s="228">
        <v>0.04</v>
      </c>
      <c r="DS91" s="229">
        <v>6.4500000000000002E-2</v>
      </c>
      <c r="DT91" s="228">
        <v>900</v>
      </c>
      <c r="DU91" s="228">
        <v>840</v>
      </c>
      <c r="DV91" s="228">
        <v>0.3</v>
      </c>
      <c r="DW91" s="228">
        <v>0.57999999999999996</v>
      </c>
      <c r="DX91" s="228">
        <v>-0.28000000000000003</v>
      </c>
      <c r="DY91" s="229">
        <v>-0.48280000000000001</v>
      </c>
      <c r="DZ91" s="229">
        <v>1.46E-2</v>
      </c>
      <c r="EA91" s="230">
        <v>9581000</v>
      </c>
      <c r="EB91" s="229">
        <v>3.5999999999999999E-3</v>
      </c>
      <c r="EC91" s="229">
        <v>1.46E-2</v>
      </c>
      <c r="ED91" s="228">
        <v>3.51</v>
      </c>
      <c r="EE91" s="229">
        <v>3.8999999999999998E-3</v>
      </c>
      <c r="EF91" s="230">
        <v>494743</v>
      </c>
      <c r="EG91" s="230">
        <v>578792</v>
      </c>
      <c r="EH91" s="229">
        <v>-0.1452</v>
      </c>
      <c r="EI91" s="229">
        <v>0.41520000000000001</v>
      </c>
      <c r="EJ91" s="231">
        <v>47884.07</v>
      </c>
      <c r="EK91" s="231">
        <v>13358.46</v>
      </c>
      <c r="EL91" s="231">
        <v>21131.69</v>
      </c>
      <c r="EM91" s="231">
        <v>11959</v>
      </c>
      <c r="EN91" s="231">
        <v>82374.22</v>
      </c>
      <c r="EO91" s="231">
        <v>157296.62</v>
      </c>
      <c r="EP91" s="231">
        <v>-74922.399999999994</v>
      </c>
      <c r="EQ91" s="229">
        <v>-0.4763</v>
      </c>
      <c r="ER91" s="231">
        <v>23624</v>
      </c>
      <c r="ES91" s="231">
        <v>14108</v>
      </c>
      <c r="ET91" s="231">
        <v>88348</v>
      </c>
      <c r="EU91" s="231">
        <v>52862157</v>
      </c>
      <c r="EV91" s="231">
        <v>126080</v>
      </c>
      <c r="EW91" s="231">
        <v>116588</v>
      </c>
      <c r="EX91" s="231">
        <v>9492</v>
      </c>
      <c r="EY91" s="229">
        <v>8.14E-2</v>
      </c>
      <c r="EZ91" s="229">
        <v>0.26550000000000001</v>
      </c>
      <c r="FA91" s="227" t="s">
        <v>555</v>
      </c>
      <c r="FB91" s="161">
        <f t="shared" si="1"/>
        <v>143000</v>
      </c>
    </row>
    <row r="92" spans="1:158" ht="17.25" hidden="1" thickBot="1" x14ac:dyDescent="0.3">
      <c r="A92" s="226">
        <v>46050</v>
      </c>
      <c r="B92" s="227" t="s">
        <v>181</v>
      </c>
      <c r="C92" s="227" t="s">
        <v>687</v>
      </c>
      <c r="D92" s="228">
        <v>1</v>
      </c>
      <c r="E92" s="228">
        <v>13.53</v>
      </c>
      <c r="F92" s="228">
        <v>0</v>
      </c>
      <c r="G92" s="228">
        <v>13.53</v>
      </c>
      <c r="H92" s="229">
        <v>0</v>
      </c>
      <c r="I92" s="228">
        <v>13.53</v>
      </c>
      <c r="J92" s="228">
        <v>14.45</v>
      </c>
      <c r="K92" s="228">
        <v>-0.92</v>
      </c>
      <c r="L92" s="229">
        <v>-6.4000000000000001E-2</v>
      </c>
      <c r="M92" s="228">
        <v>0</v>
      </c>
      <c r="N92" s="228">
        <v>0</v>
      </c>
      <c r="O92" s="228">
        <v>0</v>
      </c>
      <c r="P92" s="229">
        <v>0</v>
      </c>
      <c r="Q92" s="228">
        <v>0</v>
      </c>
      <c r="R92" s="228">
        <v>0</v>
      </c>
      <c r="S92" s="228">
        <v>0</v>
      </c>
      <c r="T92" s="229">
        <v>0</v>
      </c>
      <c r="U92" s="228">
        <v>0</v>
      </c>
      <c r="V92" s="228">
        <v>0</v>
      </c>
      <c r="W92" s="228">
        <v>0</v>
      </c>
      <c r="X92" s="229">
        <v>0</v>
      </c>
      <c r="Y92" s="228">
        <v>0</v>
      </c>
      <c r="Z92" s="228">
        <v>0</v>
      </c>
      <c r="AA92" s="228">
        <v>0</v>
      </c>
      <c r="AB92" s="229">
        <v>0</v>
      </c>
      <c r="AC92" s="228">
        <v>0</v>
      </c>
      <c r="AD92" s="228">
        <v>0</v>
      </c>
      <c r="AE92" s="228">
        <v>0</v>
      </c>
      <c r="AF92" s="229">
        <v>0</v>
      </c>
      <c r="AG92" s="228">
        <v>0</v>
      </c>
      <c r="AH92" s="228">
        <v>0</v>
      </c>
      <c r="AI92" s="228">
        <v>0</v>
      </c>
      <c r="AJ92" s="229">
        <v>0</v>
      </c>
      <c r="AK92" s="228">
        <v>0</v>
      </c>
      <c r="AL92" s="228">
        <v>0</v>
      </c>
      <c r="AM92" s="228">
        <v>0</v>
      </c>
      <c r="AN92" s="229">
        <v>0</v>
      </c>
      <c r="AO92" s="228">
        <v>0</v>
      </c>
      <c r="AP92" s="228">
        <v>0</v>
      </c>
      <c r="AQ92" s="228">
        <v>0</v>
      </c>
      <c r="AR92" s="228">
        <v>0</v>
      </c>
      <c r="AS92" s="228">
        <v>0</v>
      </c>
      <c r="AT92" s="228">
        <v>0</v>
      </c>
      <c r="AU92" s="229">
        <v>0</v>
      </c>
      <c r="AV92" s="228">
        <v>0</v>
      </c>
      <c r="AW92" s="228">
        <v>0</v>
      </c>
      <c r="AX92" s="228">
        <v>0</v>
      </c>
      <c r="AY92" s="229">
        <v>0</v>
      </c>
      <c r="AZ92" s="228">
        <v>0</v>
      </c>
      <c r="BA92" s="228">
        <v>0</v>
      </c>
      <c r="BB92" s="228">
        <v>0</v>
      </c>
      <c r="BC92" s="229">
        <v>0</v>
      </c>
      <c r="BD92" s="228">
        <v>0</v>
      </c>
      <c r="BE92" s="228">
        <v>0</v>
      </c>
      <c r="BF92" s="228">
        <v>0</v>
      </c>
      <c r="BG92" s="229">
        <v>0</v>
      </c>
      <c r="BH92" s="228">
        <v>0</v>
      </c>
      <c r="BI92" s="228">
        <v>0</v>
      </c>
      <c r="BJ92" s="228">
        <v>0</v>
      </c>
      <c r="BK92" s="229">
        <v>0</v>
      </c>
      <c r="BL92" s="228">
        <v>0</v>
      </c>
      <c r="BM92" s="228">
        <v>0</v>
      </c>
      <c r="BN92" s="228">
        <v>0</v>
      </c>
      <c r="BO92" s="229">
        <v>0</v>
      </c>
      <c r="BP92" s="228">
        <v>0</v>
      </c>
      <c r="BQ92" s="228">
        <v>0</v>
      </c>
      <c r="BR92" s="228">
        <v>0</v>
      </c>
      <c r="BS92" s="229">
        <v>0</v>
      </c>
      <c r="BT92" s="228">
        <v>0</v>
      </c>
      <c r="BU92" s="228">
        <v>0</v>
      </c>
      <c r="BV92" s="228">
        <v>0</v>
      </c>
      <c r="BW92" s="229">
        <v>0</v>
      </c>
      <c r="BX92" s="228">
        <v>0</v>
      </c>
      <c r="BY92" s="228">
        <v>0</v>
      </c>
      <c r="BZ92" s="228">
        <v>0</v>
      </c>
      <c r="CA92" s="229">
        <v>0</v>
      </c>
      <c r="CB92" s="228">
        <v>0</v>
      </c>
      <c r="CC92" s="228">
        <v>0</v>
      </c>
      <c r="CD92" s="228">
        <v>0</v>
      </c>
      <c r="CE92" s="229">
        <v>0</v>
      </c>
      <c r="CF92" s="228">
        <v>0</v>
      </c>
      <c r="CG92" s="228">
        <v>0</v>
      </c>
      <c r="CH92" s="228">
        <v>0</v>
      </c>
      <c r="CI92" s="229">
        <v>0</v>
      </c>
      <c r="CJ92" s="228">
        <v>0</v>
      </c>
      <c r="CK92" s="228">
        <v>0</v>
      </c>
      <c r="CL92" s="228">
        <v>0</v>
      </c>
      <c r="CM92" s="229">
        <v>0</v>
      </c>
      <c r="CN92" s="228">
        <v>0</v>
      </c>
      <c r="CO92" s="228">
        <v>0</v>
      </c>
      <c r="CP92" s="228">
        <v>0</v>
      </c>
      <c r="CQ92" s="229">
        <v>0</v>
      </c>
      <c r="CR92" s="228">
        <v>0</v>
      </c>
      <c r="CS92" s="228">
        <v>0</v>
      </c>
      <c r="CT92" s="228">
        <v>0</v>
      </c>
      <c r="CU92" s="229">
        <v>0</v>
      </c>
      <c r="CV92" s="228">
        <v>0</v>
      </c>
      <c r="CW92" s="228">
        <v>0</v>
      </c>
      <c r="CX92" s="228">
        <v>0</v>
      </c>
      <c r="CY92" s="229">
        <v>0</v>
      </c>
      <c r="CZ92" s="228">
        <v>0</v>
      </c>
      <c r="DA92" s="228">
        <v>0</v>
      </c>
      <c r="DB92" s="228">
        <v>0</v>
      </c>
      <c r="DC92" s="228">
        <v>0</v>
      </c>
      <c r="DD92" s="228">
        <v>0</v>
      </c>
      <c r="DE92" s="228">
        <v>0</v>
      </c>
      <c r="DF92" s="228">
        <v>0</v>
      </c>
      <c r="DG92" s="228">
        <v>0</v>
      </c>
      <c r="DH92" s="228">
        <v>0</v>
      </c>
      <c r="DI92" s="228">
        <v>0</v>
      </c>
      <c r="DJ92" s="228">
        <v>0</v>
      </c>
      <c r="DK92" s="228">
        <v>0</v>
      </c>
      <c r="DL92" s="228">
        <v>0</v>
      </c>
      <c r="DM92" s="228">
        <v>0</v>
      </c>
      <c r="DN92" s="228">
        <v>0</v>
      </c>
      <c r="DO92" s="228">
        <v>0</v>
      </c>
      <c r="DP92" s="228">
        <v>0</v>
      </c>
      <c r="DQ92" s="228">
        <v>0</v>
      </c>
      <c r="DR92" s="228">
        <v>0</v>
      </c>
      <c r="DS92" s="229">
        <v>0</v>
      </c>
      <c r="DT92" s="228">
        <v>0</v>
      </c>
      <c r="DU92" s="228">
        <v>0</v>
      </c>
      <c r="DV92" s="228">
        <v>0</v>
      </c>
      <c r="DW92" s="228">
        <v>0</v>
      </c>
      <c r="DX92" s="228">
        <v>0</v>
      </c>
      <c r="DY92" s="229">
        <v>0</v>
      </c>
      <c r="DZ92" s="229">
        <v>0</v>
      </c>
      <c r="EA92" s="228">
        <v>0</v>
      </c>
      <c r="EB92" s="229">
        <v>0</v>
      </c>
      <c r="EC92" s="229">
        <v>0</v>
      </c>
      <c r="ED92" s="228">
        <v>0</v>
      </c>
      <c r="EE92" s="229">
        <v>0</v>
      </c>
      <c r="EF92" s="228">
        <v>0</v>
      </c>
      <c r="EG92" s="228">
        <v>0</v>
      </c>
      <c r="EH92" s="229">
        <v>0</v>
      </c>
      <c r="EI92" s="229">
        <v>0</v>
      </c>
      <c r="EJ92" s="228">
        <v>0</v>
      </c>
      <c r="EK92" s="228">
        <v>0</v>
      </c>
      <c r="EL92" s="228">
        <v>0</v>
      </c>
      <c r="EM92" s="228">
        <v>0</v>
      </c>
      <c r="EN92" s="228">
        <v>0</v>
      </c>
      <c r="EO92" s="228">
        <v>0</v>
      </c>
      <c r="EP92" s="228">
        <v>0</v>
      </c>
      <c r="EQ92" s="229">
        <v>0</v>
      </c>
      <c r="ER92" s="228">
        <v>0</v>
      </c>
      <c r="ES92" s="228">
        <v>0</v>
      </c>
      <c r="ET92" s="228">
        <v>0</v>
      </c>
      <c r="EU92" s="228">
        <v>0</v>
      </c>
      <c r="EV92" s="228">
        <v>0</v>
      </c>
      <c r="EW92" s="228">
        <v>0</v>
      </c>
      <c r="EX92" s="228">
        <v>0</v>
      </c>
      <c r="EY92" s="229">
        <v>0</v>
      </c>
      <c r="EZ92" s="229">
        <v>0</v>
      </c>
      <c r="FA92" s="227" t="s">
        <v>237</v>
      </c>
      <c r="FB92" s="161">
        <f t="shared" si="1"/>
        <v>0</v>
      </c>
    </row>
    <row r="93" spans="1:158" ht="17.25" hidden="1" thickBot="1" x14ac:dyDescent="0.3">
      <c r="A93" s="226">
        <v>46050</v>
      </c>
      <c r="B93" s="227" t="s">
        <v>215</v>
      </c>
      <c r="C93" s="227" t="s">
        <v>238</v>
      </c>
      <c r="D93" s="228">
        <v>150</v>
      </c>
      <c r="E93" s="231">
        <v>4780</v>
      </c>
      <c r="F93" s="231">
        <v>4803</v>
      </c>
      <c r="G93" s="228">
        <v>-23</v>
      </c>
      <c r="H93" s="229">
        <v>-4.7999999999999996E-3</v>
      </c>
      <c r="I93" s="231">
        <v>4749</v>
      </c>
      <c r="J93" s="231">
        <v>4769</v>
      </c>
      <c r="K93" s="228">
        <v>-20</v>
      </c>
      <c r="L93" s="229">
        <v>-4.1999999999999997E-3</v>
      </c>
      <c r="M93" s="231">
        <v>4780</v>
      </c>
      <c r="N93" s="231">
        <v>4766.5</v>
      </c>
      <c r="O93" s="228">
        <v>13.5</v>
      </c>
      <c r="P93" s="229">
        <v>2.8E-3</v>
      </c>
      <c r="Q93" s="231">
        <v>4806</v>
      </c>
      <c r="R93" s="231">
        <v>4803</v>
      </c>
      <c r="S93" s="228">
        <v>3</v>
      </c>
      <c r="T93" s="229">
        <v>5.9999999999999995E-4</v>
      </c>
      <c r="U93" s="231">
        <v>4835</v>
      </c>
      <c r="V93" s="231">
        <v>4832</v>
      </c>
      <c r="W93" s="228">
        <v>3</v>
      </c>
      <c r="X93" s="229">
        <v>5.9999999999999995E-4</v>
      </c>
      <c r="Y93" s="228">
        <v>31</v>
      </c>
      <c r="Z93" s="228">
        <v>34</v>
      </c>
      <c r="AA93" s="228">
        <v>-3</v>
      </c>
      <c r="AB93" s="229">
        <v>6.4999999999999997E-3</v>
      </c>
      <c r="AC93" s="228">
        <v>31</v>
      </c>
      <c r="AD93" s="228">
        <v>-2.5</v>
      </c>
      <c r="AE93" s="228">
        <v>33.5</v>
      </c>
      <c r="AF93" s="229">
        <v>6.4999999999999997E-3</v>
      </c>
      <c r="AG93" s="228">
        <v>57</v>
      </c>
      <c r="AH93" s="228">
        <v>34</v>
      </c>
      <c r="AI93" s="228">
        <v>23</v>
      </c>
      <c r="AJ93" s="229">
        <v>1.2E-2</v>
      </c>
      <c r="AK93" s="228">
        <v>86</v>
      </c>
      <c r="AL93" s="228">
        <v>63</v>
      </c>
      <c r="AM93" s="228">
        <v>23</v>
      </c>
      <c r="AN93" s="229">
        <v>1.8100000000000002E-2</v>
      </c>
      <c r="AO93" s="231">
        <v>4784.9799999999996</v>
      </c>
      <c r="AP93" s="231">
        <v>4811.68</v>
      </c>
      <c r="AQ93" s="228">
        <v>0</v>
      </c>
      <c r="AR93" s="230">
        <v>1381350</v>
      </c>
      <c r="AS93" s="230">
        <v>6555750</v>
      </c>
      <c r="AT93" s="230">
        <v>-5174400</v>
      </c>
      <c r="AU93" s="229">
        <v>-0.7893</v>
      </c>
      <c r="AV93" s="230">
        <v>1331400</v>
      </c>
      <c r="AW93" s="230">
        <v>3078300</v>
      </c>
      <c r="AX93" s="230">
        <v>-1746900</v>
      </c>
      <c r="AY93" s="229">
        <v>-0.5675</v>
      </c>
      <c r="AZ93" s="230">
        <v>45450</v>
      </c>
      <c r="BA93" s="230">
        <v>3412200</v>
      </c>
      <c r="BB93" s="230">
        <v>-3366750</v>
      </c>
      <c r="BC93" s="229">
        <v>-0.98670000000000002</v>
      </c>
      <c r="BD93" s="230">
        <v>4500</v>
      </c>
      <c r="BE93" s="230">
        <v>65250</v>
      </c>
      <c r="BF93" s="230">
        <v>-60750</v>
      </c>
      <c r="BG93" s="229">
        <v>-0.93100000000000005</v>
      </c>
      <c r="BH93" s="230">
        <v>2458350</v>
      </c>
      <c r="BI93" s="230">
        <v>5799900</v>
      </c>
      <c r="BJ93" s="230">
        <v>-3341550</v>
      </c>
      <c r="BK93" s="229">
        <v>-0.57609999999999995</v>
      </c>
      <c r="BL93" s="230">
        <v>2028750</v>
      </c>
      <c r="BM93" s="230">
        <v>4698300</v>
      </c>
      <c r="BN93" s="230">
        <v>-2669550</v>
      </c>
      <c r="BO93" s="229">
        <v>-0.56820000000000004</v>
      </c>
      <c r="BP93" s="230">
        <v>5868450</v>
      </c>
      <c r="BQ93" s="230">
        <v>17053950</v>
      </c>
      <c r="BR93" s="230">
        <v>-11185500</v>
      </c>
      <c r="BS93" s="229">
        <v>-0.65590000000000004</v>
      </c>
      <c r="BT93" s="230">
        <v>1131962</v>
      </c>
      <c r="BU93" s="230">
        <v>1276436</v>
      </c>
      <c r="BV93" s="230">
        <v>-144474</v>
      </c>
      <c r="BW93" s="229">
        <v>-0.1132</v>
      </c>
      <c r="BX93" s="230">
        <v>8551650</v>
      </c>
      <c r="BY93" s="230">
        <v>8117700</v>
      </c>
      <c r="BZ93" s="230">
        <v>433950</v>
      </c>
      <c r="CA93" s="229">
        <v>5.3499999999999999E-2</v>
      </c>
      <c r="CB93" s="230">
        <v>8400000</v>
      </c>
      <c r="CC93" s="230">
        <v>717600</v>
      </c>
      <c r="CD93" s="230">
        <v>7682400</v>
      </c>
      <c r="CE93" s="229">
        <v>10.7057</v>
      </c>
      <c r="CF93" s="230">
        <v>149100</v>
      </c>
      <c r="CG93" s="230">
        <v>7972800</v>
      </c>
      <c r="CH93" s="230">
        <v>-7823700</v>
      </c>
      <c r="CI93" s="229">
        <v>-0.98129999999999995</v>
      </c>
      <c r="CJ93" s="230">
        <v>2550</v>
      </c>
      <c r="CK93" s="230">
        <v>144900</v>
      </c>
      <c r="CL93" s="230">
        <v>-142350</v>
      </c>
      <c r="CM93" s="229">
        <v>-0.98240000000000005</v>
      </c>
      <c r="CN93" s="230">
        <v>2066700</v>
      </c>
      <c r="CO93" s="230">
        <v>1822050</v>
      </c>
      <c r="CP93" s="230">
        <v>244650</v>
      </c>
      <c r="CQ93" s="229">
        <v>0.1343</v>
      </c>
      <c r="CR93" s="230">
        <v>1855650</v>
      </c>
      <c r="CS93" s="230">
        <v>1622400</v>
      </c>
      <c r="CT93" s="230">
        <v>233250</v>
      </c>
      <c r="CU93" s="229">
        <v>0.14380000000000001</v>
      </c>
      <c r="CV93" s="230">
        <v>12474000</v>
      </c>
      <c r="CW93" s="230">
        <v>11562150</v>
      </c>
      <c r="CX93" s="230">
        <v>911850</v>
      </c>
      <c r="CY93" s="229">
        <v>7.8899999999999998E-2</v>
      </c>
      <c r="CZ93" s="228">
        <v>27.62</v>
      </c>
      <c r="DA93" s="228">
        <v>28.88</v>
      </c>
      <c r="DB93" s="228">
        <v>-1.26</v>
      </c>
      <c r="DC93" s="228">
        <v>-1.26</v>
      </c>
      <c r="DD93" s="228">
        <v>33.6</v>
      </c>
      <c r="DE93" s="228">
        <v>33.68</v>
      </c>
      <c r="DF93" s="228">
        <v>-5.98</v>
      </c>
      <c r="DG93" s="228">
        <v>-0.08</v>
      </c>
      <c r="DH93" s="228">
        <v>26.79</v>
      </c>
      <c r="DI93" s="228">
        <v>27.97</v>
      </c>
      <c r="DJ93" s="228">
        <v>-1.18</v>
      </c>
      <c r="DK93" s="228">
        <v>-1.18</v>
      </c>
      <c r="DL93" s="228">
        <v>28.63</v>
      </c>
      <c r="DM93" s="228">
        <v>29.86</v>
      </c>
      <c r="DN93" s="228">
        <v>-1.23</v>
      </c>
      <c r="DO93" s="228">
        <v>-1.23</v>
      </c>
      <c r="DP93" s="228">
        <v>0.9</v>
      </c>
      <c r="DQ93" s="228">
        <v>0.89</v>
      </c>
      <c r="DR93" s="228">
        <v>0.01</v>
      </c>
      <c r="DS93" s="229">
        <v>1.12E-2</v>
      </c>
      <c r="DT93" s="231">
        <v>4800</v>
      </c>
      <c r="DU93" s="231">
        <v>4700</v>
      </c>
      <c r="DV93" s="228">
        <v>0.83</v>
      </c>
      <c r="DW93" s="228">
        <v>0.81</v>
      </c>
      <c r="DX93" s="228">
        <v>0.02</v>
      </c>
      <c r="DY93" s="229">
        <v>2.47E-2</v>
      </c>
      <c r="DZ93" s="229">
        <v>1.77E-2</v>
      </c>
      <c r="EA93" s="230">
        <v>8117700</v>
      </c>
      <c r="EB93" s="229">
        <v>5.4000000000000003E-3</v>
      </c>
      <c r="EC93" s="229">
        <v>1.77E-2</v>
      </c>
      <c r="ED93" s="228">
        <v>26.7</v>
      </c>
      <c r="EE93" s="229">
        <v>5.5999999999999999E-3</v>
      </c>
      <c r="EF93" s="230">
        <v>773990</v>
      </c>
      <c r="EG93" s="230">
        <v>728811</v>
      </c>
      <c r="EH93" s="229">
        <v>6.2E-2</v>
      </c>
      <c r="EI93" s="229">
        <v>0.68379999999999996</v>
      </c>
      <c r="EJ93" s="231">
        <v>124939.64</v>
      </c>
      <c r="EK93" s="231">
        <v>96008.62</v>
      </c>
      <c r="EL93" s="231">
        <v>66111.91</v>
      </c>
      <c r="EM93" s="231">
        <v>45391</v>
      </c>
      <c r="EN93" s="231">
        <v>287060.17</v>
      </c>
      <c r="EO93" s="231">
        <v>826500.75</v>
      </c>
      <c r="EP93" s="231">
        <v>-539440.57999999996</v>
      </c>
      <c r="EQ93" s="229">
        <v>-0.65269999999999995</v>
      </c>
      <c r="ER93" s="231">
        <v>105337</v>
      </c>
      <c r="ES93" s="231">
        <v>88442</v>
      </c>
      <c r="ET93" s="231">
        <v>408809</v>
      </c>
      <c r="EU93" s="231">
        <v>33874835</v>
      </c>
      <c r="EV93" s="231">
        <v>602588</v>
      </c>
      <c r="EW93" s="231">
        <v>560885</v>
      </c>
      <c r="EX93" s="231">
        <v>41703</v>
      </c>
      <c r="EY93" s="229">
        <v>7.4399999999999994E-2</v>
      </c>
      <c r="EZ93" s="229">
        <v>0.36820000000000003</v>
      </c>
      <c r="FA93" s="227" t="s">
        <v>567</v>
      </c>
      <c r="FB93" s="161">
        <f t="shared" si="1"/>
        <v>151650</v>
      </c>
    </row>
    <row r="94" spans="1:158" ht="17.25" hidden="1" thickBot="1" x14ac:dyDescent="0.3">
      <c r="A94" s="226">
        <v>46050</v>
      </c>
      <c r="B94" s="227" t="s">
        <v>172</v>
      </c>
      <c r="C94" s="227" t="s">
        <v>239</v>
      </c>
      <c r="D94" s="228">
        <v>700</v>
      </c>
      <c r="E94" s="228">
        <v>903.85</v>
      </c>
      <c r="F94" s="228">
        <v>899.5</v>
      </c>
      <c r="G94" s="228">
        <v>4.3499999999999996</v>
      </c>
      <c r="H94" s="229">
        <v>4.7999999999999996E-3</v>
      </c>
      <c r="I94" s="228">
        <v>901.7</v>
      </c>
      <c r="J94" s="228">
        <v>894.75</v>
      </c>
      <c r="K94" s="228">
        <v>6.95</v>
      </c>
      <c r="L94" s="229">
        <v>7.7999999999999996E-3</v>
      </c>
      <c r="M94" s="228">
        <v>903.85</v>
      </c>
      <c r="N94" s="228">
        <v>892.85</v>
      </c>
      <c r="O94" s="228">
        <v>11</v>
      </c>
      <c r="P94" s="229">
        <v>1.23E-2</v>
      </c>
      <c r="Q94" s="228">
        <v>909.25</v>
      </c>
      <c r="R94" s="228">
        <v>899.5</v>
      </c>
      <c r="S94" s="228">
        <v>9.75</v>
      </c>
      <c r="T94" s="229">
        <v>1.0800000000000001E-2</v>
      </c>
      <c r="U94" s="228">
        <v>912.4</v>
      </c>
      <c r="V94" s="228">
        <v>905.65</v>
      </c>
      <c r="W94" s="228">
        <v>6.75</v>
      </c>
      <c r="X94" s="229">
        <v>7.4999999999999997E-3</v>
      </c>
      <c r="Y94" s="228">
        <v>2.15</v>
      </c>
      <c r="Z94" s="228">
        <v>4.75</v>
      </c>
      <c r="AA94" s="228">
        <v>-2.6</v>
      </c>
      <c r="AB94" s="229">
        <v>2.3999999999999998E-3</v>
      </c>
      <c r="AC94" s="228">
        <v>2.15</v>
      </c>
      <c r="AD94" s="228">
        <v>-1.9</v>
      </c>
      <c r="AE94" s="228">
        <v>4.05</v>
      </c>
      <c r="AF94" s="229">
        <v>2.3999999999999998E-3</v>
      </c>
      <c r="AG94" s="228">
        <v>7.55</v>
      </c>
      <c r="AH94" s="228">
        <v>4.75</v>
      </c>
      <c r="AI94" s="228">
        <v>2.8</v>
      </c>
      <c r="AJ94" s="229">
        <v>8.3999999999999995E-3</v>
      </c>
      <c r="AK94" s="228">
        <v>10.7</v>
      </c>
      <c r="AL94" s="228">
        <v>10.9</v>
      </c>
      <c r="AM94" s="228">
        <v>-0.2</v>
      </c>
      <c r="AN94" s="229">
        <v>1.1900000000000001E-2</v>
      </c>
      <c r="AO94" s="228">
        <v>895.71</v>
      </c>
      <c r="AP94" s="228">
        <v>899.75</v>
      </c>
      <c r="AQ94" s="228">
        <v>0</v>
      </c>
      <c r="AR94" s="230">
        <v>5905200</v>
      </c>
      <c r="AS94" s="230">
        <v>37204300</v>
      </c>
      <c r="AT94" s="230">
        <v>-31299100</v>
      </c>
      <c r="AU94" s="229">
        <v>-0.84130000000000005</v>
      </c>
      <c r="AV94" s="230">
        <v>5709200</v>
      </c>
      <c r="AW94" s="230">
        <v>16063600</v>
      </c>
      <c r="AX94" s="230">
        <v>-10354400</v>
      </c>
      <c r="AY94" s="229">
        <v>-0.64459999999999995</v>
      </c>
      <c r="AZ94" s="230">
        <v>186200</v>
      </c>
      <c r="BA94" s="230">
        <v>20853700</v>
      </c>
      <c r="BB94" s="230">
        <v>-20667500</v>
      </c>
      <c r="BC94" s="229">
        <v>-0.99109999999999998</v>
      </c>
      <c r="BD94" s="230">
        <v>9800</v>
      </c>
      <c r="BE94" s="230">
        <v>287000</v>
      </c>
      <c r="BF94" s="230">
        <v>-277200</v>
      </c>
      <c r="BG94" s="229">
        <v>-0.96589999999999998</v>
      </c>
      <c r="BH94" s="230">
        <v>9944200</v>
      </c>
      <c r="BI94" s="230">
        <v>33884200</v>
      </c>
      <c r="BJ94" s="230">
        <v>-23940000</v>
      </c>
      <c r="BK94" s="229">
        <v>-0.70650000000000002</v>
      </c>
      <c r="BL94" s="230">
        <v>6877500</v>
      </c>
      <c r="BM94" s="230">
        <v>29588300</v>
      </c>
      <c r="BN94" s="230">
        <v>-22710800</v>
      </c>
      <c r="BO94" s="229">
        <v>-0.76759999999999995</v>
      </c>
      <c r="BP94" s="230">
        <v>22726900</v>
      </c>
      <c r="BQ94" s="230">
        <v>100676800</v>
      </c>
      <c r="BR94" s="230">
        <v>-77949900</v>
      </c>
      <c r="BS94" s="229">
        <v>-0.77429999999999999</v>
      </c>
      <c r="BT94" s="230">
        <v>3085573</v>
      </c>
      <c r="BU94" s="230">
        <v>8750427</v>
      </c>
      <c r="BV94" s="230">
        <v>-5664854</v>
      </c>
      <c r="BW94" s="229">
        <v>-0.64739999999999998</v>
      </c>
      <c r="BX94" s="230">
        <v>36298500</v>
      </c>
      <c r="BY94" s="230">
        <v>36017800</v>
      </c>
      <c r="BZ94" s="230">
        <v>280700</v>
      </c>
      <c r="CA94" s="229">
        <v>7.7999999999999996E-3</v>
      </c>
      <c r="CB94" s="230">
        <v>35663600</v>
      </c>
      <c r="CC94" s="230">
        <v>3304000</v>
      </c>
      <c r="CD94" s="230">
        <v>32359600</v>
      </c>
      <c r="CE94" s="229">
        <v>9.7941000000000003</v>
      </c>
      <c r="CF94" s="230">
        <v>630700</v>
      </c>
      <c r="CG94" s="230">
        <v>35457800</v>
      </c>
      <c r="CH94" s="230">
        <v>-34827100</v>
      </c>
      <c r="CI94" s="229">
        <v>-0.98219999999999996</v>
      </c>
      <c r="CJ94" s="230">
        <v>4200</v>
      </c>
      <c r="CK94" s="230">
        <v>560000</v>
      </c>
      <c r="CL94" s="230">
        <v>-555800</v>
      </c>
      <c r="CM94" s="229">
        <v>-0.99250000000000005</v>
      </c>
      <c r="CN94" s="230">
        <v>5918500</v>
      </c>
      <c r="CO94" s="230">
        <v>5275200</v>
      </c>
      <c r="CP94" s="230">
        <v>643300</v>
      </c>
      <c r="CQ94" s="229">
        <v>0.12189999999999999</v>
      </c>
      <c r="CR94" s="230">
        <v>4930800</v>
      </c>
      <c r="CS94" s="230">
        <v>4614400</v>
      </c>
      <c r="CT94" s="230">
        <v>316400</v>
      </c>
      <c r="CU94" s="229">
        <v>6.8599999999999994E-2</v>
      </c>
      <c r="CV94" s="230">
        <v>47147800</v>
      </c>
      <c r="CW94" s="230">
        <v>45907400</v>
      </c>
      <c r="CX94" s="230">
        <v>1240400</v>
      </c>
      <c r="CY94" s="229">
        <v>2.7E-2</v>
      </c>
      <c r="CZ94" s="228">
        <v>32.07</v>
      </c>
      <c r="DA94" s="228">
        <v>33.4</v>
      </c>
      <c r="DB94" s="228">
        <v>-1.33</v>
      </c>
      <c r="DC94" s="228">
        <v>-1.33</v>
      </c>
      <c r="DD94" s="228">
        <v>43.03</v>
      </c>
      <c r="DE94" s="228">
        <v>43.12</v>
      </c>
      <c r="DF94" s="228">
        <v>-10.96</v>
      </c>
      <c r="DG94" s="228">
        <v>-0.09</v>
      </c>
      <c r="DH94" s="228">
        <v>31.42</v>
      </c>
      <c r="DI94" s="228">
        <v>32.549999999999997</v>
      </c>
      <c r="DJ94" s="228">
        <v>-1.1299999999999999</v>
      </c>
      <c r="DK94" s="228">
        <v>-1.1299999999999999</v>
      </c>
      <c r="DL94" s="228">
        <v>33</v>
      </c>
      <c r="DM94" s="228">
        <v>34.5</v>
      </c>
      <c r="DN94" s="228">
        <v>-1.5</v>
      </c>
      <c r="DO94" s="228">
        <v>-1.5</v>
      </c>
      <c r="DP94" s="228">
        <v>0.83</v>
      </c>
      <c r="DQ94" s="228">
        <v>0.87</v>
      </c>
      <c r="DR94" s="228">
        <v>-0.04</v>
      </c>
      <c r="DS94" s="229">
        <v>-4.5999999999999999E-2</v>
      </c>
      <c r="DT94" s="228">
        <v>950</v>
      </c>
      <c r="DU94" s="228">
        <v>900</v>
      </c>
      <c r="DV94" s="228">
        <v>0.69</v>
      </c>
      <c r="DW94" s="228">
        <v>0.87</v>
      </c>
      <c r="DX94" s="228">
        <v>-0.18</v>
      </c>
      <c r="DY94" s="229">
        <v>-0.2069</v>
      </c>
      <c r="DZ94" s="229">
        <v>1.7500000000000002E-2</v>
      </c>
      <c r="EA94" s="230">
        <v>36017800</v>
      </c>
      <c r="EB94" s="229">
        <v>6.0000000000000001E-3</v>
      </c>
      <c r="EC94" s="229">
        <v>1.7500000000000002E-2</v>
      </c>
      <c r="ED94" s="228">
        <v>4.04</v>
      </c>
      <c r="EE94" s="229">
        <v>4.4999999999999997E-3</v>
      </c>
      <c r="EF94" s="230">
        <v>1633685</v>
      </c>
      <c r="EG94" s="230">
        <v>3662740</v>
      </c>
      <c r="EH94" s="229">
        <v>-0.55400000000000005</v>
      </c>
      <c r="EI94" s="229">
        <v>0.52949999999999997</v>
      </c>
      <c r="EJ94" s="231">
        <v>94325.37</v>
      </c>
      <c r="EK94" s="231">
        <v>61201.38</v>
      </c>
      <c r="EL94" s="231">
        <v>52901.72</v>
      </c>
      <c r="EM94" s="231">
        <v>40738</v>
      </c>
      <c r="EN94" s="231">
        <v>208428.47</v>
      </c>
      <c r="EO94" s="231">
        <v>906494.07</v>
      </c>
      <c r="EP94" s="231">
        <v>-698065.6</v>
      </c>
      <c r="EQ94" s="229">
        <v>-0.77010000000000001</v>
      </c>
      <c r="ER94" s="231">
        <v>55693</v>
      </c>
      <c r="ES94" s="231">
        <v>43046</v>
      </c>
      <c r="ET94" s="231">
        <v>328118</v>
      </c>
      <c r="EU94" s="231">
        <v>93808799</v>
      </c>
      <c r="EV94" s="231">
        <v>426858</v>
      </c>
      <c r="EW94" s="231">
        <v>413827</v>
      </c>
      <c r="EX94" s="231">
        <v>13031</v>
      </c>
      <c r="EY94" s="229">
        <v>3.15E-2</v>
      </c>
      <c r="EZ94" s="229">
        <v>0.50260000000000005</v>
      </c>
      <c r="FA94" s="227" t="s">
        <v>555</v>
      </c>
      <c r="FB94" s="161">
        <f t="shared" si="1"/>
        <v>634900</v>
      </c>
    </row>
    <row r="95" spans="1:158" ht="17.25" hidden="1" thickBot="1" x14ac:dyDescent="0.3">
      <c r="A95" s="226">
        <v>46050</v>
      </c>
      <c r="B95" s="227" t="s">
        <v>188</v>
      </c>
      <c r="C95" s="227" t="s">
        <v>473</v>
      </c>
      <c r="D95" s="228">
        <v>1700</v>
      </c>
      <c r="E95" s="228">
        <v>426.95</v>
      </c>
      <c r="F95" s="228">
        <v>424.55</v>
      </c>
      <c r="G95" s="228">
        <v>2.4</v>
      </c>
      <c r="H95" s="229">
        <v>5.7000000000000002E-3</v>
      </c>
      <c r="I95" s="228">
        <v>425.3</v>
      </c>
      <c r="J95" s="228">
        <v>422.55</v>
      </c>
      <c r="K95" s="228">
        <v>2.75</v>
      </c>
      <c r="L95" s="229">
        <v>6.4999999999999997E-3</v>
      </c>
      <c r="M95" s="228">
        <v>426.95</v>
      </c>
      <c r="N95" s="228">
        <v>422.05</v>
      </c>
      <c r="O95" s="228">
        <v>4.9000000000000004</v>
      </c>
      <c r="P95" s="229">
        <v>1.1599999999999999E-2</v>
      </c>
      <c r="Q95" s="228">
        <v>430</v>
      </c>
      <c r="R95" s="228">
        <v>424.55</v>
      </c>
      <c r="S95" s="228">
        <v>5.45</v>
      </c>
      <c r="T95" s="229">
        <v>1.2800000000000001E-2</v>
      </c>
      <c r="U95" s="228">
        <v>0</v>
      </c>
      <c r="V95" s="228">
        <v>427.3</v>
      </c>
      <c r="W95" s="228">
        <v>0</v>
      </c>
      <c r="X95" s="229">
        <v>0</v>
      </c>
      <c r="Y95" s="228">
        <v>1.65</v>
      </c>
      <c r="Z95" s="228">
        <v>2</v>
      </c>
      <c r="AA95" s="228">
        <v>-0.35</v>
      </c>
      <c r="AB95" s="229">
        <v>3.8999999999999998E-3</v>
      </c>
      <c r="AC95" s="228">
        <v>1.65</v>
      </c>
      <c r="AD95" s="228">
        <v>-0.5</v>
      </c>
      <c r="AE95" s="228">
        <v>2.15</v>
      </c>
      <c r="AF95" s="229">
        <v>3.8999999999999998E-3</v>
      </c>
      <c r="AG95" s="228">
        <v>4.7</v>
      </c>
      <c r="AH95" s="228">
        <v>2</v>
      </c>
      <c r="AI95" s="228">
        <v>2.7</v>
      </c>
      <c r="AJ95" s="229">
        <v>1.11E-2</v>
      </c>
      <c r="AK95" s="228">
        <v>0</v>
      </c>
      <c r="AL95" s="228">
        <v>4.75</v>
      </c>
      <c r="AM95" s="228">
        <v>0</v>
      </c>
      <c r="AN95" s="229">
        <v>0</v>
      </c>
      <c r="AO95" s="228">
        <v>426.54</v>
      </c>
      <c r="AP95" s="228">
        <v>429.75</v>
      </c>
      <c r="AQ95" s="228">
        <v>0</v>
      </c>
      <c r="AR95" s="230">
        <v>10383600</v>
      </c>
      <c r="AS95" s="230">
        <v>55698800</v>
      </c>
      <c r="AT95" s="230">
        <v>-45315200</v>
      </c>
      <c r="AU95" s="229">
        <v>-0.81359999999999999</v>
      </c>
      <c r="AV95" s="230">
        <v>10166000</v>
      </c>
      <c r="AW95" s="230">
        <v>24848900</v>
      </c>
      <c r="AX95" s="230">
        <v>-14682900</v>
      </c>
      <c r="AY95" s="229">
        <v>-0.59089999999999998</v>
      </c>
      <c r="AZ95" s="230">
        <v>217600</v>
      </c>
      <c r="BA95" s="230">
        <v>30693500</v>
      </c>
      <c r="BB95" s="230">
        <v>-30475900</v>
      </c>
      <c r="BC95" s="229">
        <v>-0.9929</v>
      </c>
      <c r="BD95" s="228">
        <v>0</v>
      </c>
      <c r="BE95" s="230">
        <v>156400</v>
      </c>
      <c r="BF95" s="228">
        <v>0</v>
      </c>
      <c r="BG95" s="229">
        <v>0</v>
      </c>
      <c r="BH95" s="230">
        <v>11687500</v>
      </c>
      <c r="BI95" s="230">
        <v>21567900</v>
      </c>
      <c r="BJ95" s="230">
        <v>-9880400</v>
      </c>
      <c r="BK95" s="229">
        <v>-0.45810000000000001</v>
      </c>
      <c r="BL95" s="230">
        <v>6169300</v>
      </c>
      <c r="BM95" s="230">
        <v>14334400</v>
      </c>
      <c r="BN95" s="230">
        <v>-8165100</v>
      </c>
      <c r="BO95" s="229">
        <v>-0.5696</v>
      </c>
      <c r="BP95" s="230">
        <v>28240400</v>
      </c>
      <c r="BQ95" s="230">
        <v>91601100</v>
      </c>
      <c r="BR95" s="230">
        <v>-63360700</v>
      </c>
      <c r="BS95" s="229">
        <v>-0.69169999999999998</v>
      </c>
      <c r="BT95" s="230">
        <v>5348920</v>
      </c>
      <c r="BU95" s="230">
        <v>7569551</v>
      </c>
      <c r="BV95" s="230">
        <v>-2220631</v>
      </c>
      <c r="BW95" s="229">
        <v>-0.29339999999999999</v>
      </c>
      <c r="BX95" s="230">
        <v>96213200</v>
      </c>
      <c r="BY95" s="230">
        <v>95711700</v>
      </c>
      <c r="BZ95" s="230">
        <v>501500</v>
      </c>
      <c r="CA95" s="229">
        <v>5.1999999999999998E-3</v>
      </c>
      <c r="CB95" s="230">
        <v>95703200</v>
      </c>
      <c r="CC95" s="230">
        <v>2878100</v>
      </c>
      <c r="CD95" s="230">
        <v>92825100</v>
      </c>
      <c r="CE95" s="229">
        <v>32.252200000000002</v>
      </c>
      <c r="CF95" s="230">
        <v>510000</v>
      </c>
      <c r="CG95" s="230">
        <v>95223800</v>
      </c>
      <c r="CH95" s="230">
        <v>-94713800</v>
      </c>
      <c r="CI95" s="229">
        <v>-0.99460000000000004</v>
      </c>
      <c r="CJ95" s="228">
        <v>0</v>
      </c>
      <c r="CK95" s="230">
        <v>487900</v>
      </c>
      <c r="CL95" s="230">
        <v>-487900</v>
      </c>
      <c r="CM95" s="229">
        <v>-1</v>
      </c>
      <c r="CN95" s="230">
        <v>7954300</v>
      </c>
      <c r="CO95" s="230">
        <v>7150200</v>
      </c>
      <c r="CP95" s="230">
        <v>804100</v>
      </c>
      <c r="CQ95" s="229">
        <v>0.1125</v>
      </c>
      <c r="CR95" s="230">
        <v>5577700</v>
      </c>
      <c r="CS95" s="230">
        <v>5368600</v>
      </c>
      <c r="CT95" s="230">
        <v>209100</v>
      </c>
      <c r="CU95" s="229">
        <v>3.8899999999999997E-2</v>
      </c>
      <c r="CV95" s="230">
        <v>109745200</v>
      </c>
      <c r="CW95" s="230">
        <v>108230500</v>
      </c>
      <c r="CX95" s="230">
        <v>1514700</v>
      </c>
      <c r="CY95" s="229">
        <v>1.4E-2</v>
      </c>
      <c r="CZ95" s="228">
        <v>35.07</v>
      </c>
      <c r="DA95" s="228">
        <v>35.369999999999997</v>
      </c>
      <c r="DB95" s="228">
        <v>-0.3</v>
      </c>
      <c r="DC95" s="228">
        <v>-0.3</v>
      </c>
      <c r="DD95" s="228">
        <v>37.53</v>
      </c>
      <c r="DE95" s="228">
        <v>37.619999999999997</v>
      </c>
      <c r="DF95" s="228">
        <v>-2.46</v>
      </c>
      <c r="DG95" s="228">
        <v>-0.09</v>
      </c>
      <c r="DH95" s="228">
        <v>34.630000000000003</v>
      </c>
      <c r="DI95" s="228">
        <v>34.72</v>
      </c>
      <c r="DJ95" s="228">
        <v>-0.09</v>
      </c>
      <c r="DK95" s="228">
        <v>-0.09</v>
      </c>
      <c r="DL95" s="228">
        <v>35.909999999999997</v>
      </c>
      <c r="DM95" s="228">
        <v>36.340000000000003</v>
      </c>
      <c r="DN95" s="228">
        <v>-0.43</v>
      </c>
      <c r="DO95" s="228">
        <v>-0.43</v>
      </c>
      <c r="DP95" s="228">
        <v>0.7</v>
      </c>
      <c r="DQ95" s="228">
        <v>0.75</v>
      </c>
      <c r="DR95" s="228">
        <v>-0.05</v>
      </c>
      <c r="DS95" s="229">
        <v>-6.6699999999999995E-2</v>
      </c>
      <c r="DT95" s="228">
        <v>450</v>
      </c>
      <c r="DU95" s="228">
        <v>400</v>
      </c>
      <c r="DV95" s="228">
        <v>0.53</v>
      </c>
      <c r="DW95" s="228">
        <v>0.66</v>
      </c>
      <c r="DX95" s="228">
        <v>-0.13</v>
      </c>
      <c r="DY95" s="229">
        <v>-0.19700000000000001</v>
      </c>
      <c r="DZ95" s="229">
        <v>5.3E-3</v>
      </c>
      <c r="EA95" s="230">
        <v>95711700</v>
      </c>
      <c r="EB95" s="229">
        <v>7.1000000000000004E-3</v>
      </c>
      <c r="EC95" s="229">
        <v>5.3E-3</v>
      </c>
      <c r="ED95" s="228">
        <v>3.21</v>
      </c>
      <c r="EE95" s="229">
        <v>7.4999999999999997E-3</v>
      </c>
      <c r="EF95" s="230">
        <v>3378921</v>
      </c>
      <c r="EG95" s="230">
        <v>4269976</v>
      </c>
      <c r="EH95" s="229">
        <v>-0.2087</v>
      </c>
      <c r="EI95" s="229">
        <v>0.63170000000000004</v>
      </c>
      <c r="EJ95" s="231">
        <v>52956.87</v>
      </c>
      <c r="EK95" s="231">
        <v>26429.93</v>
      </c>
      <c r="EL95" s="231">
        <v>44297.2</v>
      </c>
      <c r="EM95" s="231">
        <v>34959</v>
      </c>
      <c r="EN95" s="231">
        <v>123684</v>
      </c>
      <c r="EO95" s="231">
        <v>386537.64</v>
      </c>
      <c r="EP95" s="231">
        <v>-262853.64</v>
      </c>
      <c r="EQ95" s="229">
        <v>-0.68</v>
      </c>
      <c r="ER95" s="231">
        <v>35790</v>
      </c>
      <c r="ES95" s="231">
        <v>22663</v>
      </c>
      <c r="ET95" s="231">
        <v>410798</v>
      </c>
      <c r="EU95" s="231">
        <v>193623116</v>
      </c>
      <c r="EV95" s="231">
        <v>469251</v>
      </c>
      <c r="EW95" s="231">
        <v>460355</v>
      </c>
      <c r="EX95" s="231">
        <v>8896</v>
      </c>
      <c r="EY95" s="229">
        <v>1.9300000000000001E-2</v>
      </c>
      <c r="EZ95" s="229">
        <v>0.56679999999999997</v>
      </c>
      <c r="FA95" s="227" t="s">
        <v>555</v>
      </c>
      <c r="FB95" s="161">
        <f t="shared" si="1"/>
        <v>510000</v>
      </c>
    </row>
    <row r="96" spans="1:158" ht="17.25" hidden="1" thickBot="1" x14ac:dyDescent="0.3">
      <c r="A96" s="226">
        <v>46050</v>
      </c>
      <c r="B96" s="227" t="s">
        <v>221</v>
      </c>
      <c r="C96" s="227" t="s">
        <v>240</v>
      </c>
      <c r="D96" s="228">
        <v>400</v>
      </c>
      <c r="E96" s="231">
        <v>1673.2</v>
      </c>
      <c r="F96" s="231">
        <v>1695.6</v>
      </c>
      <c r="G96" s="228">
        <v>-22.4</v>
      </c>
      <c r="H96" s="229">
        <v>-1.32E-2</v>
      </c>
      <c r="I96" s="231">
        <v>1666.5</v>
      </c>
      <c r="J96" s="231">
        <v>1682.7</v>
      </c>
      <c r="K96" s="228">
        <v>-16.2</v>
      </c>
      <c r="L96" s="229">
        <v>-9.5999999999999992E-3</v>
      </c>
      <c r="M96" s="231">
        <v>1673.2</v>
      </c>
      <c r="N96" s="231">
        <v>1684.7</v>
      </c>
      <c r="O96" s="228">
        <v>-11.5</v>
      </c>
      <c r="P96" s="229">
        <v>-6.7999999999999996E-3</v>
      </c>
      <c r="Q96" s="231">
        <v>1683.8</v>
      </c>
      <c r="R96" s="231">
        <v>1695.6</v>
      </c>
      <c r="S96" s="228">
        <v>-11.8</v>
      </c>
      <c r="T96" s="229">
        <v>-7.0000000000000001E-3</v>
      </c>
      <c r="U96" s="231">
        <v>1694.8</v>
      </c>
      <c r="V96" s="231">
        <v>1706</v>
      </c>
      <c r="W96" s="228">
        <v>-11.2</v>
      </c>
      <c r="X96" s="229">
        <v>-6.6E-3</v>
      </c>
      <c r="Y96" s="228">
        <v>6.7</v>
      </c>
      <c r="Z96" s="228">
        <v>12.9</v>
      </c>
      <c r="AA96" s="228">
        <v>-6.2</v>
      </c>
      <c r="AB96" s="229">
        <v>4.0000000000000001E-3</v>
      </c>
      <c r="AC96" s="228">
        <v>6.7</v>
      </c>
      <c r="AD96" s="228">
        <v>2</v>
      </c>
      <c r="AE96" s="228">
        <v>4.7</v>
      </c>
      <c r="AF96" s="229">
        <v>4.0000000000000001E-3</v>
      </c>
      <c r="AG96" s="228">
        <v>17.3</v>
      </c>
      <c r="AH96" s="228">
        <v>12.9</v>
      </c>
      <c r="AI96" s="228">
        <v>4.4000000000000004</v>
      </c>
      <c r="AJ96" s="229">
        <v>1.04E-2</v>
      </c>
      <c r="AK96" s="228">
        <v>28.3</v>
      </c>
      <c r="AL96" s="228">
        <v>23.3</v>
      </c>
      <c r="AM96" s="228">
        <v>5</v>
      </c>
      <c r="AN96" s="229">
        <v>1.7000000000000001E-2</v>
      </c>
      <c r="AO96" s="231">
        <v>1672.61</v>
      </c>
      <c r="AP96" s="231">
        <v>1682.58</v>
      </c>
      <c r="AQ96" s="228">
        <v>0</v>
      </c>
      <c r="AR96" s="230">
        <v>7887200</v>
      </c>
      <c r="AS96" s="230">
        <v>31229600</v>
      </c>
      <c r="AT96" s="230">
        <v>-23342400</v>
      </c>
      <c r="AU96" s="229">
        <v>-0.74739999999999995</v>
      </c>
      <c r="AV96" s="230">
        <v>7510000</v>
      </c>
      <c r="AW96" s="230">
        <v>14259600</v>
      </c>
      <c r="AX96" s="230">
        <v>-6749600</v>
      </c>
      <c r="AY96" s="229">
        <v>-0.4733</v>
      </c>
      <c r="AZ96" s="230">
        <v>349200</v>
      </c>
      <c r="BA96" s="230">
        <v>16707200</v>
      </c>
      <c r="BB96" s="230">
        <v>-16358000</v>
      </c>
      <c r="BC96" s="229">
        <v>-0.97909999999999997</v>
      </c>
      <c r="BD96" s="230">
        <v>28000</v>
      </c>
      <c r="BE96" s="230">
        <v>262800</v>
      </c>
      <c r="BF96" s="230">
        <v>-234800</v>
      </c>
      <c r="BG96" s="229">
        <v>-0.89349999999999996</v>
      </c>
      <c r="BH96" s="230">
        <v>18418400</v>
      </c>
      <c r="BI96" s="230">
        <v>34438000</v>
      </c>
      <c r="BJ96" s="230">
        <v>-16019600</v>
      </c>
      <c r="BK96" s="229">
        <v>-0.4652</v>
      </c>
      <c r="BL96" s="230">
        <v>11782800</v>
      </c>
      <c r="BM96" s="230">
        <v>17735600</v>
      </c>
      <c r="BN96" s="230">
        <v>-5952800</v>
      </c>
      <c r="BO96" s="229">
        <v>-0.33560000000000001</v>
      </c>
      <c r="BP96" s="230">
        <v>38088400</v>
      </c>
      <c r="BQ96" s="230">
        <v>83403200</v>
      </c>
      <c r="BR96" s="230">
        <v>-45314800</v>
      </c>
      <c r="BS96" s="229">
        <v>-0.54330000000000001</v>
      </c>
      <c r="BT96" s="230">
        <v>8962992</v>
      </c>
      <c r="BU96" s="230">
        <v>11165698</v>
      </c>
      <c r="BV96" s="230">
        <v>-2202706</v>
      </c>
      <c r="BW96" s="229">
        <v>-0.1973</v>
      </c>
      <c r="BX96" s="230">
        <v>65920000</v>
      </c>
      <c r="BY96" s="230">
        <v>66801600</v>
      </c>
      <c r="BZ96" s="230">
        <v>-881600</v>
      </c>
      <c r="CA96" s="229">
        <v>-1.32E-2</v>
      </c>
      <c r="CB96" s="230">
        <v>64912400</v>
      </c>
      <c r="CC96" s="230">
        <v>7936000</v>
      </c>
      <c r="CD96" s="230">
        <v>56976400</v>
      </c>
      <c r="CE96" s="229">
        <v>7.1795</v>
      </c>
      <c r="CF96" s="230">
        <v>986800</v>
      </c>
      <c r="CG96" s="230">
        <v>65852000</v>
      </c>
      <c r="CH96" s="230">
        <v>-64865200</v>
      </c>
      <c r="CI96" s="229">
        <v>-0.98499999999999999</v>
      </c>
      <c r="CJ96" s="230">
        <v>20800</v>
      </c>
      <c r="CK96" s="230">
        <v>949600</v>
      </c>
      <c r="CL96" s="230">
        <v>-928800</v>
      </c>
      <c r="CM96" s="229">
        <v>-0.97809999999999997</v>
      </c>
      <c r="CN96" s="230">
        <v>6992000</v>
      </c>
      <c r="CO96" s="230">
        <v>5037600</v>
      </c>
      <c r="CP96" s="230">
        <v>1954400</v>
      </c>
      <c r="CQ96" s="229">
        <v>0.38800000000000001</v>
      </c>
      <c r="CR96" s="230">
        <v>5302800</v>
      </c>
      <c r="CS96" s="230">
        <v>4253600</v>
      </c>
      <c r="CT96" s="230">
        <v>1049200</v>
      </c>
      <c r="CU96" s="229">
        <v>0.2467</v>
      </c>
      <c r="CV96" s="230">
        <v>78214800</v>
      </c>
      <c r="CW96" s="230">
        <v>76092800</v>
      </c>
      <c r="CX96" s="230">
        <v>2122000</v>
      </c>
      <c r="CY96" s="229">
        <v>2.7900000000000001E-2</v>
      </c>
      <c r="CZ96" s="228">
        <v>22.1</v>
      </c>
      <c r="DA96" s="228">
        <v>23.07</v>
      </c>
      <c r="DB96" s="228">
        <v>-0.97</v>
      </c>
      <c r="DC96" s="228">
        <v>-0.97</v>
      </c>
      <c r="DD96" s="228">
        <v>28.51</v>
      </c>
      <c r="DE96" s="228">
        <v>28.55</v>
      </c>
      <c r="DF96" s="228">
        <v>-6.41</v>
      </c>
      <c r="DG96" s="228">
        <v>-0.04</v>
      </c>
      <c r="DH96" s="228">
        <v>21.28</v>
      </c>
      <c r="DI96" s="228">
        <v>22.14</v>
      </c>
      <c r="DJ96" s="228">
        <v>-0.86</v>
      </c>
      <c r="DK96" s="228">
        <v>-0.86</v>
      </c>
      <c r="DL96" s="228">
        <v>23.4</v>
      </c>
      <c r="DM96" s="228">
        <v>24.76</v>
      </c>
      <c r="DN96" s="228">
        <v>-1.36</v>
      </c>
      <c r="DO96" s="228">
        <v>-1.36</v>
      </c>
      <c r="DP96" s="228">
        <v>0.76</v>
      </c>
      <c r="DQ96" s="228">
        <v>0.84</v>
      </c>
      <c r="DR96" s="228">
        <v>-0.08</v>
      </c>
      <c r="DS96" s="229">
        <v>-9.5200000000000007E-2</v>
      </c>
      <c r="DT96" s="231">
        <v>1700</v>
      </c>
      <c r="DU96" s="231">
        <v>1600</v>
      </c>
      <c r="DV96" s="228">
        <v>0.64</v>
      </c>
      <c r="DW96" s="228">
        <v>0.52</v>
      </c>
      <c r="DX96" s="228">
        <v>0.12</v>
      </c>
      <c r="DY96" s="229">
        <v>0.23080000000000001</v>
      </c>
      <c r="DZ96" s="229">
        <v>1.5299999999999999E-2</v>
      </c>
      <c r="EA96" s="230">
        <v>66801600</v>
      </c>
      <c r="EB96" s="229">
        <v>6.3E-3</v>
      </c>
      <c r="EC96" s="229">
        <v>1.5299999999999999E-2</v>
      </c>
      <c r="ED96" s="228">
        <v>9.9700000000000006</v>
      </c>
      <c r="EE96" s="229">
        <v>6.0000000000000001E-3</v>
      </c>
      <c r="EF96" s="230">
        <v>5400277</v>
      </c>
      <c r="EG96" s="230">
        <v>7671769</v>
      </c>
      <c r="EH96" s="229">
        <v>-0.29609999999999997</v>
      </c>
      <c r="EI96" s="229">
        <v>0.60250000000000004</v>
      </c>
      <c r="EJ96" s="231">
        <v>322759.82</v>
      </c>
      <c r="EK96" s="231">
        <v>193774.1</v>
      </c>
      <c r="EL96" s="231">
        <v>131960.63</v>
      </c>
      <c r="EM96" s="231">
        <v>103547</v>
      </c>
      <c r="EN96" s="231">
        <v>648494.55000000005</v>
      </c>
      <c r="EO96" s="231">
        <v>1407484.45</v>
      </c>
      <c r="EP96" s="231">
        <v>-758989.9</v>
      </c>
      <c r="EQ96" s="229">
        <v>-0.5393</v>
      </c>
      <c r="ER96" s="231">
        <v>120885</v>
      </c>
      <c r="ES96" s="231">
        <v>84481</v>
      </c>
      <c r="ET96" s="231">
        <v>1103083</v>
      </c>
      <c r="EU96" s="231">
        <v>368703409</v>
      </c>
      <c r="EV96" s="231">
        <v>1308448</v>
      </c>
      <c r="EW96" s="231">
        <v>1287832</v>
      </c>
      <c r="EX96" s="231">
        <v>20616</v>
      </c>
      <c r="EY96" s="229">
        <v>1.6E-2</v>
      </c>
      <c r="EZ96" s="229">
        <v>0.21210000000000001</v>
      </c>
      <c r="FA96" s="227" t="s">
        <v>568</v>
      </c>
      <c r="FB96" s="161">
        <f t="shared" si="1"/>
        <v>1007600</v>
      </c>
    </row>
    <row r="97" spans="1:158" ht="17.25" hidden="1" thickBot="1" x14ac:dyDescent="0.3">
      <c r="A97" s="226">
        <v>46050</v>
      </c>
      <c r="B97" s="227" t="s">
        <v>161</v>
      </c>
      <c r="C97" s="227" t="s">
        <v>668</v>
      </c>
      <c r="D97" s="228">
        <v>3575</v>
      </c>
      <c r="E97" s="228">
        <v>109.79</v>
      </c>
      <c r="F97" s="228">
        <v>105.16</v>
      </c>
      <c r="G97" s="228">
        <v>4.63</v>
      </c>
      <c r="H97" s="229">
        <v>4.3999999999999997E-2</v>
      </c>
      <c r="I97" s="228">
        <v>109.25</v>
      </c>
      <c r="J97" s="228">
        <v>104.72</v>
      </c>
      <c r="K97" s="228">
        <v>4.53</v>
      </c>
      <c r="L97" s="229">
        <v>4.3299999999999998E-2</v>
      </c>
      <c r="M97" s="228">
        <v>109.79</v>
      </c>
      <c r="N97" s="228">
        <v>104.53</v>
      </c>
      <c r="O97" s="228">
        <v>5.26</v>
      </c>
      <c r="P97" s="229">
        <v>5.0299999999999997E-2</v>
      </c>
      <c r="Q97" s="228">
        <v>110.49</v>
      </c>
      <c r="R97" s="228">
        <v>105.16</v>
      </c>
      <c r="S97" s="228">
        <v>5.33</v>
      </c>
      <c r="T97" s="229">
        <v>5.0700000000000002E-2</v>
      </c>
      <c r="U97" s="228">
        <v>111.21</v>
      </c>
      <c r="V97" s="228">
        <v>105.97</v>
      </c>
      <c r="W97" s="228">
        <v>5.24</v>
      </c>
      <c r="X97" s="229">
        <v>4.9399999999999999E-2</v>
      </c>
      <c r="Y97" s="228">
        <v>0.54</v>
      </c>
      <c r="Z97" s="228">
        <v>0.44</v>
      </c>
      <c r="AA97" s="228">
        <v>0.1</v>
      </c>
      <c r="AB97" s="229">
        <v>4.8999999999999998E-3</v>
      </c>
      <c r="AC97" s="228">
        <v>0.54</v>
      </c>
      <c r="AD97" s="228">
        <v>-0.19</v>
      </c>
      <c r="AE97" s="228">
        <v>0.73</v>
      </c>
      <c r="AF97" s="229">
        <v>4.8999999999999998E-3</v>
      </c>
      <c r="AG97" s="228">
        <v>1.24</v>
      </c>
      <c r="AH97" s="228">
        <v>0.44</v>
      </c>
      <c r="AI97" s="228">
        <v>0.8</v>
      </c>
      <c r="AJ97" s="229">
        <v>1.14E-2</v>
      </c>
      <c r="AK97" s="228">
        <v>1.96</v>
      </c>
      <c r="AL97" s="228">
        <v>1.25</v>
      </c>
      <c r="AM97" s="228">
        <v>0.71</v>
      </c>
      <c r="AN97" s="229">
        <v>1.7899999999999999E-2</v>
      </c>
      <c r="AO97" s="228">
        <v>108.24</v>
      </c>
      <c r="AP97" s="228">
        <v>108.75</v>
      </c>
      <c r="AQ97" s="228">
        <v>0</v>
      </c>
      <c r="AR97" s="230">
        <v>9577425</v>
      </c>
      <c r="AS97" s="230">
        <v>101151050</v>
      </c>
      <c r="AT97" s="230">
        <v>-91573625</v>
      </c>
      <c r="AU97" s="229">
        <v>-0.90529999999999999</v>
      </c>
      <c r="AV97" s="230">
        <v>8951800</v>
      </c>
      <c r="AW97" s="230">
        <v>48891700</v>
      </c>
      <c r="AX97" s="230">
        <v>-39939900</v>
      </c>
      <c r="AY97" s="229">
        <v>-0.81689999999999996</v>
      </c>
      <c r="AZ97" s="230">
        <v>586300</v>
      </c>
      <c r="BA97" s="230">
        <v>51404925</v>
      </c>
      <c r="BB97" s="230">
        <v>-50818625</v>
      </c>
      <c r="BC97" s="229">
        <v>-0.98860000000000003</v>
      </c>
      <c r="BD97" s="230">
        <v>39325</v>
      </c>
      <c r="BE97" s="230">
        <v>854425</v>
      </c>
      <c r="BF97" s="230">
        <v>-815100</v>
      </c>
      <c r="BG97" s="229">
        <v>-0.95399999999999996</v>
      </c>
      <c r="BH97" s="230">
        <v>16534375</v>
      </c>
      <c r="BI97" s="230">
        <v>21053175</v>
      </c>
      <c r="BJ97" s="230">
        <v>-4518800</v>
      </c>
      <c r="BK97" s="229">
        <v>-0.21460000000000001</v>
      </c>
      <c r="BL97" s="230">
        <v>8476325</v>
      </c>
      <c r="BM97" s="230">
        <v>23030150</v>
      </c>
      <c r="BN97" s="230">
        <v>-14553825</v>
      </c>
      <c r="BO97" s="229">
        <v>-0.63190000000000002</v>
      </c>
      <c r="BP97" s="230">
        <v>34588125</v>
      </c>
      <c r="BQ97" s="230">
        <v>145234375</v>
      </c>
      <c r="BR97" s="230">
        <v>-110646250</v>
      </c>
      <c r="BS97" s="229">
        <v>-0.76180000000000003</v>
      </c>
      <c r="BT97" s="230">
        <v>6277588</v>
      </c>
      <c r="BU97" s="230">
        <v>9759656</v>
      </c>
      <c r="BV97" s="230">
        <v>-3482068</v>
      </c>
      <c r="BW97" s="229">
        <v>-0.35680000000000001</v>
      </c>
      <c r="BX97" s="230">
        <v>92310075</v>
      </c>
      <c r="BY97" s="230">
        <v>92174225</v>
      </c>
      <c r="BZ97" s="230">
        <v>135850</v>
      </c>
      <c r="CA97" s="229">
        <v>1.5E-3</v>
      </c>
      <c r="CB97" s="230">
        <v>90093575</v>
      </c>
      <c r="CC97" s="230">
        <v>4050475</v>
      </c>
      <c r="CD97" s="230">
        <v>86043100</v>
      </c>
      <c r="CE97" s="229">
        <v>21.242699999999999</v>
      </c>
      <c r="CF97" s="230">
        <v>2187900</v>
      </c>
      <c r="CG97" s="230">
        <v>90143625</v>
      </c>
      <c r="CH97" s="230">
        <v>-87955725</v>
      </c>
      <c r="CI97" s="229">
        <v>-0.97570000000000001</v>
      </c>
      <c r="CJ97" s="230">
        <v>28600</v>
      </c>
      <c r="CK97" s="230">
        <v>2030600</v>
      </c>
      <c r="CL97" s="230">
        <v>-2002000</v>
      </c>
      <c r="CM97" s="229">
        <v>-0.9859</v>
      </c>
      <c r="CN97" s="230">
        <v>12794925</v>
      </c>
      <c r="CO97" s="230">
        <v>9713275</v>
      </c>
      <c r="CP97" s="230">
        <v>3081650</v>
      </c>
      <c r="CQ97" s="229">
        <v>0.31730000000000003</v>
      </c>
      <c r="CR97" s="230">
        <v>14289275</v>
      </c>
      <c r="CS97" s="230">
        <v>11250525</v>
      </c>
      <c r="CT97" s="230">
        <v>3038750</v>
      </c>
      <c r="CU97" s="229">
        <v>0.27010000000000001</v>
      </c>
      <c r="CV97" s="230">
        <v>119394275</v>
      </c>
      <c r="CW97" s="230">
        <v>113138025</v>
      </c>
      <c r="CX97" s="230">
        <v>6256250</v>
      </c>
      <c r="CY97" s="229">
        <v>5.5300000000000002E-2</v>
      </c>
      <c r="CZ97" s="228">
        <v>49.58</v>
      </c>
      <c r="DA97" s="228">
        <v>50.01</v>
      </c>
      <c r="DB97" s="228">
        <v>-0.43</v>
      </c>
      <c r="DC97" s="228">
        <v>-0.43</v>
      </c>
      <c r="DD97" s="228">
        <v>51.95</v>
      </c>
      <c r="DE97" s="228">
        <v>51.75</v>
      </c>
      <c r="DF97" s="228">
        <v>-2.37</v>
      </c>
      <c r="DG97" s="228">
        <v>0.2</v>
      </c>
      <c r="DH97" s="228">
        <v>47.33</v>
      </c>
      <c r="DI97" s="228">
        <v>48.96</v>
      </c>
      <c r="DJ97" s="228">
        <v>-1.63</v>
      </c>
      <c r="DK97" s="228">
        <v>-1.63</v>
      </c>
      <c r="DL97" s="228">
        <v>53.98</v>
      </c>
      <c r="DM97" s="228">
        <v>51.41</v>
      </c>
      <c r="DN97" s="228">
        <v>2.57</v>
      </c>
      <c r="DO97" s="228">
        <v>2.57</v>
      </c>
      <c r="DP97" s="228">
        <v>1.1200000000000001</v>
      </c>
      <c r="DQ97" s="228">
        <v>1.1599999999999999</v>
      </c>
      <c r="DR97" s="228">
        <v>-0.04</v>
      </c>
      <c r="DS97" s="229">
        <v>-3.4500000000000003E-2</v>
      </c>
      <c r="DT97" s="228">
        <v>110</v>
      </c>
      <c r="DU97" s="228">
        <v>110</v>
      </c>
      <c r="DV97" s="228">
        <v>0.51</v>
      </c>
      <c r="DW97" s="228">
        <v>1.0900000000000001</v>
      </c>
      <c r="DX97" s="228">
        <v>-0.57999999999999996</v>
      </c>
      <c r="DY97" s="229">
        <v>-0.53210000000000002</v>
      </c>
      <c r="DZ97" s="229">
        <v>2.4E-2</v>
      </c>
      <c r="EA97" s="230">
        <v>92174225</v>
      </c>
      <c r="EB97" s="229">
        <v>6.4000000000000003E-3</v>
      </c>
      <c r="EC97" s="229">
        <v>2.4E-2</v>
      </c>
      <c r="ED97" s="228">
        <v>0.51</v>
      </c>
      <c r="EE97" s="229">
        <v>4.7000000000000002E-3</v>
      </c>
      <c r="EF97" s="230">
        <v>2011458</v>
      </c>
      <c r="EG97" s="230">
        <v>3278934</v>
      </c>
      <c r="EH97" s="229">
        <v>-0.3866</v>
      </c>
      <c r="EI97" s="229">
        <v>0.32040000000000002</v>
      </c>
      <c r="EJ97" s="231">
        <v>19823.8</v>
      </c>
      <c r="EK97" s="231">
        <v>9061.4500000000007</v>
      </c>
      <c r="EL97" s="231">
        <v>10370.32</v>
      </c>
      <c r="EM97" s="231">
        <v>18148</v>
      </c>
      <c r="EN97" s="231">
        <v>39255.57</v>
      </c>
      <c r="EO97" s="231">
        <v>157213.69</v>
      </c>
      <c r="EP97" s="231">
        <v>-117958.12</v>
      </c>
      <c r="EQ97" s="229">
        <v>-0.75029999999999997</v>
      </c>
      <c r="ER97" s="231">
        <v>15084</v>
      </c>
      <c r="ES97" s="231">
        <v>16017</v>
      </c>
      <c r="ET97" s="231">
        <v>101363</v>
      </c>
      <c r="EU97" s="231">
        <v>144708707</v>
      </c>
      <c r="EV97" s="231">
        <v>132464</v>
      </c>
      <c r="EW97" s="231">
        <v>121345</v>
      </c>
      <c r="EX97" s="231">
        <v>11119</v>
      </c>
      <c r="EY97" s="229">
        <v>9.1600000000000001E-2</v>
      </c>
      <c r="EZ97" s="229">
        <v>0.82509999999999994</v>
      </c>
      <c r="FA97" s="227" t="s">
        <v>555</v>
      </c>
      <c r="FB97" s="161">
        <f t="shared" si="1"/>
        <v>2216500</v>
      </c>
    </row>
    <row r="98" spans="1:158" ht="17.25" hidden="1" thickBot="1" x14ac:dyDescent="0.3">
      <c r="A98" s="226">
        <v>46050</v>
      </c>
      <c r="B98" s="227" t="s">
        <v>193</v>
      </c>
      <c r="C98" s="227" t="s">
        <v>241</v>
      </c>
      <c r="D98" s="228">
        <v>4875</v>
      </c>
      <c r="E98" s="228">
        <v>163.75</v>
      </c>
      <c r="F98" s="228">
        <v>159.63</v>
      </c>
      <c r="G98" s="228">
        <v>4.12</v>
      </c>
      <c r="H98" s="229">
        <v>2.58E-2</v>
      </c>
      <c r="I98" s="228">
        <v>162.85</v>
      </c>
      <c r="J98" s="228">
        <v>158.9</v>
      </c>
      <c r="K98" s="228">
        <v>3.95</v>
      </c>
      <c r="L98" s="229">
        <v>2.4899999999999999E-2</v>
      </c>
      <c r="M98" s="228">
        <v>163.75</v>
      </c>
      <c r="N98" s="228">
        <v>158.88999999999999</v>
      </c>
      <c r="O98" s="228">
        <v>4.8600000000000003</v>
      </c>
      <c r="P98" s="229">
        <v>3.0599999999999999E-2</v>
      </c>
      <c r="Q98" s="228">
        <v>164.52</v>
      </c>
      <c r="R98" s="228">
        <v>159.63</v>
      </c>
      <c r="S98" s="228">
        <v>4.8899999999999997</v>
      </c>
      <c r="T98" s="229">
        <v>3.0599999999999999E-2</v>
      </c>
      <c r="U98" s="228">
        <v>165.51</v>
      </c>
      <c r="V98" s="228">
        <v>160.36000000000001</v>
      </c>
      <c r="W98" s="228">
        <v>5.15</v>
      </c>
      <c r="X98" s="229">
        <v>3.2099999999999997E-2</v>
      </c>
      <c r="Y98" s="228">
        <v>0.9</v>
      </c>
      <c r="Z98" s="228">
        <v>0.73</v>
      </c>
      <c r="AA98" s="228">
        <v>0.17</v>
      </c>
      <c r="AB98" s="229">
        <v>5.4999999999999997E-3</v>
      </c>
      <c r="AC98" s="228">
        <v>0.9</v>
      </c>
      <c r="AD98" s="228">
        <v>-0.01</v>
      </c>
      <c r="AE98" s="228">
        <v>0.91</v>
      </c>
      <c r="AF98" s="229">
        <v>5.4999999999999997E-3</v>
      </c>
      <c r="AG98" s="228">
        <v>1.67</v>
      </c>
      <c r="AH98" s="228">
        <v>0.73</v>
      </c>
      <c r="AI98" s="228">
        <v>0.94</v>
      </c>
      <c r="AJ98" s="229">
        <v>1.03E-2</v>
      </c>
      <c r="AK98" s="228">
        <v>2.66</v>
      </c>
      <c r="AL98" s="228">
        <v>1.46</v>
      </c>
      <c r="AM98" s="228">
        <v>1.2</v>
      </c>
      <c r="AN98" s="229">
        <v>1.6299999999999999E-2</v>
      </c>
      <c r="AO98" s="228">
        <v>162.94999999999999</v>
      </c>
      <c r="AP98" s="228">
        <v>163.79</v>
      </c>
      <c r="AQ98" s="228">
        <v>0</v>
      </c>
      <c r="AR98" s="230">
        <v>19665750</v>
      </c>
      <c r="AS98" s="230">
        <v>48355125</v>
      </c>
      <c r="AT98" s="230">
        <v>-28689375</v>
      </c>
      <c r="AU98" s="229">
        <v>-0.59330000000000005</v>
      </c>
      <c r="AV98" s="230">
        <v>18447000</v>
      </c>
      <c r="AW98" s="230">
        <v>24150750</v>
      </c>
      <c r="AX98" s="230">
        <v>-5703750</v>
      </c>
      <c r="AY98" s="229">
        <v>-0.23619999999999999</v>
      </c>
      <c r="AZ98" s="230">
        <v>1121250</v>
      </c>
      <c r="BA98" s="230">
        <v>22941750</v>
      </c>
      <c r="BB98" s="230">
        <v>-21820500</v>
      </c>
      <c r="BC98" s="229">
        <v>-0.95109999999999995</v>
      </c>
      <c r="BD98" s="230">
        <v>97500</v>
      </c>
      <c r="BE98" s="230">
        <v>1262625</v>
      </c>
      <c r="BF98" s="230">
        <v>-1165125</v>
      </c>
      <c r="BG98" s="229">
        <v>-0.92279999999999995</v>
      </c>
      <c r="BH98" s="230">
        <v>64559625</v>
      </c>
      <c r="BI98" s="230">
        <v>40233375</v>
      </c>
      <c r="BJ98" s="230">
        <v>24326250</v>
      </c>
      <c r="BK98" s="229">
        <v>0.60460000000000003</v>
      </c>
      <c r="BL98" s="230">
        <v>24072750</v>
      </c>
      <c r="BM98" s="230">
        <v>20582250</v>
      </c>
      <c r="BN98" s="230">
        <v>3490500</v>
      </c>
      <c r="BO98" s="229">
        <v>0.1696</v>
      </c>
      <c r="BP98" s="230">
        <v>108298125</v>
      </c>
      <c r="BQ98" s="230">
        <v>109170750</v>
      </c>
      <c r="BR98" s="230">
        <v>-872625</v>
      </c>
      <c r="BS98" s="229">
        <v>-8.0000000000000002E-3</v>
      </c>
      <c r="BT98" s="230">
        <v>17333876</v>
      </c>
      <c r="BU98" s="230">
        <v>11771481</v>
      </c>
      <c r="BV98" s="230">
        <v>5562395</v>
      </c>
      <c r="BW98" s="229">
        <v>0.47249999999999998</v>
      </c>
      <c r="BX98" s="230">
        <v>86818875</v>
      </c>
      <c r="BY98" s="230">
        <v>84854250</v>
      </c>
      <c r="BZ98" s="230">
        <v>1964625</v>
      </c>
      <c r="CA98" s="229">
        <v>2.3199999999999998E-2</v>
      </c>
      <c r="CB98" s="230">
        <v>84786000</v>
      </c>
      <c r="CC98" s="230">
        <v>11163750</v>
      </c>
      <c r="CD98" s="230">
        <v>73622250</v>
      </c>
      <c r="CE98" s="229">
        <v>6.5948000000000002</v>
      </c>
      <c r="CF98" s="230">
        <v>1974375</v>
      </c>
      <c r="CG98" s="230">
        <v>82948125</v>
      </c>
      <c r="CH98" s="230">
        <v>-80973750</v>
      </c>
      <c r="CI98" s="229">
        <v>-0.97619999999999996</v>
      </c>
      <c r="CJ98" s="230">
        <v>58500</v>
      </c>
      <c r="CK98" s="230">
        <v>1906125</v>
      </c>
      <c r="CL98" s="230">
        <v>-1847625</v>
      </c>
      <c r="CM98" s="229">
        <v>-0.96930000000000005</v>
      </c>
      <c r="CN98" s="230">
        <v>24526125</v>
      </c>
      <c r="CO98" s="230">
        <v>17447625</v>
      </c>
      <c r="CP98" s="230">
        <v>7078500</v>
      </c>
      <c r="CQ98" s="229">
        <v>0.40570000000000001</v>
      </c>
      <c r="CR98" s="230">
        <v>20299500</v>
      </c>
      <c r="CS98" s="230">
        <v>17242875</v>
      </c>
      <c r="CT98" s="230">
        <v>3056625</v>
      </c>
      <c r="CU98" s="229">
        <v>0.17730000000000001</v>
      </c>
      <c r="CV98" s="230">
        <v>131644500</v>
      </c>
      <c r="CW98" s="230">
        <v>119544750</v>
      </c>
      <c r="CX98" s="230">
        <v>12099750</v>
      </c>
      <c r="CY98" s="229">
        <v>0.1012</v>
      </c>
      <c r="CZ98" s="228">
        <v>29.38</v>
      </c>
      <c r="DA98" s="228">
        <v>28.86</v>
      </c>
      <c r="DB98" s="228">
        <v>0.52</v>
      </c>
      <c r="DC98" s="228">
        <v>0.52</v>
      </c>
      <c r="DD98" s="228">
        <v>30.58</v>
      </c>
      <c r="DE98" s="228">
        <v>30.46</v>
      </c>
      <c r="DF98" s="228">
        <v>-1.2</v>
      </c>
      <c r="DG98" s="228">
        <v>0.12</v>
      </c>
      <c r="DH98" s="228">
        <v>28.94</v>
      </c>
      <c r="DI98" s="228">
        <v>27.78</v>
      </c>
      <c r="DJ98" s="228">
        <v>1.1599999999999999</v>
      </c>
      <c r="DK98" s="228">
        <v>1.1599999999999999</v>
      </c>
      <c r="DL98" s="228">
        <v>30.56</v>
      </c>
      <c r="DM98" s="228">
        <v>30.35</v>
      </c>
      <c r="DN98" s="228">
        <v>0.21</v>
      </c>
      <c r="DO98" s="228">
        <v>0.21</v>
      </c>
      <c r="DP98" s="228">
        <v>0.83</v>
      </c>
      <c r="DQ98" s="228">
        <v>0.99</v>
      </c>
      <c r="DR98" s="228">
        <v>-0.16</v>
      </c>
      <c r="DS98" s="229">
        <v>-0.16159999999999999</v>
      </c>
      <c r="DT98" s="228">
        <v>160</v>
      </c>
      <c r="DU98" s="228">
        <v>160</v>
      </c>
      <c r="DV98" s="228">
        <v>0.37</v>
      </c>
      <c r="DW98" s="228">
        <v>0.51</v>
      </c>
      <c r="DX98" s="228">
        <v>-0.14000000000000001</v>
      </c>
      <c r="DY98" s="229">
        <v>-0.27450000000000002</v>
      </c>
      <c r="DZ98" s="229">
        <v>2.3400000000000001E-2</v>
      </c>
      <c r="EA98" s="230">
        <v>84854250</v>
      </c>
      <c r="EB98" s="229">
        <v>4.7000000000000002E-3</v>
      </c>
      <c r="EC98" s="229">
        <v>2.3400000000000001E-2</v>
      </c>
      <c r="ED98" s="228">
        <v>0.84</v>
      </c>
      <c r="EE98" s="229">
        <v>5.1999999999999998E-3</v>
      </c>
      <c r="EF98" s="230">
        <v>8206459</v>
      </c>
      <c r="EG98" s="230">
        <v>6753164</v>
      </c>
      <c r="EH98" s="229">
        <v>0.2152</v>
      </c>
      <c r="EI98" s="229">
        <v>0.47339999999999999</v>
      </c>
      <c r="EJ98" s="231">
        <v>110513.4</v>
      </c>
      <c r="EK98" s="231">
        <v>38213.32</v>
      </c>
      <c r="EL98" s="231">
        <v>32056.71</v>
      </c>
      <c r="EM98" s="231">
        <v>11789</v>
      </c>
      <c r="EN98" s="231">
        <v>180783.43</v>
      </c>
      <c r="EO98" s="231">
        <v>175081.73</v>
      </c>
      <c r="EP98" s="231">
        <v>5701.7</v>
      </c>
      <c r="EQ98" s="229">
        <v>3.2599999999999997E-2</v>
      </c>
      <c r="ER98" s="231">
        <v>40886</v>
      </c>
      <c r="ES98" s="231">
        <v>32033</v>
      </c>
      <c r="ET98" s="231">
        <v>142182</v>
      </c>
      <c r="EU98" s="231">
        <v>684903861</v>
      </c>
      <c r="EV98" s="231">
        <v>215102</v>
      </c>
      <c r="EW98" s="231">
        <v>191398</v>
      </c>
      <c r="EX98" s="231">
        <v>23704</v>
      </c>
      <c r="EY98" s="229">
        <v>0.12379999999999999</v>
      </c>
      <c r="EZ98" s="229">
        <v>0.19220000000000001</v>
      </c>
      <c r="FA98" s="227" t="s">
        <v>555</v>
      </c>
      <c r="FB98" s="161">
        <f t="shared" si="1"/>
        <v>2032875</v>
      </c>
    </row>
    <row r="99" spans="1:158" ht="17.25" hidden="1" thickBot="1" x14ac:dyDescent="0.3">
      <c r="A99" s="226">
        <v>46050</v>
      </c>
      <c r="B99" s="227" t="s">
        <v>215</v>
      </c>
      <c r="C99" s="227" t="s">
        <v>490</v>
      </c>
      <c r="D99" s="228">
        <v>875</v>
      </c>
      <c r="E99" s="228">
        <v>623.35</v>
      </c>
      <c r="F99" s="228">
        <v>609.04999999999995</v>
      </c>
      <c r="G99" s="228">
        <v>14.3</v>
      </c>
      <c r="H99" s="229">
        <v>2.35E-2</v>
      </c>
      <c r="I99" s="228">
        <v>625.1</v>
      </c>
      <c r="J99" s="228">
        <v>607.5</v>
      </c>
      <c r="K99" s="228">
        <v>17.600000000000001</v>
      </c>
      <c r="L99" s="229">
        <v>2.9000000000000001E-2</v>
      </c>
      <c r="M99" s="228">
        <v>623.35</v>
      </c>
      <c r="N99" s="228">
        <v>607.15</v>
      </c>
      <c r="O99" s="228">
        <v>16.2</v>
      </c>
      <c r="P99" s="229">
        <v>2.6700000000000002E-2</v>
      </c>
      <c r="Q99" s="228">
        <v>0</v>
      </c>
      <c r="R99" s="228">
        <v>609.04999999999995</v>
      </c>
      <c r="S99" s="228">
        <v>0</v>
      </c>
      <c r="T99" s="229">
        <v>0</v>
      </c>
      <c r="U99" s="228">
        <v>0</v>
      </c>
      <c r="V99" s="228">
        <v>0</v>
      </c>
      <c r="W99" s="228">
        <v>0</v>
      </c>
      <c r="X99" s="229">
        <v>0</v>
      </c>
      <c r="Y99" s="228">
        <v>-1.75</v>
      </c>
      <c r="Z99" s="228">
        <v>1.55</v>
      </c>
      <c r="AA99" s="228">
        <v>-3.3</v>
      </c>
      <c r="AB99" s="229">
        <v>-2.8E-3</v>
      </c>
      <c r="AC99" s="228">
        <v>-1.75</v>
      </c>
      <c r="AD99" s="228">
        <v>-0.35</v>
      </c>
      <c r="AE99" s="228">
        <v>-1.4</v>
      </c>
      <c r="AF99" s="229">
        <v>-2.8E-3</v>
      </c>
      <c r="AG99" s="228">
        <v>0</v>
      </c>
      <c r="AH99" s="228">
        <v>1.55</v>
      </c>
      <c r="AI99" s="228">
        <v>0</v>
      </c>
      <c r="AJ99" s="229">
        <v>0</v>
      </c>
      <c r="AK99" s="228">
        <v>0</v>
      </c>
      <c r="AL99" s="228">
        <v>0</v>
      </c>
      <c r="AM99" s="228">
        <v>0</v>
      </c>
      <c r="AN99" s="229">
        <v>0</v>
      </c>
      <c r="AO99" s="228">
        <v>616.83000000000004</v>
      </c>
      <c r="AP99" s="228">
        <v>0</v>
      </c>
      <c r="AQ99" s="228">
        <v>0</v>
      </c>
      <c r="AR99" s="230">
        <v>3144750</v>
      </c>
      <c r="AS99" s="230">
        <v>17640875</v>
      </c>
      <c r="AT99" s="230">
        <v>-14496125</v>
      </c>
      <c r="AU99" s="229">
        <v>-0.82169999999999999</v>
      </c>
      <c r="AV99" s="230">
        <v>3144750</v>
      </c>
      <c r="AW99" s="230">
        <v>8323875</v>
      </c>
      <c r="AX99" s="230">
        <v>-5179125</v>
      </c>
      <c r="AY99" s="229">
        <v>-0.62219999999999998</v>
      </c>
      <c r="AZ99" s="228">
        <v>0</v>
      </c>
      <c r="BA99" s="230">
        <v>9317000</v>
      </c>
      <c r="BB99" s="228">
        <v>0</v>
      </c>
      <c r="BC99" s="229">
        <v>0</v>
      </c>
      <c r="BD99" s="228">
        <v>0</v>
      </c>
      <c r="BE99" s="228">
        <v>0</v>
      </c>
      <c r="BF99" s="228">
        <v>0</v>
      </c>
      <c r="BG99" s="229">
        <v>0</v>
      </c>
      <c r="BH99" s="230">
        <v>11699625</v>
      </c>
      <c r="BI99" s="230">
        <v>10901625</v>
      </c>
      <c r="BJ99" s="230">
        <v>798000</v>
      </c>
      <c r="BK99" s="229">
        <v>7.3200000000000001E-2</v>
      </c>
      <c r="BL99" s="230">
        <v>3630375</v>
      </c>
      <c r="BM99" s="230">
        <v>6569500</v>
      </c>
      <c r="BN99" s="230">
        <v>-2939125</v>
      </c>
      <c r="BO99" s="229">
        <v>-0.44740000000000002</v>
      </c>
      <c r="BP99" s="230">
        <v>18474750</v>
      </c>
      <c r="BQ99" s="230">
        <v>35112000</v>
      </c>
      <c r="BR99" s="230">
        <v>-16637250</v>
      </c>
      <c r="BS99" s="229">
        <v>-0.4738</v>
      </c>
      <c r="BT99" s="230">
        <v>1872715</v>
      </c>
      <c r="BU99" s="230">
        <v>2522514</v>
      </c>
      <c r="BV99" s="230">
        <v>-649799</v>
      </c>
      <c r="BW99" s="229">
        <v>-0.2576</v>
      </c>
      <c r="BX99" s="230">
        <v>19781125</v>
      </c>
      <c r="BY99" s="230">
        <v>19867750</v>
      </c>
      <c r="BZ99" s="230">
        <v>-86625</v>
      </c>
      <c r="CA99" s="229">
        <v>-4.4000000000000003E-3</v>
      </c>
      <c r="CB99" s="230">
        <v>19781125</v>
      </c>
      <c r="CC99" s="230">
        <v>2552375</v>
      </c>
      <c r="CD99" s="230">
        <v>17228750</v>
      </c>
      <c r="CE99" s="229">
        <v>6.7500999999999998</v>
      </c>
      <c r="CF99" s="228">
        <v>0</v>
      </c>
      <c r="CG99" s="230">
        <v>19867750</v>
      </c>
      <c r="CH99" s="230">
        <v>-19867750</v>
      </c>
      <c r="CI99" s="229">
        <v>-1</v>
      </c>
      <c r="CJ99" s="228">
        <v>0</v>
      </c>
      <c r="CK99" s="228">
        <v>0</v>
      </c>
      <c r="CL99" s="228">
        <v>0</v>
      </c>
      <c r="CM99" s="229">
        <v>0</v>
      </c>
      <c r="CN99" s="230">
        <v>9079000</v>
      </c>
      <c r="CO99" s="230">
        <v>7863625</v>
      </c>
      <c r="CP99" s="230">
        <v>1215375</v>
      </c>
      <c r="CQ99" s="229">
        <v>0.15459999999999999</v>
      </c>
      <c r="CR99" s="230">
        <v>7100625</v>
      </c>
      <c r="CS99" s="230">
        <v>6720000</v>
      </c>
      <c r="CT99" s="230">
        <v>380625</v>
      </c>
      <c r="CU99" s="229">
        <v>5.6599999999999998E-2</v>
      </c>
      <c r="CV99" s="230">
        <v>35960750</v>
      </c>
      <c r="CW99" s="230">
        <v>34451375</v>
      </c>
      <c r="CX99" s="230">
        <v>1509375</v>
      </c>
      <c r="CY99" s="229">
        <v>4.3799999999999999E-2</v>
      </c>
      <c r="CZ99" s="228">
        <v>33.82</v>
      </c>
      <c r="DA99" s="228">
        <v>33.92</v>
      </c>
      <c r="DB99" s="228">
        <v>-0.1</v>
      </c>
      <c r="DC99" s="228">
        <v>-0.1</v>
      </c>
      <c r="DD99" s="228">
        <v>29.74</v>
      </c>
      <c r="DE99" s="228">
        <v>29.65</v>
      </c>
      <c r="DF99" s="228">
        <v>4.08</v>
      </c>
      <c r="DG99" s="228">
        <v>0.09</v>
      </c>
      <c r="DH99" s="228">
        <v>33.71</v>
      </c>
      <c r="DI99" s="228">
        <v>34.200000000000003</v>
      </c>
      <c r="DJ99" s="228">
        <v>-0.49</v>
      </c>
      <c r="DK99" s="228">
        <v>-0.49</v>
      </c>
      <c r="DL99" s="228">
        <v>34.200000000000003</v>
      </c>
      <c r="DM99" s="228">
        <v>33.369999999999997</v>
      </c>
      <c r="DN99" s="228">
        <v>0.83</v>
      </c>
      <c r="DO99" s="228">
        <v>0.83</v>
      </c>
      <c r="DP99" s="228">
        <v>0.78</v>
      </c>
      <c r="DQ99" s="228">
        <v>0.85</v>
      </c>
      <c r="DR99" s="228">
        <v>-7.0000000000000007E-2</v>
      </c>
      <c r="DS99" s="229">
        <v>-8.2400000000000001E-2</v>
      </c>
      <c r="DT99" s="228">
        <v>700</v>
      </c>
      <c r="DU99" s="228">
        <v>600</v>
      </c>
      <c r="DV99" s="228">
        <v>0.31</v>
      </c>
      <c r="DW99" s="228">
        <v>0.6</v>
      </c>
      <c r="DX99" s="228">
        <v>-0.28999999999999998</v>
      </c>
      <c r="DY99" s="229">
        <v>-0.48330000000000001</v>
      </c>
      <c r="DZ99" s="229">
        <v>0</v>
      </c>
      <c r="EA99" s="230">
        <v>19867750</v>
      </c>
      <c r="EB99" s="229">
        <v>0</v>
      </c>
      <c r="EC99" s="229">
        <v>0</v>
      </c>
      <c r="ED99" s="228">
        <v>0</v>
      </c>
      <c r="EE99" s="229">
        <v>0</v>
      </c>
      <c r="EF99" s="230">
        <v>827088</v>
      </c>
      <c r="EG99" s="230">
        <v>1194625</v>
      </c>
      <c r="EH99" s="229">
        <v>-0.30769999999999997</v>
      </c>
      <c r="EI99" s="229">
        <v>0.44169999999999998</v>
      </c>
      <c r="EJ99" s="231">
        <v>77016.94</v>
      </c>
      <c r="EK99" s="231">
        <v>22313.82</v>
      </c>
      <c r="EL99" s="231">
        <v>19397.810000000001</v>
      </c>
      <c r="EM99" s="231">
        <v>23795</v>
      </c>
      <c r="EN99" s="231">
        <v>118728.57</v>
      </c>
      <c r="EO99" s="231">
        <v>221162.83</v>
      </c>
      <c r="EP99" s="231">
        <v>-102434.26</v>
      </c>
      <c r="EQ99" s="229">
        <v>-0.4632</v>
      </c>
      <c r="ER99" s="231">
        <v>59784</v>
      </c>
      <c r="ES99" s="231">
        <v>44292</v>
      </c>
      <c r="ET99" s="231">
        <v>123306</v>
      </c>
      <c r="EU99" s="231">
        <v>32504261</v>
      </c>
      <c r="EV99" s="231">
        <v>227381</v>
      </c>
      <c r="EW99" s="231">
        <v>214476</v>
      </c>
      <c r="EX99" s="231">
        <v>12905</v>
      </c>
      <c r="EY99" s="229">
        <v>6.0199999999999997E-2</v>
      </c>
      <c r="EZ99" s="229">
        <v>1.1063000000000001</v>
      </c>
      <c r="FA99" s="227" t="s">
        <v>556</v>
      </c>
      <c r="FB99" s="161">
        <f t="shared" si="1"/>
        <v>0</v>
      </c>
    </row>
    <row r="100" spans="1:158" ht="17.25" hidden="1" thickBot="1" x14ac:dyDescent="0.3">
      <c r="A100" s="226">
        <v>46050</v>
      </c>
      <c r="B100" s="227" t="s">
        <v>175</v>
      </c>
      <c r="C100" s="227" t="s">
        <v>664</v>
      </c>
      <c r="D100" s="228">
        <v>3450</v>
      </c>
      <c r="E100" s="228">
        <v>131.54</v>
      </c>
      <c r="F100" s="228">
        <v>127.71</v>
      </c>
      <c r="G100" s="228">
        <v>3.83</v>
      </c>
      <c r="H100" s="229">
        <v>0.03</v>
      </c>
      <c r="I100" s="228">
        <v>133.87</v>
      </c>
      <c r="J100" s="228">
        <v>128.88</v>
      </c>
      <c r="K100" s="228">
        <v>4.99</v>
      </c>
      <c r="L100" s="229">
        <v>3.8699999999999998E-2</v>
      </c>
      <c r="M100" s="228">
        <v>131.54</v>
      </c>
      <c r="N100" s="228">
        <v>128.59</v>
      </c>
      <c r="O100" s="228">
        <v>2.95</v>
      </c>
      <c r="P100" s="229">
        <v>2.29E-2</v>
      </c>
      <c r="Q100" s="228">
        <v>129.6</v>
      </c>
      <c r="R100" s="228">
        <v>127.71</v>
      </c>
      <c r="S100" s="228">
        <v>1.89</v>
      </c>
      <c r="T100" s="229">
        <v>1.4800000000000001E-2</v>
      </c>
      <c r="U100" s="228">
        <v>128.75</v>
      </c>
      <c r="V100" s="228">
        <v>126</v>
      </c>
      <c r="W100" s="228">
        <v>2.75</v>
      </c>
      <c r="X100" s="229">
        <v>2.18E-2</v>
      </c>
      <c r="Y100" s="228">
        <v>-2.33</v>
      </c>
      <c r="Z100" s="228">
        <v>-1.17</v>
      </c>
      <c r="AA100" s="228">
        <v>-1.1599999999999999</v>
      </c>
      <c r="AB100" s="229">
        <v>-1.7399999999999999E-2</v>
      </c>
      <c r="AC100" s="228">
        <v>-2.33</v>
      </c>
      <c r="AD100" s="228">
        <v>-0.28999999999999998</v>
      </c>
      <c r="AE100" s="228">
        <v>-2.04</v>
      </c>
      <c r="AF100" s="229">
        <v>-1.7399999999999999E-2</v>
      </c>
      <c r="AG100" s="228">
        <v>-4.2699999999999996</v>
      </c>
      <c r="AH100" s="228">
        <v>-1.17</v>
      </c>
      <c r="AI100" s="228">
        <v>-3.1</v>
      </c>
      <c r="AJ100" s="229">
        <v>-3.1899999999999998E-2</v>
      </c>
      <c r="AK100" s="228">
        <v>-5.12</v>
      </c>
      <c r="AL100" s="228">
        <v>-2.88</v>
      </c>
      <c r="AM100" s="228">
        <v>-2.2400000000000002</v>
      </c>
      <c r="AN100" s="229">
        <v>-3.8199999999999998E-2</v>
      </c>
      <c r="AO100" s="228">
        <v>128.97999999999999</v>
      </c>
      <c r="AP100" s="228">
        <v>126.7</v>
      </c>
      <c r="AQ100" s="228">
        <v>0</v>
      </c>
      <c r="AR100" s="230">
        <v>16353000</v>
      </c>
      <c r="AS100" s="230">
        <v>48755400</v>
      </c>
      <c r="AT100" s="230">
        <v>-32402400</v>
      </c>
      <c r="AU100" s="229">
        <v>-0.66459999999999997</v>
      </c>
      <c r="AV100" s="230">
        <v>13130700</v>
      </c>
      <c r="AW100" s="230">
        <v>22124850</v>
      </c>
      <c r="AX100" s="230">
        <v>-8994150</v>
      </c>
      <c r="AY100" s="229">
        <v>-0.40649999999999997</v>
      </c>
      <c r="AZ100" s="230">
        <v>2383950</v>
      </c>
      <c r="BA100" s="230">
        <v>24722700</v>
      </c>
      <c r="BB100" s="230">
        <v>-22338750</v>
      </c>
      <c r="BC100" s="229">
        <v>-0.90359999999999996</v>
      </c>
      <c r="BD100" s="230">
        <v>838350</v>
      </c>
      <c r="BE100" s="230">
        <v>1907850</v>
      </c>
      <c r="BF100" s="230">
        <v>-1069500</v>
      </c>
      <c r="BG100" s="229">
        <v>-0.56059999999999999</v>
      </c>
      <c r="BH100" s="230">
        <v>36187050</v>
      </c>
      <c r="BI100" s="230">
        <v>27945000</v>
      </c>
      <c r="BJ100" s="230">
        <v>8242050</v>
      </c>
      <c r="BK100" s="229">
        <v>0.2949</v>
      </c>
      <c r="BL100" s="230">
        <v>11657550</v>
      </c>
      <c r="BM100" s="230">
        <v>15207600</v>
      </c>
      <c r="BN100" s="230">
        <v>-3550050</v>
      </c>
      <c r="BO100" s="229">
        <v>-0.2334</v>
      </c>
      <c r="BP100" s="230">
        <v>64197600</v>
      </c>
      <c r="BQ100" s="230">
        <v>91908000</v>
      </c>
      <c r="BR100" s="230">
        <v>-27710400</v>
      </c>
      <c r="BS100" s="229">
        <v>-0.30149999999999999</v>
      </c>
      <c r="BT100" s="230">
        <v>11600348</v>
      </c>
      <c r="BU100" s="230">
        <v>11582621</v>
      </c>
      <c r="BV100" s="230">
        <v>17727</v>
      </c>
      <c r="BW100" s="229">
        <v>1.5E-3</v>
      </c>
      <c r="BX100" s="230">
        <v>61378950</v>
      </c>
      <c r="BY100" s="230">
        <v>59288250</v>
      </c>
      <c r="BZ100" s="230">
        <v>2090700</v>
      </c>
      <c r="CA100" s="229">
        <v>3.5299999999999998E-2</v>
      </c>
      <c r="CB100" s="230">
        <v>55382850</v>
      </c>
      <c r="CC100" s="230">
        <v>4029600</v>
      </c>
      <c r="CD100" s="230">
        <v>51353250</v>
      </c>
      <c r="CE100" s="229">
        <v>12.744</v>
      </c>
      <c r="CF100" s="230">
        <v>5344050</v>
      </c>
      <c r="CG100" s="230">
        <v>54199500</v>
      </c>
      <c r="CH100" s="230">
        <v>-48855450</v>
      </c>
      <c r="CI100" s="229">
        <v>-0.90139999999999998</v>
      </c>
      <c r="CJ100" s="230">
        <v>652050</v>
      </c>
      <c r="CK100" s="230">
        <v>5088750</v>
      </c>
      <c r="CL100" s="230">
        <v>-4436700</v>
      </c>
      <c r="CM100" s="229">
        <v>-0.87190000000000001</v>
      </c>
      <c r="CN100" s="230">
        <v>21507300</v>
      </c>
      <c r="CO100" s="230">
        <v>17239650</v>
      </c>
      <c r="CP100" s="230">
        <v>4267650</v>
      </c>
      <c r="CQ100" s="229">
        <v>0.2475</v>
      </c>
      <c r="CR100" s="230">
        <v>16166700</v>
      </c>
      <c r="CS100" s="230">
        <v>13337700</v>
      </c>
      <c r="CT100" s="230">
        <v>2829000</v>
      </c>
      <c r="CU100" s="229">
        <v>0.21210000000000001</v>
      </c>
      <c r="CV100" s="230">
        <v>99052950</v>
      </c>
      <c r="CW100" s="230">
        <v>89865600</v>
      </c>
      <c r="CX100" s="230">
        <v>9187350</v>
      </c>
      <c r="CY100" s="229">
        <v>0.1022</v>
      </c>
      <c r="CZ100" s="228">
        <v>42.87</v>
      </c>
      <c r="DA100" s="228">
        <v>44.78</v>
      </c>
      <c r="DB100" s="228">
        <v>-1.91</v>
      </c>
      <c r="DC100" s="228">
        <v>-1.91</v>
      </c>
      <c r="DD100" s="228">
        <v>48.47</v>
      </c>
      <c r="DE100" s="228">
        <v>48.42</v>
      </c>
      <c r="DF100" s="228">
        <v>-5.6</v>
      </c>
      <c r="DG100" s="228">
        <v>0.05</v>
      </c>
      <c r="DH100" s="228">
        <v>42.37</v>
      </c>
      <c r="DI100" s="228">
        <v>43.85</v>
      </c>
      <c r="DJ100" s="228">
        <v>-1.48</v>
      </c>
      <c r="DK100" s="228">
        <v>-1.48</v>
      </c>
      <c r="DL100" s="228">
        <v>44.42</v>
      </c>
      <c r="DM100" s="228">
        <v>46.66</v>
      </c>
      <c r="DN100" s="228">
        <v>-2.2400000000000002</v>
      </c>
      <c r="DO100" s="228">
        <v>-2.2400000000000002</v>
      </c>
      <c r="DP100" s="228">
        <v>0.75</v>
      </c>
      <c r="DQ100" s="228">
        <v>0.77</v>
      </c>
      <c r="DR100" s="228">
        <v>-0.02</v>
      </c>
      <c r="DS100" s="229">
        <v>-2.5999999999999999E-2</v>
      </c>
      <c r="DT100" s="228">
        <v>140</v>
      </c>
      <c r="DU100" s="228">
        <v>130</v>
      </c>
      <c r="DV100" s="228">
        <v>0.32</v>
      </c>
      <c r="DW100" s="228">
        <v>0.54</v>
      </c>
      <c r="DX100" s="228">
        <v>-0.22</v>
      </c>
      <c r="DY100" s="229">
        <v>-0.40739999999999998</v>
      </c>
      <c r="DZ100" s="229">
        <v>9.7699999999999995E-2</v>
      </c>
      <c r="EA100" s="230">
        <v>59288250</v>
      </c>
      <c r="EB100" s="229">
        <v>-1.47E-2</v>
      </c>
      <c r="EC100" s="229">
        <v>9.7699999999999995E-2</v>
      </c>
      <c r="ED100" s="228">
        <v>-2.2799999999999998</v>
      </c>
      <c r="EE100" s="229">
        <v>-1.77E-2</v>
      </c>
      <c r="EF100" s="230">
        <v>4050271</v>
      </c>
      <c r="EG100" s="230">
        <v>4028866</v>
      </c>
      <c r="EH100" s="229">
        <v>5.3E-3</v>
      </c>
      <c r="EI100" s="229">
        <v>0.34920000000000001</v>
      </c>
      <c r="EJ100" s="231">
        <v>50935.68</v>
      </c>
      <c r="EK100" s="231">
        <v>14830.09</v>
      </c>
      <c r="EL100" s="231">
        <v>21010.63</v>
      </c>
      <c r="EM100" s="231">
        <v>16391</v>
      </c>
      <c r="EN100" s="231">
        <v>86776.4</v>
      </c>
      <c r="EO100" s="231">
        <v>120933.53</v>
      </c>
      <c r="EP100" s="231">
        <v>-34157.129999999997</v>
      </c>
      <c r="EQ100" s="229">
        <v>-0.28239999999999998</v>
      </c>
      <c r="ER100" s="231">
        <v>30308</v>
      </c>
      <c r="ES100" s="231">
        <v>21193</v>
      </c>
      <c r="ET100" s="231">
        <v>80616</v>
      </c>
      <c r="EU100" s="231">
        <v>119011160</v>
      </c>
      <c r="EV100" s="231">
        <v>132117</v>
      </c>
      <c r="EW100" s="231">
        <v>117712</v>
      </c>
      <c r="EX100" s="231">
        <v>14405</v>
      </c>
      <c r="EY100" s="229">
        <v>0.12239999999999999</v>
      </c>
      <c r="EZ100" s="229">
        <v>0.83230000000000004</v>
      </c>
      <c r="FA100" s="227" t="s">
        <v>555</v>
      </c>
      <c r="FB100" s="161">
        <f t="shared" si="1"/>
        <v>5996100</v>
      </c>
    </row>
    <row r="101" spans="1:158" ht="17.25" hidden="1" thickBot="1" x14ac:dyDescent="0.3">
      <c r="A101" s="226">
        <v>46050</v>
      </c>
      <c r="B101" s="227" t="s">
        <v>215</v>
      </c>
      <c r="C101" s="227" t="s">
        <v>592</v>
      </c>
      <c r="D101" s="228">
        <v>4250</v>
      </c>
      <c r="E101" s="228">
        <v>120.33</v>
      </c>
      <c r="F101" s="228">
        <v>115.18</v>
      </c>
      <c r="G101" s="228">
        <v>5.15</v>
      </c>
      <c r="H101" s="229">
        <v>4.4699999999999997E-2</v>
      </c>
      <c r="I101" s="228">
        <v>120.15</v>
      </c>
      <c r="J101" s="228">
        <v>114.61</v>
      </c>
      <c r="K101" s="228">
        <v>5.54</v>
      </c>
      <c r="L101" s="229">
        <v>4.8300000000000003E-2</v>
      </c>
      <c r="M101" s="228">
        <v>120.33</v>
      </c>
      <c r="N101" s="228">
        <v>114.53</v>
      </c>
      <c r="O101" s="228">
        <v>5.8</v>
      </c>
      <c r="P101" s="229">
        <v>5.0599999999999999E-2</v>
      </c>
      <c r="Q101" s="228">
        <v>120.25</v>
      </c>
      <c r="R101" s="228">
        <v>115.18</v>
      </c>
      <c r="S101" s="228">
        <v>5.07</v>
      </c>
      <c r="T101" s="229">
        <v>4.3999999999999997E-2</v>
      </c>
      <c r="U101" s="228">
        <v>120.18</v>
      </c>
      <c r="V101" s="228">
        <v>115.31</v>
      </c>
      <c r="W101" s="228">
        <v>4.87</v>
      </c>
      <c r="X101" s="229">
        <v>4.2200000000000001E-2</v>
      </c>
      <c r="Y101" s="228">
        <v>0.18</v>
      </c>
      <c r="Z101" s="228">
        <v>0.56999999999999995</v>
      </c>
      <c r="AA101" s="228">
        <v>-0.39</v>
      </c>
      <c r="AB101" s="229">
        <v>1.5E-3</v>
      </c>
      <c r="AC101" s="228">
        <v>0.18</v>
      </c>
      <c r="AD101" s="228">
        <v>-0.08</v>
      </c>
      <c r="AE101" s="228">
        <v>0.26</v>
      </c>
      <c r="AF101" s="229">
        <v>1.5E-3</v>
      </c>
      <c r="AG101" s="228">
        <v>0.1</v>
      </c>
      <c r="AH101" s="228">
        <v>0.56999999999999995</v>
      </c>
      <c r="AI101" s="228">
        <v>-0.47</v>
      </c>
      <c r="AJ101" s="229">
        <v>8.0000000000000004E-4</v>
      </c>
      <c r="AK101" s="228">
        <v>0.03</v>
      </c>
      <c r="AL101" s="228">
        <v>0.7</v>
      </c>
      <c r="AM101" s="228">
        <v>-0.67</v>
      </c>
      <c r="AN101" s="229">
        <v>2.0000000000000001E-4</v>
      </c>
      <c r="AO101" s="228">
        <v>118.61</v>
      </c>
      <c r="AP101" s="228">
        <v>118.39</v>
      </c>
      <c r="AQ101" s="228">
        <v>0</v>
      </c>
      <c r="AR101" s="230">
        <v>28394250</v>
      </c>
      <c r="AS101" s="230">
        <v>60571000</v>
      </c>
      <c r="AT101" s="230">
        <v>-32176750</v>
      </c>
      <c r="AU101" s="229">
        <v>-0.53120000000000001</v>
      </c>
      <c r="AV101" s="230">
        <v>23902000</v>
      </c>
      <c r="AW101" s="230">
        <v>27586750</v>
      </c>
      <c r="AX101" s="230">
        <v>-3684750</v>
      </c>
      <c r="AY101" s="229">
        <v>-0.1336</v>
      </c>
      <c r="AZ101" s="230">
        <v>4126750</v>
      </c>
      <c r="BA101" s="230">
        <v>30617000</v>
      </c>
      <c r="BB101" s="230">
        <v>-26490250</v>
      </c>
      <c r="BC101" s="229">
        <v>-0.86519999999999997</v>
      </c>
      <c r="BD101" s="230">
        <v>365500</v>
      </c>
      <c r="BE101" s="230">
        <v>2367250</v>
      </c>
      <c r="BF101" s="230">
        <v>-2001750</v>
      </c>
      <c r="BG101" s="229">
        <v>-0.84560000000000002</v>
      </c>
      <c r="BH101" s="230">
        <v>100329750</v>
      </c>
      <c r="BI101" s="230">
        <v>79832000</v>
      </c>
      <c r="BJ101" s="230">
        <v>20497750</v>
      </c>
      <c r="BK101" s="229">
        <v>0.25679999999999997</v>
      </c>
      <c r="BL101" s="230">
        <v>23477000</v>
      </c>
      <c r="BM101" s="230">
        <v>34004250</v>
      </c>
      <c r="BN101" s="230">
        <v>-10527250</v>
      </c>
      <c r="BO101" s="229">
        <v>-0.30959999999999999</v>
      </c>
      <c r="BP101" s="230">
        <v>152201000</v>
      </c>
      <c r="BQ101" s="230">
        <v>174407250</v>
      </c>
      <c r="BR101" s="230">
        <v>-22206250</v>
      </c>
      <c r="BS101" s="229">
        <v>-0.1273</v>
      </c>
      <c r="BT101" s="230">
        <v>25621584</v>
      </c>
      <c r="BU101" s="230">
        <v>20217152</v>
      </c>
      <c r="BV101" s="230">
        <v>5404432</v>
      </c>
      <c r="BW101" s="229">
        <v>0.26729999999999998</v>
      </c>
      <c r="BX101" s="230">
        <v>61289250</v>
      </c>
      <c r="BY101" s="230">
        <v>57039250</v>
      </c>
      <c r="BZ101" s="230">
        <v>4250000</v>
      </c>
      <c r="CA101" s="229">
        <v>7.4499999999999997E-2</v>
      </c>
      <c r="CB101" s="230">
        <v>57315500</v>
      </c>
      <c r="CC101" s="230">
        <v>8512750</v>
      </c>
      <c r="CD101" s="230">
        <v>48802750</v>
      </c>
      <c r="CE101" s="229">
        <v>5.7328999999999999</v>
      </c>
      <c r="CF101" s="230">
        <v>3706000</v>
      </c>
      <c r="CG101" s="230">
        <v>53707250</v>
      </c>
      <c r="CH101" s="230">
        <v>-50001250</v>
      </c>
      <c r="CI101" s="229">
        <v>-0.93100000000000005</v>
      </c>
      <c r="CJ101" s="230">
        <v>267750</v>
      </c>
      <c r="CK101" s="230">
        <v>3332000</v>
      </c>
      <c r="CL101" s="230">
        <v>-3064250</v>
      </c>
      <c r="CM101" s="229">
        <v>-0.91959999999999997</v>
      </c>
      <c r="CN101" s="230">
        <v>44688750</v>
      </c>
      <c r="CO101" s="230">
        <v>37357500</v>
      </c>
      <c r="CP101" s="230">
        <v>7331250</v>
      </c>
      <c r="CQ101" s="229">
        <v>0.19620000000000001</v>
      </c>
      <c r="CR101" s="230">
        <v>27705750</v>
      </c>
      <c r="CS101" s="230">
        <v>23834000</v>
      </c>
      <c r="CT101" s="230">
        <v>3871750</v>
      </c>
      <c r="CU101" s="229">
        <v>0.16239999999999999</v>
      </c>
      <c r="CV101" s="230">
        <v>133683750</v>
      </c>
      <c r="CW101" s="230">
        <v>118230750</v>
      </c>
      <c r="CX101" s="230">
        <v>15453000</v>
      </c>
      <c r="CY101" s="229">
        <v>0.13070000000000001</v>
      </c>
      <c r="CZ101" s="228">
        <v>43.69</v>
      </c>
      <c r="DA101" s="228">
        <v>44.36</v>
      </c>
      <c r="DB101" s="228">
        <v>-0.67</v>
      </c>
      <c r="DC101" s="228">
        <v>-0.67</v>
      </c>
      <c r="DD101" s="228">
        <v>45.42</v>
      </c>
      <c r="DE101" s="228">
        <v>45.15</v>
      </c>
      <c r="DF101" s="228">
        <v>-1.73</v>
      </c>
      <c r="DG101" s="228">
        <v>0.27</v>
      </c>
      <c r="DH101" s="228">
        <v>43.73</v>
      </c>
      <c r="DI101" s="228">
        <v>44.89</v>
      </c>
      <c r="DJ101" s="228">
        <v>-1.1599999999999999</v>
      </c>
      <c r="DK101" s="228">
        <v>-1.1599999999999999</v>
      </c>
      <c r="DL101" s="228">
        <v>43.51</v>
      </c>
      <c r="DM101" s="228">
        <v>42.98</v>
      </c>
      <c r="DN101" s="228">
        <v>0.53</v>
      </c>
      <c r="DO101" s="228">
        <v>0.53</v>
      </c>
      <c r="DP101" s="228">
        <v>0.62</v>
      </c>
      <c r="DQ101" s="228">
        <v>0.64</v>
      </c>
      <c r="DR101" s="228">
        <v>-0.02</v>
      </c>
      <c r="DS101" s="229">
        <v>-3.1300000000000001E-2</v>
      </c>
      <c r="DT101" s="228">
        <v>120</v>
      </c>
      <c r="DU101" s="228">
        <v>105</v>
      </c>
      <c r="DV101" s="228">
        <v>0.23</v>
      </c>
      <c r="DW101" s="228">
        <v>0.43</v>
      </c>
      <c r="DX101" s="228">
        <v>-0.2</v>
      </c>
      <c r="DY101" s="229">
        <v>-0.46510000000000001</v>
      </c>
      <c r="DZ101" s="229">
        <v>6.4799999999999996E-2</v>
      </c>
      <c r="EA101" s="230">
        <v>57039250</v>
      </c>
      <c r="EB101" s="229">
        <v>-6.9999999999999999E-4</v>
      </c>
      <c r="EC101" s="229">
        <v>6.4799999999999996E-2</v>
      </c>
      <c r="ED101" s="228">
        <v>-0.22</v>
      </c>
      <c r="EE101" s="229">
        <v>-1.9E-3</v>
      </c>
      <c r="EF101" s="230">
        <v>7307942</v>
      </c>
      <c r="EG101" s="230">
        <v>4883649</v>
      </c>
      <c r="EH101" s="229">
        <v>0.49640000000000001</v>
      </c>
      <c r="EI101" s="229">
        <v>0.28520000000000001</v>
      </c>
      <c r="EJ101" s="231">
        <v>128753.56</v>
      </c>
      <c r="EK101" s="231">
        <v>27463.360000000001</v>
      </c>
      <c r="EL101" s="231">
        <v>33670.97</v>
      </c>
      <c r="EM101" s="231">
        <v>12607</v>
      </c>
      <c r="EN101" s="231">
        <v>189887.89</v>
      </c>
      <c r="EO101" s="231">
        <v>208069.21</v>
      </c>
      <c r="EP101" s="231">
        <v>-18181.32</v>
      </c>
      <c r="EQ101" s="229">
        <v>-8.7400000000000005E-2</v>
      </c>
      <c r="ER101" s="231">
        <v>57088</v>
      </c>
      <c r="ES101" s="231">
        <v>31576</v>
      </c>
      <c r="ET101" s="231">
        <v>73746</v>
      </c>
      <c r="EU101" s="231">
        <v>200960551</v>
      </c>
      <c r="EV101" s="231">
        <v>162410</v>
      </c>
      <c r="EW101" s="231">
        <v>140359</v>
      </c>
      <c r="EX101" s="231">
        <v>22051</v>
      </c>
      <c r="EY101" s="229">
        <v>0.15709999999999999</v>
      </c>
      <c r="EZ101" s="229">
        <v>0.66520000000000001</v>
      </c>
      <c r="FA101" s="227" t="s">
        <v>555</v>
      </c>
      <c r="FB101" s="161">
        <f t="shared" si="1"/>
        <v>3973750</v>
      </c>
    </row>
    <row r="102" spans="1:158" ht="17.25" hidden="1" thickBot="1" x14ac:dyDescent="0.3">
      <c r="A102" s="226">
        <v>46050</v>
      </c>
      <c r="B102" s="227" t="s">
        <v>168</v>
      </c>
      <c r="C102" s="227" t="s">
        <v>242</v>
      </c>
      <c r="D102" s="228">
        <v>1600</v>
      </c>
      <c r="E102" s="228">
        <v>322.75</v>
      </c>
      <c r="F102" s="228">
        <v>320.45</v>
      </c>
      <c r="G102" s="228">
        <v>2.2999999999999998</v>
      </c>
      <c r="H102" s="229">
        <v>7.1999999999999998E-3</v>
      </c>
      <c r="I102" s="228">
        <v>321.14999999999998</v>
      </c>
      <c r="J102" s="228">
        <v>318.64999999999998</v>
      </c>
      <c r="K102" s="228">
        <v>2.5</v>
      </c>
      <c r="L102" s="229">
        <v>7.7999999999999996E-3</v>
      </c>
      <c r="M102" s="228">
        <v>322.75</v>
      </c>
      <c r="N102" s="228">
        <v>319.2</v>
      </c>
      <c r="O102" s="228">
        <v>3.55</v>
      </c>
      <c r="P102" s="229">
        <v>1.11E-2</v>
      </c>
      <c r="Q102" s="228">
        <v>324.89999999999998</v>
      </c>
      <c r="R102" s="228">
        <v>320.45</v>
      </c>
      <c r="S102" s="228">
        <v>4.45</v>
      </c>
      <c r="T102" s="229">
        <v>1.3899999999999999E-2</v>
      </c>
      <c r="U102" s="228">
        <v>326.7</v>
      </c>
      <c r="V102" s="228">
        <v>322.45</v>
      </c>
      <c r="W102" s="228">
        <v>4.25</v>
      </c>
      <c r="X102" s="229">
        <v>1.32E-2</v>
      </c>
      <c r="Y102" s="228">
        <v>1.6</v>
      </c>
      <c r="Z102" s="228">
        <v>1.8</v>
      </c>
      <c r="AA102" s="228">
        <v>-0.2</v>
      </c>
      <c r="AB102" s="229">
        <v>5.0000000000000001E-3</v>
      </c>
      <c r="AC102" s="228">
        <v>1.6</v>
      </c>
      <c r="AD102" s="228">
        <v>0.55000000000000004</v>
      </c>
      <c r="AE102" s="228">
        <v>1.05</v>
      </c>
      <c r="AF102" s="229">
        <v>5.0000000000000001E-3</v>
      </c>
      <c r="AG102" s="228">
        <v>3.75</v>
      </c>
      <c r="AH102" s="228">
        <v>1.8</v>
      </c>
      <c r="AI102" s="228">
        <v>1.95</v>
      </c>
      <c r="AJ102" s="229">
        <v>1.17E-2</v>
      </c>
      <c r="AK102" s="228">
        <v>5.55</v>
      </c>
      <c r="AL102" s="228">
        <v>3.8</v>
      </c>
      <c r="AM102" s="228">
        <v>1.75</v>
      </c>
      <c r="AN102" s="229">
        <v>1.7299999999999999E-2</v>
      </c>
      <c r="AO102" s="228">
        <v>322.51</v>
      </c>
      <c r="AP102" s="228">
        <v>324.66000000000003</v>
      </c>
      <c r="AQ102" s="228">
        <v>0</v>
      </c>
      <c r="AR102" s="230">
        <v>21313600</v>
      </c>
      <c r="AS102" s="230">
        <v>205276800</v>
      </c>
      <c r="AT102" s="230">
        <v>-183963200</v>
      </c>
      <c r="AU102" s="229">
        <v>-0.8962</v>
      </c>
      <c r="AV102" s="230">
        <v>19744000</v>
      </c>
      <c r="AW102" s="230">
        <v>103595200</v>
      </c>
      <c r="AX102" s="230">
        <v>-83851200</v>
      </c>
      <c r="AY102" s="229">
        <v>-0.80940000000000001</v>
      </c>
      <c r="AZ102" s="230">
        <v>1345600</v>
      </c>
      <c r="BA102" s="230">
        <v>97400000</v>
      </c>
      <c r="BB102" s="230">
        <v>-96054400</v>
      </c>
      <c r="BC102" s="229">
        <v>-0.98619999999999997</v>
      </c>
      <c r="BD102" s="230">
        <v>224000</v>
      </c>
      <c r="BE102" s="230">
        <v>4281600</v>
      </c>
      <c r="BF102" s="230">
        <v>-4057600</v>
      </c>
      <c r="BG102" s="229">
        <v>-0.94769999999999999</v>
      </c>
      <c r="BH102" s="230">
        <v>86220800</v>
      </c>
      <c r="BI102" s="230">
        <v>116761600</v>
      </c>
      <c r="BJ102" s="230">
        <v>-30540800</v>
      </c>
      <c r="BK102" s="229">
        <v>-0.2616</v>
      </c>
      <c r="BL102" s="230">
        <v>44132800</v>
      </c>
      <c r="BM102" s="230">
        <v>115414400</v>
      </c>
      <c r="BN102" s="230">
        <v>-71281600</v>
      </c>
      <c r="BO102" s="229">
        <v>-0.61760000000000004</v>
      </c>
      <c r="BP102" s="230">
        <v>151667200</v>
      </c>
      <c r="BQ102" s="230">
        <v>437452800</v>
      </c>
      <c r="BR102" s="230">
        <v>-285785600</v>
      </c>
      <c r="BS102" s="229">
        <v>-0.65329999999999999</v>
      </c>
      <c r="BT102" s="230">
        <v>29743603</v>
      </c>
      <c r="BU102" s="230">
        <v>49501718</v>
      </c>
      <c r="BV102" s="230">
        <v>-19758115</v>
      </c>
      <c r="BW102" s="229">
        <v>-0.39910000000000001</v>
      </c>
      <c r="BX102" s="230">
        <v>190608000</v>
      </c>
      <c r="BY102" s="230">
        <v>189019200</v>
      </c>
      <c r="BZ102" s="230">
        <v>1588800</v>
      </c>
      <c r="CA102" s="229">
        <v>8.3999999999999995E-3</v>
      </c>
      <c r="CB102" s="230">
        <v>178304000</v>
      </c>
      <c r="CC102" s="230">
        <v>53534400</v>
      </c>
      <c r="CD102" s="230">
        <v>124769600</v>
      </c>
      <c r="CE102" s="229">
        <v>2.3306</v>
      </c>
      <c r="CF102" s="230">
        <v>12153600</v>
      </c>
      <c r="CG102" s="230">
        <v>177107200</v>
      </c>
      <c r="CH102" s="230">
        <v>-164953600</v>
      </c>
      <c r="CI102" s="229">
        <v>-0.93140000000000001</v>
      </c>
      <c r="CJ102" s="230">
        <v>150400</v>
      </c>
      <c r="CK102" s="230">
        <v>11912000</v>
      </c>
      <c r="CL102" s="230">
        <v>-11761600</v>
      </c>
      <c r="CM102" s="229">
        <v>-0.98740000000000006</v>
      </c>
      <c r="CN102" s="230">
        <v>83595200</v>
      </c>
      <c r="CO102" s="230">
        <v>70659200</v>
      </c>
      <c r="CP102" s="230">
        <v>12936000</v>
      </c>
      <c r="CQ102" s="229">
        <v>0.18310000000000001</v>
      </c>
      <c r="CR102" s="230">
        <v>63046400</v>
      </c>
      <c r="CS102" s="230">
        <v>58313600</v>
      </c>
      <c r="CT102" s="230">
        <v>4732800</v>
      </c>
      <c r="CU102" s="229">
        <v>8.1199999999999994E-2</v>
      </c>
      <c r="CV102" s="230">
        <v>337249600</v>
      </c>
      <c r="CW102" s="230">
        <v>317992000</v>
      </c>
      <c r="CX102" s="230">
        <v>19257600</v>
      </c>
      <c r="CY102" s="229">
        <v>6.0600000000000001E-2</v>
      </c>
      <c r="CZ102" s="228">
        <v>28.09</v>
      </c>
      <c r="DA102" s="228">
        <v>28.08</v>
      </c>
      <c r="DB102" s="228">
        <v>0.01</v>
      </c>
      <c r="DC102" s="228">
        <v>0.01</v>
      </c>
      <c r="DD102" s="228">
        <v>23.15</v>
      </c>
      <c r="DE102" s="228">
        <v>23.19</v>
      </c>
      <c r="DF102" s="228">
        <v>4.9400000000000004</v>
      </c>
      <c r="DG102" s="228">
        <v>-0.04</v>
      </c>
      <c r="DH102" s="228">
        <v>27.45</v>
      </c>
      <c r="DI102" s="228">
        <v>27.76</v>
      </c>
      <c r="DJ102" s="228">
        <v>-0.31</v>
      </c>
      <c r="DK102" s="228">
        <v>-0.31</v>
      </c>
      <c r="DL102" s="228">
        <v>29.35</v>
      </c>
      <c r="DM102" s="228">
        <v>28.41</v>
      </c>
      <c r="DN102" s="228">
        <v>0.94</v>
      </c>
      <c r="DO102" s="228">
        <v>0.94</v>
      </c>
      <c r="DP102" s="228">
        <v>0.75</v>
      </c>
      <c r="DQ102" s="228">
        <v>0.83</v>
      </c>
      <c r="DR102" s="228">
        <v>-0.08</v>
      </c>
      <c r="DS102" s="229">
        <v>-9.64E-2</v>
      </c>
      <c r="DT102" s="228">
        <v>350</v>
      </c>
      <c r="DU102" s="228">
        <v>300</v>
      </c>
      <c r="DV102" s="228">
        <v>0.51</v>
      </c>
      <c r="DW102" s="228">
        <v>0.99</v>
      </c>
      <c r="DX102" s="228">
        <v>-0.48</v>
      </c>
      <c r="DY102" s="229">
        <v>-0.48480000000000001</v>
      </c>
      <c r="DZ102" s="229">
        <v>6.4600000000000005E-2</v>
      </c>
      <c r="EA102" s="230">
        <v>189019200</v>
      </c>
      <c r="EB102" s="229">
        <v>6.7000000000000002E-3</v>
      </c>
      <c r="EC102" s="229">
        <v>6.4600000000000005E-2</v>
      </c>
      <c r="ED102" s="228">
        <v>2.15</v>
      </c>
      <c r="EE102" s="229">
        <v>6.7000000000000002E-3</v>
      </c>
      <c r="EF102" s="230">
        <v>18873003</v>
      </c>
      <c r="EG102" s="230">
        <v>33650125</v>
      </c>
      <c r="EH102" s="229">
        <v>-0.43909999999999999</v>
      </c>
      <c r="EI102" s="229">
        <v>0.63449999999999995</v>
      </c>
      <c r="EJ102" s="231">
        <v>302294.71000000002</v>
      </c>
      <c r="EK102" s="231">
        <v>141284.75</v>
      </c>
      <c r="EL102" s="231">
        <v>68774.850000000006</v>
      </c>
      <c r="EM102" s="231">
        <v>70435</v>
      </c>
      <c r="EN102" s="231">
        <v>512354.31</v>
      </c>
      <c r="EO102" s="231">
        <v>1454552.34</v>
      </c>
      <c r="EP102" s="231">
        <v>-942198.03</v>
      </c>
      <c r="EQ102" s="229">
        <v>-0.64780000000000004</v>
      </c>
      <c r="ER102" s="231">
        <v>294218</v>
      </c>
      <c r="ES102" s="231">
        <v>207650</v>
      </c>
      <c r="ET102" s="231">
        <v>615455</v>
      </c>
      <c r="EU102" s="231">
        <v>1252401670</v>
      </c>
      <c r="EV102" s="231">
        <v>1117323</v>
      </c>
      <c r="EW102" s="231">
        <v>1049251</v>
      </c>
      <c r="EX102" s="231">
        <v>68072</v>
      </c>
      <c r="EY102" s="229">
        <v>6.4899999999999999E-2</v>
      </c>
      <c r="EZ102" s="229">
        <v>0.26929999999999998</v>
      </c>
      <c r="FA102" s="227" t="s">
        <v>555</v>
      </c>
      <c r="FB102" s="161">
        <f t="shared" si="1"/>
        <v>12304000</v>
      </c>
    </row>
    <row r="103" spans="1:158" ht="17.25" hidden="1" thickBot="1" x14ac:dyDescent="0.3">
      <c r="A103" s="226">
        <v>46050</v>
      </c>
      <c r="B103" s="227" t="s">
        <v>227</v>
      </c>
      <c r="C103" s="227" t="s">
        <v>243</v>
      </c>
      <c r="D103" s="228">
        <v>625</v>
      </c>
      <c r="E103" s="231">
        <v>1123.9000000000001</v>
      </c>
      <c r="F103" s="231">
        <v>1088.5999999999999</v>
      </c>
      <c r="G103" s="228">
        <v>35.299999999999997</v>
      </c>
      <c r="H103" s="229">
        <v>3.2399999999999998E-2</v>
      </c>
      <c r="I103" s="231">
        <v>1119.4000000000001</v>
      </c>
      <c r="J103" s="231">
        <v>1080.7</v>
      </c>
      <c r="K103" s="228">
        <v>38.700000000000003</v>
      </c>
      <c r="L103" s="229">
        <v>3.5799999999999998E-2</v>
      </c>
      <c r="M103" s="231">
        <v>1123.9000000000001</v>
      </c>
      <c r="N103" s="231">
        <v>1081.0999999999999</v>
      </c>
      <c r="O103" s="228">
        <v>42.8</v>
      </c>
      <c r="P103" s="229">
        <v>3.9600000000000003E-2</v>
      </c>
      <c r="Q103" s="231">
        <v>1129.3</v>
      </c>
      <c r="R103" s="231">
        <v>1088.5999999999999</v>
      </c>
      <c r="S103" s="228">
        <v>40.700000000000003</v>
      </c>
      <c r="T103" s="229">
        <v>3.7400000000000003E-2</v>
      </c>
      <c r="U103" s="231">
        <v>1136.5999999999999</v>
      </c>
      <c r="V103" s="231">
        <v>1096.9000000000001</v>
      </c>
      <c r="W103" s="228">
        <v>39.700000000000003</v>
      </c>
      <c r="X103" s="229">
        <v>3.6200000000000003E-2</v>
      </c>
      <c r="Y103" s="228">
        <v>4.5</v>
      </c>
      <c r="Z103" s="228">
        <v>7.9</v>
      </c>
      <c r="AA103" s="228">
        <v>-3.4</v>
      </c>
      <c r="AB103" s="229">
        <v>4.0000000000000001E-3</v>
      </c>
      <c r="AC103" s="228">
        <v>4.5</v>
      </c>
      <c r="AD103" s="228">
        <v>0.4</v>
      </c>
      <c r="AE103" s="228">
        <v>4.0999999999999996</v>
      </c>
      <c r="AF103" s="229">
        <v>4.0000000000000001E-3</v>
      </c>
      <c r="AG103" s="228">
        <v>9.9</v>
      </c>
      <c r="AH103" s="228">
        <v>7.9</v>
      </c>
      <c r="AI103" s="228">
        <v>2</v>
      </c>
      <c r="AJ103" s="229">
        <v>8.8000000000000005E-3</v>
      </c>
      <c r="AK103" s="228">
        <v>17.2</v>
      </c>
      <c r="AL103" s="228">
        <v>16.2</v>
      </c>
      <c r="AM103" s="228">
        <v>1</v>
      </c>
      <c r="AN103" s="229">
        <v>1.54E-2</v>
      </c>
      <c r="AO103" s="231">
        <v>1111.07</v>
      </c>
      <c r="AP103" s="231">
        <v>1116.44</v>
      </c>
      <c r="AQ103" s="228">
        <v>0</v>
      </c>
      <c r="AR103" s="230">
        <v>4351250</v>
      </c>
      <c r="AS103" s="230">
        <v>5589375</v>
      </c>
      <c r="AT103" s="230">
        <v>-1238125</v>
      </c>
      <c r="AU103" s="229">
        <v>-0.2215</v>
      </c>
      <c r="AV103" s="230">
        <v>4195625</v>
      </c>
      <c r="AW103" s="230">
        <v>2358125</v>
      </c>
      <c r="AX103" s="230">
        <v>1837500</v>
      </c>
      <c r="AY103" s="229">
        <v>0.7792</v>
      </c>
      <c r="AZ103" s="230">
        <v>143750</v>
      </c>
      <c r="BA103" s="230">
        <v>3194375</v>
      </c>
      <c r="BB103" s="230">
        <v>-3050625</v>
      </c>
      <c r="BC103" s="229">
        <v>-0.95499999999999996</v>
      </c>
      <c r="BD103" s="230">
        <v>11875</v>
      </c>
      <c r="BE103" s="230">
        <v>36875</v>
      </c>
      <c r="BF103" s="230">
        <v>-25000</v>
      </c>
      <c r="BG103" s="229">
        <v>-0.67800000000000005</v>
      </c>
      <c r="BH103" s="230">
        <v>9381875</v>
      </c>
      <c r="BI103" s="230">
        <v>5620625</v>
      </c>
      <c r="BJ103" s="230">
        <v>3761250</v>
      </c>
      <c r="BK103" s="229">
        <v>0.66920000000000002</v>
      </c>
      <c r="BL103" s="230">
        <v>3205000</v>
      </c>
      <c r="BM103" s="230">
        <v>3116250</v>
      </c>
      <c r="BN103" s="230">
        <v>88750</v>
      </c>
      <c r="BO103" s="229">
        <v>2.8500000000000001E-2</v>
      </c>
      <c r="BP103" s="230">
        <v>16938125</v>
      </c>
      <c r="BQ103" s="230">
        <v>14326250</v>
      </c>
      <c r="BR103" s="230">
        <v>2611875</v>
      </c>
      <c r="BS103" s="229">
        <v>0.18229999999999999</v>
      </c>
      <c r="BT103" s="230">
        <v>2875559</v>
      </c>
      <c r="BU103" s="230">
        <v>1968217</v>
      </c>
      <c r="BV103" s="230">
        <v>907342</v>
      </c>
      <c r="BW103" s="229">
        <v>0.46100000000000002</v>
      </c>
      <c r="BX103" s="230">
        <v>10323750</v>
      </c>
      <c r="BY103" s="230">
        <v>10290000</v>
      </c>
      <c r="BZ103" s="230">
        <v>33750</v>
      </c>
      <c r="CA103" s="229">
        <v>3.3E-3</v>
      </c>
      <c r="CB103" s="230">
        <v>10200000</v>
      </c>
      <c r="CC103" s="230">
        <v>421875</v>
      </c>
      <c r="CD103" s="230">
        <v>9778125</v>
      </c>
      <c r="CE103" s="229">
        <v>23.177800000000001</v>
      </c>
      <c r="CF103" s="230">
        <v>115000</v>
      </c>
      <c r="CG103" s="230">
        <v>10213750</v>
      </c>
      <c r="CH103" s="230">
        <v>-10098750</v>
      </c>
      <c r="CI103" s="229">
        <v>-0.98870000000000002</v>
      </c>
      <c r="CJ103" s="230">
        <v>8750</v>
      </c>
      <c r="CK103" s="230">
        <v>76250</v>
      </c>
      <c r="CL103" s="230">
        <v>-67500</v>
      </c>
      <c r="CM103" s="229">
        <v>-0.88519999999999999</v>
      </c>
      <c r="CN103" s="230">
        <v>2569375</v>
      </c>
      <c r="CO103" s="230">
        <v>2025000</v>
      </c>
      <c r="CP103" s="230">
        <v>544375</v>
      </c>
      <c r="CQ103" s="229">
        <v>0.26879999999999998</v>
      </c>
      <c r="CR103" s="230">
        <v>2080000</v>
      </c>
      <c r="CS103" s="230">
        <v>1436250</v>
      </c>
      <c r="CT103" s="230">
        <v>643750</v>
      </c>
      <c r="CU103" s="229">
        <v>0.44819999999999999</v>
      </c>
      <c r="CV103" s="230">
        <v>14973125</v>
      </c>
      <c r="CW103" s="230">
        <v>13751250</v>
      </c>
      <c r="CX103" s="230">
        <v>1221875</v>
      </c>
      <c r="CY103" s="229">
        <v>8.8900000000000007E-2</v>
      </c>
      <c r="CZ103" s="228">
        <v>36.159999999999997</v>
      </c>
      <c r="DA103" s="228">
        <v>37.020000000000003</v>
      </c>
      <c r="DB103" s="228">
        <v>-0.86</v>
      </c>
      <c r="DC103" s="228">
        <v>-0.86</v>
      </c>
      <c r="DD103" s="228">
        <v>34.93</v>
      </c>
      <c r="DE103" s="228">
        <v>34.700000000000003</v>
      </c>
      <c r="DF103" s="228">
        <v>1.23</v>
      </c>
      <c r="DG103" s="228">
        <v>0.23</v>
      </c>
      <c r="DH103" s="228">
        <v>36.03</v>
      </c>
      <c r="DI103" s="228">
        <v>36.92</v>
      </c>
      <c r="DJ103" s="228">
        <v>-0.89</v>
      </c>
      <c r="DK103" s="228">
        <v>-0.89</v>
      </c>
      <c r="DL103" s="228">
        <v>36.520000000000003</v>
      </c>
      <c r="DM103" s="228">
        <v>37.340000000000003</v>
      </c>
      <c r="DN103" s="228">
        <v>-0.82</v>
      </c>
      <c r="DO103" s="228">
        <v>-0.82</v>
      </c>
      <c r="DP103" s="228">
        <v>0.81</v>
      </c>
      <c r="DQ103" s="228">
        <v>0.71</v>
      </c>
      <c r="DR103" s="228">
        <v>0.1</v>
      </c>
      <c r="DS103" s="229">
        <v>0.14080000000000001</v>
      </c>
      <c r="DT103" s="231">
        <v>1120</v>
      </c>
      <c r="DU103" s="231">
        <v>1100</v>
      </c>
      <c r="DV103" s="228">
        <v>0.34</v>
      </c>
      <c r="DW103" s="228">
        <v>0.55000000000000004</v>
      </c>
      <c r="DX103" s="228">
        <v>-0.21</v>
      </c>
      <c r="DY103" s="229">
        <v>-0.38179999999999997</v>
      </c>
      <c r="DZ103" s="229">
        <v>1.2E-2</v>
      </c>
      <c r="EA103" s="230">
        <v>10290000</v>
      </c>
      <c r="EB103" s="229">
        <v>4.7999999999999996E-3</v>
      </c>
      <c r="EC103" s="229">
        <v>1.2E-2</v>
      </c>
      <c r="ED103" s="228">
        <v>5.37</v>
      </c>
      <c r="EE103" s="229">
        <v>4.7999999999999996E-3</v>
      </c>
      <c r="EF103" s="230">
        <v>1329576</v>
      </c>
      <c r="EG103" s="230">
        <v>991692</v>
      </c>
      <c r="EH103" s="229">
        <v>0.3407</v>
      </c>
      <c r="EI103" s="229">
        <v>0.46239999999999998</v>
      </c>
      <c r="EJ103" s="231">
        <v>110248.8</v>
      </c>
      <c r="EK103" s="231">
        <v>34785.53</v>
      </c>
      <c r="EL103" s="231">
        <v>48355.61</v>
      </c>
      <c r="EM103" s="231">
        <v>13747</v>
      </c>
      <c r="EN103" s="231">
        <v>193389.94</v>
      </c>
      <c r="EO103" s="231">
        <v>156528.57</v>
      </c>
      <c r="EP103" s="231">
        <v>36861.370000000003</v>
      </c>
      <c r="EQ103" s="229">
        <v>0.23549999999999999</v>
      </c>
      <c r="ER103" s="231">
        <v>29140</v>
      </c>
      <c r="ES103" s="231">
        <v>21574</v>
      </c>
      <c r="ET103" s="231">
        <v>116036</v>
      </c>
      <c r="EU103" s="231">
        <v>48257090</v>
      </c>
      <c r="EV103" s="231">
        <v>166749</v>
      </c>
      <c r="EW103" s="231">
        <v>149550</v>
      </c>
      <c r="EX103" s="231">
        <v>17199</v>
      </c>
      <c r="EY103" s="229">
        <v>0.115</v>
      </c>
      <c r="EZ103" s="229">
        <v>0.31030000000000002</v>
      </c>
      <c r="FA103" s="227" t="s">
        <v>555</v>
      </c>
      <c r="FB103" s="161">
        <f t="shared" si="1"/>
        <v>123750</v>
      </c>
    </row>
    <row r="104" spans="1:158" ht="17.25" hidden="1" thickBot="1" x14ac:dyDescent="0.3">
      <c r="A104" s="226">
        <v>46050</v>
      </c>
      <c r="B104" s="227" t="s">
        <v>175</v>
      </c>
      <c r="C104" s="227" t="s">
        <v>570</v>
      </c>
      <c r="D104" s="228">
        <v>2350</v>
      </c>
      <c r="E104" s="228">
        <v>256.95</v>
      </c>
      <c r="F104" s="228">
        <v>257.3</v>
      </c>
      <c r="G104" s="228">
        <v>-0.35</v>
      </c>
      <c r="H104" s="229">
        <v>-1.4E-3</v>
      </c>
      <c r="I104" s="228">
        <v>255.2</v>
      </c>
      <c r="J104" s="228">
        <v>256.05</v>
      </c>
      <c r="K104" s="228">
        <v>-0.85</v>
      </c>
      <c r="L104" s="229">
        <v>-3.3E-3</v>
      </c>
      <c r="M104" s="228">
        <v>256.95</v>
      </c>
      <c r="N104" s="228">
        <v>255.25</v>
      </c>
      <c r="O104" s="228">
        <v>1.7</v>
      </c>
      <c r="P104" s="229">
        <v>6.7000000000000002E-3</v>
      </c>
      <c r="Q104" s="228">
        <v>258.8</v>
      </c>
      <c r="R104" s="228">
        <v>257.3</v>
      </c>
      <c r="S104" s="228">
        <v>1.5</v>
      </c>
      <c r="T104" s="229">
        <v>5.7999999999999996E-3</v>
      </c>
      <c r="U104" s="228">
        <v>260.10000000000002</v>
      </c>
      <c r="V104" s="228">
        <v>259.3</v>
      </c>
      <c r="W104" s="228">
        <v>0.8</v>
      </c>
      <c r="X104" s="229">
        <v>3.0999999999999999E-3</v>
      </c>
      <c r="Y104" s="228">
        <v>1.75</v>
      </c>
      <c r="Z104" s="228">
        <v>1.25</v>
      </c>
      <c r="AA104" s="228">
        <v>0.5</v>
      </c>
      <c r="AB104" s="229">
        <v>6.8999999999999999E-3</v>
      </c>
      <c r="AC104" s="228">
        <v>1.75</v>
      </c>
      <c r="AD104" s="228">
        <v>-0.8</v>
      </c>
      <c r="AE104" s="228">
        <v>2.5499999999999998</v>
      </c>
      <c r="AF104" s="229">
        <v>6.8999999999999999E-3</v>
      </c>
      <c r="AG104" s="228">
        <v>3.6</v>
      </c>
      <c r="AH104" s="228">
        <v>1.25</v>
      </c>
      <c r="AI104" s="228">
        <v>2.35</v>
      </c>
      <c r="AJ104" s="229">
        <v>1.41E-2</v>
      </c>
      <c r="AK104" s="228">
        <v>4.9000000000000004</v>
      </c>
      <c r="AL104" s="228">
        <v>3.25</v>
      </c>
      <c r="AM104" s="228">
        <v>1.65</v>
      </c>
      <c r="AN104" s="229">
        <v>1.9199999999999998E-2</v>
      </c>
      <c r="AO104" s="228">
        <v>256.8</v>
      </c>
      <c r="AP104" s="228">
        <v>258.7</v>
      </c>
      <c r="AQ104" s="228">
        <v>0</v>
      </c>
      <c r="AR104" s="230">
        <v>24202650</v>
      </c>
      <c r="AS104" s="230">
        <v>121946200</v>
      </c>
      <c r="AT104" s="230">
        <v>-97743550</v>
      </c>
      <c r="AU104" s="229">
        <v>-0.80149999999999999</v>
      </c>
      <c r="AV104" s="230">
        <v>22012450</v>
      </c>
      <c r="AW104" s="230">
        <v>55319000</v>
      </c>
      <c r="AX104" s="230">
        <v>-33306550</v>
      </c>
      <c r="AY104" s="229">
        <v>-0.60209999999999997</v>
      </c>
      <c r="AZ104" s="230">
        <v>1797750</v>
      </c>
      <c r="BA104" s="230">
        <v>63191500</v>
      </c>
      <c r="BB104" s="230">
        <v>-61393750</v>
      </c>
      <c r="BC104" s="229">
        <v>-0.97160000000000002</v>
      </c>
      <c r="BD104" s="230">
        <v>392450</v>
      </c>
      <c r="BE104" s="230">
        <v>3435700</v>
      </c>
      <c r="BF104" s="230">
        <v>-3043250</v>
      </c>
      <c r="BG104" s="229">
        <v>-0.88580000000000003</v>
      </c>
      <c r="BH104" s="230">
        <v>71750200</v>
      </c>
      <c r="BI104" s="230">
        <v>68998350</v>
      </c>
      <c r="BJ104" s="230">
        <v>2751850</v>
      </c>
      <c r="BK104" s="229">
        <v>3.9899999999999998E-2</v>
      </c>
      <c r="BL104" s="230">
        <v>25560950</v>
      </c>
      <c r="BM104" s="230">
        <v>46492400</v>
      </c>
      <c r="BN104" s="230">
        <v>-20931450</v>
      </c>
      <c r="BO104" s="229">
        <v>-0.45019999999999999</v>
      </c>
      <c r="BP104" s="230">
        <v>121513800</v>
      </c>
      <c r="BQ104" s="230">
        <v>237436950</v>
      </c>
      <c r="BR104" s="230">
        <v>-115923150</v>
      </c>
      <c r="BS104" s="229">
        <v>-0.48820000000000002</v>
      </c>
      <c r="BT104" s="230">
        <v>19888139</v>
      </c>
      <c r="BU104" s="230">
        <v>16346264</v>
      </c>
      <c r="BV104" s="230">
        <v>3541875</v>
      </c>
      <c r="BW104" s="229">
        <v>0.2167</v>
      </c>
      <c r="BX104" s="230">
        <v>167376400</v>
      </c>
      <c r="BY104" s="230">
        <v>165000550</v>
      </c>
      <c r="BZ104" s="230">
        <v>2375850</v>
      </c>
      <c r="CA104" s="229">
        <v>1.44E-2</v>
      </c>
      <c r="CB104" s="230">
        <v>159073850</v>
      </c>
      <c r="CC104" s="230">
        <v>18630800</v>
      </c>
      <c r="CD104" s="230">
        <v>140443050</v>
      </c>
      <c r="CE104" s="229">
        <v>7.5381999999999998</v>
      </c>
      <c r="CF104" s="230">
        <v>8048750</v>
      </c>
      <c r="CG104" s="230">
        <v>157553400</v>
      </c>
      <c r="CH104" s="230">
        <v>-149504650</v>
      </c>
      <c r="CI104" s="229">
        <v>-0.94889999999999997</v>
      </c>
      <c r="CJ104" s="230">
        <v>253800</v>
      </c>
      <c r="CK104" s="230">
        <v>7447150</v>
      </c>
      <c r="CL104" s="230">
        <v>-7193350</v>
      </c>
      <c r="CM104" s="229">
        <v>-0.96589999999999998</v>
      </c>
      <c r="CN104" s="230">
        <v>54360200</v>
      </c>
      <c r="CO104" s="230">
        <v>42255350</v>
      </c>
      <c r="CP104" s="230">
        <v>12104850</v>
      </c>
      <c r="CQ104" s="229">
        <v>0.28649999999999998</v>
      </c>
      <c r="CR104" s="230">
        <v>38869000</v>
      </c>
      <c r="CS104" s="230">
        <v>35496750</v>
      </c>
      <c r="CT104" s="230">
        <v>3372250</v>
      </c>
      <c r="CU104" s="229">
        <v>9.5000000000000001E-2</v>
      </c>
      <c r="CV104" s="230">
        <v>260605600</v>
      </c>
      <c r="CW104" s="230">
        <v>242752650</v>
      </c>
      <c r="CX104" s="230">
        <v>17852950</v>
      </c>
      <c r="CY104" s="229">
        <v>7.3499999999999996E-2</v>
      </c>
      <c r="CZ104" s="228">
        <v>32.15</v>
      </c>
      <c r="DA104" s="228">
        <v>32.93</v>
      </c>
      <c r="DB104" s="228">
        <v>-0.78</v>
      </c>
      <c r="DC104" s="228">
        <v>-0.78</v>
      </c>
      <c r="DD104" s="228">
        <v>33.97</v>
      </c>
      <c r="DE104" s="228">
        <v>34.06</v>
      </c>
      <c r="DF104" s="228">
        <v>-1.82</v>
      </c>
      <c r="DG104" s="228">
        <v>-0.09</v>
      </c>
      <c r="DH104" s="228">
        <v>32.39</v>
      </c>
      <c r="DI104" s="228">
        <v>32.5</v>
      </c>
      <c r="DJ104" s="228">
        <v>-0.11</v>
      </c>
      <c r="DK104" s="228">
        <v>-0.11</v>
      </c>
      <c r="DL104" s="228">
        <v>31.5</v>
      </c>
      <c r="DM104" s="228">
        <v>33.65</v>
      </c>
      <c r="DN104" s="228">
        <v>-2.15</v>
      </c>
      <c r="DO104" s="228">
        <v>-2.15</v>
      </c>
      <c r="DP104" s="228">
        <v>0.72</v>
      </c>
      <c r="DQ104" s="228">
        <v>0.84</v>
      </c>
      <c r="DR104" s="228">
        <v>-0.12</v>
      </c>
      <c r="DS104" s="229">
        <v>-0.1429</v>
      </c>
      <c r="DT104" s="228">
        <v>300</v>
      </c>
      <c r="DU104" s="228">
        <v>250</v>
      </c>
      <c r="DV104" s="228">
        <v>0.36</v>
      </c>
      <c r="DW104" s="228">
        <v>0.67</v>
      </c>
      <c r="DX104" s="228">
        <v>-0.31</v>
      </c>
      <c r="DY104" s="229">
        <v>-0.4627</v>
      </c>
      <c r="DZ104" s="229">
        <v>4.9599999999999998E-2</v>
      </c>
      <c r="EA104" s="230">
        <v>165000550</v>
      </c>
      <c r="EB104" s="229">
        <v>7.1999999999999998E-3</v>
      </c>
      <c r="EC104" s="229">
        <v>4.9599999999999998E-2</v>
      </c>
      <c r="ED104" s="228">
        <v>1.9</v>
      </c>
      <c r="EE104" s="229">
        <v>7.4000000000000003E-3</v>
      </c>
      <c r="EF104" s="230">
        <v>11324218</v>
      </c>
      <c r="EG104" s="230">
        <v>6943482</v>
      </c>
      <c r="EH104" s="229">
        <v>0.63090000000000002</v>
      </c>
      <c r="EI104" s="229">
        <v>0.56940000000000002</v>
      </c>
      <c r="EJ104" s="231">
        <v>202195.83</v>
      </c>
      <c r="EK104" s="231">
        <v>66270.820000000007</v>
      </c>
      <c r="EL104" s="231">
        <v>62198.52</v>
      </c>
      <c r="EM104" s="231">
        <v>39294</v>
      </c>
      <c r="EN104" s="231">
        <v>330665.17</v>
      </c>
      <c r="EO104" s="231">
        <v>630225.31000000006</v>
      </c>
      <c r="EP104" s="231">
        <v>-299560.14</v>
      </c>
      <c r="EQ104" s="229">
        <v>-0.4753</v>
      </c>
      <c r="ER104" s="231">
        <v>155316</v>
      </c>
      <c r="ES104" s="231">
        <v>105998</v>
      </c>
      <c r="ET104" s="231">
        <v>430231</v>
      </c>
      <c r="EU104" s="231">
        <v>355358091</v>
      </c>
      <c r="EV104" s="231">
        <v>691544</v>
      </c>
      <c r="EW104" s="231">
        <v>643332</v>
      </c>
      <c r="EX104" s="231">
        <v>48212</v>
      </c>
      <c r="EY104" s="229">
        <v>7.4899999999999994E-2</v>
      </c>
      <c r="EZ104" s="229">
        <v>0.73340000000000005</v>
      </c>
      <c r="FA104" s="227" t="s">
        <v>567</v>
      </c>
      <c r="FB104" s="161">
        <f t="shared" si="1"/>
        <v>8302550</v>
      </c>
    </row>
    <row r="105" spans="1:158" ht="17.25" hidden="1" thickBot="1" x14ac:dyDescent="0.3">
      <c r="A105" s="226">
        <v>46050</v>
      </c>
      <c r="B105" s="227" t="s">
        <v>161</v>
      </c>
      <c r="C105" s="227" t="s">
        <v>580</v>
      </c>
      <c r="D105" s="228">
        <v>1000</v>
      </c>
      <c r="E105" s="228">
        <v>449.35</v>
      </c>
      <c r="F105" s="228">
        <v>441.7</v>
      </c>
      <c r="G105" s="228">
        <v>7.65</v>
      </c>
      <c r="H105" s="229">
        <v>1.7299999999999999E-2</v>
      </c>
      <c r="I105" s="228">
        <v>446.25</v>
      </c>
      <c r="J105" s="228">
        <v>440.05</v>
      </c>
      <c r="K105" s="228">
        <v>6.2</v>
      </c>
      <c r="L105" s="229">
        <v>1.41E-2</v>
      </c>
      <c r="M105" s="228">
        <v>449.35</v>
      </c>
      <c r="N105" s="228">
        <v>439.9</v>
      </c>
      <c r="O105" s="228">
        <v>9.4499999999999993</v>
      </c>
      <c r="P105" s="229">
        <v>2.1499999999999998E-2</v>
      </c>
      <c r="Q105" s="228">
        <v>451.7</v>
      </c>
      <c r="R105" s="228">
        <v>441.7</v>
      </c>
      <c r="S105" s="228">
        <v>10</v>
      </c>
      <c r="T105" s="229">
        <v>2.2599999999999999E-2</v>
      </c>
      <c r="U105" s="228">
        <v>455</v>
      </c>
      <c r="V105" s="228">
        <v>444.5</v>
      </c>
      <c r="W105" s="228">
        <v>10.5</v>
      </c>
      <c r="X105" s="229">
        <v>2.3599999999999999E-2</v>
      </c>
      <c r="Y105" s="228">
        <v>3.1</v>
      </c>
      <c r="Z105" s="228">
        <v>1.65</v>
      </c>
      <c r="AA105" s="228">
        <v>1.45</v>
      </c>
      <c r="AB105" s="229">
        <v>6.8999999999999999E-3</v>
      </c>
      <c r="AC105" s="228">
        <v>3.1</v>
      </c>
      <c r="AD105" s="228">
        <v>-0.15</v>
      </c>
      <c r="AE105" s="228">
        <v>3.25</v>
      </c>
      <c r="AF105" s="229">
        <v>6.8999999999999999E-3</v>
      </c>
      <c r="AG105" s="228">
        <v>5.45</v>
      </c>
      <c r="AH105" s="228">
        <v>1.65</v>
      </c>
      <c r="AI105" s="228">
        <v>3.8</v>
      </c>
      <c r="AJ105" s="229">
        <v>1.2200000000000001E-2</v>
      </c>
      <c r="AK105" s="228">
        <v>8.75</v>
      </c>
      <c r="AL105" s="228">
        <v>4.45</v>
      </c>
      <c r="AM105" s="228">
        <v>4.3</v>
      </c>
      <c r="AN105" s="229">
        <v>1.9599999999999999E-2</v>
      </c>
      <c r="AO105" s="228">
        <v>447.92</v>
      </c>
      <c r="AP105" s="228">
        <v>449.31</v>
      </c>
      <c r="AQ105" s="228">
        <v>0</v>
      </c>
      <c r="AR105" s="230">
        <v>5992000</v>
      </c>
      <c r="AS105" s="230">
        <v>30221000</v>
      </c>
      <c r="AT105" s="230">
        <v>-24229000</v>
      </c>
      <c r="AU105" s="229">
        <v>-0.80169999999999997</v>
      </c>
      <c r="AV105" s="230">
        <v>5826000</v>
      </c>
      <c r="AW105" s="230">
        <v>12249000</v>
      </c>
      <c r="AX105" s="230">
        <v>-6423000</v>
      </c>
      <c r="AY105" s="229">
        <v>-0.52439999999999998</v>
      </c>
      <c r="AZ105" s="230">
        <v>160000</v>
      </c>
      <c r="BA105" s="230">
        <v>17615000</v>
      </c>
      <c r="BB105" s="230">
        <v>-17455000</v>
      </c>
      <c r="BC105" s="229">
        <v>-0.9909</v>
      </c>
      <c r="BD105" s="230">
        <v>6000</v>
      </c>
      <c r="BE105" s="230">
        <v>357000</v>
      </c>
      <c r="BF105" s="230">
        <v>-351000</v>
      </c>
      <c r="BG105" s="229">
        <v>-0.98319999999999996</v>
      </c>
      <c r="BH105" s="230">
        <v>12214000</v>
      </c>
      <c r="BI105" s="230">
        <v>38909000</v>
      </c>
      <c r="BJ105" s="230">
        <v>-26695000</v>
      </c>
      <c r="BK105" s="229">
        <v>-0.68610000000000004</v>
      </c>
      <c r="BL105" s="230">
        <v>6038000</v>
      </c>
      <c r="BM105" s="230">
        <v>45307000</v>
      </c>
      <c r="BN105" s="230">
        <v>-39269000</v>
      </c>
      <c r="BO105" s="229">
        <v>-0.86670000000000003</v>
      </c>
      <c r="BP105" s="230">
        <v>24244000</v>
      </c>
      <c r="BQ105" s="230">
        <v>114437000</v>
      </c>
      <c r="BR105" s="230">
        <v>-90193000</v>
      </c>
      <c r="BS105" s="229">
        <v>-0.78810000000000002</v>
      </c>
      <c r="BT105" s="230">
        <v>10225512</v>
      </c>
      <c r="BU105" s="230">
        <v>25172613</v>
      </c>
      <c r="BV105" s="230">
        <v>-14947101</v>
      </c>
      <c r="BW105" s="229">
        <v>-0.59379999999999999</v>
      </c>
      <c r="BX105" s="230">
        <v>34905000</v>
      </c>
      <c r="BY105" s="230">
        <v>33931000</v>
      </c>
      <c r="BZ105" s="230">
        <v>974000</v>
      </c>
      <c r="CA105" s="229">
        <v>2.87E-2</v>
      </c>
      <c r="CB105" s="230">
        <v>34664000</v>
      </c>
      <c r="CC105" s="230">
        <v>6056000</v>
      </c>
      <c r="CD105" s="230">
        <v>28608000</v>
      </c>
      <c r="CE105" s="229">
        <v>4.7239000000000004</v>
      </c>
      <c r="CF105" s="230">
        <v>237000</v>
      </c>
      <c r="CG105" s="230">
        <v>33704000</v>
      </c>
      <c r="CH105" s="230">
        <v>-33467000</v>
      </c>
      <c r="CI105" s="229">
        <v>-0.99299999999999999</v>
      </c>
      <c r="CJ105" s="230">
        <v>4000</v>
      </c>
      <c r="CK105" s="230">
        <v>227000</v>
      </c>
      <c r="CL105" s="230">
        <v>-223000</v>
      </c>
      <c r="CM105" s="229">
        <v>-0.98240000000000005</v>
      </c>
      <c r="CN105" s="230">
        <v>6470000</v>
      </c>
      <c r="CO105" s="230">
        <v>6282000</v>
      </c>
      <c r="CP105" s="230">
        <v>188000</v>
      </c>
      <c r="CQ105" s="229">
        <v>2.9899999999999999E-2</v>
      </c>
      <c r="CR105" s="230">
        <v>6325000</v>
      </c>
      <c r="CS105" s="230">
        <v>6585000</v>
      </c>
      <c r="CT105" s="230">
        <v>-260000</v>
      </c>
      <c r="CU105" s="229">
        <v>-3.95E-2</v>
      </c>
      <c r="CV105" s="230">
        <v>47700000</v>
      </c>
      <c r="CW105" s="230">
        <v>46798000</v>
      </c>
      <c r="CX105" s="230">
        <v>902000</v>
      </c>
      <c r="CY105" s="229">
        <v>1.9300000000000001E-2</v>
      </c>
      <c r="CZ105" s="228">
        <v>34.32</v>
      </c>
      <c r="DA105" s="228">
        <v>37.07</v>
      </c>
      <c r="DB105" s="228">
        <v>-2.75</v>
      </c>
      <c r="DC105" s="228">
        <v>-2.75</v>
      </c>
      <c r="DD105" s="228">
        <v>43.19</v>
      </c>
      <c r="DE105" s="228">
        <v>43.24</v>
      </c>
      <c r="DF105" s="228">
        <v>-8.8699999999999992</v>
      </c>
      <c r="DG105" s="228">
        <v>-0.05</v>
      </c>
      <c r="DH105" s="228">
        <v>33.82</v>
      </c>
      <c r="DI105" s="228">
        <v>36.39</v>
      </c>
      <c r="DJ105" s="228">
        <v>-2.57</v>
      </c>
      <c r="DK105" s="228">
        <v>-2.57</v>
      </c>
      <c r="DL105" s="228">
        <v>35.340000000000003</v>
      </c>
      <c r="DM105" s="228">
        <v>37.69</v>
      </c>
      <c r="DN105" s="228">
        <v>-2.35</v>
      </c>
      <c r="DO105" s="228">
        <v>-2.35</v>
      </c>
      <c r="DP105" s="228">
        <v>0.98</v>
      </c>
      <c r="DQ105" s="228">
        <v>1.05</v>
      </c>
      <c r="DR105" s="228">
        <v>-7.0000000000000007E-2</v>
      </c>
      <c r="DS105" s="229">
        <v>-6.6699999999999995E-2</v>
      </c>
      <c r="DT105" s="228">
        <v>500</v>
      </c>
      <c r="DU105" s="228">
        <v>530</v>
      </c>
      <c r="DV105" s="228">
        <v>0.49</v>
      </c>
      <c r="DW105" s="228">
        <v>1.1599999999999999</v>
      </c>
      <c r="DX105" s="228">
        <v>-0.67</v>
      </c>
      <c r="DY105" s="229">
        <v>-0.5776</v>
      </c>
      <c r="DZ105" s="229">
        <v>6.8999999999999999E-3</v>
      </c>
      <c r="EA105" s="230">
        <v>33931000</v>
      </c>
      <c r="EB105" s="229">
        <v>5.1999999999999998E-3</v>
      </c>
      <c r="EC105" s="229">
        <v>6.8999999999999999E-3</v>
      </c>
      <c r="ED105" s="228">
        <v>1.39</v>
      </c>
      <c r="EE105" s="229">
        <v>3.0999999999999999E-3</v>
      </c>
      <c r="EF105" s="230">
        <v>6407162</v>
      </c>
      <c r="EG105" s="230">
        <v>7817270</v>
      </c>
      <c r="EH105" s="229">
        <v>-0.1804</v>
      </c>
      <c r="EI105" s="229">
        <v>0.62660000000000005</v>
      </c>
      <c r="EJ105" s="231">
        <v>58433.61</v>
      </c>
      <c r="EK105" s="231">
        <v>26539.74</v>
      </c>
      <c r="EL105" s="231">
        <v>26842.03</v>
      </c>
      <c r="EM105" s="231">
        <v>23580</v>
      </c>
      <c r="EN105" s="231">
        <v>111815.38</v>
      </c>
      <c r="EO105" s="231">
        <v>525953.96</v>
      </c>
      <c r="EP105" s="231">
        <v>-414138.58</v>
      </c>
      <c r="EQ105" s="229">
        <v>-0.78739999999999999</v>
      </c>
      <c r="ER105" s="231">
        <v>31204</v>
      </c>
      <c r="ES105" s="231">
        <v>29567</v>
      </c>
      <c r="ET105" s="231">
        <v>156851</v>
      </c>
      <c r="EU105" s="231">
        <v>80385888</v>
      </c>
      <c r="EV105" s="231">
        <v>217622</v>
      </c>
      <c r="EW105" s="231">
        <v>210622</v>
      </c>
      <c r="EX105" s="231">
        <v>7000</v>
      </c>
      <c r="EY105" s="229">
        <v>3.32E-2</v>
      </c>
      <c r="EZ105" s="229">
        <v>0.59340000000000004</v>
      </c>
      <c r="FA105" s="227" t="s">
        <v>555</v>
      </c>
      <c r="FB105" s="161">
        <f t="shared" si="1"/>
        <v>241000</v>
      </c>
    </row>
    <row r="106" spans="1:158" ht="17.25" hidden="1" thickBot="1" x14ac:dyDescent="0.3">
      <c r="A106" s="226">
        <v>46050</v>
      </c>
      <c r="B106" s="227" t="s">
        <v>227</v>
      </c>
      <c r="C106" s="227" t="s">
        <v>244</v>
      </c>
      <c r="D106" s="228">
        <v>675</v>
      </c>
      <c r="E106" s="231">
        <v>1223.5999999999999</v>
      </c>
      <c r="F106" s="231">
        <v>1231.4000000000001</v>
      </c>
      <c r="G106" s="228">
        <v>-7.8</v>
      </c>
      <c r="H106" s="229">
        <v>-6.3E-3</v>
      </c>
      <c r="I106" s="231">
        <v>1218.7</v>
      </c>
      <c r="J106" s="231">
        <v>1222</v>
      </c>
      <c r="K106" s="228">
        <v>-3.3</v>
      </c>
      <c r="L106" s="229">
        <v>-2.7000000000000001E-3</v>
      </c>
      <c r="M106" s="231">
        <v>1223.5999999999999</v>
      </c>
      <c r="N106" s="231">
        <v>1224.3</v>
      </c>
      <c r="O106" s="228">
        <v>-0.7</v>
      </c>
      <c r="P106" s="229">
        <v>-5.9999999999999995E-4</v>
      </c>
      <c r="Q106" s="231">
        <v>1231</v>
      </c>
      <c r="R106" s="231">
        <v>1231.4000000000001</v>
      </c>
      <c r="S106" s="228">
        <v>-0.4</v>
      </c>
      <c r="T106" s="229">
        <v>-2.9999999999999997E-4</v>
      </c>
      <c r="U106" s="231">
        <v>1236.5</v>
      </c>
      <c r="V106" s="231">
        <v>1238.0999999999999</v>
      </c>
      <c r="W106" s="228">
        <v>-1.6</v>
      </c>
      <c r="X106" s="229">
        <v>-1.2999999999999999E-3</v>
      </c>
      <c r="Y106" s="228">
        <v>4.9000000000000004</v>
      </c>
      <c r="Z106" s="228">
        <v>9.4</v>
      </c>
      <c r="AA106" s="228">
        <v>-4.5</v>
      </c>
      <c r="AB106" s="229">
        <v>4.0000000000000001E-3</v>
      </c>
      <c r="AC106" s="228">
        <v>4.9000000000000004</v>
      </c>
      <c r="AD106" s="228">
        <v>2.2999999999999998</v>
      </c>
      <c r="AE106" s="228">
        <v>2.6</v>
      </c>
      <c r="AF106" s="229">
        <v>4.0000000000000001E-3</v>
      </c>
      <c r="AG106" s="228">
        <v>12.3</v>
      </c>
      <c r="AH106" s="228">
        <v>9.4</v>
      </c>
      <c r="AI106" s="228">
        <v>2.9</v>
      </c>
      <c r="AJ106" s="229">
        <v>1.01E-2</v>
      </c>
      <c r="AK106" s="228">
        <v>17.8</v>
      </c>
      <c r="AL106" s="228">
        <v>16.100000000000001</v>
      </c>
      <c r="AM106" s="228">
        <v>1.7</v>
      </c>
      <c r="AN106" s="229">
        <v>1.46E-2</v>
      </c>
      <c r="AO106" s="231">
        <v>1224.48</v>
      </c>
      <c r="AP106" s="231">
        <v>1232.1600000000001</v>
      </c>
      <c r="AQ106" s="228">
        <v>0</v>
      </c>
      <c r="AR106" s="230">
        <v>3870450</v>
      </c>
      <c r="AS106" s="230">
        <v>21538575</v>
      </c>
      <c r="AT106" s="230">
        <v>-17668125</v>
      </c>
      <c r="AU106" s="229">
        <v>-0.82030000000000003</v>
      </c>
      <c r="AV106" s="230">
        <v>3666600</v>
      </c>
      <c r="AW106" s="230">
        <v>9111150</v>
      </c>
      <c r="AX106" s="230">
        <v>-5444550</v>
      </c>
      <c r="AY106" s="229">
        <v>-0.59760000000000002</v>
      </c>
      <c r="AZ106" s="230">
        <v>191025</v>
      </c>
      <c r="BA106" s="230">
        <v>12246525</v>
      </c>
      <c r="BB106" s="230">
        <v>-12055500</v>
      </c>
      <c r="BC106" s="229">
        <v>-0.98440000000000005</v>
      </c>
      <c r="BD106" s="230">
        <v>12825</v>
      </c>
      <c r="BE106" s="230">
        <v>180900</v>
      </c>
      <c r="BF106" s="230">
        <v>-168075</v>
      </c>
      <c r="BG106" s="229">
        <v>-0.92910000000000004</v>
      </c>
      <c r="BH106" s="230">
        <v>10910025</v>
      </c>
      <c r="BI106" s="230">
        <v>27376650</v>
      </c>
      <c r="BJ106" s="230">
        <v>-16466625</v>
      </c>
      <c r="BK106" s="229">
        <v>-0.60150000000000003</v>
      </c>
      <c r="BL106" s="230">
        <v>4218075</v>
      </c>
      <c r="BM106" s="230">
        <v>14570550</v>
      </c>
      <c r="BN106" s="230">
        <v>-10352475</v>
      </c>
      <c r="BO106" s="229">
        <v>-0.71050000000000002</v>
      </c>
      <c r="BP106" s="230">
        <v>18998550</v>
      </c>
      <c r="BQ106" s="230">
        <v>63485775</v>
      </c>
      <c r="BR106" s="230">
        <v>-44487225</v>
      </c>
      <c r="BS106" s="229">
        <v>-0.70069999999999999</v>
      </c>
      <c r="BT106" s="230">
        <v>2316095</v>
      </c>
      <c r="BU106" s="230">
        <v>3921751</v>
      </c>
      <c r="BV106" s="230">
        <v>-1605656</v>
      </c>
      <c r="BW106" s="229">
        <v>-0.40939999999999999</v>
      </c>
      <c r="BX106" s="230">
        <v>50504850</v>
      </c>
      <c r="BY106" s="230">
        <v>50766750</v>
      </c>
      <c r="BZ106" s="230">
        <v>-261900</v>
      </c>
      <c r="CA106" s="229">
        <v>-5.1999999999999998E-3</v>
      </c>
      <c r="CB106" s="230">
        <v>50195025</v>
      </c>
      <c r="CC106" s="230">
        <v>1457325</v>
      </c>
      <c r="CD106" s="230">
        <v>48737700</v>
      </c>
      <c r="CE106" s="229">
        <v>33.443300000000001</v>
      </c>
      <c r="CF106" s="230">
        <v>303750</v>
      </c>
      <c r="CG106" s="230">
        <v>50511600</v>
      </c>
      <c r="CH106" s="230">
        <v>-50207850</v>
      </c>
      <c r="CI106" s="229">
        <v>-0.99399999999999999</v>
      </c>
      <c r="CJ106" s="230">
        <v>6075</v>
      </c>
      <c r="CK106" s="230">
        <v>255150</v>
      </c>
      <c r="CL106" s="230">
        <v>-249075</v>
      </c>
      <c r="CM106" s="229">
        <v>-0.97619999999999996</v>
      </c>
      <c r="CN106" s="230">
        <v>4301775</v>
      </c>
      <c r="CO106" s="230">
        <v>3233250</v>
      </c>
      <c r="CP106" s="230">
        <v>1068525</v>
      </c>
      <c r="CQ106" s="229">
        <v>0.33050000000000002</v>
      </c>
      <c r="CR106" s="230">
        <v>2905200</v>
      </c>
      <c r="CS106" s="230">
        <v>2376000</v>
      </c>
      <c r="CT106" s="230">
        <v>529200</v>
      </c>
      <c r="CU106" s="229">
        <v>0.22270000000000001</v>
      </c>
      <c r="CV106" s="230">
        <v>57711825</v>
      </c>
      <c r="CW106" s="230">
        <v>56376000</v>
      </c>
      <c r="CX106" s="230">
        <v>1335825</v>
      </c>
      <c r="CY106" s="229">
        <v>2.3699999999999999E-2</v>
      </c>
      <c r="CZ106" s="228">
        <v>26.69</v>
      </c>
      <c r="DA106" s="228">
        <v>27.28</v>
      </c>
      <c r="DB106" s="228">
        <v>-0.59</v>
      </c>
      <c r="DC106" s="228">
        <v>-0.59</v>
      </c>
      <c r="DD106" s="228">
        <v>29.61</v>
      </c>
      <c r="DE106" s="228">
        <v>29.67</v>
      </c>
      <c r="DF106" s="228">
        <v>-2.92</v>
      </c>
      <c r="DG106" s="228">
        <v>-0.06</v>
      </c>
      <c r="DH106" s="228">
        <v>26.21</v>
      </c>
      <c r="DI106" s="228">
        <v>26.21</v>
      </c>
      <c r="DJ106" s="228">
        <v>0</v>
      </c>
      <c r="DK106" s="228">
        <v>0</v>
      </c>
      <c r="DL106" s="228">
        <v>27.95</v>
      </c>
      <c r="DM106" s="228">
        <v>29.53</v>
      </c>
      <c r="DN106" s="228">
        <v>-1.58</v>
      </c>
      <c r="DO106" s="228">
        <v>-1.58</v>
      </c>
      <c r="DP106" s="228">
        <v>0.68</v>
      </c>
      <c r="DQ106" s="228">
        <v>0.73</v>
      </c>
      <c r="DR106" s="228">
        <v>-0.05</v>
      </c>
      <c r="DS106" s="229">
        <v>-6.8500000000000005E-2</v>
      </c>
      <c r="DT106" s="231">
        <v>1300</v>
      </c>
      <c r="DU106" s="231">
        <v>1140</v>
      </c>
      <c r="DV106" s="228">
        <v>0.39</v>
      </c>
      <c r="DW106" s="228">
        <v>0.53</v>
      </c>
      <c r="DX106" s="228">
        <v>-0.14000000000000001</v>
      </c>
      <c r="DY106" s="229">
        <v>-0.26419999999999999</v>
      </c>
      <c r="DZ106" s="229">
        <v>6.1000000000000004E-3</v>
      </c>
      <c r="EA106" s="230">
        <v>50766750</v>
      </c>
      <c r="EB106" s="229">
        <v>6.0000000000000001E-3</v>
      </c>
      <c r="EC106" s="229">
        <v>6.1000000000000004E-3</v>
      </c>
      <c r="ED106" s="228">
        <v>7.68</v>
      </c>
      <c r="EE106" s="229">
        <v>6.3E-3</v>
      </c>
      <c r="EF106" s="230">
        <v>1046441</v>
      </c>
      <c r="EG106" s="230">
        <v>1247372</v>
      </c>
      <c r="EH106" s="229">
        <v>-0.16109999999999999</v>
      </c>
      <c r="EI106" s="229">
        <v>0.45179999999999998</v>
      </c>
      <c r="EJ106" s="231">
        <v>140442.09</v>
      </c>
      <c r="EK106" s="231">
        <v>50445.26</v>
      </c>
      <c r="EL106" s="231">
        <v>47409.47</v>
      </c>
      <c r="EM106" s="231">
        <v>39972</v>
      </c>
      <c r="EN106" s="231">
        <v>238296.82</v>
      </c>
      <c r="EO106" s="231">
        <v>772260.1</v>
      </c>
      <c r="EP106" s="231">
        <v>-533963.28</v>
      </c>
      <c r="EQ106" s="229">
        <v>-0.69140000000000001</v>
      </c>
      <c r="ER106" s="231">
        <v>54326</v>
      </c>
      <c r="ES106" s="231">
        <v>33629</v>
      </c>
      <c r="ET106" s="231">
        <v>618001</v>
      </c>
      <c r="EU106" s="231">
        <v>133434355</v>
      </c>
      <c r="EV106" s="231">
        <v>705955</v>
      </c>
      <c r="EW106" s="231">
        <v>692855</v>
      </c>
      <c r="EX106" s="231">
        <v>13100</v>
      </c>
      <c r="EY106" s="229">
        <v>1.89E-2</v>
      </c>
      <c r="EZ106" s="229">
        <v>0.4325</v>
      </c>
      <c r="FA106" s="227" t="s">
        <v>568</v>
      </c>
      <c r="FB106" s="161">
        <f t="shared" si="1"/>
        <v>309825</v>
      </c>
    </row>
    <row r="107" spans="1:158" ht="17.25" hidden="1" thickBot="1" x14ac:dyDescent="0.3">
      <c r="A107" s="226">
        <v>46050</v>
      </c>
      <c r="B107" s="227" t="s">
        <v>168</v>
      </c>
      <c r="C107" s="227" t="s">
        <v>245</v>
      </c>
      <c r="D107" s="228">
        <v>1250</v>
      </c>
      <c r="E107" s="228">
        <v>494.15</v>
      </c>
      <c r="F107" s="228">
        <v>491.3</v>
      </c>
      <c r="G107" s="228">
        <v>2.85</v>
      </c>
      <c r="H107" s="229">
        <v>5.7999999999999996E-3</v>
      </c>
      <c r="I107" s="228">
        <v>493.65</v>
      </c>
      <c r="J107" s="228">
        <v>488.3</v>
      </c>
      <c r="K107" s="228">
        <v>5.35</v>
      </c>
      <c r="L107" s="229">
        <v>1.0999999999999999E-2</v>
      </c>
      <c r="M107" s="228">
        <v>494.15</v>
      </c>
      <c r="N107" s="228">
        <v>487.65</v>
      </c>
      <c r="O107" s="228">
        <v>6.5</v>
      </c>
      <c r="P107" s="229">
        <v>1.3299999999999999E-2</v>
      </c>
      <c r="Q107" s="228">
        <v>491.55</v>
      </c>
      <c r="R107" s="228">
        <v>491.3</v>
      </c>
      <c r="S107" s="228">
        <v>0.25</v>
      </c>
      <c r="T107" s="229">
        <v>5.0000000000000001E-4</v>
      </c>
      <c r="U107" s="228">
        <v>0</v>
      </c>
      <c r="V107" s="228">
        <v>490.8</v>
      </c>
      <c r="W107" s="228">
        <v>0</v>
      </c>
      <c r="X107" s="229">
        <v>0</v>
      </c>
      <c r="Y107" s="228">
        <v>0.5</v>
      </c>
      <c r="Z107" s="228">
        <v>3</v>
      </c>
      <c r="AA107" s="228">
        <v>-2.5</v>
      </c>
      <c r="AB107" s="229">
        <v>1E-3</v>
      </c>
      <c r="AC107" s="228">
        <v>0.5</v>
      </c>
      <c r="AD107" s="228">
        <v>-0.65</v>
      </c>
      <c r="AE107" s="228">
        <v>1.1499999999999999</v>
      </c>
      <c r="AF107" s="229">
        <v>1E-3</v>
      </c>
      <c r="AG107" s="228">
        <v>-2.1</v>
      </c>
      <c r="AH107" s="228">
        <v>3</v>
      </c>
      <c r="AI107" s="228">
        <v>-5.0999999999999996</v>
      </c>
      <c r="AJ107" s="229">
        <v>-4.3E-3</v>
      </c>
      <c r="AK107" s="228">
        <v>0</v>
      </c>
      <c r="AL107" s="228">
        <v>2.5</v>
      </c>
      <c r="AM107" s="228">
        <v>0</v>
      </c>
      <c r="AN107" s="229">
        <v>0</v>
      </c>
      <c r="AO107" s="228">
        <v>491.65</v>
      </c>
      <c r="AP107" s="228">
        <v>489.23</v>
      </c>
      <c r="AQ107" s="228">
        <v>0</v>
      </c>
      <c r="AR107" s="230">
        <v>3308750</v>
      </c>
      <c r="AS107" s="230">
        <v>20460000</v>
      </c>
      <c r="AT107" s="230">
        <v>-17151250</v>
      </c>
      <c r="AU107" s="229">
        <v>-0.83830000000000005</v>
      </c>
      <c r="AV107" s="230">
        <v>2917500</v>
      </c>
      <c r="AW107" s="230">
        <v>9715000</v>
      </c>
      <c r="AX107" s="230">
        <v>-6797500</v>
      </c>
      <c r="AY107" s="229">
        <v>-0.69969999999999999</v>
      </c>
      <c r="AZ107" s="230">
        <v>391250</v>
      </c>
      <c r="BA107" s="230">
        <v>10325000</v>
      </c>
      <c r="BB107" s="230">
        <v>-9933750</v>
      </c>
      <c r="BC107" s="229">
        <v>-0.96209999999999996</v>
      </c>
      <c r="BD107" s="228">
        <v>0</v>
      </c>
      <c r="BE107" s="230">
        <v>420000</v>
      </c>
      <c r="BF107" s="228">
        <v>0</v>
      </c>
      <c r="BG107" s="229">
        <v>0</v>
      </c>
      <c r="BH107" s="230">
        <v>3580000</v>
      </c>
      <c r="BI107" s="230">
        <v>5583750</v>
      </c>
      <c r="BJ107" s="230">
        <v>-2003750</v>
      </c>
      <c r="BK107" s="229">
        <v>-0.3589</v>
      </c>
      <c r="BL107" s="230">
        <v>1835000</v>
      </c>
      <c r="BM107" s="230">
        <v>7448750</v>
      </c>
      <c r="BN107" s="230">
        <v>-5613750</v>
      </c>
      <c r="BO107" s="229">
        <v>-0.75360000000000005</v>
      </c>
      <c r="BP107" s="230">
        <v>8723750</v>
      </c>
      <c r="BQ107" s="230">
        <v>33492500</v>
      </c>
      <c r="BR107" s="230">
        <v>-24768750</v>
      </c>
      <c r="BS107" s="229">
        <v>-0.73950000000000005</v>
      </c>
      <c r="BT107" s="230">
        <v>1071963</v>
      </c>
      <c r="BU107" s="230">
        <v>3277653</v>
      </c>
      <c r="BV107" s="230">
        <v>-2205690</v>
      </c>
      <c r="BW107" s="229">
        <v>-0.67290000000000005</v>
      </c>
      <c r="BX107" s="230">
        <v>23688750</v>
      </c>
      <c r="BY107" s="230">
        <v>23485000</v>
      </c>
      <c r="BZ107" s="230">
        <v>203750</v>
      </c>
      <c r="CA107" s="229">
        <v>8.6999999999999994E-3</v>
      </c>
      <c r="CB107" s="230">
        <v>22697500</v>
      </c>
      <c r="CC107" s="230">
        <v>1433750</v>
      </c>
      <c r="CD107" s="230">
        <v>21263750</v>
      </c>
      <c r="CE107" s="229">
        <v>14.8309</v>
      </c>
      <c r="CF107" s="230">
        <v>991250</v>
      </c>
      <c r="CG107" s="230">
        <v>22543750</v>
      </c>
      <c r="CH107" s="230">
        <v>-21552500</v>
      </c>
      <c r="CI107" s="229">
        <v>-0.95599999999999996</v>
      </c>
      <c r="CJ107" s="228">
        <v>0</v>
      </c>
      <c r="CK107" s="230">
        <v>941250</v>
      </c>
      <c r="CL107" s="230">
        <v>-941250</v>
      </c>
      <c r="CM107" s="229">
        <v>-1</v>
      </c>
      <c r="CN107" s="230">
        <v>4427500</v>
      </c>
      <c r="CO107" s="230">
        <v>3535000</v>
      </c>
      <c r="CP107" s="230">
        <v>892500</v>
      </c>
      <c r="CQ107" s="229">
        <v>0.2525</v>
      </c>
      <c r="CR107" s="230">
        <v>3045000</v>
      </c>
      <c r="CS107" s="230">
        <v>2698750</v>
      </c>
      <c r="CT107" s="230">
        <v>346250</v>
      </c>
      <c r="CU107" s="229">
        <v>0.1283</v>
      </c>
      <c r="CV107" s="230">
        <v>31161250</v>
      </c>
      <c r="CW107" s="230">
        <v>29718750</v>
      </c>
      <c r="CX107" s="230">
        <v>1442500</v>
      </c>
      <c r="CY107" s="229">
        <v>4.8500000000000001E-2</v>
      </c>
      <c r="CZ107" s="228">
        <v>36.28</v>
      </c>
      <c r="DA107" s="228">
        <v>36.65</v>
      </c>
      <c r="DB107" s="228">
        <v>-0.37</v>
      </c>
      <c r="DC107" s="228">
        <v>-0.37</v>
      </c>
      <c r="DD107" s="228">
        <v>32.619999999999997</v>
      </c>
      <c r="DE107" s="228">
        <v>32.67</v>
      </c>
      <c r="DF107" s="228">
        <v>3.66</v>
      </c>
      <c r="DG107" s="228">
        <v>-0.05</v>
      </c>
      <c r="DH107" s="228">
        <v>36.25</v>
      </c>
      <c r="DI107" s="228">
        <v>36.97</v>
      </c>
      <c r="DJ107" s="228">
        <v>-0.72</v>
      </c>
      <c r="DK107" s="228">
        <v>-0.72</v>
      </c>
      <c r="DL107" s="228">
        <v>36.33</v>
      </c>
      <c r="DM107" s="228">
        <v>36.229999999999997</v>
      </c>
      <c r="DN107" s="228">
        <v>0.1</v>
      </c>
      <c r="DO107" s="228">
        <v>0.1</v>
      </c>
      <c r="DP107" s="228">
        <v>0.69</v>
      </c>
      <c r="DQ107" s="228">
        <v>0.76</v>
      </c>
      <c r="DR107" s="228">
        <v>-7.0000000000000007E-2</v>
      </c>
      <c r="DS107" s="229">
        <v>-9.2100000000000001E-2</v>
      </c>
      <c r="DT107" s="228">
        <v>600</v>
      </c>
      <c r="DU107" s="228">
        <v>500</v>
      </c>
      <c r="DV107" s="228">
        <v>0.51</v>
      </c>
      <c r="DW107" s="228">
        <v>1.33</v>
      </c>
      <c r="DX107" s="228">
        <v>-0.82</v>
      </c>
      <c r="DY107" s="229">
        <v>-0.61650000000000005</v>
      </c>
      <c r="DZ107" s="229">
        <v>4.1799999999999997E-2</v>
      </c>
      <c r="EA107" s="230">
        <v>23485000</v>
      </c>
      <c r="EB107" s="229">
        <v>-5.3E-3</v>
      </c>
      <c r="EC107" s="229">
        <v>4.1799999999999997E-2</v>
      </c>
      <c r="ED107" s="228">
        <v>-2.42</v>
      </c>
      <c r="EE107" s="229">
        <v>-4.8999999999999998E-3</v>
      </c>
      <c r="EF107" s="230">
        <v>575643</v>
      </c>
      <c r="EG107" s="230">
        <v>1798119</v>
      </c>
      <c r="EH107" s="229">
        <v>-0.67989999999999995</v>
      </c>
      <c r="EI107" s="229">
        <v>0.53700000000000003</v>
      </c>
      <c r="EJ107" s="231">
        <v>19551.47</v>
      </c>
      <c r="EK107" s="231">
        <v>8874.1</v>
      </c>
      <c r="EL107" s="231">
        <v>16257.98</v>
      </c>
      <c r="EM107" s="231">
        <v>16058</v>
      </c>
      <c r="EN107" s="231">
        <v>44683.55</v>
      </c>
      <c r="EO107" s="231">
        <v>167510.12</v>
      </c>
      <c r="EP107" s="231">
        <v>-122826.57</v>
      </c>
      <c r="EQ107" s="229">
        <v>-0.73319999999999996</v>
      </c>
      <c r="ER107" s="231">
        <v>24520</v>
      </c>
      <c r="ES107" s="231">
        <v>15339</v>
      </c>
      <c r="ET107" s="231">
        <v>117032</v>
      </c>
      <c r="EU107" s="231">
        <v>58761693</v>
      </c>
      <c r="EV107" s="231">
        <v>156892</v>
      </c>
      <c r="EW107" s="231">
        <v>148625</v>
      </c>
      <c r="EX107" s="231">
        <v>8267</v>
      </c>
      <c r="EY107" s="229">
        <v>5.5599999999999997E-2</v>
      </c>
      <c r="EZ107" s="229">
        <v>0.53029999999999999</v>
      </c>
      <c r="FA107" s="227" t="s">
        <v>555</v>
      </c>
      <c r="FB107" s="161">
        <f t="shared" si="1"/>
        <v>991250</v>
      </c>
    </row>
    <row r="108" spans="1:158" ht="17.25" hidden="1" thickBot="1" x14ac:dyDescent="0.3">
      <c r="A108" s="226">
        <v>46050</v>
      </c>
      <c r="B108" s="227" t="s">
        <v>168</v>
      </c>
      <c r="C108" s="227" t="s">
        <v>582</v>
      </c>
      <c r="D108" s="228">
        <v>1175</v>
      </c>
      <c r="E108" s="228">
        <v>370.35</v>
      </c>
      <c r="F108" s="228">
        <v>371.4</v>
      </c>
      <c r="G108" s="228">
        <v>-1.05</v>
      </c>
      <c r="H108" s="229">
        <v>-2.8E-3</v>
      </c>
      <c r="I108" s="228">
        <v>367.95</v>
      </c>
      <c r="J108" s="228">
        <v>368.9</v>
      </c>
      <c r="K108" s="228">
        <v>-0.95</v>
      </c>
      <c r="L108" s="229">
        <v>-2.5999999999999999E-3</v>
      </c>
      <c r="M108" s="228">
        <v>370.35</v>
      </c>
      <c r="N108" s="228">
        <v>369.15</v>
      </c>
      <c r="O108" s="228">
        <v>1.2</v>
      </c>
      <c r="P108" s="229">
        <v>3.3E-3</v>
      </c>
      <c r="Q108" s="228">
        <v>372.05</v>
      </c>
      <c r="R108" s="228">
        <v>371.4</v>
      </c>
      <c r="S108" s="228">
        <v>0.65</v>
      </c>
      <c r="T108" s="229">
        <v>1.8E-3</v>
      </c>
      <c r="U108" s="228">
        <v>372.85</v>
      </c>
      <c r="V108" s="228">
        <v>373.1</v>
      </c>
      <c r="W108" s="228">
        <v>-0.25</v>
      </c>
      <c r="X108" s="229">
        <v>-6.9999999999999999E-4</v>
      </c>
      <c r="Y108" s="228">
        <v>2.4</v>
      </c>
      <c r="Z108" s="228">
        <v>2.5</v>
      </c>
      <c r="AA108" s="228">
        <v>-0.1</v>
      </c>
      <c r="AB108" s="229">
        <v>6.4999999999999997E-3</v>
      </c>
      <c r="AC108" s="228">
        <v>2.4</v>
      </c>
      <c r="AD108" s="228">
        <v>0.25</v>
      </c>
      <c r="AE108" s="228">
        <v>2.15</v>
      </c>
      <c r="AF108" s="229">
        <v>6.4999999999999997E-3</v>
      </c>
      <c r="AG108" s="228">
        <v>4.0999999999999996</v>
      </c>
      <c r="AH108" s="228">
        <v>2.5</v>
      </c>
      <c r="AI108" s="228">
        <v>1.6</v>
      </c>
      <c r="AJ108" s="229">
        <v>1.11E-2</v>
      </c>
      <c r="AK108" s="228">
        <v>4.9000000000000004</v>
      </c>
      <c r="AL108" s="228">
        <v>4.2</v>
      </c>
      <c r="AM108" s="228">
        <v>0.7</v>
      </c>
      <c r="AN108" s="229">
        <v>1.3299999999999999E-2</v>
      </c>
      <c r="AO108" s="228">
        <v>372.42</v>
      </c>
      <c r="AP108" s="228">
        <v>373.68</v>
      </c>
      <c r="AQ108" s="228">
        <v>0</v>
      </c>
      <c r="AR108" s="230">
        <v>4990225</v>
      </c>
      <c r="AS108" s="230">
        <v>28970800</v>
      </c>
      <c r="AT108" s="230">
        <v>-23980575</v>
      </c>
      <c r="AU108" s="229">
        <v>-0.82769999999999999</v>
      </c>
      <c r="AV108" s="230">
        <v>4535500</v>
      </c>
      <c r="AW108" s="230">
        <v>12089575</v>
      </c>
      <c r="AX108" s="230">
        <v>-7554075</v>
      </c>
      <c r="AY108" s="229">
        <v>-0.62480000000000002</v>
      </c>
      <c r="AZ108" s="230">
        <v>438275</v>
      </c>
      <c r="BA108" s="230">
        <v>16592175</v>
      </c>
      <c r="BB108" s="230">
        <v>-16153900</v>
      </c>
      <c r="BC108" s="229">
        <v>-0.97360000000000002</v>
      </c>
      <c r="BD108" s="230">
        <v>16450</v>
      </c>
      <c r="BE108" s="230">
        <v>289050</v>
      </c>
      <c r="BF108" s="230">
        <v>-272600</v>
      </c>
      <c r="BG108" s="229">
        <v>-0.94310000000000005</v>
      </c>
      <c r="BH108" s="230">
        <v>13067175</v>
      </c>
      <c r="BI108" s="230">
        <v>36951400</v>
      </c>
      <c r="BJ108" s="230">
        <v>-23884225</v>
      </c>
      <c r="BK108" s="229">
        <v>-0.64639999999999997</v>
      </c>
      <c r="BL108" s="230">
        <v>7648075</v>
      </c>
      <c r="BM108" s="230">
        <v>30957725</v>
      </c>
      <c r="BN108" s="230">
        <v>-23309650</v>
      </c>
      <c r="BO108" s="229">
        <v>-0.753</v>
      </c>
      <c r="BP108" s="230">
        <v>25705475</v>
      </c>
      <c r="BQ108" s="230">
        <v>96879925</v>
      </c>
      <c r="BR108" s="230">
        <v>-71174450</v>
      </c>
      <c r="BS108" s="229">
        <v>-0.73470000000000002</v>
      </c>
      <c r="BT108" s="230">
        <v>5721429</v>
      </c>
      <c r="BU108" s="230">
        <v>13021944</v>
      </c>
      <c r="BV108" s="230">
        <v>-7300515</v>
      </c>
      <c r="BW108" s="229">
        <v>-0.56059999999999999</v>
      </c>
      <c r="BX108" s="230">
        <v>30378450</v>
      </c>
      <c r="BY108" s="230">
        <v>29859100</v>
      </c>
      <c r="BZ108" s="230">
        <v>519350</v>
      </c>
      <c r="CA108" s="229">
        <v>1.7399999999999999E-2</v>
      </c>
      <c r="CB108" s="230">
        <v>29436100</v>
      </c>
      <c r="CC108" s="230">
        <v>1615625</v>
      </c>
      <c r="CD108" s="230">
        <v>27820475</v>
      </c>
      <c r="CE108" s="229">
        <v>17.2196</v>
      </c>
      <c r="CF108" s="230">
        <v>927075</v>
      </c>
      <c r="CG108" s="230">
        <v>29068325</v>
      </c>
      <c r="CH108" s="230">
        <v>-28141250</v>
      </c>
      <c r="CI108" s="229">
        <v>-0.96809999999999996</v>
      </c>
      <c r="CJ108" s="230">
        <v>15275</v>
      </c>
      <c r="CK108" s="230">
        <v>790775</v>
      </c>
      <c r="CL108" s="230">
        <v>-775500</v>
      </c>
      <c r="CM108" s="229">
        <v>-0.98070000000000002</v>
      </c>
      <c r="CN108" s="230">
        <v>14453675</v>
      </c>
      <c r="CO108" s="230">
        <v>12923825</v>
      </c>
      <c r="CP108" s="230">
        <v>1529850</v>
      </c>
      <c r="CQ108" s="229">
        <v>0.11840000000000001</v>
      </c>
      <c r="CR108" s="230">
        <v>10625525</v>
      </c>
      <c r="CS108" s="230">
        <v>10489225</v>
      </c>
      <c r="CT108" s="230">
        <v>136300</v>
      </c>
      <c r="CU108" s="229">
        <v>1.2999999999999999E-2</v>
      </c>
      <c r="CV108" s="230">
        <v>55457650</v>
      </c>
      <c r="CW108" s="230">
        <v>53272150</v>
      </c>
      <c r="CX108" s="230">
        <v>2185500</v>
      </c>
      <c r="CY108" s="229">
        <v>4.1000000000000002E-2</v>
      </c>
      <c r="CZ108" s="228">
        <v>56</v>
      </c>
      <c r="DA108" s="228">
        <v>59.07</v>
      </c>
      <c r="DB108" s="228">
        <v>-3.07</v>
      </c>
      <c r="DC108" s="228">
        <v>-3.07</v>
      </c>
      <c r="DD108" s="228">
        <v>50.1</v>
      </c>
      <c r="DE108" s="228">
        <v>50.22</v>
      </c>
      <c r="DF108" s="228">
        <v>5.9</v>
      </c>
      <c r="DG108" s="228">
        <v>-0.12</v>
      </c>
      <c r="DH108" s="228">
        <v>55.14</v>
      </c>
      <c r="DI108" s="228">
        <v>58.68</v>
      </c>
      <c r="DJ108" s="228">
        <v>-3.54</v>
      </c>
      <c r="DK108" s="228">
        <v>-3.54</v>
      </c>
      <c r="DL108" s="228">
        <v>57.47</v>
      </c>
      <c r="DM108" s="228">
        <v>59.57</v>
      </c>
      <c r="DN108" s="228">
        <v>-2.1</v>
      </c>
      <c r="DO108" s="228">
        <v>-2.1</v>
      </c>
      <c r="DP108" s="228">
        <v>0.74</v>
      </c>
      <c r="DQ108" s="228">
        <v>0.81</v>
      </c>
      <c r="DR108" s="228">
        <v>-7.0000000000000007E-2</v>
      </c>
      <c r="DS108" s="229">
        <v>-8.6400000000000005E-2</v>
      </c>
      <c r="DT108" s="228">
        <v>380</v>
      </c>
      <c r="DU108" s="228">
        <v>370</v>
      </c>
      <c r="DV108" s="228">
        <v>0.59</v>
      </c>
      <c r="DW108" s="228">
        <v>0.84</v>
      </c>
      <c r="DX108" s="228">
        <v>-0.25</v>
      </c>
      <c r="DY108" s="229">
        <v>-0.29759999999999998</v>
      </c>
      <c r="DZ108" s="229">
        <v>3.1E-2</v>
      </c>
      <c r="EA108" s="230">
        <v>29859100</v>
      </c>
      <c r="EB108" s="229">
        <v>4.5999999999999999E-3</v>
      </c>
      <c r="EC108" s="229">
        <v>3.1E-2</v>
      </c>
      <c r="ED108" s="228">
        <v>1.26</v>
      </c>
      <c r="EE108" s="229">
        <v>3.3999999999999998E-3</v>
      </c>
      <c r="EF108" s="230">
        <v>1676549</v>
      </c>
      <c r="EG108" s="230">
        <v>3137147</v>
      </c>
      <c r="EH108" s="229">
        <v>-0.46560000000000001</v>
      </c>
      <c r="EI108" s="229">
        <v>0.29299999999999998</v>
      </c>
      <c r="EJ108" s="231">
        <v>54531.67</v>
      </c>
      <c r="EK108" s="231">
        <v>27964.080000000002</v>
      </c>
      <c r="EL108" s="231">
        <v>18590.740000000002</v>
      </c>
      <c r="EM108" s="231">
        <v>31955</v>
      </c>
      <c r="EN108" s="231">
        <v>101086.49</v>
      </c>
      <c r="EO108" s="231">
        <v>367881.33</v>
      </c>
      <c r="EP108" s="231">
        <v>-266794.84000000003</v>
      </c>
      <c r="EQ108" s="229">
        <v>-0.72519999999999996</v>
      </c>
      <c r="ER108" s="231">
        <v>60032</v>
      </c>
      <c r="ES108" s="231">
        <v>39020</v>
      </c>
      <c r="ET108" s="231">
        <v>112523</v>
      </c>
      <c r="EU108" s="231">
        <v>57654984</v>
      </c>
      <c r="EV108" s="231">
        <v>211575</v>
      </c>
      <c r="EW108" s="231">
        <v>202938</v>
      </c>
      <c r="EX108" s="231">
        <v>8637</v>
      </c>
      <c r="EY108" s="229">
        <v>4.2599999999999999E-2</v>
      </c>
      <c r="EZ108" s="229">
        <v>0.96189999999999998</v>
      </c>
      <c r="FA108" s="227" t="s">
        <v>567</v>
      </c>
      <c r="FB108" s="161">
        <f t="shared" si="1"/>
        <v>942350</v>
      </c>
    </row>
    <row r="109" spans="1:158" ht="17.25" hidden="1" thickBot="1" x14ac:dyDescent="0.3">
      <c r="A109" s="226">
        <v>46050</v>
      </c>
      <c r="B109" s="227" t="s">
        <v>184</v>
      </c>
      <c r="C109" s="227" t="s">
        <v>675</v>
      </c>
      <c r="D109" s="228">
        <v>100</v>
      </c>
      <c r="E109" s="231">
        <v>3503.6</v>
      </c>
      <c r="F109" s="231">
        <v>3350.8</v>
      </c>
      <c r="G109" s="228">
        <v>152.80000000000001</v>
      </c>
      <c r="H109" s="229">
        <v>4.5600000000000002E-2</v>
      </c>
      <c r="I109" s="231">
        <v>3490.6</v>
      </c>
      <c r="J109" s="231">
        <v>3333</v>
      </c>
      <c r="K109" s="228">
        <v>157.6</v>
      </c>
      <c r="L109" s="229">
        <v>4.7300000000000002E-2</v>
      </c>
      <c r="M109" s="231">
        <v>3503.6</v>
      </c>
      <c r="N109" s="231">
        <v>3330.4</v>
      </c>
      <c r="O109" s="228">
        <v>173.2</v>
      </c>
      <c r="P109" s="229">
        <v>5.1999999999999998E-2</v>
      </c>
      <c r="Q109" s="231">
        <v>3501.9</v>
      </c>
      <c r="R109" s="231">
        <v>3350.8</v>
      </c>
      <c r="S109" s="228">
        <v>151.1</v>
      </c>
      <c r="T109" s="229">
        <v>4.5100000000000001E-2</v>
      </c>
      <c r="U109" s="231">
        <v>3516.8</v>
      </c>
      <c r="V109" s="231">
        <v>3356.3</v>
      </c>
      <c r="W109" s="228">
        <v>160.5</v>
      </c>
      <c r="X109" s="229">
        <v>4.7800000000000002E-2</v>
      </c>
      <c r="Y109" s="228">
        <v>13</v>
      </c>
      <c r="Z109" s="228">
        <v>17.8</v>
      </c>
      <c r="AA109" s="228">
        <v>-4.8</v>
      </c>
      <c r="AB109" s="229">
        <v>3.7000000000000002E-3</v>
      </c>
      <c r="AC109" s="228">
        <v>13</v>
      </c>
      <c r="AD109" s="228">
        <v>-2.6</v>
      </c>
      <c r="AE109" s="228">
        <v>15.6</v>
      </c>
      <c r="AF109" s="229">
        <v>3.7000000000000002E-3</v>
      </c>
      <c r="AG109" s="228">
        <v>11.3</v>
      </c>
      <c r="AH109" s="228">
        <v>17.8</v>
      </c>
      <c r="AI109" s="228">
        <v>-6.5</v>
      </c>
      <c r="AJ109" s="229">
        <v>3.2000000000000002E-3</v>
      </c>
      <c r="AK109" s="228">
        <v>26.2</v>
      </c>
      <c r="AL109" s="228">
        <v>23.3</v>
      </c>
      <c r="AM109" s="228">
        <v>2.9</v>
      </c>
      <c r="AN109" s="229">
        <v>7.4999999999999997E-3</v>
      </c>
      <c r="AO109" s="231">
        <v>3445.56</v>
      </c>
      <c r="AP109" s="231">
        <v>3444.9</v>
      </c>
      <c r="AQ109" s="228">
        <v>0</v>
      </c>
      <c r="AR109" s="230">
        <v>791300</v>
      </c>
      <c r="AS109" s="230">
        <v>3748200</v>
      </c>
      <c r="AT109" s="230">
        <v>-2956900</v>
      </c>
      <c r="AU109" s="229">
        <v>-0.78890000000000005</v>
      </c>
      <c r="AV109" s="230">
        <v>709600</v>
      </c>
      <c r="AW109" s="230">
        <v>1679200</v>
      </c>
      <c r="AX109" s="230">
        <v>-969600</v>
      </c>
      <c r="AY109" s="229">
        <v>-0.57740000000000002</v>
      </c>
      <c r="AZ109" s="230">
        <v>76400</v>
      </c>
      <c r="BA109" s="230">
        <v>1982900</v>
      </c>
      <c r="BB109" s="230">
        <v>-1906500</v>
      </c>
      <c r="BC109" s="229">
        <v>-0.96150000000000002</v>
      </c>
      <c r="BD109" s="230">
        <v>5300</v>
      </c>
      <c r="BE109" s="230">
        <v>86100</v>
      </c>
      <c r="BF109" s="230">
        <v>-80800</v>
      </c>
      <c r="BG109" s="229">
        <v>-0.93840000000000001</v>
      </c>
      <c r="BH109" s="230">
        <v>1679300</v>
      </c>
      <c r="BI109" s="230">
        <v>2946800</v>
      </c>
      <c r="BJ109" s="230">
        <v>-1267500</v>
      </c>
      <c r="BK109" s="229">
        <v>-0.43009999999999998</v>
      </c>
      <c r="BL109" s="230">
        <v>722300</v>
      </c>
      <c r="BM109" s="230">
        <v>1895100</v>
      </c>
      <c r="BN109" s="230">
        <v>-1172800</v>
      </c>
      <c r="BO109" s="229">
        <v>-0.61890000000000001</v>
      </c>
      <c r="BP109" s="230">
        <v>3192900</v>
      </c>
      <c r="BQ109" s="230">
        <v>8590100</v>
      </c>
      <c r="BR109" s="230">
        <v>-5397200</v>
      </c>
      <c r="BS109" s="229">
        <v>-0.62829999999999997</v>
      </c>
      <c r="BT109" s="230">
        <v>1406480</v>
      </c>
      <c r="BU109" s="230">
        <v>1399957</v>
      </c>
      <c r="BV109" s="230">
        <v>6523</v>
      </c>
      <c r="BW109" s="229">
        <v>4.7000000000000002E-3</v>
      </c>
      <c r="BX109" s="230">
        <v>3425100</v>
      </c>
      <c r="BY109" s="230">
        <v>3380100</v>
      </c>
      <c r="BZ109" s="230">
        <v>45000</v>
      </c>
      <c r="CA109" s="229">
        <v>1.3299999999999999E-2</v>
      </c>
      <c r="CB109" s="230">
        <v>3243300</v>
      </c>
      <c r="CC109" s="230">
        <v>373500</v>
      </c>
      <c r="CD109" s="230">
        <v>2869800</v>
      </c>
      <c r="CE109" s="229">
        <v>7.6835000000000004</v>
      </c>
      <c r="CF109" s="230">
        <v>177000</v>
      </c>
      <c r="CG109" s="230">
        <v>3227300</v>
      </c>
      <c r="CH109" s="230">
        <v>-3050300</v>
      </c>
      <c r="CI109" s="229">
        <v>-0.94520000000000004</v>
      </c>
      <c r="CJ109" s="230">
        <v>4800</v>
      </c>
      <c r="CK109" s="230">
        <v>152800</v>
      </c>
      <c r="CL109" s="230">
        <v>-148000</v>
      </c>
      <c r="CM109" s="229">
        <v>-0.96860000000000002</v>
      </c>
      <c r="CN109" s="230">
        <v>808300</v>
      </c>
      <c r="CO109" s="230">
        <v>698900</v>
      </c>
      <c r="CP109" s="230">
        <v>109400</v>
      </c>
      <c r="CQ109" s="229">
        <v>0.1565</v>
      </c>
      <c r="CR109" s="230">
        <v>720300</v>
      </c>
      <c r="CS109" s="230">
        <v>622800</v>
      </c>
      <c r="CT109" s="230">
        <v>97500</v>
      </c>
      <c r="CU109" s="229">
        <v>0.15659999999999999</v>
      </c>
      <c r="CV109" s="230">
        <v>4953700</v>
      </c>
      <c r="CW109" s="230">
        <v>4701800</v>
      </c>
      <c r="CX109" s="230">
        <v>251900</v>
      </c>
      <c r="CY109" s="229">
        <v>5.3600000000000002E-2</v>
      </c>
      <c r="CZ109" s="228">
        <v>52.09</v>
      </c>
      <c r="DA109" s="228">
        <v>53.34</v>
      </c>
      <c r="DB109" s="228">
        <v>-1.25</v>
      </c>
      <c r="DC109" s="228">
        <v>-1.25</v>
      </c>
      <c r="DD109" s="228">
        <v>60.92</v>
      </c>
      <c r="DE109" s="228">
        <v>60.75</v>
      </c>
      <c r="DF109" s="228">
        <v>-8.83</v>
      </c>
      <c r="DG109" s="228">
        <v>0.17</v>
      </c>
      <c r="DH109" s="228">
        <v>51.77</v>
      </c>
      <c r="DI109" s="228">
        <v>53.49</v>
      </c>
      <c r="DJ109" s="228">
        <v>-1.72</v>
      </c>
      <c r="DK109" s="228">
        <v>-1.72</v>
      </c>
      <c r="DL109" s="228">
        <v>52.84</v>
      </c>
      <c r="DM109" s="228">
        <v>53.13</v>
      </c>
      <c r="DN109" s="228">
        <v>-0.28999999999999998</v>
      </c>
      <c r="DO109" s="228">
        <v>-0.28999999999999998</v>
      </c>
      <c r="DP109" s="228">
        <v>0.89</v>
      </c>
      <c r="DQ109" s="228">
        <v>0.89</v>
      </c>
      <c r="DR109" s="228">
        <v>0</v>
      </c>
      <c r="DS109" s="229">
        <v>0</v>
      </c>
      <c r="DT109" s="231">
        <v>4000</v>
      </c>
      <c r="DU109" s="231">
        <v>3000</v>
      </c>
      <c r="DV109" s="228">
        <v>0.43</v>
      </c>
      <c r="DW109" s="228">
        <v>0.64</v>
      </c>
      <c r="DX109" s="228">
        <v>-0.21</v>
      </c>
      <c r="DY109" s="229">
        <v>-0.3281</v>
      </c>
      <c r="DZ109" s="229">
        <v>5.3100000000000001E-2</v>
      </c>
      <c r="EA109" s="230">
        <v>3380100</v>
      </c>
      <c r="EB109" s="229">
        <v>-5.0000000000000001E-4</v>
      </c>
      <c r="EC109" s="229">
        <v>5.3100000000000001E-2</v>
      </c>
      <c r="ED109" s="228">
        <v>-0.66</v>
      </c>
      <c r="EE109" s="229">
        <v>-2.0000000000000001E-4</v>
      </c>
      <c r="EF109" s="230">
        <v>325680</v>
      </c>
      <c r="EG109" s="230">
        <v>247676</v>
      </c>
      <c r="EH109" s="229">
        <v>0.31490000000000001</v>
      </c>
      <c r="EI109" s="229">
        <v>0.2316</v>
      </c>
      <c r="EJ109" s="231">
        <v>63816.83</v>
      </c>
      <c r="EK109" s="231">
        <v>24359.86</v>
      </c>
      <c r="EL109" s="231">
        <v>27265.48</v>
      </c>
      <c r="EM109" s="231">
        <v>31366</v>
      </c>
      <c r="EN109" s="231">
        <v>115442.17</v>
      </c>
      <c r="EO109" s="231">
        <v>305056.28000000003</v>
      </c>
      <c r="EP109" s="231">
        <v>-189614.11</v>
      </c>
      <c r="EQ109" s="229">
        <v>-0.62160000000000004</v>
      </c>
      <c r="ER109" s="231">
        <v>30680</v>
      </c>
      <c r="ES109" s="231">
        <v>25025</v>
      </c>
      <c r="ET109" s="231">
        <v>119999</v>
      </c>
      <c r="EU109" s="231">
        <v>4679418</v>
      </c>
      <c r="EV109" s="231">
        <v>175704</v>
      </c>
      <c r="EW109" s="231">
        <v>161555</v>
      </c>
      <c r="EX109" s="231">
        <v>14149</v>
      </c>
      <c r="EY109" s="229">
        <v>8.7599999999999997E-2</v>
      </c>
      <c r="EZ109" s="229">
        <v>1.0586</v>
      </c>
      <c r="FA109" s="227" t="s">
        <v>555</v>
      </c>
      <c r="FB109" s="161">
        <f t="shared" si="1"/>
        <v>181800</v>
      </c>
    </row>
    <row r="110" spans="1:158" ht="17.25" hidden="1" thickBot="1" x14ac:dyDescent="0.3">
      <c r="A110" s="226">
        <v>46050</v>
      </c>
      <c r="B110" s="227" t="s">
        <v>161</v>
      </c>
      <c r="C110" s="227" t="s">
        <v>610</v>
      </c>
      <c r="D110" s="228">
        <v>175</v>
      </c>
      <c r="E110" s="231">
        <v>3871.2</v>
      </c>
      <c r="F110" s="231">
        <v>3761.7</v>
      </c>
      <c r="G110" s="228">
        <v>109.5</v>
      </c>
      <c r="H110" s="229">
        <v>2.9100000000000001E-2</v>
      </c>
      <c r="I110" s="231">
        <v>3879.1</v>
      </c>
      <c r="J110" s="231">
        <v>3805.2</v>
      </c>
      <c r="K110" s="228">
        <v>73.900000000000006</v>
      </c>
      <c r="L110" s="229">
        <v>1.9400000000000001E-2</v>
      </c>
      <c r="M110" s="231">
        <v>3871.2</v>
      </c>
      <c r="N110" s="231">
        <v>3812.6</v>
      </c>
      <c r="O110" s="228">
        <v>58.6</v>
      </c>
      <c r="P110" s="229">
        <v>1.54E-2</v>
      </c>
      <c r="Q110" s="231">
        <v>3854.3</v>
      </c>
      <c r="R110" s="231">
        <v>3761.7</v>
      </c>
      <c r="S110" s="228">
        <v>92.6</v>
      </c>
      <c r="T110" s="229">
        <v>2.46E-2</v>
      </c>
      <c r="U110" s="231">
        <v>3862</v>
      </c>
      <c r="V110" s="231">
        <v>3710.6</v>
      </c>
      <c r="W110" s="228">
        <v>151.4</v>
      </c>
      <c r="X110" s="229">
        <v>4.0800000000000003E-2</v>
      </c>
      <c r="Y110" s="228">
        <v>-7.9</v>
      </c>
      <c r="Z110" s="228">
        <v>-43.5</v>
      </c>
      <c r="AA110" s="228">
        <v>35.6</v>
      </c>
      <c r="AB110" s="229">
        <v>-2E-3</v>
      </c>
      <c r="AC110" s="228">
        <v>-7.9</v>
      </c>
      <c r="AD110" s="228">
        <v>7.4</v>
      </c>
      <c r="AE110" s="228">
        <v>-15.3</v>
      </c>
      <c r="AF110" s="229">
        <v>-2E-3</v>
      </c>
      <c r="AG110" s="228">
        <v>-24.8</v>
      </c>
      <c r="AH110" s="228">
        <v>-43.5</v>
      </c>
      <c r="AI110" s="228">
        <v>18.7</v>
      </c>
      <c r="AJ110" s="229">
        <v>-6.4000000000000003E-3</v>
      </c>
      <c r="AK110" s="228">
        <v>-17.100000000000001</v>
      </c>
      <c r="AL110" s="228">
        <v>-94.6</v>
      </c>
      <c r="AM110" s="228">
        <v>77.5</v>
      </c>
      <c r="AN110" s="229">
        <v>-4.4000000000000003E-3</v>
      </c>
      <c r="AO110" s="231">
        <v>3843.62</v>
      </c>
      <c r="AP110" s="231">
        <v>3831.58</v>
      </c>
      <c r="AQ110" s="228">
        <v>0</v>
      </c>
      <c r="AR110" s="230">
        <v>249725</v>
      </c>
      <c r="AS110" s="230">
        <v>1021650</v>
      </c>
      <c r="AT110" s="230">
        <v>-771925</v>
      </c>
      <c r="AU110" s="229">
        <v>-0.75560000000000005</v>
      </c>
      <c r="AV110" s="230">
        <v>239750</v>
      </c>
      <c r="AW110" s="230">
        <v>399525</v>
      </c>
      <c r="AX110" s="230">
        <v>-159775</v>
      </c>
      <c r="AY110" s="229">
        <v>-0.39989999999999998</v>
      </c>
      <c r="AZ110" s="230">
        <v>9625</v>
      </c>
      <c r="BA110" s="230">
        <v>616700</v>
      </c>
      <c r="BB110" s="230">
        <v>-607075</v>
      </c>
      <c r="BC110" s="229">
        <v>-0.98440000000000005</v>
      </c>
      <c r="BD110" s="228">
        <v>350</v>
      </c>
      <c r="BE110" s="230">
        <v>5425</v>
      </c>
      <c r="BF110" s="230">
        <v>-5075</v>
      </c>
      <c r="BG110" s="229">
        <v>-0.9355</v>
      </c>
      <c r="BH110" s="230">
        <v>454650</v>
      </c>
      <c r="BI110" s="230">
        <v>1253175</v>
      </c>
      <c r="BJ110" s="230">
        <v>-798525</v>
      </c>
      <c r="BK110" s="229">
        <v>-0.63719999999999999</v>
      </c>
      <c r="BL110" s="230">
        <v>163450</v>
      </c>
      <c r="BM110" s="230">
        <v>576275</v>
      </c>
      <c r="BN110" s="230">
        <v>-412825</v>
      </c>
      <c r="BO110" s="229">
        <v>-0.71640000000000004</v>
      </c>
      <c r="BP110" s="230">
        <v>867825</v>
      </c>
      <c r="BQ110" s="230">
        <v>2851100</v>
      </c>
      <c r="BR110" s="230">
        <v>-1983275</v>
      </c>
      <c r="BS110" s="229">
        <v>-0.6956</v>
      </c>
      <c r="BT110" s="230">
        <v>123829</v>
      </c>
      <c r="BU110" s="230">
        <v>415044</v>
      </c>
      <c r="BV110" s="230">
        <v>-291215</v>
      </c>
      <c r="BW110" s="229">
        <v>-0.7016</v>
      </c>
      <c r="BX110" s="230">
        <v>1128050</v>
      </c>
      <c r="BY110" s="230">
        <v>1104600</v>
      </c>
      <c r="BZ110" s="230">
        <v>23450</v>
      </c>
      <c r="CA110" s="229">
        <v>2.12E-2</v>
      </c>
      <c r="CB110" s="230">
        <v>1113000</v>
      </c>
      <c r="CC110" s="230">
        <v>176050</v>
      </c>
      <c r="CD110" s="230">
        <v>936950</v>
      </c>
      <c r="CE110" s="229">
        <v>5.3220999999999998</v>
      </c>
      <c r="CF110" s="230">
        <v>14700</v>
      </c>
      <c r="CG110" s="230">
        <v>1092700</v>
      </c>
      <c r="CH110" s="230">
        <v>-1078000</v>
      </c>
      <c r="CI110" s="229">
        <v>-0.98650000000000004</v>
      </c>
      <c r="CJ110" s="228">
        <v>350</v>
      </c>
      <c r="CK110" s="230">
        <v>11900</v>
      </c>
      <c r="CL110" s="230">
        <v>-11550</v>
      </c>
      <c r="CM110" s="229">
        <v>-0.97060000000000002</v>
      </c>
      <c r="CN110" s="230">
        <v>223825</v>
      </c>
      <c r="CO110" s="230">
        <v>219100</v>
      </c>
      <c r="CP110" s="230">
        <v>4725</v>
      </c>
      <c r="CQ110" s="229">
        <v>2.1600000000000001E-2</v>
      </c>
      <c r="CR110" s="230">
        <v>198100</v>
      </c>
      <c r="CS110" s="230">
        <v>167475</v>
      </c>
      <c r="CT110" s="230">
        <v>30625</v>
      </c>
      <c r="CU110" s="229">
        <v>0.18290000000000001</v>
      </c>
      <c r="CV110" s="230">
        <v>1549975</v>
      </c>
      <c r="CW110" s="230">
        <v>1491175</v>
      </c>
      <c r="CX110" s="230">
        <v>58800</v>
      </c>
      <c r="CY110" s="229">
        <v>3.9399999999999998E-2</v>
      </c>
      <c r="CZ110" s="228">
        <v>33.130000000000003</v>
      </c>
      <c r="DA110" s="228">
        <v>36.28</v>
      </c>
      <c r="DB110" s="228">
        <v>-3.15</v>
      </c>
      <c r="DC110" s="228">
        <v>-3.15</v>
      </c>
      <c r="DD110" s="228">
        <v>45.13</v>
      </c>
      <c r="DE110" s="228">
        <v>45.08</v>
      </c>
      <c r="DF110" s="228">
        <v>-12</v>
      </c>
      <c r="DG110" s="228">
        <v>0.05</v>
      </c>
      <c r="DH110" s="228">
        <v>32.5</v>
      </c>
      <c r="DI110" s="228">
        <v>36.479999999999997</v>
      </c>
      <c r="DJ110" s="228">
        <v>-3.98</v>
      </c>
      <c r="DK110" s="228">
        <v>-3.98</v>
      </c>
      <c r="DL110" s="228">
        <v>34.880000000000003</v>
      </c>
      <c r="DM110" s="228">
        <v>35.78</v>
      </c>
      <c r="DN110" s="228">
        <v>-0.9</v>
      </c>
      <c r="DO110" s="228">
        <v>-0.9</v>
      </c>
      <c r="DP110" s="228">
        <v>0.89</v>
      </c>
      <c r="DQ110" s="228">
        <v>0.76</v>
      </c>
      <c r="DR110" s="228">
        <v>0.13</v>
      </c>
      <c r="DS110" s="229">
        <v>0.1711</v>
      </c>
      <c r="DT110" s="231">
        <v>4000</v>
      </c>
      <c r="DU110" s="231">
        <v>3800</v>
      </c>
      <c r="DV110" s="228">
        <v>0.36</v>
      </c>
      <c r="DW110" s="228">
        <v>0.46</v>
      </c>
      <c r="DX110" s="228">
        <v>-0.1</v>
      </c>
      <c r="DY110" s="229">
        <v>-0.21740000000000001</v>
      </c>
      <c r="DZ110" s="229">
        <v>1.3299999999999999E-2</v>
      </c>
      <c r="EA110" s="230">
        <v>1104600</v>
      </c>
      <c r="EB110" s="229">
        <v>-4.4000000000000003E-3</v>
      </c>
      <c r="EC110" s="229">
        <v>1.3299999999999999E-2</v>
      </c>
      <c r="ED110" s="228">
        <v>-12.04</v>
      </c>
      <c r="EE110" s="229">
        <v>-3.0999999999999999E-3</v>
      </c>
      <c r="EF110" s="230">
        <v>51310</v>
      </c>
      <c r="EG110" s="230">
        <v>172700</v>
      </c>
      <c r="EH110" s="229">
        <v>-0.70289999999999997</v>
      </c>
      <c r="EI110" s="229">
        <v>0.41439999999999999</v>
      </c>
      <c r="EJ110" s="231">
        <v>18519.04</v>
      </c>
      <c r="EK110" s="231">
        <v>6178.24</v>
      </c>
      <c r="EL110" s="231">
        <v>9597.39</v>
      </c>
      <c r="EM110" s="231">
        <v>10978</v>
      </c>
      <c r="EN110" s="231">
        <v>34294.67</v>
      </c>
      <c r="EO110" s="231">
        <v>112010.71</v>
      </c>
      <c r="EP110" s="231">
        <v>-77716.039999999994</v>
      </c>
      <c r="EQ110" s="229">
        <v>-0.69379999999999997</v>
      </c>
      <c r="ER110" s="231">
        <v>8981</v>
      </c>
      <c r="ES110" s="231">
        <v>7544</v>
      </c>
      <c r="ET110" s="231">
        <v>43667</v>
      </c>
      <c r="EU110" s="231">
        <v>8553821</v>
      </c>
      <c r="EV110" s="231">
        <v>60191</v>
      </c>
      <c r="EW110" s="231">
        <v>56790</v>
      </c>
      <c r="EX110" s="231">
        <v>3401</v>
      </c>
      <c r="EY110" s="229">
        <v>5.9900000000000002E-2</v>
      </c>
      <c r="EZ110" s="229">
        <v>0.1812</v>
      </c>
      <c r="FA110" s="227" t="s">
        <v>555</v>
      </c>
      <c r="FB110" s="161">
        <f t="shared" si="1"/>
        <v>15050</v>
      </c>
    </row>
    <row r="111" spans="1:158" ht="17.25" hidden="1" thickBot="1" x14ac:dyDescent="0.3">
      <c r="A111" s="226">
        <v>46050</v>
      </c>
      <c r="B111" s="227" t="s">
        <v>175</v>
      </c>
      <c r="C111" s="227" t="s">
        <v>682</v>
      </c>
      <c r="D111" s="228">
        <v>500</v>
      </c>
      <c r="E111" s="231">
        <v>1000.9</v>
      </c>
      <c r="F111" s="228">
        <v>986.3</v>
      </c>
      <c r="G111" s="228">
        <v>14.6</v>
      </c>
      <c r="H111" s="229">
        <v>1.4800000000000001E-2</v>
      </c>
      <c r="I111" s="231">
        <v>1022.1</v>
      </c>
      <c r="J111" s="231">
        <v>1016</v>
      </c>
      <c r="K111" s="228">
        <v>6.1</v>
      </c>
      <c r="L111" s="229">
        <v>6.0000000000000001E-3</v>
      </c>
      <c r="M111" s="231">
        <v>1000.9</v>
      </c>
      <c r="N111" s="231">
        <v>1016.3</v>
      </c>
      <c r="O111" s="228">
        <v>-15.4</v>
      </c>
      <c r="P111" s="229">
        <v>-1.52E-2</v>
      </c>
      <c r="Q111" s="228">
        <v>977.1</v>
      </c>
      <c r="R111" s="228">
        <v>986.3</v>
      </c>
      <c r="S111" s="228">
        <v>-9.1999999999999993</v>
      </c>
      <c r="T111" s="229">
        <v>-9.2999999999999992E-3</v>
      </c>
      <c r="U111" s="228">
        <v>966.2</v>
      </c>
      <c r="V111" s="228">
        <v>963.9</v>
      </c>
      <c r="W111" s="228">
        <v>2.2999999999999998</v>
      </c>
      <c r="X111" s="229">
        <v>2.3999999999999998E-3</v>
      </c>
      <c r="Y111" s="228">
        <v>-21.2</v>
      </c>
      <c r="Z111" s="228">
        <v>-29.7</v>
      </c>
      <c r="AA111" s="228">
        <v>8.5</v>
      </c>
      <c r="AB111" s="229">
        <v>-2.07E-2</v>
      </c>
      <c r="AC111" s="228">
        <v>-21.2</v>
      </c>
      <c r="AD111" s="228">
        <v>0.3</v>
      </c>
      <c r="AE111" s="228">
        <v>-21.5</v>
      </c>
      <c r="AF111" s="229">
        <v>-2.07E-2</v>
      </c>
      <c r="AG111" s="228">
        <v>-45</v>
      </c>
      <c r="AH111" s="228">
        <v>-29.7</v>
      </c>
      <c r="AI111" s="228">
        <v>-15.3</v>
      </c>
      <c r="AJ111" s="229">
        <v>-4.3999999999999997E-2</v>
      </c>
      <c r="AK111" s="228">
        <v>-55.9</v>
      </c>
      <c r="AL111" s="228">
        <v>-52.1</v>
      </c>
      <c r="AM111" s="228">
        <v>-3.8</v>
      </c>
      <c r="AN111" s="229">
        <v>-5.4699999999999999E-2</v>
      </c>
      <c r="AO111" s="228">
        <v>995.52</v>
      </c>
      <c r="AP111" s="228">
        <v>972.15</v>
      </c>
      <c r="AQ111" s="228">
        <v>0</v>
      </c>
      <c r="AR111" s="230">
        <v>1045500</v>
      </c>
      <c r="AS111" s="230">
        <v>5852500</v>
      </c>
      <c r="AT111" s="230">
        <v>-4807000</v>
      </c>
      <c r="AU111" s="229">
        <v>-0.82140000000000002</v>
      </c>
      <c r="AV111" s="230">
        <v>934500</v>
      </c>
      <c r="AW111" s="230">
        <v>2626500</v>
      </c>
      <c r="AX111" s="230">
        <v>-1692000</v>
      </c>
      <c r="AY111" s="229">
        <v>-0.64419999999999999</v>
      </c>
      <c r="AZ111" s="230">
        <v>108000</v>
      </c>
      <c r="BA111" s="230">
        <v>3150000</v>
      </c>
      <c r="BB111" s="230">
        <v>-3042000</v>
      </c>
      <c r="BC111" s="229">
        <v>-0.9657</v>
      </c>
      <c r="BD111" s="230">
        <v>3000</v>
      </c>
      <c r="BE111" s="230">
        <v>76000</v>
      </c>
      <c r="BF111" s="230">
        <v>-73000</v>
      </c>
      <c r="BG111" s="229">
        <v>-0.96050000000000002</v>
      </c>
      <c r="BH111" s="230">
        <v>675000</v>
      </c>
      <c r="BI111" s="230">
        <v>1085500</v>
      </c>
      <c r="BJ111" s="230">
        <v>-410500</v>
      </c>
      <c r="BK111" s="229">
        <v>-0.37819999999999998</v>
      </c>
      <c r="BL111" s="230">
        <v>327000</v>
      </c>
      <c r="BM111" s="230">
        <v>1119500</v>
      </c>
      <c r="BN111" s="230">
        <v>-792500</v>
      </c>
      <c r="BO111" s="229">
        <v>-0.70789999999999997</v>
      </c>
      <c r="BP111" s="230">
        <v>2047500</v>
      </c>
      <c r="BQ111" s="230">
        <v>8057500</v>
      </c>
      <c r="BR111" s="230">
        <v>-6010000</v>
      </c>
      <c r="BS111" s="229">
        <v>-0.74590000000000001</v>
      </c>
      <c r="BT111" s="230">
        <v>685147</v>
      </c>
      <c r="BU111" s="230">
        <v>822124</v>
      </c>
      <c r="BV111" s="230">
        <v>-136977</v>
      </c>
      <c r="BW111" s="229">
        <v>-0.1666</v>
      </c>
      <c r="BX111" s="230">
        <v>5544000</v>
      </c>
      <c r="BY111" s="230">
        <v>5573500</v>
      </c>
      <c r="BZ111" s="230">
        <v>-29500</v>
      </c>
      <c r="CA111" s="229">
        <v>-5.3E-3</v>
      </c>
      <c r="CB111" s="230">
        <v>5277000</v>
      </c>
      <c r="CC111" s="230">
        <v>182000</v>
      </c>
      <c r="CD111" s="230">
        <v>5095000</v>
      </c>
      <c r="CE111" s="229">
        <v>27.994499999999999</v>
      </c>
      <c r="CF111" s="230">
        <v>265000</v>
      </c>
      <c r="CG111" s="230">
        <v>5347500</v>
      </c>
      <c r="CH111" s="230">
        <v>-5082500</v>
      </c>
      <c r="CI111" s="229">
        <v>-0.95040000000000002</v>
      </c>
      <c r="CJ111" s="230">
        <v>2000</v>
      </c>
      <c r="CK111" s="230">
        <v>226000</v>
      </c>
      <c r="CL111" s="230">
        <v>-224000</v>
      </c>
      <c r="CM111" s="229">
        <v>-0.99119999999999997</v>
      </c>
      <c r="CN111" s="230">
        <v>570000</v>
      </c>
      <c r="CO111" s="230">
        <v>477000</v>
      </c>
      <c r="CP111" s="230">
        <v>93000</v>
      </c>
      <c r="CQ111" s="229">
        <v>0.19500000000000001</v>
      </c>
      <c r="CR111" s="230">
        <v>571000</v>
      </c>
      <c r="CS111" s="230">
        <v>525500</v>
      </c>
      <c r="CT111" s="230">
        <v>45500</v>
      </c>
      <c r="CU111" s="229">
        <v>8.6599999999999996E-2</v>
      </c>
      <c r="CV111" s="230">
        <v>6685000</v>
      </c>
      <c r="CW111" s="230">
        <v>6576000</v>
      </c>
      <c r="CX111" s="230">
        <v>109000</v>
      </c>
      <c r="CY111" s="229">
        <v>1.66E-2</v>
      </c>
      <c r="CZ111" s="228">
        <v>39.380000000000003</v>
      </c>
      <c r="DA111" s="228">
        <v>40.200000000000003</v>
      </c>
      <c r="DB111" s="228">
        <v>-0.82</v>
      </c>
      <c r="DC111" s="228">
        <v>-0.82</v>
      </c>
      <c r="DD111" s="228">
        <v>50.5</v>
      </c>
      <c r="DE111" s="228">
        <v>50.58</v>
      </c>
      <c r="DF111" s="228">
        <v>-11.12</v>
      </c>
      <c r="DG111" s="228">
        <v>-0.08</v>
      </c>
      <c r="DH111" s="228">
        <v>38.1</v>
      </c>
      <c r="DI111" s="228">
        <v>39.700000000000003</v>
      </c>
      <c r="DJ111" s="228">
        <v>-1.6</v>
      </c>
      <c r="DK111" s="228">
        <v>-1.6</v>
      </c>
      <c r="DL111" s="228">
        <v>42.02</v>
      </c>
      <c r="DM111" s="228">
        <v>40.729999999999997</v>
      </c>
      <c r="DN111" s="228">
        <v>1.29</v>
      </c>
      <c r="DO111" s="228">
        <v>1.29</v>
      </c>
      <c r="DP111" s="228">
        <v>1</v>
      </c>
      <c r="DQ111" s="228">
        <v>1.1000000000000001</v>
      </c>
      <c r="DR111" s="228">
        <v>-0.1</v>
      </c>
      <c r="DS111" s="229">
        <v>-9.0899999999999995E-2</v>
      </c>
      <c r="DT111" s="231">
        <v>1000</v>
      </c>
      <c r="DU111" s="231">
        <v>1000</v>
      </c>
      <c r="DV111" s="228">
        <v>0.48</v>
      </c>
      <c r="DW111" s="228">
        <v>1.03</v>
      </c>
      <c r="DX111" s="228">
        <v>-0.55000000000000004</v>
      </c>
      <c r="DY111" s="229">
        <v>-0.53400000000000003</v>
      </c>
      <c r="DZ111" s="229">
        <v>4.82E-2</v>
      </c>
      <c r="EA111" s="230">
        <v>5573500</v>
      </c>
      <c r="EB111" s="229">
        <v>-2.3800000000000002E-2</v>
      </c>
      <c r="EC111" s="229">
        <v>4.82E-2</v>
      </c>
      <c r="ED111" s="228">
        <v>-23.37</v>
      </c>
      <c r="EE111" s="229">
        <v>-2.35E-2</v>
      </c>
      <c r="EF111" s="230">
        <v>253652</v>
      </c>
      <c r="EG111" s="230">
        <v>187325</v>
      </c>
      <c r="EH111" s="229">
        <v>0.35410000000000003</v>
      </c>
      <c r="EI111" s="229">
        <v>0.37019999999999997</v>
      </c>
      <c r="EJ111" s="231">
        <v>7245.68</v>
      </c>
      <c r="EK111" s="231">
        <v>3345.6</v>
      </c>
      <c r="EL111" s="231">
        <v>10381.68</v>
      </c>
      <c r="EM111" s="231">
        <v>13100</v>
      </c>
      <c r="EN111" s="231">
        <v>20972.959999999999</v>
      </c>
      <c r="EO111" s="231">
        <v>81557.759999999995</v>
      </c>
      <c r="EP111" s="231">
        <v>-60584.800000000003</v>
      </c>
      <c r="EQ111" s="229">
        <v>-0.74280000000000002</v>
      </c>
      <c r="ER111" s="231">
        <v>5897</v>
      </c>
      <c r="ES111" s="231">
        <v>5691</v>
      </c>
      <c r="ET111" s="231">
        <v>55426</v>
      </c>
      <c r="EU111" s="231">
        <v>19924232</v>
      </c>
      <c r="EV111" s="231">
        <v>67014</v>
      </c>
      <c r="EW111" s="231">
        <v>65076</v>
      </c>
      <c r="EX111" s="231">
        <v>1938</v>
      </c>
      <c r="EY111" s="229">
        <v>2.98E-2</v>
      </c>
      <c r="EZ111" s="229">
        <v>0.33550000000000002</v>
      </c>
      <c r="FA111" s="227" t="s">
        <v>556</v>
      </c>
      <c r="FB111" s="161">
        <f t="shared" si="1"/>
        <v>267000</v>
      </c>
    </row>
    <row r="112" spans="1:158" ht="17.25" hidden="1" thickBot="1" x14ac:dyDescent="0.3">
      <c r="A112" s="226">
        <v>46050</v>
      </c>
      <c r="B112" s="227" t="s">
        <v>172</v>
      </c>
      <c r="C112" s="227" t="s">
        <v>246</v>
      </c>
      <c r="D112" s="228">
        <v>2000</v>
      </c>
      <c r="E112" s="228">
        <v>413.8</v>
      </c>
      <c r="F112" s="228">
        <v>411.4</v>
      </c>
      <c r="G112" s="228">
        <v>2.4</v>
      </c>
      <c r="H112" s="229">
        <v>5.7999999999999996E-3</v>
      </c>
      <c r="I112" s="228">
        <v>412.4</v>
      </c>
      <c r="J112" s="228">
        <v>408.7</v>
      </c>
      <c r="K112" s="228">
        <v>3.7</v>
      </c>
      <c r="L112" s="229">
        <v>9.1000000000000004E-3</v>
      </c>
      <c r="M112" s="228">
        <v>413.8</v>
      </c>
      <c r="N112" s="228">
        <v>408.2</v>
      </c>
      <c r="O112" s="228">
        <v>5.6</v>
      </c>
      <c r="P112" s="229">
        <v>1.37E-2</v>
      </c>
      <c r="Q112" s="228">
        <v>416.2</v>
      </c>
      <c r="R112" s="228">
        <v>411.4</v>
      </c>
      <c r="S112" s="228">
        <v>4.8</v>
      </c>
      <c r="T112" s="229">
        <v>1.17E-2</v>
      </c>
      <c r="U112" s="228">
        <v>418.3</v>
      </c>
      <c r="V112" s="228">
        <v>414.5</v>
      </c>
      <c r="W112" s="228">
        <v>3.8</v>
      </c>
      <c r="X112" s="229">
        <v>9.1999999999999998E-3</v>
      </c>
      <c r="Y112" s="228">
        <v>1.4</v>
      </c>
      <c r="Z112" s="228">
        <v>2.7</v>
      </c>
      <c r="AA112" s="228">
        <v>-1.3</v>
      </c>
      <c r="AB112" s="229">
        <v>3.3999999999999998E-3</v>
      </c>
      <c r="AC112" s="228">
        <v>1.4</v>
      </c>
      <c r="AD112" s="228">
        <v>-0.5</v>
      </c>
      <c r="AE112" s="228">
        <v>1.9</v>
      </c>
      <c r="AF112" s="229">
        <v>3.3999999999999998E-3</v>
      </c>
      <c r="AG112" s="228">
        <v>3.8</v>
      </c>
      <c r="AH112" s="228">
        <v>2.7</v>
      </c>
      <c r="AI112" s="228">
        <v>1.1000000000000001</v>
      </c>
      <c r="AJ112" s="229">
        <v>9.1999999999999998E-3</v>
      </c>
      <c r="AK112" s="228">
        <v>5.9</v>
      </c>
      <c r="AL112" s="228">
        <v>5.8</v>
      </c>
      <c r="AM112" s="228">
        <v>0.1</v>
      </c>
      <c r="AN112" s="229">
        <v>1.43E-2</v>
      </c>
      <c r="AO112" s="228">
        <v>412.01</v>
      </c>
      <c r="AP112" s="228">
        <v>414.91</v>
      </c>
      <c r="AQ112" s="228">
        <v>0</v>
      </c>
      <c r="AR112" s="230">
        <v>14718000</v>
      </c>
      <c r="AS112" s="230">
        <v>103152000</v>
      </c>
      <c r="AT112" s="230">
        <v>-88434000</v>
      </c>
      <c r="AU112" s="229">
        <v>-0.85729999999999995</v>
      </c>
      <c r="AV112" s="230">
        <v>14164000</v>
      </c>
      <c r="AW112" s="230">
        <v>34538000</v>
      </c>
      <c r="AX112" s="230">
        <v>-20374000</v>
      </c>
      <c r="AY112" s="229">
        <v>-0.58989999999999998</v>
      </c>
      <c r="AZ112" s="230">
        <v>480000</v>
      </c>
      <c r="BA112" s="230">
        <v>67546000</v>
      </c>
      <c r="BB112" s="230">
        <v>-67066000</v>
      </c>
      <c r="BC112" s="229">
        <v>-0.9929</v>
      </c>
      <c r="BD112" s="230">
        <v>74000</v>
      </c>
      <c r="BE112" s="230">
        <v>1068000</v>
      </c>
      <c r="BF112" s="230">
        <v>-994000</v>
      </c>
      <c r="BG112" s="229">
        <v>-0.93069999999999997</v>
      </c>
      <c r="BH112" s="230">
        <v>33988000</v>
      </c>
      <c r="BI112" s="230">
        <v>72852000</v>
      </c>
      <c r="BJ112" s="230">
        <v>-38864000</v>
      </c>
      <c r="BK112" s="229">
        <v>-0.53349999999999997</v>
      </c>
      <c r="BL112" s="230">
        <v>16778000</v>
      </c>
      <c r="BM112" s="230">
        <v>61678000</v>
      </c>
      <c r="BN112" s="230">
        <v>-44900000</v>
      </c>
      <c r="BO112" s="229">
        <v>-0.72799999999999998</v>
      </c>
      <c r="BP112" s="230">
        <v>65484000</v>
      </c>
      <c r="BQ112" s="230">
        <v>237682000</v>
      </c>
      <c r="BR112" s="230">
        <v>-172198000</v>
      </c>
      <c r="BS112" s="229">
        <v>-0.72450000000000003</v>
      </c>
      <c r="BT112" s="230">
        <v>19279261</v>
      </c>
      <c r="BU112" s="230">
        <v>48984397</v>
      </c>
      <c r="BV112" s="230">
        <v>-29705136</v>
      </c>
      <c r="BW112" s="229">
        <v>-0.60640000000000005</v>
      </c>
      <c r="BX112" s="230">
        <v>197358000</v>
      </c>
      <c r="BY112" s="230">
        <v>198706000</v>
      </c>
      <c r="BZ112" s="230">
        <v>-1348000</v>
      </c>
      <c r="CA112" s="229">
        <v>-6.7999999999999996E-3</v>
      </c>
      <c r="CB112" s="230">
        <v>185728000</v>
      </c>
      <c r="CC112" s="230">
        <v>10186000</v>
      </c>
      <c r="CD112" s="230">
        <v>175542000</v>
      </c>
      <c r="CE112" s="229">
        <v>17.233699999999999</v>
      </c>
      <c r="CF112" s="230">
        <v>11576000</v>
      </c>
      <c r="CG112" s="230">
        <v>187340000</v>
      </c>
      <c r="CH112" s="230">
        <v>-175764000</v>
      </c>
      <c r="CI112" s="229">
        <v>-0.93820000000000003</v>
      </c>
      <c r="CJ112" s="230">
        <v>54000</v>
      </c>
      <c r="CK112" s="230">
        <v>11366000</v>
      </c>
      <c r="CL112" s="230">
        <v>-11312000</v>
      </c>
      <c r="CM112" s="229">
        <v>-0.99519999999999997</v>
      </c>
      <c r="CN112" s="230">
        <v>19984000</v>
      </c>
      <c r="CO112" s="230">
        <v>14780000</v>
      </c>
      <c r="CP112" s="230">
        <v>5204000</v>
      </c>
      <c r="CQ112" s="229">
        <v>0.35210000000000002</v>
      </c>
      <c r="CR112" s="230">
        <v>18676000</v>
      </c>
      <c r="CS112" s="230">
        <v>16236000</v>
      </c>
      <c r="CT112" s="230">
        <v>2440000</v>
      </c>
      <c r="CU112" s="229">
        <v>0.15029999999999999</v>
      </c>
      <c r="CV112" s="230">
        <v>236018000</v>
      </c>
      <c r="CW112" s="230">
        <v>229722000</v>
      </c>
      <c r="CX112" s="230">
        <v>6296000</v>
      </c>
      <c r="CY112" s="229">
        <v>2.7400000000000001E-2</v>
      </c>
      <c r="CZ112" s="228">
        <v>22.72</v>
      </c>
      <c r="DA112" s="228">
        <v>22.95</v>
      </c>
      <c r="DB112" s="228">
        <v>-0.23</v>
      </c>
      <c r="DC112" s="228">
        <v>-0.23</v>
      </c>
      <c r="DD112" s="228">
        <v>25.31</v>
      </c>
      <c r="DE112" s="228">
        <v>25.34</v>
      </c>
      <c r="DF112" s="228">
        <v>-2.59</v>
      </c>
      <c r="DG112" s="228">
        <v>-0.03</v>
      </c>
      <c r="DH112" s="228">
        <v>22.38</v>
      </c>
      <c r="DI112" s="228">
        <v>22.39</v>
      </c>
      <c r="DJ112" s="228">
        <v>-0.01</v>
      </c>
      <c r="DK112" s="228">
        <v>-0.01</v>
      </c>
      <c r="DL112" s="228">
        <v>23.42</v>
      </c>
      <c r="DM112" s="228">
        <v>23.72</v>
      </c>
      <c r="DN112" s="228">
        <v>-0.3</v>
      </c>
      <c r="DO112" s="228">
        <v>-0.3</v>
      </c>
      <c r="DP112" s="228">
        <v>0.93</v>
      </c>
      <c r="DQ112" s="228">
        <v>1.1000000000000001</v>
      </c>
      <c r="DR112" s="228">
        <v>-0.17</v>
      </c>
      <c r="DS112" s="229">
        <v>-0.1545</v>
      </c>
      <c r="DT112" s="228">
        <v>450</v>
      </c>
      <c r="DU112" s="228">
        <v>400</v>
      </c>
      <c r="DV112" s="228">
        <v>0.49</v>
      </c>
      <c r="DW112" s="228">
        <v>0.85</v>
      </c>
      <c r="DX112" s="228">
        <v>-0.36</v>
      </c>
      <c r="DY112" s="229">
        <v>-0.42349999999999999</v>
      </c>
      <c r="DZ112" s="229">
        <v>5.8900000000000001E-2</v>
      </c>
      <c r="EA112" s="230">
        <v>198706000</v>
      </c>
      <c r="EB112" s="229">
        <v>5.7999999999999996E-3</v>
      </c>
      <c r="EC112" s="229">
        <v>5.8900000000000001E-2</v>
      </c>
      <c r="ED112" s="228">
        <v>2.9</v>
      </c>
      <c r="EE112" s="229">
        <v>7.0000000000000001E-3</v>
      </c>
      <c r="EF112" s="230">
        <v>14707036</v>
      </c>
      <c r="EG112" s="230">
        <v>32877321</v>
      </c>
      <c r="EH112" s="229">
        <v>-0.55269999999999997</v>
      </c>
      <c r="EI112" s="229">
        <v>0.76280000000000003</v>
      </c>
      <c r="EJ112" s="231">
        <v>147567.70000000001</v>
      </c>
      <c r="EK112" s="231">
        <v>68096.66</v>
      </c>
      <c r="EL112" s="231">
        <v>60657.74</v>
      </c>
      <c r="EM112" s="231">
        <v>53586</v>
      </c>
      <c r="EN112" s="231">
        <v>276322.09999999998</v>
      </c>
      <c r="EO112" s="231">
        <v>989109.3</v>
      </c>
      <c r="EP112" s="231">
        <v>-712787.2</v>
      </c>
      <c r="EQ112" s="229">
        <v>-0.72060000000000002</v>
      </c>
      <c r="ER112" s="231">
        <v>87163</v>
      </c>
      <c r="ES112" s="231">
        <v>75264</v>
      </c>
      <c r="ET112" s="231">
        <v>816948</v>
      </c>
      <c r="EU112" s="231">
        <v>781025350</v>
      </c>
      <c r="EV112" s="231">
        <v>979375</v>
      </c>
      <c r="EW112" s="231">
        <v>947690</v>
      </c>
      <c r="EX112" s="231">
        <v>31685</v>
      </c>
      <c r="EY112" s="229">
        <v>3.3399999999999999E-2</v>
      </c>
      <c r="EZ112" s="229">
        <v>0.30220000000000002</v>
      </c>
      <c r="FA112" s="227" t="s">
        <v>556</v>
      </c>
      <c r="FB112" s="161">
        <f t="shared" si="1"/>
        <v>11630000</v>
      </c>
    </row>
    <row r="113" spans="1:158" ht="17.25" hidden="1" thickBot="1" x14ac:dyDescent="0.3">
      <c r="A113" s="226">
        <v>46050</v>
      </c>
      <c r="B113" s="227" t="s">
        <v>221</v>
      </c>
      <c r="C113" s="227" t="s">
        <v>577</v>
      </c>
      <c r="D113" s="228">
        <v>425</v>
      </c>
      <c r="E113" s="231">
        <v>1104.8</v>
      </c>
      <c r="F113" s="231">
        <v>1110</v>
      </c>
      <c r="G113" s="228">
        <v>-5.2</v>
      </c>
      <c r="H113" s="229">
        <v>-4.7000000000000002E-3</v>
      </c>
      <c r="I113" s="231">
        <v>1105.8</v>
      </c>
      <c r="J113" s="231">
        <v>1104.4000000000001</v>
      </c>
      <c r="K113" s="228">
        <v>1.4</v>
      </c>
      <c r="L113" s="229">
        <v>1.2999999999999999E-3</v>
      </c>
      <c r="M113" s="231">
        <v>1104.8</v>
      </c>
      <c r="N113" s="231">
        <v>1103.9000000000001</v>
      </c>
      <c r="O113" s="228">
        <v>0.9</v>
      </c>
      <c r="P113" s="229">
        <v>8.0000000000000004E-4</v>
      </c>
      <c r="Q113" s="231">
        <v>1104.9000000000001</v>
      </c>
      <c r="R113" s="231">
        <v>1110</v>
      </c>
      <c r="S113" s="228">
        <v>-5.0999999999999996</v>
      </c>
      <c r="T113" s="229">
        <v>-4.5999999999999999E-3</v>
      </c>
      <c r="U113" s="231">
        <v>1095</v>
      </c>
      <c r="V113" s="231">
        <v>1114.5</v>
      </c>
      <c r="W113" s="228">
        <v>-19.5</v>
      </c>
      <c r="X113" s="229">
        <v>-1.7500000000000002E-2</v>
      </c>
      <c r="Y113" s="228">
        <v>-1</v>
      </c>
      <c r="Z113" s="228">
        <v>5.6</v>
      </c>
      <c r="AA113" s="228">
        <v>-6.6</v>
      </c>
      <c r="AB113" s="229">
        <v>-8.9999999999999998E-4</v>
      </c>
      <c r="AC113" s="228">
        <v>-1</v>
      </c>
      <c r="AD113" s="228">
        <v>-0.5</v>
      </c>
      <c r="AE113" s="228">
        <v>-0.5</v>
      </c>
      <c r="AF113" s="229">
        <v>-8.9999999999999998E-4</v>
      </c>
      <c r="AG113" s="228">
        <v>-0.9</v>
      </c>
      <c r="AH113" s="228">
        <v>5.6</v>
      </c>
      <c r="AI113" s="228">
        <v>-6.5</v>
      </c>
      <c r="AJ113" s="229">
        <v>-8.0000000000000004E-4</v>
      </c>
      <c r="AK113" s="228">
        <v>-10.8</v>
      </c>
      <c r="AL113" s="228">
        <v>10.1</v>
      </c>
      <c r="AM113" s="228">
        <v>-20.9</v>
      </c>
      <c r="AN113" s="229">
        <v>-9.7999999999999997E-3</v>
      </c>
      <c r="AO113" s="231">
        <v>1102.8800000000001</v>
      </c>
      <c r="AP113" s="231">
        <v>1103.8800000000001</v>
      </c>
      <c r="AQ113" s="228">
        <v>0</v>
      </c>
      <c r="AR113" s="230">
        <v>820675</v>
      </c>
      <c r="AS113" s="230">
        <v>3059575</v>
      </c>
      <c r="AT113" s="230">
        <v>-2238900</v>
      </c>
      <c r="AU113" s="229">
        <v>-0.73180000000000001</v>
      </c>
      <c r="AV113" s="230">
        <v>764150</v>
      </c>
      <c r="AW113" s="230">
        <v>1386775</v>
      </c>
      <c r="AX113" s="230">
        <v>-622625</v>
      </c>
      <c r="AY113" s="229">
        <v>-0.44900000000000001</v>
      </c>
      <c r="AZ113" s="230">
        <v>54400</v>
      </c>
      <c r="BA113" s="230">
        <v>1632850</v>
      </c>
      <c r="BB113" s="230">
        <v>-1578450</v>
      </c>
      <c r="BC113" s="229">
        <v>-0.9667</v>
      </c>
      <c r="BD113" s="230">
        <v>2125</v>
      </c>
      <c r="BE113" s="230">
        <v>39950</v>
      </c>
      <c r="BF113" s="230">
        <v>-37825</v>
      </c>
      <c r="BG113" s="229">
        <v>-0.94679999999999997</v>
      </c>
      <c r="BH113" s="230">
        <v>907375</v>
      </c>
      <c r="BI113" s="230">
        <v>1445425</v>
      </c>
      <c r="BJ113" s="230">
        <v>-538050</v>
      </c>
      <c r="BK113" s="229">
        <v>-0.37219999999999998</v>
      </c>
      <c r="BL113" s="230">
        <v>682125</v>
      </c>
      <c r="BM113" s="230">
        <v>1990275</v>
      </c>
      <c r="BN113" s="230">
        <v>-1308150</v>
      </c>
      <c r="BO113" s="229">
        <v>-0.6573</v>
      </c>
      <c r="BP113" s="230">
        <v>2410175</v>
      </c>
      <c r="BQ113" s="230">
        <v>6495275</v>
      </c>
      <c r="BR113" s="230">
        <v>-4085100</v>
      </c>
      <c r="BS113" s="229">
        <v>-0.62890000000000001</v>
      </c>
      <c r="BT113" s="230">
        <v>782440</v>
      </c>
      <c r="BU113" s="230">
        <v>983106</v>
      </c>
      <c r="BV113" s="230">
        <v>-200666</v>
      </c>
      <c r="BW113" s="229">
        <v>-0.2041</v>
      </c>
      <c r="BX113" s="230">
        <v>3870050</v>
      </c>
      <c r="BY113" s="230">
        <v>3808000</v>
      </c>
      <c r="BZ113" s="230">
        <v>62050</v>
      </c>
      <c r="CA113" s="229">
        <v>1.6299999999999999E-2</v>
      </c>
      <c r="CB113" s="230">
        <v>3739150</v>
      </c>
      <c r="CC113" s="230">
        <v>330225</v>
      </c>
      <c r="CD113" s="230">
        <v>3408925</v>
      </c>
      <c r="CE113" s="229">
        <v>10.323</v>
      </c>
      <c r="CF113" s="230">
        <v>128775</v>
      </c>
      <c r="CG113" s="230">
        <v>3690700</v>
      </c>
      <c r="CH113" s="230">
        <v>-3561925</v>
      </c>
      <c r="CI113" s="229">
        <v>-0.96509999999999996</v>
      </c>
      <c r="CJ113" s="230">
        <v>2125</v>
      </c>
      <c r="CK113" s="230">
        <v>117300</v>
      </c>
      <c r="CL113" s="230">
        <v>-115175</v>
      </c>
      <c r="CM113" s="229">
        <v>-0.9819</v>
      </c>
      <c r="CN113" s="230">
        <v>847025</v>
      </c>
      <c r="CO113" s="230">
        <v>551225</v>
      </c>
      <c r="CP113" s="230">
        <v>295800</v>
      </c>
      <c r="CQ113" s="229">
        <v>0.53659999999999997</v>
      </c>
      <c r="CR113" s="230">
        <v>773075</v>
      </c>
      <c r="CS113" s="230">
        <v>623900</v>
      </c>
      <c r="CT113" s="230">
        <v>149175</v>
      </c>
      <c r="CU113" s="229">
        <v>0.23910000000000001</v>
      </c>
      <c r="CV113" s="230">
        <v>5490150</v>
      </c>
      <c r="CW113" s="230">
        <v>4983125</v>
      </c>
      <c r="CX113" s="230">
        <v>507025</v>
      </c>
      <c r="CY113" s="229">
        <v>0.1017</v>
      </c>
      <c r="CZ113" s="228">
        <v>40.79</v>
      </c>
      <c r="DA113" s="228">
        <v>41.25</v>
      </c>
      <c r="DB113" s="228">
        <v>-0.46</v>
      </c>
      <c r="DC113" s="228">
        <v>-0.46</v>
      </c>
      <c r="DD113" s="228">
        <v>42.06</v>
      </c>
      <c r="DE113" s="228">
        <v>42.16</v>
      </c>
      <c r="DF113" s="228">
        <v>-1.27</v>
      </c>
      <c r="DG113" s="228">
        <v>-0.1</v>
      </c>
      <c r="DH113" s="228">
        <v>40.17</v>
      </c>
      <c r="DI113" s="228">
        <v>39.85</v>
      </c>
      <c r="DJ113" s="228">
        <v>0.32</v>
      </c>
      <c r="DK113" s="228">
        <v>0.32</v>
      </c>
      <c r="DL113" s="228">
        <v>41.61</v>
      </c>
      <c r="DM113" s="228">
        <v>42.29</v>
      </c>
      <c r="DN113" s="228">
        <v>-0.68</v>
      </c>
      <c r="DO113" s="228">
        <v>-0.68</v>
      </c>
      <c r="DP113" s="228">
        <v>0.91</v>
      </c>
      <c r="DQ113" s="228">
        <v>1.1299999999999999</v>
      </c>
      <c r="DR113" s="228">
        <v>-0.22</v>
      </c>
      <c r="DS113" s="229">
        <v>-0.19470000000000001</v>
      </c>
      <c r="DT113" s="231">
        <v>1200</v>
      </c>
      <c r="DU113" s="231">
        <v>1100</v>
      </c>
      <c r="DV113" s="228">
        <v>0.75</v>
      </c>
      <c r="DW113" s="228">
        <v>1.38</v>
      </c>
      <c r="DX113" s="228">
        <v>-0.63</v>
      </c>
      <c r="DY113" s="229">
        <v>-0.45650000000000002</v>
      </c>
      <c r="DZ113" s="229">
        <v>3.3799999999999997E-2</v>
      </c>
      <c r="EA113" s="230">
        <v>3808000</v>
      </c>
      <c r="EB113" s="229">
        <v>1E-4</v>
      </c>
      <c r="EC113" s="229">
        <v>3.3799999999999997E-2</v>
      </c>
      <c r="ED113" s="228">
        <v>1</v>
      </c>
      <c r="EE113" s="229">
        <v>8.9999999999999998E-4</v>
      </c>
      <c r="EF113" s="230">
        <v>384656</v>
      </c>
      <c r="EG113" s="230">
        <v>430227</v>
      </c>
      <c r="EH113" s="229">
        <v>-0.10589999999999999</v>
      </c>
      <c r="EI113" s="229">
        <v>0.49159999999999998</v>
      </c>
      <c r="EJ113" s="231">
        <v>10845.57</v>
      </c>
      <c r="EK113" s="231">
        <v>7302.04</v>
      </c>
      <c r="EL113" s="231">
        <v>9051.51</v>
      </c>
      <c r="EM113" s="231">
        <v>8440</v>
      </c>
      <c r="EN113" s="231">
        <v>27199.119999999999</v>
      </c>
      <c r="EO113" s="231">
        <v>72891.06</v>
      </c>
      <c r="EP113" s="231">
        <v>-45691.94</v>
      </c>
      <c r="EQ113" s="229">
        <v>-0.62690000000000001</v>
      </c>
      <c r="ER113" s="231">
        <v>10145</v>
      </c>
      <c r="ES113" s="231">
        <v>8358</v>
      </c>
      <c r="ET113" s="231">
        <v>42756</v>
      </c>
      <c r="EU113" s="231">
        <v>24589408</v>
      </c>
      <c r="EV113" s="231">
        <v>61259</v>
      </c>
      <c r="EW113" s="231">
        <v>55692</v>
      </c>
      <c r="EX113" s="231">
        <v>5567</v>
      </c>
      <c r="EY113" s="229">
        <v>0.1</v>
      </c>
      <c r="EZ113" s="229">
        <v>0.2233</v>
      </c>
      <c r="FA113" s="227" t="s">
        <v>567</v>
      </c>
      <c r="FB113" s="161">
        <f t="shared" si="1"/>
        <v>130900</v>
      </c>
    </row>
    <row r="114" spans="1:158" ht="17.25" hidden="1" thickBot="1" x14ac:dyDescent="0.3">
      <c r="A114" s="226">
        <v>46050</v>
      </c>
      <c r="B114" s="227" t="s">
        <v>170</v>
      </c>
      <c r="C114" s="227" t="s">
        <v>535</v>
      </c>
      <c r="D114" s="228">
        <v>850</v>
      </c>
      <c r="E114" s="231">
        <v>1005.7</v>
      </c>
      <c r="F114" s="231">
        <v>1007.4</v>
      </c>
      <c r="G114" s="228">
        <v>-1.7</v>
      </c>
      <c r="H114" s="229">
        <v>-1.6999999999999999E-3</v>
      </c>
      <c r="I114" s="228">
        <v>999</v>
      </c>
      <c r="J114" s="231">
        <v>1000.2</v>
      </c>
      <c r="K114" s="228">
        <v>-1.2</v>
      </c>
      <c r="L114" s="229">
        <v>-1.1999999999999999E-3</v>
      </c>
      <c r="M114" s="231">
        <v>1005.7</v>
      </c>
      <c r="N114" s="228">
        <v>999.8</v>
      </c>
      <c r="O114" s="228">
        <v>5.9</v>
      </c>
      <c r="P114" s="229">
        <v>5.8999999999999999E-3</v>
      </c>
      <c r="Q114" s="231">
        <v>1012.9</v>
      </c>
      <c r="R114" s="231">
        <v>1007.4</v>
      </c>
      <c r="S114" s="228">
        <v>5.5</v>
      </c>
      <c r="T114" s="229">
        <v>5.4999999999999997E-3</v>
      </c>
      <c r="U114" s="231">
        <v>1018.4</v>
      </c>
      <c r="V114" s="231">
        <v>1014</v>
      </c>
      <c r="W114" s="228">
        <v>4.4000000000000004</v>
      </c>
      <c r="X114" s="229">
        <v>4.3E-3</v>
      </c>
      <c r="Y114" s="228">
        <v>6.7</v>
      </c>
      <c r="Z114" s="228">
        <v>7.2</v>
      </c>
      <c r="AA114" s="228">
        <v>-0.5</v>
      </c>
      <c r="AB114" s="229">
        <v>6.7000000000000002E-3</v>
      </c>
      <c r="AC114" s="228">
        <v>6.7</v>
      </c>
      <c r="AD114" s="228">
        <v>-0.4</v>
      </c>
      <c r="AE114" s="228">
        <v>7.1</v>
      </c>
      <c r="AF114" s="229">
        <v>6.7000000000000002E-3</v>
      </c>
      <c r="AG114" s="228">
        <v>13.9</v>
      </c>
      <c r="AH114" s="228">
        <v>7.2</v>
      </c>
      <c r="AI114" s="228">
        <v>6.7</v>
      </c>
      <c r="AJ114" s="229">
        <v>1.3899999999999999E-2</v>
      </c>
      <c r="AK114" s="228">
        <v>19.399999999999999</v>
      </c>
      <c r="AL114" s="228">
        <v>13.8</v>
      </c>
      <c r="AM114" s="228">
        <v>5.6</v>
      </c>
      <c r="AN114" s="229">
        <v>1.9400000000000001E-2</v>
      </c>
      <c r="AO114" s="231">
        <v>1002.84</v>
      </c>
      <c r="AP114" s="231">
        <v>1010.22</v>
      </c>
      <c r="AQ114" s="228">
        <v>0</v>
      </c>
      <c r="AR114" s="230">
        <v>3133100</v>
      </c>
      <c r="AS114" s="230">
        <v>21358800</v>
      </c>
      <c r="AT114" s="230">
        <v>-18225700</v>
      </c>
      <c r="AU114" s="229">
        <v>-0.85329999999999995</v>
      </c>
      <c r="AV114" s="230">
        <v>3022600</v>
      </c>
      <c r="AW114" s="230">
        <v>8633450</v>
      </c>
      <c r="AX114" s="230">
        <v>-5610850</v>
      </c>
      <c r="AY114" s="229">
        <v>-0.64990000000000003</v>
      </c>
      <c r="AZ114" s="230">
        <v>107950</v>
      </c>
      <c r="BA114" s="230">
        <v>12524750</v>
      </c>
      <c r="BB114" s="230">
        <v>-12416800</v>
      </c>
      <c r="BC114" s="229">
        <v>-0.99139999999999995</v>
      </c>
      <c r="BD114" s="230">
        <v>2550</v>
      </c>
      <c r="BE114" s="230">
        <v>200600</v>
      </c>
      <c r="BF114" s="230">
        <v>-198050</v>
      </c>
      <c r="BG114" s="229">
        <v>-0.98729999999999996</v>
      </c>
      <c r="BH114" s="230">
        <v>8001900</v>
      </c>
      <c r="BI114" s="230">
        <v>24687400</v>
      </c>
      <c r="BJ114" s="230">
        <v>-16685500</v>
      </c>
      <c r="BK114" s="229">
        <v>-0.67589999999999995</v>
      </c>
      <c r="BL114" s="230">
        <v>3601450</v>
      </c>
      <c r="BM114" s="230">
        <v>16313200</v>
      </c>
      <c r="BN114" s="230">
        <v>-12711750</v>
      </c>
      <c r="BO114" s="229">
        <v>-0.7792</v>
      </c>
      <c r="BP114" s="230">
        <v>14736450</v>
      </c>
      <c r="BQ114" s="230">
        <v>62359400</v>
      </c>
      <c r="BR114" s="230">
        <v>-47622950</v>
      </c>
      <c r="BS114" s="229">
        <v>-0.76370000000000005</v>
      </c>
      <c r="BT114" s="230">
        <v>2014079</v>
      </c>
      <c r="BU114" s="230">
        <v>6838815</v>
      </c>
      <c r="BV114" s="230">
        <v>-4824736</v>
      </c>
      <c r="BW114" s="229">
        <v>-0.70550000000000002</v>
      </c>
      <c r="BX114" s="230">
        <v>19465850</v>
      </c>
      <c r="BY114" s="230">
        <v>18927800</v>
      </c>
      <c r="BZ114" s="230">
        <v>538050</v>
      </c>
      <c r="CA114" s="229">
        <v>2.8400000000000002E-2</v>
      </c>
      <c r="CB114" s="230">
        <v>19171750</v>
      </c>
      <c r="CC114" s="230">
        <v>1456050</v>
      </c>
      <c r="CD114" s="230">
        <v>17715700</v>
      </c>
      <c r="CE114" s="229">
        <v>12.167</v>
      </c>
      <c r="CF114" s="230">
        <v>292400</v>
      </c>
      <c r="CG114" s="230">
        <v>18639650</v>
      </c>
      <c r="CH114" s="230">
        <v>-18347250</v>
      </c>
      <c r="CI114" s="229">
        <v>-0.98429999999999995</v>
      </c>
      <c r="CJ114" s="230">
        <v>1700</v>
      </c>
      <c r="CK114" s="230">
        <v>288150</v>
      </c>
      <c r="CL114" s="230">
        <v>-286450</v>
      </c>
      <c r="CM114" s="229">
        <v>-0.99409999999999998</v>
      </c>
      <c r="CN114" s="230">
        <v>6978500</v>
      </c>
      <c r="CO114" s="230">
        <v>5866700</v>
      </c>
      <c r="CP114" s="230">
        <v>1111800</v>
      </c>
      <c r="CQ114" s="229">
        <v>0.1895</v>
      </c>
      <c r="CR114" s="230">
        <v>4267850</v>
      </c>
      <c r="CS114" s="230">
        <v>3601450</v>
      </c>
      <c r="CT114" s="230">
        <v>666400</v>
      </c>
      <c r="CU114" s="229">
        <v>0.185</v>
      </c>
      <c r="CV114" s="230">
        <v>30712200</v>
      </c>
      <c r="CW114" s="230">
        <v>28395950</v>
      </c>
      <c r="CX114" s="230">
        <v>2316250</v>
      </c>
      <c r="CY114" s="229">
        <v>8.1600000000000006E-2</v>
      </c>
      <c r="CZ114" s="228">
        <v>32.07</v>
      </c>
      <c r="DA114" s="228">
        <v>35.42</v>
      </c>
      <c r="DB114" s="228">
        <v>-3.35</v>
      </c>
      <c r="DC114" s="228">
        <v>-3.35</v>
      </c>
      <c r="DD114" s="228">
        <v>38.020000000000003</v>
      </c>
      <c r="DE114" s="228">
        <v>38.119999999999997</v>
      </c>
      <c r="DF114" s="228">
        <v>-5.95</v>
      </c>
      <c r="DG114" s="228">
        <v>-0.1</v>
      </c>
      <c r="DH114" s="228">
        <v>31.98</v>
      </c>
      <c r="DI114" s="228">
        <v>35.21</v>
      </c>
      <c r="DJ114" s="228">
        <v>-3.23</v>
      </c>
      <c r="DK114" s="228">
        <v>-3.23</v>
      </c>
      <c r="DL114" s="228">
        <v>32.26</v>
      </c>
      <c r="DM114" s="228">
        <v>35.729999999999997</v>
      </c>
      <c r="DN114" s="228">
        <v>-3.47</v>
      </c>
      <c r="DO114" s="228">
        <v>-3.47</v>
      </c>
      <c r="DP114" s="228">
        <v>0.61</v>
      </c>
      <c r="DQ114" s="228">
        <v>0.61</v>
      </c>
      <c r="DR114" s="228">
        <v>0</v>
      </c>
      <c r="DS114" s="229">
        <v>0</v>
      </c>
      <c r="DT114" s="231">
        <v>1100</v>
      </c>
      <c r="DU114" s="231">
        <v>1000</v>
      </c>
      <c r="DV114" s="228">
        <v>0.45</v>
      </c>
      <c r="DW114" s="228">
        <v>0.66</v>
      </c>
      <c r="DX114" s="228">
        <v>-0.21</v>
      </c>
      <c r="DY114" s="229">
        <v>-0.31819999999999998</v>
      </c>
      <c r="DZ114" s="229">
        <v>1.5100000000000001E-2</v>
      </c>
      <c r="EA114" s="230">
        <v>18927800</v>
      </c>
      <c r="EB114" s="229">
        <v>7.1999999999999998E-3</v>
      </c>
      <c r="EC114" s="229">
        <v>1.5100000000000001E-2</v>
      </c>
      <c r="ED114" s="228">
        <v>7.38</v>
      </c>
      <c r="EE114" s="229">
        <v>7.4000000000000003E-3</v>
      </c>
      <c r="EF114" s="230">
        <v>1085730</v>
      </c>
      <c r="EG114" s="230">
        <v>3852553</v>
      </c>
      <c r="EH114" s="229">
        <v>-0.71819999999999995</v>
      </c>
      <c r="EI114" s="229">
        <v>0.53910000000000002</v>
      </c>
      <c r="EJ114" s="231">
        <v>86671.39</v>
      </c>
      <c r="EK114" s="231">
        <v>35420.42</v>
      </c>
      <c r="EL114" s="231">
        <v>31428.12</v>
      </c>
      <c r="EM114" s="231">
        <v>20947</v>
      </c>
      <c r="EN114" s="231">
        <v>153519.93</v>
      </c>
      <c r="EO114" s="231">
        <v>646568.29</v>
      </c>
      <c r="EP114" s="231">
        <v>-493048.36</v>
      </c>
      <c r="EQ114" s="229">
        <v>-0.76259999999999994</v>
      </c>
      <c r="ER114" s="231">
        <v>74918</v>
      </c>
      <c r="ES114" s="231">
        <v>42060</v>
      </c>
      <c r="ET114" s="231">
        <v>195789</v>
      </c>
      <c r="EU114" s="231">
        <v>58629477</v>
      </c>
      <c r="EV114" s="231">
        <v>312767</v>
      </c>
      <c r="EW114" s="231">
        <v>289626</v>
      </c>
      <c r="EX114" s="231">
        <v>23141</v>
      </c>
      <c r="EY114" s="229">
        <v>7.9899999999999999E-2</v>
      </c>
      <c r="EZ114" s="229">
        <v>0.52380000000000004</v>
      </c>
      <c r="FA114" s="227" t="s">
        <v>567</v>
      </c>
      <c r="FB114" s="161">
        <f t="shared" si="1"/>
        <v>294100</v>
      </c>
    </row>
    <row r="115" spans="1:158" ht="17.25" hidden="1" thickBot="1" x14ac:dyDescent="0.3">
      <c r="A115" s="226">
        <v>46050</v>
      </c>
      <c r="B115" s="227" t="s">
        <v>175</v>
      </c>
      <c r="C115" s="227" t="s">
        <v>248</v>
      </c>
      <c r="D115" s="228">
        <v>1000</v>
      </c>
      <c r="E115" s="228">
        <v>521.20000000000005</v>
      </c>
      <c r="F115" s="228">
        <v>512.79999999999995</v>
      </c>
      <c r="G115" s="228">
        <v>8.4</v>
      </c>
      <c r="H115" s="229">
        <v>1.6400000000000001E-2</v>
      </c>
      <c r="I115" s="228">
        <v>519</v>
      </c>
      <c r="J115" s="228">
        <v>510.05</v>
      </c>
      <c r="K115" s="228">
        <v>8.9499999999999993</v>
      </c>
      <c r="L115" s="229">
        <v>1.7500000000000002E-2</v>
      </c>
      <c r="M115" s="228">
        <v>521.20000000000005</v>
      </c>
      <c r="N115" s="228">
        <v>508.45</v>
      </c>
      <c r="O115" s="228">
        <v>12.75</v>
      </c>
      <c r="P115" s="229">
        <v>2.5100000000000001E-2</v>
      </c>
      <c r="Q115" s="228">
        <v>524.54999999999995</v>
      </c>
      <c r="R115" s="228">
        <v>512.79999999999995</v>
      </c>
      <c r="S115" s="228">
        <v>11.75</v>
      </c>
      <c r="T115" s="229">
        <v>2.29E-2</v>
      </c>
      <c r="U115" s="228">
        <v>527.75</v>
      </c>
      <c r="V115" s="228">
        <v>517.70000000000005</v>
      </c>
      <c r="W115" s="228">
        <v>10.050000000000001</v>
      </c>
      <c r="X115" s="229">
        <v>1.9400000000000001E-2</v>
      </c>
      <c r="Y115" s="228">
        <v>2.2000000000000002</v>
      </c>
      <c r="Z115" s="228">
        <v>2.75</v>
      </c>
      <c r="AA115" s="228">
        <v>-0.55000000000000004</v>
      </c>
      <c r="AB115" s="229">
        <v>4.1999999999999997E-3</v>
      </c>
      <c r="AC115" s="228">
        <v>2.2000000000000002</v>
      </c>
      <c r="AD115" s="228">
        <v>-1.6</v>
      </c>
      <c r="AE115" s="228">
        <v>3.8</v>
      </c>
      <c r="AF115" s="229">
        <v>4.1999999999999997E-3</v>
      </c>
      <c r="AG115" s="228">
        <v>5.55</v>
      </c>
      <c r="AH115" s="228">
        <v>2.75</v>
      </c>
      <c r="AI115" s="228">
        <v>2.8</v>
      </c>
      <c r="AJ115" s="229">
        <v>1.0699999999999999E-2</v>
      </c>
      <c r="AK115" s="228">
        <v>8.75</v>
      </c>
      <c r="AL115" s="228">
        <v>7.65</v>
      </c>
      <c r="AM115" s="228">
        <v>1.1000000000000001</v>
      </c>
      <c r="AN115" s="229">
        <v>1.6899999999999998E-2</v>
      </c>
      <c r="AO115" s="228">
        <v>518.45000000000005</v>
      </c>
      <c r="AP115" s="228">
        <v>521.96</v>
      </c>
      <c r="AQ115" s="228">
        <v>0</v>
      </c>
      <c r="AR115" s="230">
        <v>2366000</v>
      </c>
      <c r="AS115" s="230">
        <v>28337000</v>
      </c>
      <c r="AT115" s="230">
        <v>-25971000</v>
      </c>
      <c r="AU115" s="229">
        <v>-0.91649999999999998</v>
      </c>
      <c r="AV115" s="230">
        <v>2254000</v>
      </c>
      <c r="AW115" s="230">
        <v>13669000</v>
      </c>
      <c r="AX115" s="230">
        <v>-11415000</v>
      </c>
      <c r="AY115" s="229">
        <v>-0.83509999999999995</v>
      </c>
      <c r="AZ115" s="230">
        <v>103000</v>
      </c>
      <c r="BA115" s="230">
        <v>14356000</v>
      </c>
      <c r="BB115" s="230">
        <v>-14253000</v>
      </c>
      <c r="BC115" s="229">
        <v>-0.99280000000000002</v>
      </c>
      <c r="BD115" s="230">
        <v>9000</v>
      </c>
      <c r="BE115" s="230">
        <v>312000</v>
      </c>
      <c r="BF115" s="230">
        <v>-303000</v>
      </c>
      <c r="BG115" s="229">
        <v>-0.97119999999999995</v>
      </c>
      <c r="BH115" s="230">
        <v>4332000</v>
      </c>
      <c r="BI115" s="230">
        <v>10866000</v>
      </c>
      <c r="BJ115" s="230">
        <v>-6534000</v>
      </c>
      <c r="BK115" s="229">
        <v>-0.60129999999999995</v>
      </c>
      <c r="BL115" s="230">
        <v>1919000</v>
      </c>
      <c r="BM115" s="230">
        <v>7984000</v>
      </c>
      <c r="BN115" s="230">
        <v>-6065000</v>
      </c>
      <c r="BO115" s="229">
        <v>-0.75960000000000005</v>
      </c>
      <c r="BP115" s="230">
        <v>8617000</v>
      </c>
      <c r="BQ115" s="230">
        <v>47187000</v>
      </c>
      <c r="BR115" s="230">
        <v>-38570000</v>
      </c>
      <c r="BS115" s="229">
        <v>-0.81740000000000002</v>
      </c>
      <c r="BT115" s="230">
        <v>855264</v>
      </c>
      <c r="BU115" s="230">
        <v>1954483</v>
      </c>
      <c r="BV115" s="230">
        <v>-1099219</v>
      </c>
      <c r="BW115" s="229">
        <v>-0.56240000000000001</v>
      </c>
      <c r="BX115" s="230">
        <v>30346000</v>
      </c>
      <c r="BY115" s="230">
        <v>30190000</v>
      </c>
      <c r="BZ115" s="230">
        <v>156000</v>
      </c>
      <c r="CA115" s="229">
        <v>5.1999999999999998E-3</v>
      </c>
      <c r="CB115" s="230">
        <v>29859000</v>
      </c>
      <c r="CC115" s="230">
        <v>2770000</v>
      </c>
      <c r="CD115" s="230">
        <v>27089000</v>
      </c>
      <c r="CE115" s="229">
        <v>9.7794000000000008</v>
      </c>
      <c r="CF115" s="230">
        <v>481000</v>
      </c>
      <c r="CG115" s="230">
        <v>29719000</v>
      </c>
      <c r="CH115" s="230">
        <v>-29238000</v>
      </c>
      <c r="CI115" s="229">
        <v>-0.98380000000000001</v>
      </c>
      <c r="CJ115" s="230">
        <v>6000</v>
      </c>
      <c r="CK115" s="230">
        <v>471000</v>
      </c>
      <c r="CL115" s="230">
        <v>-465000</v>
      </c>
      <c r="CM115" s="229">
        <v>-0.98729999999999996</v>
      </c>
      <c r="CN115" s="230">
        <v>5864000</v>
      </c>
      <c r="CO115" s="230">
        <v>5156000</v>
      </c>
      <c r="CP115" s="230">
        <v>708000</v>
      </c>
      <c r="CQ115" s="229">
        <v>0.13730000000000001</v>
      </c>
      <c r="CR115" s="230">
        <v>6213000</v>
      </c>
      <c r="CS115" s="230">
        <v>5752000</v>
      </c>
      <c r="CT115" s="230">
        <v>461000</v>
      </c>
      <c r="CU115" s="229">
        <v>8.0100000000000005E-2</v>
      </c>
      <c r="CV115" s="230">
        <v>42423000</v>
      </c>
      <c r="CW115" s="230">
        <v>41098000</v>
      </c>
      <c r="CX115" s="230">
        <v>1325000</v>
      </c>
      <c r="CY115" s="229">
        <v>3.2199999999999999E-2</v>
      </c>
      <c r="CZ115" s="228">
        <v>30.18</v>
      </c>
      <c r="DA115" s="228">
        <v>31.48</v>
      </c>
      <c r="DB115" s="228">
        <v>-1.3</v>
      </c>
      <c r="DC115" s="228">
        <v>-1.3</v>
      </c>
      <c r="DD115" s="228">
        <v>31.96</v>
      </c>
      <c r="DE115" s="228">
        <v>31.97</v>
      </c>
      <c r="DF115" s="228">
        <v>-1.78</v>
      </c>
      <c r="DG115" s="228">
        <v>-0.01</v>
      </c>
      <c r="DH115" s="228">
        <v>29.76</v>
      </c>
      <c r="DI115" s="228">
        <v>32.33</v>
      </c>
      <c r="DJ115" s="228">
        <v>-2.57</v>
      </c>
      <c r="DK115" s="228">
        <v>-2.57</v>
      </c>
      <c r="DL115" s="228">
        <v>31.14</v>
      </c>
      <c r="DM115" s="228">
        <v>30.13</v>
      </c>
      <c r="DN115" s="228">
        <v>1.01</v>
      </c>
      <c r="DO115" s="228">
        <v>1.01</v>
      </c>
      <c r="DP115" s="228">
        <v>1.06</v>
      </c>
      <c r="DQ115" s="228">
        <v>1.1200000000000001</v>
      </c>
      <c r="DR115" s="228">
        <v>-0.06</v>
      </c>
      <c r="DS115" s="229">
        <v>-5.3600000000000002E-2</v>
      </c>
      <c r="DT115" s="228">
        <v>550</v>
      </c>
      <c r="DU115" s="228">
        <v>500</v>
      </c>
      <c r="DV115" s="228">
        <v>0.44</v>
      </c>
      <c r="DW115" s="228">
        <v>0.73</v>
      </c>
      <c r="DX115" s="228">
        <v>-0.28999999999999998</v>
      </c>
      <c r="DY115" s="229">
        <v>-0.39729999999999999</v>
      </c>
      <c r="DZ115" s="229">
        <v>1.6E-2</v>
      </c>
      <c r="EA115" s="230">
        <v>30190000</v>
      </c>
      <c r="EB115" s="229">
        <v>6.4000000000000003E-3</v>
      </c>
      <c r="EC115" s="229">
        <v>1.6E-2</v>
      </c>
      <c r="ED115" s="228">
        <v>3.51</v>
      </c>
      <c r="EE115" s="229">
        <v>6.7999999999999996E-3</v>
      </c>
      <c r="EF115" s="230">
        <v>420955</v>
      </c>
      <c r="EG115" s="230">
        <v>982658</v>
      </c>
      <c r="EH115" s="229">
        <v>-0.5716</v>
      </c>
      <c r="EI115" s="229">
        <v>0.49220000000000003</v>
      </c>
      <c r="EJ115" s="231">
        <v>23620.76</v>
      </c>
      <c r="EK115" s="231">
        <v>9836.5400000000009</v>
      </c>
      <c r="EL115" s="231">
        <v>12270.9</v>
      </c>
      <c r="EM115" s="231">
        <v>20185</v>
      </c>
      <c r="EN115" s="231">
        <v>45728.2</v>
      </c>
      <c r="EO115" s="231">
        <v>245548.38</v>
      </c>
      <c r="EP115" s="231">
        <v>-199820.18</v>
      </c>
      <c r="EQ115" s="229">
        <v>-0.81379999999999997</v>
      </c>
      <c r="ER115" s="231">
        <v>31861</v>
      </c>
      <c r="ES115" s="231">
        <v>32486</v>
      </c>
      <c r="ET115" s="231">
        <v>158180</v>
      </c>
      <c r="EU115" s="231">
        <v>45183075</v>
      </c>
      <c r="EV115" s="231">
        <v>222527</v>
      </c>
      <c r="EW115" s="231">
        <v>213021</v>
      </c>
      <c r="EX115" s="231">
        <v>9506</v>
      </c>
      <c r="EY115" s="229">
        <v>4.4600000000000001E-2</v>
      </c>
      <c r="EZ115" s="229">
        <v>0.93889999999999996</v>
      </c>
      <c r="FA115" s="227" t="s">
        <v>555</v>
      </c>
      <c r="FB115" s="161">
        <f t="shared" si="1"/>
        <v>487000</v>
      </c>
    </row>
    <row r="116" spans="1:158" ht="17.25" hidden="1" thickBot="1" x14ac:dyDescent="0.3">
      <c r="A116" s="226">
        <v>46050</v>
      </c>
      <c r="B116" s="227" t="s">
        <v>175</v>
      </c>
      <c r="C116" s="227" t="s">
        <v>607</v>
      </c>
      <c r="D116" s="228">
        <v>700</v>
      </c>
      <c r="E116" s="228">
        <v>827</v>
      </c>
      <c r="F116" s="228">
        <v>811.9</v>
      </c>
      <c r="G116" s="228">
        <v>15.1</v>
      </c>
      <c r="H116" s="229">
        <v>1.8599999999999998E-2</v>
      </c>
      <c r="I116" s="228">
        <v>822.15</v>
      </c>
      <c r="J116" s="228">
        <v>807.8</v>
      </c>
      <c r="K116" s="228">
        <v>14.35</v>
      </c>
      <c r="L116" s="229">
        <v>1.78E-2</v>
      </c>
      <c r="M116" s="228">
        <v>827</v>
      </c>
      <c r="N116" s="228">
        <v>806.2</v>
      </c>
      <c r="O116" s="228">
        <v>20.8</v>
      </c>
      <c r="P116" s="229">
        <v>2.58E-2</v>
      </c>
      <c r="Q116" s="228">
        <v>831.9</v>
      </c>
      <c r="R116" s="228">
        <v>811.9</v>
      </c>
      <c r="S116" s="228">
        <v>20</v>
      </c>
      <c r="T116" s="229">
        <v>2.46E-2</v>
      </c>
      <c r="U116" s="228">
        <v>835.9</v>
      </c>
      <c r="V116" s="228">
        <v>818.05</v>
      </c>
      <c r="W116" s="228">
        <v>17.850000000000001</v>
      </c>
      <c r="X116" s="229">
        <v>2.18E-2</v>
      </c>
      <c r="Y116" s="228">
        <v>4.8499999999999996</v>
      </c>
      <c r="Z116" s="228">
        <v>4.0999999999999996</v>
      </c>
      <c r="AA116" s="228">
        <v>0.75</v>
      </c>
      <c r="AB116" s="229">
        <v>5.8999999999999999E-3</v>
      </c>
      <c r="AC116" s="228">
        <v>4.8499999999999996</v>
      </c>
      <c r="AD116" s="228">
        <v>-1.6</v>
      </c>
      <c r="AE116" s="228">
        <v>6.45</v>
      </c>
      <c r="AF116" s="229">
        <v>5.8999999999999999E-3</v>
      </c>
      <c r="AG116" s="228">
        <v>9.75</v>
      </c>
      <c r="AH116" s="228">
        <v>4.0999999999999996</v>
      </c>
      <c r="AI116" s="228">
        <v>5.65</v>
      </c>
      <c r="AJ116" s="229">
        <v>1.1900000000000001E-2</v>
      </c>
      <c r="AK116" s="228">
        <v>13.75</v>
      </c>
      <c r="AL116" s="228">
        <v>10.25</v>
      </c>
      <c r="AM116" s="228">
        <v>3.5</v>
      </c>
      <c r="AN116" s="229">
        <v>1.67E-2</v>
      </c>
      <c r="AO116" s="228">
        <v>820.51</v>
      </c>
      <c r="AP116" s="228">
        <v>826.2</v>
      </c>
      <c r="AQ116" s="228">
        <v>0</v>
      </c>
      <c r="AR116" s="230">
        <v>1104600</v>
      </c>
      <c r="AS116" s="230">
        <v>10512600</v>
      </c>
      <c r="AT116" s="230">
        <v>-9408000</v>
      </c>
      <c r="AU116" s="229">
        <v>-0.89490000000000003</v>
      </c>
      <c r="AV116" s="230">
        <v>1037400</v>
      </c>
      <c r="AW116" s="230">
        <v>5151300</v>
      </c>
      <c r="AX116" s="230">
        <v>-4113900</v>
      </c>
      <c r="AY116" s="229">
        <v>-0.79859999999999998</v>
      </c>
      <c r="AZ116" s="230">
        <v>59500</v>
      </c>
      <c r="BA116" s="230">
        <v>5175100</v>
      </c>
      <c r="BB116" s="230">
        <v>-5115600</v>
      </c>
      <c r="BC116" s="229">
        <v>-0.98850000000000005</v>
      </c>
      <c r="BD116" s="230">
        <v>7700</v>
      </c>
      <c r="BE116" s="230">
        <v>186200</v>
      </c>
      <c r="BF116" s="230">
        <v>-178500</v>
      </c>
      <c r="BG116" s="229">
        <v>-0.95860000000000001</v>
      </c>
      <c r="BH116" s="230">
        <v>2468200</v>
      </c>
      <c r="BI116" s="230">
        <v>4436600</v>
      </c>
      <c r="BJ116" s="230">
        <v>-1968400</v>
      </c>
      <c r="BK116" s="229">
        <v>-0.44369999999999998</v>
      </c>
      <c r="BL116" s="230">
        <v>1276800</v>
      </c>
      <c r="BM116" s="230">
        <v>2970100</v>
      </c>
      <c r="BN116" s="230">
        <v>-1693300</v>
      </c>
      <c r="BO116" s="229">
        <v>-0.57010000000000005</v>
      </c>
      <c r="BP116" s="230">
        <v>4849600</v>
      </c>
      <c r="BQ116" s="230">
        <v>17919300</v>
      </c>
      <c r="BR116" s="230">
        <v>-13069700</v>
      </c>
      <c r="BS116" s="229">
        <v>-0.72940000000000005</v>
      </c>
      <c r="BT116" s="230">
        <v>696298</v>
      </c>
      <c r="BU116" s="230">
        <v>1039957</v>
      </c>
      <c r="BV116" s="230">
        <v>-343659</v>
      </c>
      <c r="BW116" s="229">
        <v>-0.33050000000000002</v>
      </c>
      <c r="BX116" s="230">
        <v>10238900</v>
      </c>
      <c r="BY116" s="230">
        <v>10180800</v>
      </c>
      <c r="BZ116" s="230">
        <v>58100</v>
      </c>
      <c r="CA116" s="229">
        <v>5.7000000000000002E-3</v>
      </c>
      <c r="CB116" s="230">
        <v>9883300</v>
      </c>
      <c r="CC116" s="230">
        <v>1168300</v>
      </c>
      <c r="CD116" s="230">
        <v>8715000</v>
      </c>
      <c r="CE116" s="229">
        <v>7.4596</v>
      </c>
      <c r="CF116" s="230">
        <v>350000</v>
      </c>
      <c r="CG116" s="230">
        <v>9832900</v>
      </c>
      <c r="CH116" s="230">
        <v>-9482900</v>
      </c>
      <c r="CI116" s="229">
        <v>-0.96440000000000003</v>
      </c>
      <c r="CJ116" s="230">
        <v>5600</v>
      </c>
      <c r="CK116" s="230">
        <v>347900</v>
      </c>
      <c r="CL116" s="230">
        <v>-342300</v>
      </c>
      <c r="CM116" s="229">
        <v>-0.9839</v>
      </c>
      <c r="CN116" s="230">
        <v>2650900</v>
      </c>
      <c r="CO116" s="230">
        <v>2171400</v>
      </c>
      <c r="CP116" s="230">
        <v>479500</v>
      </c>
      <c r="CQ116" s="229">
        <v>0.2208</v>
      </c>
      <c r="CR116" s="230">
        <v>2341500</v>
      </c>
      <c r="CS116" s="230">
        <v>2010400</v>
      </c>
      <c r="CT116" s="230">
        <v>331100</v>
      </c>
      <c r="CU116" s="229">
        <v>0.16470000000000001</v>
      </c>
      <c r="CV116" s="230">
        <v>15231300</v>
      </c>
      <c r="CW116" s="230">
        <v>14362600</v>
      </c>
      <c r="CX116" s="230">
        <v>868700</v>
      </c>
      <c r="CY116" s="229">
        <v>6.0499999999999998E-2</v>
      </c>
      <c r="CZ116" s="228">
        <v>27.29</v>
      </c>
      <c r="DA116" s="228">
        <v>28.79</v>
      </c>
      <c r="DB116" s="228">
        <v>-1.5</v>
      </c>
      <c r="DC116" s="228">
        <v>-1.5</v>
      </c>
      <c r="DD116" s="228">
        <v>29.32</v>
      </c>
      <c r="DE116" s="228">
        <v>29.29</v>
      </c>
      <c r="DF116" s="228">
        <v>-2.0299999999999998</v>
      </c>
      <c r="DG116" s="228">
        <v>0.03</v>
      </c>
      <c r="DH116" s="228">
        <v>26.88</v>
      </c>
      <c r="DI116" s="228">
        <v>28.79</v>
      </c>
      <c r="DJ116" s="228">
        <v>-1.91</v>
      </c>
      <c r="DK116" s="228">
        <v>-1.91</v>
      </c>
      <c r="DL116" s="228">
        <v>28.08</v>
      </c>
      <c r="DM116" s="228">
        <v>28.79</v>
      </c>
      <c r="DN116" s="228">
        <v>-0.71</v>
      </c>
      <c r="DO116" s="228">
        <v>-0.71</v>
      </c>
      <c r="DP116" s="228">
        <v>0.88</v>
      </c>
      <c r="DQ116" s="228">
        <v>0.93</v>
      </c>
      <c r="DR116" s="228">
        <v>-0.05</v>
      </c>
      <c r="DS116" s="229">
        <v>-5.3800000000000001E-2</v>
      </c>
      <c r="DT116" s="228">
        <v>900</v>
      </c>
      <c r="DU116" s="228">
        <v>820</v>
      </c>
      <c r="DV116" s="228">
        <v>0.52</v>
      </c>
      <c r="DW116" s="228">
        <v>0.67</v>
      </c>
      <c r="DX116" s="228">
        <v>-0.15</v>
      </c>
      <c r="DY116" s="229">
        <v>-0.22389999999999999</v>
      </c>
      <c r="DZ116" s="229">
        <v>3.4700000000000002E-2</v>
      </c>
      <c r="EA116" s="230">
        <v>10180800</v>
      </c>
      <c r="EB116" s="229">
        <v>5.8999999999999999E-3</v>
      </c>
      <c r="EC116" s="229">
        <v>3.4700000000000002E-2</v>
      </c>
      <c r="ED116" s="228">
        <v>5.69</v>
      </c>
      <c r="EE116" s="229">
        <v>6.8999999999999999E-3</v>
      </c>
      <c r="EF116" s="230">
        <v>308025</v>
      </c>
      <c r="EG116" s="230">
        <v>457913</v>
      </c>
      <c r="EH116" s="229">
        <v>-0.32729999999999998</v>
      </c>
      <c r="EI116" s="229">
        <v>0.44240000000000002</v>
      </c>
      <c r="EJ116" s="231">
        <v>21419.07</v>
      </c>
      <c r="EK116" s="231">
        <v>10373.549999999999</v>
      </c>
      <c r="EL116" s="231">
        <v>9067.61</v>
      </c>
      <c r="EM116" s="231">
        <v>14697</v>
      </c>
      <c r="EN116" s="231">
        <v>40860.230000000003</v>
      </c>
      <c r="EO116" s="231">
        <v>147508.24</v>
      </c>
      <c r="EP116" s="231">
        <v>-106648.01</v>
      </c>
      <c r="EQ116" s="229">
        <v>-0.72299999999999998</v>
      </c>
      <c r="ER116" s="231">
        <v>22928</v>
      </c>
      <c r="ES116" s="231">
        <v>18918</v>
      </c>
      <c r="ET116" s="231">
        <v>84693</v>
      </c>
      <c r="EU116" s="231">
        <v>33206238</v>
      </c>
      <c r="EV116" s="231">
        <v>126540</v>
      </c>
      <c r="EW116" s="231">
        <v>117760</v>
      </c>
      <c r="EX116" s="231">
        <v>8780</v>
      </c>
      <c r="EY116" s="229">
        <v>7.46E-2</v>
      </c>
      <c r="EZ116" s="229">
        <v>0.4587</v>
      </c>
      <c r="FA116" s="227" t="s">
        <v>555</v>
      </c>
      <c r="FB116" s="161">
        <f t="shared" si="1"/>
        <v>355600</v>
      </c>
    </row>
    <row r="117" spans="1:158" ht="17.25" hidden="1" thickBot="1" x14ac:dyDescent="0.3">
      <c r="A117" s="226">
        <v>46050</v>
      </c>
      <c r="B117" s="227" t="s">
        <v>206</v>
      </c>
      <c r="C117" s="227" t="s">
        <v>588</v>
      </c>
      <c r="D117" s="228">
        <v>450</v>
      </c>
      <c r="E117" s="228">
        <v>931.9</v>
      </c>
      <c r="F117" s="228">
        <v>912</v>
      </c>
      <c r="G117" s="228">
        <v>19.899999999999999</v>
      </c>
      <c r="H117" s="229">
        <v>2.18E-2</v>
      </c>
      <c r="I117" s="228">
        <v>929.1</v>
      </c>
      <c r="J117" s="228">
        <v>907.2</v>
      </c>
      <c r="K117" s="228">
        <v>21.9</v>
      </c>
      <c r="L117" s="229">
        <v>2.41E-2</v>
      </c>
      <c r="M117" s="228">
        <v>931.9</v>
      </c>
      <c r="N117" s="228">
        <v>905.8</v>
      </c>
      <c r="O117" s="228">
        <v>26.1</v>
      </c>
      <c r="P117" s="229">
        <v>2.8799999999999999E-2</v>
      </c>
      <c r="Q117" s="228">
        <v>936</v>
      </c>
      <c r="R117" s="228">
        <v>912</v>
      </c>
      <c r="S117" s="228">
        <v>24</v>
      </c>
      <c r="T117" s="229">
        <v>2.63E-2</v>
      </c>
      <c r="U117" s="228">
        <v>944.5</v>
      </c>
      <c r="V117" s="228">
        <v>918.8</v>
      </c>
      <c r="W117" s="228">
        <v>25.7</v>
      </c>
      <c r="X117" s="229">
        <v>2.8000000000000001E-2</v>
      </c>
      <c r="Y117" s="228">
        <v>2.8</v>
      </c>
      <c r="Z117" s="228">
        <v>4.8</v>
      </c>
      <c r="AA117" s="228">
        <v>-2</v>
      </c>
      <c r="AB117" s="229">
        <v>3.0000000000000001E-3</v>
      </c>
      <c r="AC117" s="228">
        <v>2.8</v>
      </c>
      <c r="AD117" s="228">
        <v>-1.4</v>
      </c>
      <c r="AE117" s="228">
        <v>4.2</v>
      </c>
      <c r="AF117" s="229">
        <v>3.0000000000000001E-3</v>
      </c>
      <c r="AG117" s="228">
        <v>6.9</v>
      </c>
      <c r="AH117" s="228">
        <v>4.8</v>
      </c>
      <c r="AI117" s="228">
        <v>2.1</v>
      </c>
      <c r="AJ117" s="229">
        <v>7.4000000000000003E-3</v>
      </c>
      <c r="AK117" s="228">
        <v>15.4</v>
      </c>
      <c r="AL117" s="228">
        <v>11.6</v>
      </c>
      <c r="AM117" s="228">
        <v>3.8</v>
      </c>
      <c r="AN117" s="229">
        <v>1.66E-2</v>
      </c>
      <c r="AO117" s="228">
        <v>926.27</v>
      </c>
      <c r="AP117" s="228">
        <v>932.03</v>
      </c>
      <c r="AQ117" s="228">
        <v>0</v>
      </c>
      <c r="AR117" s="230">
        <v>2451150</v>
      </c>
      <c r="AS117" s="230">
        <v>10415250</v>
      </c>
      <c r="AT117" s="230">
        <v>-7964100</v>
      </c>
      <c r="AU117" s="229">
        <v>-0.76470000000000005</v>
      </c>
      <c r="AV117" s="230">
        <v>2306700</v>
      </c>
      <c r="AW117" s="230">
        <v>3452850</v>
      </c>
      <c r="AX117" s="230">
        <v>-1146150</v>
      </c>
      <c r="AY117" s="229">
        <v>-0.33189999999999997</v>
      </c>
      <c r="AZ117" s="230">
        <v>139950</v>
      </c>
      <c r="BA117" s="230">
        <v>6618600</v>
      </c>
      <c r="BB117" s="230">
        <v>-6478650</v>
      </c>
      <c r="BC117" s="229">
        <v>-0.97889999999999999</v>
      </c>
      <c r="BD117" s="230">
        <v>4500</v>
      </c>
      <c r="BE117" s="230">
        <v>343800</v>
      </c>
      <c r="BF117" s="230">
        <v>-339300</v>
      </c>
      <c r="BG117" s="229">
        <v>-0.9869</v>
      </c>
      <c r="BH117" s="230">
        <v>4185000</v>
      </c>
      <c r="BI117" s="230">
        <v>5498100</v>
      </c>
      <c r="BJ117" s="230">
        <v>-1313100</v>
      </c>
      <c r="BK117" s="229">
        <v>-0.23880000000000001</v>
      </c>
      <c r="BL117" s="230">
        <v>2528550</v>
      </c>
      <c r="BM117" s="230">
        <v>7692300</v>
      </c>
      <c r="BN117" s="230">
        <v>-5163750</v>
      </c>
      <c r="BO117" s="229">
        <v>-0.67130000000000001</v>
      </c>
      <c r="BP117" s="230">
        <v>9164700</v>
      </c>
      <c r="BQ117" s="230">
        <v>23605650</v>
      </c>
      <c r="BR117" s="230">
        <v>-14440950</v>
      </c>
      <c r="BS117" s="229">
        <v>-0.61180000000000001</v>
      </c>
      <c r="BT117" s="230">
        <v>1954625</v>
      </c>
      <c r="BU117" s="230">
        <v>6748803</v>
      </c>
      <c r="BV117" s="230">
        <v>-4794178</v>
      </c>
      <c r="BW117" s="229">
        <v>-0.71040000000000003</v>
      </c>
      <c r="BX117" s="230">
        <v>12281400</v>
      </c>
      <c r="BY117" s="230">
        <v>12303900</v>
      </c>
      <c r="BZ117" s="230">
        <v>-22500</v>
      </c>
      <c r="CA117" s="229">
        <v>-1.8E-3</v>
      </c>
      <c r="CB117" s="230">
        <v>12034800</v>
      </c>
      <c r="CC117" s="230">
        <v>396000</v>
      </c>
      <c r="CD117" s="230">
        <v>11638800</v>
      </c>
      <c r="CE117" s="229">
        <v>29.390899999999998</v>
      </c>
      <c r="CF117" s="230">
        <v>242550</v>
      </c>
      <c r="CG117" s="230">
        <v>12096000</v>
      </c>
      <c r="CH117" s="230">
        <v>-11853450</v>
      </c>
      <c r="CI117" s="229">
        <v>-0.97989999999999999</v>
      </c>
      <c r="CJ117" s="230">
        <v>4050</v>
      </c>
      <c r="CK117" s="230">
        <v>207900</v>
      </c>
      <c r="CL117" s="230">
        <v>-203850</v>
      </c>
      <c r="CM117" s="229">
        <v>-0.98050000000000004</v>
      </c>
      <c r="CN117" s="230">
        <v>2057400</v>
      </c>
      <c r="CO117" s="230">
        <v>1224450</v>
      </c>
      <c r="CP117" s="230">
        <v>832950</v>
      </c>
      <c r="CQ117" s="229">
        <v>0.68030000000000002</v>
      </c>
      <c r="CR117" s="230">
        <v>2030850</v>
      </c>
      <c r="CS117" s="230">
        <v>1297800</v>
      </c>
      <c r="CT117" s="230">
        <v>733050</v>
      </c>
      <c r="CU117" s="229">
        <v>0.56479999999999997</v>
      </c>
      <c r="CV117" s="230">
        <v>16369650</v>
      </c>
      <c r="CW117" s="230">
        <v>14826150</v>
      </c>
      <c r="CX117" s="230">
        <v>1543500</v>
      </c>
      <c r="CY117" s="229">
        <v>0.1041</v>
      </c>
      <c r="CZ117" s="228">
        <v>41.76</v>
      </c>
      <c r="DA117" s="228">
        <v>45.68</v>
      </c>
      <c r="DB117" s="228">
        <v>-3.92</v>
      </c>
      <c r="DC117" s="228">
        <v>-3.92</v>
      </c>
      <c r="DD117" s="228">
        <v>43.78</v>
      </c>
      <c r="DE117" s="228">
        <v>43.77</v>
      </c>
      <c r="DF117" s="228">
        <v>-2.02</v>
      </c>
      <c r="DG117" s="228">
        <v>0.01</v>
      </c>
      <c r="DH117" s="228">
        <v>40.93</v>
      </c>
      <c r="DI117" s="228">
        <v>45.8</v>
      </c>
      <c r="DJ117" s="228">
        <v>-4.87</v>
      </c>
      <c r="DK117" s="228">
        <v>-4.87</v>
      </c>
      <c r="DL117" s="228">
        <v>43.13</v>
      </c>
      <c r="DM117" s="228">
        <v>45.59</v>
      </c>
      <c r="DN117" s="228">
        <v>-2.46</v>
      </c>
      <c r="DO117" s="228">
        <v>-2.46</v>
      </c>
      <c r="DP117" s="228">
        <v>0.99</v>
      </c>
      <c r="DQ117" s="228">
        <v>1.06</v>
      </c>
      <c r="DR117" s="228">
        <v>-7.0000000000000007E-2</v>
      </c>
      <c r="DS117" s="229">
        <v>-6.6000000000000003E-2</v>
      </c>
      <c r="DT117" s="231">
        <v>1000</v>
      </c>
      <c r="DU117" s="228">
        <v>900</v>
      </c>
      <c r="DV117" s="228">
        <v>0.6</v>
      </c>
      <c r="DW117" s="228">
        <v>1.4</v>
      </c>
      <c r="DX117" s="228">
        <v>-0.8</v>
      </c>
      <c r="DY117" s="229">
        <v>-0.57140000000000002</v>
      </c>
      <c r="DZ117" s="229">
        <v>2.01E-2</v>
      </c>
      <c r="EA117" s="230">
        <v>12303900</v>
      </c>
      <c r="EB117" s="229">
        <v>4.4000000000000003E-3</v>
      </c>
      <c r="EC117" s="229">
        <v>2.01E-2</v>
      </c>
      <c r="ED117" s="228">
        <v>5.76</v>
      </c>
      <c r="EE117" s="229">
        <v>6.1999999999999998E-3</v>
      </c>
      <c r="EF117" s="230">
        <v>1031668</v>
      </c>
      <c r="EG117" s="230">
        <v>3290499</v>
      </c>
      <c r="EH117" s="229">
        <v>-0.6865</v>
      </c>
      <c r="EI117" s="229">
        <v>0.52780000000000005</v>
      </c>
      <c r="EJ117" s="231">
        <v>41565.26</v>
      </c>
      <c r="EK117" s="231">
        <v>23345.759999999998</v>
      </c>
      <c r="EL117" s="231">
        <v>22712.73</v>
      </c>
      <c r="EM117" s="231">
        <v>20542</v>
      </c>
      <c r="EN117" s="231">
        <v>87623.75</v>
      </c>
      <c r="EO117" s="231">
        <v>215576.53</v>
      </c>
      <c r="EP117" s="231">
        <v>-127952.78</v>
      </c>
      <c r="EQ117" s="229">
        <v>-0.59350000000000003</v>
      </c>
      <c r="ER117" s="231">
        <v>20282</v>
      </c>
      <c r="ES117" s="231">
        <v>18657</v>
      </c>
      <c r="ET117" s="231">
        <v>114461</v>
      </c>
      <c r="EU117" s="231">
        <v>42126960</v>
      </c>
      <c r="EV117" s="231">
        <v>153400</v>
      </c>
      <c r="EW117" s="231">
        <v>136510</v>
      </c>
      <c r="EX117" s="231">
        <v>16890</v>
      </c>
      <c r="EY117" s="229">
        <v>0.1237</v>
      </c>
      <c r="EZ117" s="229">
        <v>0.3886</v>
      </c>
      <c r="FA117" s="227" t="s">
        <v>556</v>
      </c>
      <c r="FB117" s="161">
        <f t="shared" si="1"/>
        <v>246600</v>
      </c>
    </row>
    <row r="118" spans="1:158" ht="17.25" hidden="1" thickBot="1" x14ac:dyDescent="0.3">
      <c r="A118" s="226">
        <v>46050</v>
      </c>
      <c r="B118" s="227" t="s">
        <v>184</v>
      </c>
      <c r="C118" s="227" t="s">
        <v>249</v>
      </c>
      <c r="D118" s="228">
        <v>175</v>
      </c>
      <c r="E118" s="231">
        <v>3815.8</v>
      </c>
      <c r="F118" s="231">
        <v>3808.7</v>
      </c>
      <c r="G118" s="228">
        <v>7.1</v>
      </c>
      <c r="H118" s="229">
        <v>1.9E-3</v>
      </c>
      <c r="I118" s="231">
        <v>3794</v>
      </c>
      <c r="J118" s="231">
        <v>3787.8</v>
      </c>
      <c r="K118" s="228">
        <v>6.2</v>
      </c>
      <c r="L118" s="229">
        <v>1.6000000000000001E-3</v>
      </c>
      <c r="M118" s="231">
        <v>3815.8</v>
      </c>
      <c r="N118" s="231">
        <v>3786.2</v>
      </c>
      <c r="O118" s="228">
        <v>29.6</v>
      </c>
      <c r="P118" s="229">
        <v>7.7999999999999996E-3</v>
      </c>
      <c r="Q118" s="231">
        <v>3841</v>
      </c>
      <c r="R118" s="231">
        <v>3808.7</v>
      </c>
      <c r="S118" s="228">
        <v>32.299999999999997</v>
      </c>
      <c r="T118" s="229">
        <v>8.5000000000000006E-3</v>
      </c>
      <c r="U118" s="231">
        <v>3865.8</v>
      </c>
      <c r="V118" s="231">
        <v>3836</v>
      </c>
      <c r="W118" s="228">
        <v>29.8</v>
      </c>
      <c r="X118" s="229">
        <v>7.7999999999999996E-3</v>
      </c>
      <c r="Y118" s="228">
        <v>21.8</v>
      </c>
      <c r="Z118" s="228">
        <v>20.9</v>
      </c>
      <c r="AA118" s="228">
        <v>0.9</v>
      </c>
      <c r="AB118" s="229">
        <v>5.7000000000000002E-3</v>
      </c>
      <c r="AC118" s="228">
        <v>21.8</v>
      </c>
      <c r="AD118" s="228">
        <v>-1.6</v>
      </c>
      <c r="AE118" s="228">
        <v>23.4</v>
      </c>
      <c r="AF118" s="229">
        <v>5.7000000000000002E-3</v>
      </c>
      <c r="AG118" s="228">
        <v>47</v>
      </c>
      <c r="AH118" s="228">
        <v>20.9</v>
      </c>
      <c r="AI118" s="228">
        <v>26.1</v>
      </c>
      <c r="AJ118" s="229">
        <v>1.24E-2</v>
      </c>
      <c r="AK118" s="228">
        <v>71.8</v>
      </c>
      <c r="AL118" s="228">
        <v>48.2</v>
      </c>
      <c r="AM118" s="228">
        <v>23.6</v>
      </c>
      <c r="AN118" s="229">
        <v>1.89E-2</v>
      </c>
      <c r="AO118" s="231">
        <v>3816.87</v>
      </c>
      <c r="AP118" s="231">
        <v>3843.36</v>
      </c>
      <c r="AQ118" s="228">
        <v>0</v>
      </c>
      <c r="AR118" s="230">
        <v>3036425</v>
      </c>
      <c r="AS118" s="230">
        <v>9252250</v>
      </c>
      <c r="AT118" s="230">
        <v>-6215825</v>
      </c>
      <c r="AU118" s="229">
        <v>-0.67179999999999995</v>
      </c>
      <c r="AV118" s="230">
        <v>2929150</v>
      </c>
      <c r="AW118" s="230">
        <v>3967250</v>
      </c>
      <c r="AX118" s="230">
        <v>-1038100</v>
      </c>
      <c r="AY118" s="229">
        <v>-0.26169999999999999</v>
      </c>
      <c r="AZ118" s="230">
        <v>91350</v>
      </c>
      <c r="BA118" s="230">
        <v>5164425</v>
      </c>
      <c r="BB118" s="230">
        <v>-5073075</v>
      </c>
      <c r="BC118" s="229">
        <v>-0.98229999999999995</v>
      </c>
      <c r="BD118" s="230">
        <v>15925</v>
      </c>
      <c r="BE118" s="230">
        <v>120575</v>
      </c>
      <c r="BF118" s="230">
        <v>-104650</v>
      </c>
      <c r="BG118" s="229">
        <v>-0.8679</v>
      </c>
      <c r="BH118" s="230">
        <v>9454900</v>
      </c>
      <c r="BI118" s="230">
        <v>6805225</v>
      </c>
      <c r="BJ118" s="230">
        <v>2649675</v>
      </c>
      <c r="BK118" s="229">
        <v>0.38940000000000002</v>
      </c>
      <c r="BL118" s="230">
        <v>3913350</v>
      </c>
      <c r="BM118" s="230">
        <v>3606925</v>
      </c>
      <c r="BN118" s="230">
        <v>306425</v>
      </c>
      <c r="BO118" s="229">
        <v>8.5000000000000006E-2</v>
      </c>
      <c r="BP118" s="230">
        <v>16404675</v>
      </c>
      <c r="BQ118" s="230">
        <v>19664400</v>
      </c>
      <c r="BR118" s="230">
        <v>-3259725</v>
      </c>
      <c r="BS118" s="229">
        <v>-0.1658</v>
      </c>
      <c r="BT118" s="230">
        <v>2332848</v>
      </c>
      <c r="BU118" s="230">
        <v>2862041</v>
      </c>
      <c r="BV118" s="230">
        <v>-529193</v>
      </c>
      <c r="BW118" s="229">
        <v>-0.18490000000000001</v>
      </c>
      <c r="BX118" s="230">
        <v>15977850</v>
      </c>
      <c r="BY118" s="230">
        <v>15337700</v>
      </c>
      <c r="BZ118" s="230">
        <v>640150</v>
      </c>
      <c r="CA118" s="229">
        <v>4.1700000000000001E-2</v>
      </c>
      <c r="CB118" s="230">
        <v>14831600</v>
      </c>
      <c r="CC118" s="230">
        <v>1067675</v>
      </c>
      <c r="CD118" s="230">
        <v>13763925</v>
      </c>
      <c r="CE118" s="229">
        <v>12.891500000000001</v>
      </c>
      <c r="CF118" s="230">
        <v>1136450</v>
      </c>
      <c r="CG118" s="230">
        <v>14230650</v>
      </c>
      <c r="CH118" s="230">
        <v>-13094200</v>
      </c>
      <c r="CI118" s="229">
        <v>-0.92010000000000003</v>
      </c>
      <c r="CJ118" s="230">
        <v>9800</v>
      </c>
      <c r="CK118" s="230">
        <v>1107050</v>
      </c>
      <c r="CL118" s="230">
        <v>-1097250</v>
      </c>
      <c r="CM118" s="229">
        <v>-0.99109999999999998</v>
      </c>
      <c r="CN118" s="230">
        <v>3973725</v>
      </c>
      <c r="CO118" s="230">
        <v>2049075</v>
      </c>
      <c r="CP118" s="230">
        <v>1924650</v>
      </c>
      <c r="CQ118" s="229">
        <v>0.93930000000000002</v>
      </c>
      <c r="CR118" s="230">
        <v>2934225</v>
      </c>
      <c r="CS118" s="230">
        <v>1905750</v>
      </c>
      <c r="CT118" s="230">
        <v>1028475</v>
      </c>
      <c r="CU118" s="229">
        <v>0.53969999999999996</v>
      </c>
      <c r="CV118" s="230">
        <v>22885800</v>
      </c>
      <c r="CW118" s="230">
        <v>19292525</v>
      </c>
      <c r="CX118" s="230">
        <v>3593275</v>
      </c>
      <c r="CY118" s="229">
        <v>0.18629999999999999</v>
      </c>
      <c r="CZ118" s="228">
        <v>28.78</v>
      </c>
      <c r="DA118" s="228">
        <v>26.41</v>
      </c>
      <c r="DB118" s="228">
        <v>2.37</v>
      </c>
      <c r="DC118" s="228">
        <v>2.37</v>
      </c>
      <c r="DD118" s="228">
        <v>25.56</v>
      </c>
      <c r="DE118" s="228">
        <v>25.62</v>
      </c>
      <c r="DF118" s="228">
        <v>3.22</v>
      </c>
      <c r="DG118" s="228">
        <v>-0.06</v>
      </c>
      <c r="DH118" s="228">
        <v>28.56</v>
      </c>
      <c r="DI118" s="228">
        <v>26.39</v>
      </c>
      <c r="DJ118" s="228">
        <v>2.17</v>
      </c>
      <c r="DK118" s="228">
        <v>2.17</v>
      </c>
      <c r="DL118" s="228">
        <v>29.32</v>
      </c>
      <c r="DM118" s="228">
        <v>26.45</v>
      </c>
      <c r="DN118" s="228">
        <v>2.87</v>
      </c>
      <c r="DO118" s="228">
        <v>2.87</v>
      </c>
      <c r="DP118" s="228">
        <v>0.74</v>
      </c>
      <c r="DQ118" s="228">
        <v>0.93</v>
      </c>
      <c r="DR118" s="228">
        <v>-0.19</v>
      </c>
      <c r="DS118" s="229">
        <v>-0.20430000000000001</v>
      </c>
      <c r="DT118" s="231">
        <v>4000</v>
      </c>
      <c r="DU118" s="231">
        <v>3800</v>
      </c>
      <c r="DV118" s="228">
        <v>0.41</v>
      </c>
      <c r="DW118" s="228">
        <v>0.53</v>
      </c>
      <c r="DX118" s="228">
        <v>-0.12</v>
      </c>
      <c r="DY118" s="229">
        <v>-0.22639999999999999</v>
      </c>
      <c r="DZ118" s="229">
        <v>7.17E-2</v>
      </c>
      <c r="EA118" s="230">
        <v>15337700</v>
      </c>
      <c r="EB118" s="229">
        <v>6.6E-3</v>
      </c>
      <c r="EC118" s="229">
        <v>7.17E-2</v>
      </c>
      <c r="ED118" s="228">
        <v>26.49</v>
      </c>
      <c r="EE118" s="229">
        <v>6.8999999999999999E-3</v>
      </c>
      <c r="EF118" s="230">
        <v>1394099</v>
      </c>
      <c r="EG118" s="230">
        <v>1779944</v>
      </c>
      <c r="EH118" s="229">
        <v>-0.21679999999999999</v>
      </c>
      <c r="EI118" s="229">
        <v>0.59760000000000002</v>
      </c>
      <c r="EJ118" s="231">
        <v>380784.52</v>
      </c>
      <c r="EK118" s="231">
        <v>148116.99</v>
      </c>
      <c r="EL118" s="231">
        <v>115927.93</v>
      </c>
      <c r="EM118" s="231">
        <v>50450</v>
      </c>
      <c r="EN118" s="231">
        <v>644829.43999999994</v>
      </c>
      <c r="EO118" s="231">
        <v>758006.6</v>
      </c>
      <c r="EP118" s="231">
        <v>-113177.16</v>
      </c>
      <c r="EQ118" s="229">
        <v>-0.14929999999999999</v>
      </c>
      <c r="ER118" s="231">
        <v>158213</v>
      </c>
      <c r="ES118" s="231">
        <v>110545</v>
      </c>
      <c r="ET118" s="231">
        <v>609974</v>
      </c>
      <c r="EU118" s="231">
        <v>136109374</v>
      </c>
      <c r="EV118" s="231">
        <v>878731</v>
      </c>
      <c r="EW118" s="231">
        <v>738404</v>
      </c>
      <c r="EX118" s="231">
        <v>140327</v>
      </c>
      <c r="EY118" s="229">
        <v>0.19</v>
      </c>
      <c r="EZ118" s="229">
        <v>0.1681</v>
      </c>
      <c r="FA118" s="227" t="s">
        <v>555</v>
      </c>
      <c r="FB118" s="161">
        <f t="shared" si="1"/>
        <v>1146250</v>
      </c>
    </row>
    <row r="119" spans="1:158" ht="17.25" hidden="1" thickBot="1" x14ac:dyDescent="0.3">
      <c r="A119" s="226">
        <v>46050</v>
      </c>
      <c r="B119" s="227" t="s">
        <v>175</v>
      </c>
      <c r="C119" s="227" t="s">
        <v>565</v>
      </c>
      <c r="D119" s="228">
        <v>2250</v>
      </c>
      <c r="E119" s="228">
        <v>290.85000000000002</v>
      </c>
      <c r="F119" s="228">
        <v>287.25</v>
      </c>
      <c r="G119" s="228">
        <v>3.6</v>
      </c>
      <c r="H119" s="229">
        <v>1.2500000000000001E-2</v>
      </c>
      <c r="I119" s="228">
        <v>289.39999999999998</v>
      </c>
      <c r="J119" s="228">
        <v>285.25</v>
      </c>
      <c r="K119" s="228">
        <v>4.1500000000000004</v>
      </c>
      <c r="L119" s="229">
        <v>1.4500000000000001E-2</v>
      </c>
      <c r="M119" s="228">
        <v>290.85000000000002</v>
      </c>
      <c r="N119" s="228">
        <v>285.45</v>
      </c>
      <c r="O119" s="228">
        <v>5.4</v>
      </c>
      <c r="P119" s="229">
        <v>1.89E-2</v>
      </c>
      <c r="Q119" s="228">
        <v>290.25</v>
      </c>
      <c r="R119" s="228">
        <v>287.25</v>
      </c>
      <c r="S119" s="228">
        <v>3</v>
      </c>
      <c r="T119" s="229">
        <v>1.04E-2</v>
      </c>
      <c r="U119" s="228">
        <v>290.5</v>
      </c>
      <c r="V119" s="228">
        <v>287.45</v>
      </c>
      <c r="W119" s="228">
        <v>3.05</v>
      </c>
      <c r="X119" s="229">
        <v>1.06E-2</v>
      </c>
      <c r="Y119" s="228">
        <v>1.45</v>
      </c>
      <c r="Z119" s="228">
        <v>2</v>
      </c>
      <c r="AA119" s="228">
        <v>-0.55000000000000004</v>
      </c>
      <c r="AB119" s="229">
        <v>5.0000000000000001E-3</v>
      </c>
      <c r="AC119" s="228">
        <v>1.45</v>
      </c>
      <c r="AD119" s="228">
        <v>0.2</v>
      </c>
      <c r="AE119" s="228">
        <v>1.25</v>
      </c>
      <c r="AF119" s="229">
        <v>5.0000000000000001E-3</v>
      </c>
      <c r="AG119" s="228">
        <v>0.85</v>
      </c>
      <c r="AH119" s="228">
        <v>2</v>
      </c>
      <c r="AI119" s="228">
        <v>-1.1499999999999999</v>
      </c>
      <c r="AJ119" s="229">
        <v>2.8999999999999998E-3</v>
      </c>
      <c r="AK119" s="228">
        <v>1.1000000000000001</v>
      </c>
      <c r="AL119" s="228">
        <v>2.2000000000000002</v>
      </c>
      <c r="AM119" s="228">
        <v>-1.1000000000000001</v>
      </c>
      <c r="AN119" s="229">
        <v>3.8E-3</v>
      </c>
      <c r="AO119" s="228">
        <v>289.39</v>
      </c>
      <c r="AP119" s="228">
        <v>288.64999999999998</v>
      </c>
      <c r="AQ119" s="228">
        <v>0</v>
      </c>
      <c r="AR119" s="230">
        <v>6790500</v>
      </c>
      <c r="AS119" s="230">
        <v>45652500</v>
      </c>
      <c r="AT119" s="230">
        <v>-38862000</v>
      </c>
      <c r="AU119" s="229">
        <v>-0.85129999999999995</v>
      </c>
      <c r="AV119" s="230">
        <v>6468750</v>
      </c>
      <c r="AW119" s="230">
        <v>18861750</v>
      </c>
      <c r="AX119" s="230">
        <v>-12393000</v>
      </c>
      <c r="AY119" s="229">
        <v>-0.65700000000000003</v>
      </c>
      <c r="AZ119" s="230">
        <v>276750</v>
      </c>
      <c r="BA119" s="230">
        <v>26061750</v>
      </c>
      <c r="BB119" s="230">
        <v>-25785000</v>
      </c>
      <c r="BC119" s="229">
        <v>-0.98939999999999995</v>
      </c>
      <c r="BD119" s="230">
        <v>45000</v>
      </c>
      <c r="BE119" s="230">
        <v>729000</v>
      </c>
      <c r="BF119" s="230">
        <v>-684000</v>
      </c>
      <c r="BG119" s="229">
        <v>-0.93830000000000002</v>
      </c>
      <c r="BH119" s="230">
        <v>12255750</v>
      </c>
      <c r="BI119" s="230">
        <v>57300750</v>
      </c>
      <c r="BJ119" s="230">
        <v>-45045000</v>
      </c>
      <c r="BK119" s="229">
        <v>-0.78610000000000002</v>
      </c>
      <c r="BL119" s="230">
        <v>7420500</v>
      </c>
      <c r="BM119" s="230">
        <v>25211250</v>
      </c>
      <c r="BN119" s="230">
        <v>-17790750</v>
      </c>
      <c r="BO119" s="229">
        <v>-0.70569999999999999</v>
      </c>
      <c r="BP119" s="230">
        <v>26466750</v>
      </c>
      <c r="BQ119" s="230">
        <v>128164500</v>
      </c>
      <c r="BR119" s="230">
        <v>-101697750</v>
      </c>
      <c r="BS119" s="229">
        <v>-0.79349999999999998</v>
      </c>
      <c r="BT119" s="230">
        <v>2515966</v>
      </c>
      <c r="BU119" s="230">
        <v>6225368</v>
      </c>
      <c r="BV119" s="230">
        <v>-3709402</v>
      </c>
      <c r="BW119" s="229">
        <v>-0.59589999999999999</v>
      </c>
      <c r="BX119" s="230">
        <v>45306000</v>
      </c>
      <c r="BY119" s="230">
        <v>45166500</v>
      </c>
      <c r="BZ119" s="230">
        <v>139500</v>
      </c>
      <c r="CA119" s="229">
        <v>3.0999999999999999E-3</v>
      </c>
      <c r="CB119" s="230">
        <v>43969500</v>
      </c>
      <c r="CC119" s="230">
        <v>5215500</v>
      </c>
      <c r="CD119" s="230">
        <v>38754000</v>
      </c>
      <c r="CE119" s="229">
        <v>7.4305000000000003</v>
      </c>
      <c r="CF119" s="230">
        <v>1307250</v>
      </c>
      <c r="CG119" s="230">
        <v>43933500</v>
      </c>
      <c r="CH119" s="230">
        <v>-42626250</v>
      </c>
      <c r="CI119" s="229">
        <v>-0.97019999999999995</v>
      </c>
      <c r="CJ119" s="230">
        <v>29250</v>
      </c>
      <c r="CK119" s="230">
        <v>1233000</v>
      </c>
      <c r="CL119" s="230">
        <v>-1203750</v>
      </c>
      <c r="CM119" s="229">
        <v>-0.97629999999999995</v>
      </c>
      <c r="CN119" s="230">
        <v>17754750</v>
      </c>
      <c r="CO119" s="230">
        <v>15907500</v>
      </c>
      <c r="CP119" s="230">
        <v>1847250</v>
      </c>
      <c r="CQ119" s="229">
        <v>0.11609999999999999</v>
      </c>
      <c r="CR119" s="230">
        <v>12978000</v>
      </c>
      <c r="CS119" s="230">
        <v>11931750</v>
      </c>
      <c r="CT119" s="230">
        <v>1046250</v>
      </c>
      <c r="CU119" s="229">
        <v>8.77E-2</v>
      </c>
      <c r="CV119" s="230">
        <v>76038750</v>
      </c>
      <c r="CW119" s="230">
        <v>73005750</v>
      </c>
      <c r="CX119" s="230">
        <v>3033000</v>
      </c>
      <c r="CY119" s="229">
        <v>4.1500000000000002E-2</v>
      </c>
      <c r="CZ119" s="228">
        <v>32.85</v>
      </c>
      <c r="DA119" s="228">
        <v>35.01</v>
      </c>
      <c r="DB119" s="228">
        <v>-2.16</v>
      </c>
      <c r="DC119" s="228">
        <v>-2.16</v>
      </c>
      <c r="DD119" s="228">
        <v>38.22</v>
      </c>
      <c r="DE119" s="228">
        <v>38.28</v>
      </c>
      <c r="DF119" s="228">
        <v>-5.37</v>
      </c>
      <c r="DG119" s="228">
        <v>-0.06</v>
      </c>
      <c r="DH119" s="228">
        <v>32.47</v>
      </c>
      <c r="DI119" s="228">
        <v>35.43</v>
      </c>
      <c r="DJ119" s="228">
        <v>-2.96</v>
      </c>
      <c r="DK119" s="228">
        <v>-2.96</v>
      </c>
      <c r="DL119" s="228">
        <v>33.47</v>
      </c>
      <c r="DM119" s="228">
        <v>34.4</v>
      </c>
      <c r="DN119" s="228">
        <v>-0.93</v>
      </c>
      <c r="DO119" s="228">
        <v>-0.93</v>
      </c>
      <c r="DP119" s="228">
        <v>0.73</v>
      </c>
      <c r="DQ119" s="228">
        <v>0.75</v>
      </c>
      <c r="DR119" s="228">
        <v>-0.02</v>
      </c>
      <c r="DS119" s="229">
        <v>-2.6700000000000002E-2</v>
      </c>
      <c r="DT119" s="228">
        <v>300</v>
      </c>
      <c r="DU119" s="228">
        <v>300</v>
      </c>
      <c r="DV119" s="228">
        <v>0.61</v>
      </c>
      <c r="DW119" s="228">
        <v>0.44</v>
      </c>
      <c r="DX119" s="228">
        <v>0.17</v>
      </c>
      <c r="DY119" s="229">
        <v>0.38640000000000002</v>
      </c>
      <c r="DZ119" s="229">
        <v>2.9499999999999998E-2</v>
      </c>
      <c r="EA119" s="230">
        <v>45166500</v>
      </c>
      <c r="EB119" s="229">
        <v>-2.0999999999999999E-3</v>
      </c>
      <c r="EC119" s="229">
        <v>2.9499999999999998E-2</v>
      </c>
      <c r="ED119" s="228">
        <v>-0.74</v>
      </c>
      <c r="EE119" s="229">
        <v>-2.5999999999999999E-3</v>
      </c>
      <c r="EF119" s="230">
        <v>1062908</v>
      </c>
      <c r="EG119" s="230">
        <v>1935431</v>
      </c>
      <c r="EH119" s="229">
        <v>-0.45079999999999998</v>
      </c>
      <c r="EI119" s="229">
        <v>0.42249999999999999</v>
      </c>
      <c r="EJ119" s="231">
        <v>37972.89</v>
      </c>
      <c r="EK119" s="231">
        <v>20899.23</v>
      </c>
      <c r="EL119" s="231">
        <v>19649.04</v>
      </c>
      <c r="EM119" s="231">
        <v>23405</v>
      </c>
      <c r="EN119" s="231">
        <v>78521.16</v>
      </c>
      <c r="EO119" s="231">
        <v>378686.6</v>
      </c>
      <c r="EP119" s="231">
        <v>-300165.44</v>
      </c>
      <c r="EQ119" s="229">
        <v>-0.79259999999999997</v>
      </c>
      <c r="ER119" s="231">
        <v>54007</v>
      </c>
      <c r="ES119" s="231">
        <v>36918</v>
      </c>
      <c r="ET119" s="231">
        <v>131765</v>
      </c>
      <c r="EU119" s="231">
        <v>127100972</v>
      </c>
      <c r="EV119" s="231">
        <v>222690</v>
      </c>
      <c r="EW119" s="231">
        <v>212187</v>
      </c>
      <c r="EX119" s="231">
        <v>10503</v>
      </c>
      <c r="EY119" s="229">
        <v>4.9500000000000002E-2</v>
      </c>
      <c r="EZ119" s="229">
        <v>0.59830000000000005</v>
      </c>
      <c r="FA119" s="227" t="s">
        <v>555</v>
      </c>
      <c r="FB119" s="161">
        <f t="shared" si="1"/>
        <v>1336500</v>
      </c>
    </row>
    <row r="120" spans="1:158" ht="17.25" hidden="1" thickBot="1" x14ac:dyDescent="0.3">
      <c r="A120" s="226">
        <v>46050</v>
      </c>
      <c r="B120" s="227" t="s">
        <v>221</v>
      </c>
      <c r="C120" s="227" t="s">
        <v>561</v>
      </c>
      <c r="D120" s="228">
        <v>150</v>
      </c>
      <c r="E120" s="231">
        <v>6047</v>
      </c>
      <c r="F120" s="231">
        <v>5982.5</v>
      </c>
      <c r="G120" s="228">
        <v>64.5</v>
      </c>
      <c r="H120" s="229">
        <v>1.0800000000000001E-2</v>
      </c>
      <c r="I120" s="231">
        <v>6015.5</v>
      </c>
      <c r="J120" s="231">
        <v>5940.5</v>
      </c>
      <c r="K120" s="228">
        <v>75</v>
      </c>
      <c r="L120" s="229">
        <v>1.26E-2</v>
      </c>
      <c r="M120" s="231">
        <v>6047</v>
      </c>
      <c r="N120" s="231">
        <v>5952.5</v>
      </c>
      <c r="O120" s="228">
        <v>94.5</v>
      </c>
      <c r="P120" s="229">
        <v>1.5900000000000001E-2</v>
      </c>
      <c r="Q120" s="231">
        <v>6075</v>
      </c>
      <c r="R120" s="231">
        <v>5982.5</v>
      </c>
      <c r="S120" s="228">
        <v>92.5</v>
      </c>
      <c r="T120" s="229">
        <v>1.55E-2</v>
      </c>
      <c r="U120" s="231">
        <v>6041.5</v>
      </c>
      <c r="V120" s="231">
        <v>6012.5</v>
      </c>
      <c r="W120" s="228">
        <v>29</v>
      </c>
      <c r="X120" s="229">
        <v>4.7999999999999996E-3</v>
      </c>
      <c r="Y120" s="228">
        <v>31.5</v>
      </c>
      <c r="Z120" s="228">
        <v>42</v>
      </c>
      <c r="AA120" s="228">
        <v>-10.5</v>
      </c>
      <c r="AB120" s="229">
        <v>5.1999999999999998E-3</v>
      </c>
      <c r="AC120" s="228">
        <v>31.5</v>
      </c>
      <c r="AD120" s="228">
        <v>12</v>
      </c>
      <c r="AE120" s="228">
        <v>19.5</v>
      </c>
      <c r="AF120" s="229">
        <v>5.1999999999999998E-3</v>
      </c>
      <c r="AG120" s="228">
        <v>59.5</v>
      </c>
      <c r="AH120" s="228">
        <v>42</v>
      </c>
      <c r="AI120" s="228">
        <v>17.5</v>
      </c>
      <c r="AJ120" s="229">
        <v>9.9000000000000008E-3</v>
      </c>
      <c r="AK120" s="228">
        <v>26</v>
      </c>
      <c r="AL120" s="228">
        <v>72</v>
      </c>
      <c r="AM120" s="228">
        <v>-46</v>
      </c>
      <c r="AN120" s="229">
        <v>4.3E-3</v>
      </c>
      <c r="AO120" s="231">
        <v>6010.51</v>
      </c>
      <c r="AP120" s="231">
        <v>6047.58</v>
      </c>
      <c r="AQ120" s="228">
        <v>0</v>
      </c>
      <c r="AR120" s="230">
        <v>252600</v>
      </c>
      <c r="AS120" s="230">
        <v>1553550</v>
      </c>
      <c r="AT120" s="230">
        <v>-1300950</v>
      </c>
      <c r="AU120" s="229">
        <v>-0.83740000000000003</v>
      </c>
      <c r="AV120" s="230">
        <v>244800</v>
      </c>
      <c r="AW120" s="230">
        <v>679800</v>
      </c>
      <c r="AX120" s="230">
        <v>-435000</v>
      </c>
      <c r="AY120" s="229">
        <v>-0.63990000000000002</v>
      </c>
      <c r="AZ120" s="230">
        <v>7650</v>
      </c>
      <c r="BA120" s="230">
        <v>869400</v>
      </c>
      <c r="BB120" s="230">
        <v>-861750</v>
      </c>
      <c r="BC120" s="229">
        <v>-0.99119999999999997</v>
      </c>
      <c r="BD120" s="228">
        <v>150</v>
      </c>
      <c r="BE120" s="230">
        <v>4350</v>
      </c>
      <c r="BF120" s="230">
        <v>-4200</v>
      </c>
      <c r="BG120" s="229">
        <v>-0.96550000000000002</v>
      </c>
      <c r="BH120" s="230">
        <v>934350</v>
      </c>
      <c r="BI120" s="230">
        <v>1857600</v>
      </c>
      <c r="BJ120" s="230">
        <v>-923250</v>
      </c>
      <c r="BK120" s="229">
        <v>-0.497</v>
      </c>
      <c r="BL120" s="230">
        <v>292500</v>
      </c>
      <c r="BM120" s="230">
        <v>1178850</v>
      </c>
      <c r="BN120" s="230">
        <v>-886350</v>
      </c>
      <c r="BO120" s="229">
        <v>-0.75190000000000001</v>
      </c>
      <c r="BP120" s="230">
        <v>1479450</v>
      </c>
      <c r="BQ120" s="230">
        <v>4590000</v>
      </c>
      <c r="BR120" s="230">
        <v>-3110550</v>
      </c>
      <c r="BS120" s="229">
        <v>-0.67769999999999997</v>
      </c>
      <c r="BT120" s="230">
        <v>155288</v>
      </c>
      <c r="BU120" s="230">
        <v>255856</v>
      </c>
      <c r="BV120" s="230">
        <v>-100568</v>
      </c>
      <c r="BW120" s="229">
        <v>-0.3931</v>
      </c>
      <c r="BX120" s="230">
        <v>2438700</v>
      </c>
      <c r="BY120" s="230">
        <v>2430600</v>
      </c>
      <c r="BZ120" s="230">
        <v>8100</v>
      </c>
      <c r="CA120" s="229">
        <v>3.3E-3</v>
      </c>
      <c r="CB120" s="230">
        <v>2425050</v>
      </c>
      <c r="CC120" s="230">
        <v>181050</v>
      </c>
      <c r="CD120" s="230">
        <v>2244000</v>
      </c>
      <c r="CE120" s="229">
        <v>12.394399999999999</v>
      </c>
      <c r="CF120" s="230">
        <v>13500</v>
      </c>
      <c r="CG120" s="230">
        <v>2418150</v>
      </c>
      <c r="CH120" s="230">
        <v>-2404650</v>
      </c>
      <c r="CI120" s="229">
        <v>-0.99439999999999995</v>
      </c>
      <c r="CJ120" s="228">
        <v>150</v>
      </c>
      <c r="CK120" s="230">
        <v>12450</v>
      </c>
      <c r="CL120" s="230">
        <v>-12300</v>
      </c>
      <c r="CM120" s="229">
        <v>-0.98799999999999999</v>
      </c>
      <c r="CN120" s="230">
        <v>400650</v>
      </c>
      <c r="CO120" s="230">
        <v>356100</v>
      </c>
      <c r="CP120" s="230">
        <v>44550</v>
      </c>
      <c r="CQ120" s="229">
        <v>0.12509999999999999</v>
      </c>
      <c r="CR120" s="230">
        <v>295950</v>
      </c>
      <c r="CS120" s="230">
        <v>246900</v>
      </c>
      <c r="CT120" s="230">
        <v>49050</v>
      </c>
      <c r="CU120" s="229">
        <v>0.19869999999999999</v>
      </c>
      <c r="CV120" s="230">
        <v>3135300</v>
      </c>
      <c r="CW120" s="230">
        <v>3033600</v>
      </c>
      <c r="CX120" s="230">
        <v>101700</v>
      </c>
      <c r="CY120" s="229">
        <v>3.3500000000000002E-2</v>
      </c>
      <c r="CZ120" s="228">
        <v>26.36</v>
      </c>
      <c r="DA120" s="228">
        <v>27.17</v>
      </c>
      <c r="DB120" s="228">
        <v>-0.81</v>
      </c>
      <c r="DC120" s="228">
        <v>-0.81</v>
      </c>
      <c r="DD120" s="228">
        <v>32.99</v>
      </c>
      <c r="DE120" s="228">
        <v>33.04</v>
      </c>
      <c r="DF120" s="228">
        <v>-6.63</v>
      </c>
      <c r="DG120" s="228">
        <v>-0.05</v>
      </c>
      <c r="DH120" s="228">
        <v>25.96</v>
      </c>
      <c r="DI120" s="228">
        <v>26.35</v>
      </c>
      <c r="DJ120" s="228">
        <v>-0.39</v>
      </c>
      <c r="DK120" s="228">
        <v>-0.39</v>
      </c>
      <c r="DL120" s="228">
        <v>27.65</v>
      </c>
      <c r="DM120" s="228">
        <v>28.19</v>
      </c>
      <c r="DN120" s="228">
        <v>-0.54</v>
      </c>
      <c r="DO120" s="228">
        <v>-0.54</v>
      </c>
      <c r="DP120" s="228">
        <v>0.74</v>
      </c>
      <c r="DQ120" s="228">
        <v>0.69</v>
      </c>
      <c r="DR120" s="228">
        <v>0.05</v>
      </c>
      <c r="DS120" s="229">
        <v>7.2499999999999995E-2</v>
      </c>
      <c r="DT120" s="231">
        <v>6000</v>
      </c>
      <c r="DU120" s="231">
        <v>6000</v>
      </c>
      <c r="DV120" s="228">
        <v>0.31</v>
      </c>
      <c r="DW120" s="228">
        <v>0.63</v>
      </c>
      <c r="DX120" s="228">
        <v>-0.32</v>
      </c>
      <c r="DY120" s="229">
        <v>-0.50790000000000002</v>
      </c>
      <c r="DZ120" s="229">
        <v>5.5999999999999999E-3</v>
      </c>
      <c r="EA120" s="230">
        <v>2430600</v>
      </c>
      <c r="EB120" s="229">
        <v>4.5999999999999999E-3</v>
      </c>
      <c r="EC120" s="229">
        <v>5.5999999999999999E-3</v>
      </c>
      <c r="ED120" s="228">
        <v>37.07</v>
      </c>
      <c r="EE120" s="229">
        <v>6.1999999999999998E-3</v>
      </c>
      <c r="EF120" s="230">
        <v>78680</v>
      </c>
      <c r="EG120" s="230">
        <v>117987</v>
      </c>
      <c r="EH120" s="229">
        <v>-0.33310000000000001</v>
      </c>
      <c r="EI120" s="229">
        <v>0.50670000000000004</v>
      </c>
      <c r="EJ120" s="231">
        <v>58439.65</v>
      </c>
      <c r="EK120" s="231">
        <v>17167.259999999998</v>
      </c>
      <c r="EL120" s="231">
        <v>15185.42</v>
      </c>
      <c r="EM120" s="231">
        <v>15389</v>
      </c>
      <c r="EN120" s="231">
        <v>90792.33</v>
      </c>
      <c r="EO120" s="231">
        <v>275304.71000000002</v>
      </c>
      <c r="EP120" s="231">
        <v>-184512.38</v>
      </c>
      <c r="EQ120" s="229">
        <v>-0.67020000000000002</v>
      </c>
      <c r="ER120" s="231">
        <v>25216</v>
      </c>
      <c r="ES120" s="231">
        <v>16895</v>
      </c>
      <c r="ET120" s="231">
        <v>147472</v>
      </c>
      <c r="EU120" s="231">
        <v>9672091</v>
      </c>
      <c r="EV120" s="231">
        <v>189584</v>
      </c>
      <c r="EW120" s="231">
        <v>181932</v>
      </c>
      <c r="EX120" s="231">
        <v>7652</v>
      </c>
      <c r="EY120" s="229">
        <v>4.2099999999999999E-2</v>
      </c>
      <c r="EZ120" s="229">
        <v>0.32419999999999999</v>
      </c>
      <c r="FA120" s="227" t="s">
        <v>555</v>
      </c>
      <c r="FB120" s="161">
        <f t="shared" si="1"/>
        <v>13650</v>
      </c>
    </row>
    <row r="121" spans="1:158" ht="17.25" hidden="1" thickBot="1" x14ac:dyDescent="0.3">
      <c r="A121" s="226">
        <v>46050</v>
      </c>
      <c r="B121" s="227" t="s">
        <v>170</v>
      </c>
      <c r="C121" s="227" t="s">
        <v>250</v>
      </c>
      <c r="D121" s="228">
        <v>425</v>
      </c>
      <c r="E121" s="231">
        <v>2135.5</v>
      </c>
      <c r="F121" s="231">
        <v>2158.1</v>
      </c>
      <c r="G121" s="228">
        <v>-22.6</v>
      </c>
      <c r="H121" s="229">
        <v>-1.0500000000000001E-2</v>
      </c>
      <c r="I121" s="231">
        <v>2129.5</v>
      </c>
      <c r="J121" s="231">
        <v>2150.5</v>
      </c>
      <c r="K121" s="228">
        <v>-21</v>
      </c>
      <c r="L121" s="229">
        <v>-9.7999999999999997E-3</v>
      </c>
      <c r="M121" s="231">
        <v>2135.5</v>
      </c>
      <c r="N121" s="231">
        <v>2144.6999999999998</v>
      </c>
      <c r="O121" s="228">
        <v>-9.1999999999999993</v>
      </c>
      <c r="P121" s="229">
        <v>-4.3E-3</v>
      </c>
      <c r="Q121" s="231">
        <v>2149.8000000000002</v>
      </c>
      <c r="R121" s="231">
        <v>2158.1</v>
      </c>
      <c r="S121" s="228">
        <v>-8.3000000000000007</v>
      </c>
      <c r="T121" s="229">
        <v>-3.8E-3</v>
      </c>
      <c r="U121" s="231">
        <v>2163.8000000000002</v>
      </c>
      <c r="V121" s="231">
        <v>2171.8000000000002</v>
      </c>
      <c r="W121" s="228">
        <v>-8</v>
      </c>
      <c r="X121" s="229">
        <v>-3.7000000000000002E-3</v>
      </c>
      <c r="Y121" s="228">
        <v>6</v>
      </c>
      <c r="Z121" s="228">
        <v>7.6</v>
      </c>
      <c r="AA121" s="228">
        <v>-1.6</v>
      </c>
      <c r="AB121" s="229">
        <v>2.8E-3</v>
      </c>
      <c r="AC121" s="228">
        <v>6</v>
      </c>
      <c r="AD121" s="228">
        <v>-5.8</v>
      </c>
      <c r="AE121" s="228">
        <v>11.8</v>
      </c>
      <c r="AF121" s="229">
        <v>2.8E-3</v>
      </c>
      <c r="AG121" s="228">
        <v>20.3</v>
      </c>
      <c r="AH121" s="228">
        <v>7.6</v>
      </c>
      <c r="AI121" s="228">
        <v>12.7</v>
      </c>
      <c r="AJ121" s="229">
        <v>9.4999999999999998E-3</v>
      </c>
      <c r="AK121" s="228">
        <v>34.299999999999997</v>
      </c>
      <c r="AL121" s="228">
        <v>21.3</v>
      </c>
      <c r="AM121" s="228">
        <v>13</v>
      </c>
      <c r="AN121" s="229">
        <v>1.61E-2</v>
      </c>
      <c r="AO121" s="231">
        <v>2134.27</v>
      </c>
      <c r="AP121" s="231">
        <v>2149.2399999999998</v>
      </c>
      <c r="AQ121" s="228">
        <v>0</v>
      </c>
      <c r="AR121" s="230">
        <v>1085450</v>
      </c>
      <c r="AS121" s="230">
        <v>4233425</v>
      </c>
      <c r="AT121" s="230">
        <v>-3147975</v>
      </c>
      <c r="AU121" s="229">
        <v>-0.74360000000000004</v>
      </c>
      <c r="AV121" s="230">
        <v>1056550</v>
      </c>
      <c r="AW121" s="230">
        <v>1862775</v>
      </c>
      <c r="AX121" s="230">
        <v>-806225</v>
      </c>
      <c r="AY121" s="229">
        <v>-0.43280000000000002</v>
      </c>
      <c r="AZ121" s="230">
        <v>25925</v>
      </c>
      <c r="BA121" s="230">
        <v>2339625</v>
      </c>
      <c r="BB121" s="230">
        <v>-2313700</v>
      </c>
      <c r="BC121" s="229">
        <v>-0.9889</v>
      </c>
      <c r="BD121" s="230">
        <v>2975</v>
      </c>
      <c r="BE121" s="230">
        <v>31025</v>
      </c>
      <c r="BF121" s="230">
        <v>-28050</v>
      </c>
      <c r="BG121" s="229">
        <v>-0.90410000000000001</v>
      </c>
      <c r="BH121" s="230">
        <v>1411850</v>
      </c>
      <c r="BI121" s="230">
        <v>2963950</v>
      </c>
      <c r="BJ121" s="230">
        <v>-1552100</v>
      </c>
      <c r="BK121" s="229">
        <v>-0.52370000000000005</v>
      </c>
      <c r="BL121" s="230">
        <v>597975</v>
      </c>
      <c r="BM121" s="230">
        <v>767550</v>
      </c>
      <c r="BN121" s="230">
        <v>-169575</v>
      </c>
      <c r="BO121" s="229">
        <v>-0.22090000000000001</v>
      </c>
      <c r="BP121" s="230">
        <v>3095275</v>
      </c>
      <c r="BQ121" s="230">
        <v>7964925</v>
      </c>
      <c r="BR121" s="230">
        <v>-4869650</v>
      </c>
      <c r="BS121" s="229">
        <v>-0.61140000000000005</v>
      </c>
      <c r="BT121" s="230">
        <v>1112824</v>
      </c>
      <c r="BU121" s="230">
        <v>850832</v>
      </c>
      <c r="BV121" s="230">
        <v>261992</v>
      </c>
      <c r="BW121" s="229">
        <v>0.30790000000000001</v>
      </c>
      <c r="BX121" s="230">
        <v>6393700</v>
      </c>
      <c r="BY121" s="230">
        <v>6484225</v>
      </c>
      <c r="BZ121" s="230">
        <v>-90525</v>
      </c>
      <c r="CA121" s="229">
        <v>-1.4E-2</v>
      </c>
      <c r="CB121" s="230">
        <v>6335050</v>
      </c>
      <c r="CC121" s="230">
        <v>290700</v>
      </c>
      <c r="CD121" s="230">
        <v>6044350</v>
      </c>
      <c r="CE121" s="229">
        <v>20.792400000000001</v>
      </c>
      <c r="CF121" s="230">
        <v>56525</v>
      </c>
      <c r="CG121" s="230">
        <v>6433650</v>
      </c>
      <c r="CH121" s="230">
        <v>-6377125</v>
      </c>
      <c r="CI121" s="229">
        <v>-0.99119999999999997</v>
      </c>
      <c r="CJ121" s="230">
        <v>2125</v>
      </c>
      <c r="CK121" s="230">
        <v>50575</v>
      </c>
      <c r="CL121" s="230">
        <v>-48450</v>
      </c>
      <c r="CM121" s="229">
        <v>-0.95799999999999996</v>
      </c>
      <c r="CN121" s="230">
        <v>1108825</v>
      </c>
      <c r="CO121" s="230">
        <v>691475</v>
      </c>
      <c r="CP121" s="230">
        <v>417350</v>
      </c>
      <c r="CQ121" s="229">
        <v>0.60360000000000003</v>
      </c>
      <c r="CR121" s="230">
        <v>697000</v>
      </c>
      <c r="CS121" s="230">
        <v>462400</v>
      </c>
      <c r="CT121" s="230">
        <v>234600</v>
      </c>
      <c r="CU121" s="229">
        <v>0.50739999999999996</v>
      </c>
      <c r="CV121" s="230">
        <v>8199525</v>
      </c>
      <c r="CW121" s="230">
        <v>7638100</v>
      </c>
      <c r="CX121" s="230">
        <v>561425</v>
      </c>
      <c r="CY121" s="229">
        <v>7.3499999999999996E-2</v>
      </c>
      <c r="CZ121" s="228">
        <v>29.58</v>
      </c>
      <c r="DA121" s="228">
        <v>30.1</v>
      </c>
      <c r="DB121" s="228">
        <v>-0.52</v>
      </c>
      <c r="DC121" s="228">
        <v>-0.52</v>
      </c>
      <c r="DD121" s="228">
        <v>29.35</v>
      </c>
      <c r="DE121" s="228">
        <v>29.39</v>
      </c>
      <c r="DF121" s="228">
        <v>0.23</v>
      </c>
      <c r="DG121" s="228">
        <v>-0.04</v>
      </c>
      <c r="DH121" s="228">
        <v>29.11</v>
      </c>
      <c r="DI121" s="228">
        <v>29.81</v>
      </c>
      <c r="DJ121" s="228">
        <v>-0.7</v>
      </c>
      <c r="DK121" s="228">
        <v>-0.7</v>
      </c>
      <c r="DL121" s="228">
        <v>30.69</v>
      </c>
      <c r="DM121" s="228">
        <v>30.73</v>
      </c>
      <c r="DN121" s="228">
        <v>-0.04</v>
      </c>
      <c r="DO121" s="228">
        <v>-0.04</v>
      </c>
      <c r="DP121" s="228">
        <v>0.63</v>
      </c>
      <c r="DQ121" s="228">
        <v>0.67</v>
      </c>
      <c r="DR121" s="228">
        <v>-0.04</v>
      </c>
      <c r="DS121" s="229">
        <v>-5.9700000000000003E-2</v>
      </c>
      <c r="DT121" s="231">
        <v>2200</v>
      </c>
      <c r="DU121" s="231">
        <v>2100</v>
      </c>
      <c r="DV121" s="228">
        <v>0.42</v>
      </c>
      <c r="DW121" s="228">
        <v>0.26</v>
      </c>
      <c r="DX121" s="228">
        <v>0.16</v>
      </c>
      <c r="DY121" s="229">
        <v>0.61539999999999995</v>
      </c>
      <c r="DZ121" s="229">
        <v>9.1999999999999998E-3</v>
      </c>
      <c r="EA121" s="230">
        <v>6484225</v>
      </c>
      <c r="EB121" s="229">
        <v>6.7000000000000002E-3</v>
      </c>
      <c r="EC121" s="229">
        <v>9.1999999999999998E-3</v>
      </c>
      <c r="ED121" s="228">
        <v>14.97</v>
      </c>
      <c r="EE121" s="229">
        <v>7.0000000000000001E-3</v>
      </c>
      <c r="EF121" s="230">
        <v>765944</v>
      </c>
      <c r="EG121" s="230">
        <v>448639</v>
      </c>
      <c r="EH121" s="229">
        <v>0.70730000000000004</v>
      </c>
      <c r="EI121" s="229">
        <v>0.68830000000000002</v>
      </c>
      <c r="EJ121" s="231">
        <v>32200.74</v>
      </c>
      <c r="EK121" s="231">
        <v>12401.03</v>
      </c>
      <c r="EL121" s="231">
        <v>23171.040000000001</v>
      </c>
      <c r="EM121" s="231">
        <v>11464</v>
      </c>
      <c r="EN121" s="231">
        <v>67772.81</v>
      </c>
      <c r="EO121" s="231">
        <v>172585.18</v>
      </c>
      <c r="EP121" s="231">
        <v>-104812.37</v>
      </c>
      <c r="EQ121" s="229">
        <v>-0.60729999999999995</v>
      </c>
      <c r="ER121" s="231">
        <v>25049</v>
      </c>
      <c r="ES121" s="231">
        <v>14445</v>
      </c>
      <c r="ET121" s="231">
        <v>136546</v>
      </c>
      <c r="EU121" s="231">
        <v>36381777</v>
      </c>
      <c r="EV121" s="231">
        <v>176040</v>
      </c>
      <c r="EW121" s="231">
        <v>165293</v>
      </c>
      <c r="EX121" s="231">
        <v>10747</v>
      </c>
      <c r="EY121" s="229">
        <v>6.5000000000000002E-2</v>
      </c>
      <c r="EZ121" s="229">
        <v>0.22539999999999999</v>
      </c>
      <c r="FA121" s="227" t="s">
        <v>568</v>
      </c>
      <c r="FB121" s="161">
        <f t="shared" si="1"/>
        <v>58650</v>
      </c>
    </row>
    <row r="122" spans="1:158" ht="17.25" hidden="1" thickBot="1" x14ac:dyDescent="0.3">
      <c r="A122" s="226">
        <v>46050</v>
      </c>
      <c r="B122" s="227" t="s">
        <v>162</v>
      </c>
      <c r="C122" s="227" t="s">
        <v>251</v>
      </c>
      <c r="D122" s="228">
        <v>200</v>
      </c>
      <c r="E122" s="231">
        <v>3470.4</v>
      </c>
      <c r="F122" s="231">
        <v>3417.3</v>
      </c>
      <c r="G122" s="228">
        <v>53.1</v>
      </c>
      <c r="H122" s="229">
        <v>1.55E-2</v>
      </c>
      <c r="I122" s="231">
        <v>3449.2</v>
      </c>
      <c r="J122" s="231">
        <v>3393.5</v>
      </c>
      <c r="K122" s="228">
        <v>55.7</v>
      </c>
      <c r="L122" s="229">
        <v>1.6400000000000001E-2</v>
      </c>
      <c r="M122" s="231">
        <v>3470.4</v>
      </c>
      <c r="N122" s="231">
        <v>3396.3</v>
      </c>
      <c r="O122" s="228">
        <v>74.099999999999994</v>
      </c>
      <c r="P122" s="229">
        <v>2.18E-2</v>
      </c>
      <c r="Q122" s="231">
        <v>3493.4</v>
      </c>
      <c r="R122" s="231">
        <v>3417.3</v>
      </c>
      <c r="S122" s="228">
        <v>76.099999999999994</v>
      </c>
      <c r="T122" s="229">
        <v>2.23E-2</v>
      </c>
      <c r="U122" s="231">
        <v>3520</v>
      </c>
      <c r="V122" s="231">
        <v>3439.8</v>
      </c>
      <c r="W122" s="228">
        <v>80.2</v>
      </c>
      <c r="X122" s="229">
        <v>2.3300000000000001E-2</v>
      </c>
      <c r="Y122" s="228">
        <v>21.2</v>
      </c>
      <c r="Z122" s="228">
        <v>23.8</v>
      </c>
      <c r="AA122" s="228">
        <v>-2.6</v>
      </c>
      <c r="AB122" s="229">
        <v>6.1000000000000004E-3</v>
      </c>
      <c r="AC122" s="228">
        <v>21.2</v>
      </c>
      <c r="AD122" s="228">
        <v>2.8</v>
      </c>
      <c r="AE122" s="228">
        <v>18.399999999999999</v>
      </c>
      <c r="AF122" s="229">
        <v>6.1000000000000004E-3</v>
      </c>
      <c r="AG122" s="228">
        <v>44.2</v>
      </c>
      <c r="AH122" s="228">
        <v>23.8</v>
      </c>
      <c r="AI122" s="228">
        <v>20.399999999999999</v>
      </c>
      <c r="AJ122" s="229">
        <v>1.2800000000000001E-2</v>
      </c>
      <c r="AK122" s="228">
        <v>70.8</v>
      </c>
      <c r="AL122" s="228">
        <v>46.3</v>
      </c>
      <c r="AM122" s="228">
        <v>24.5</v>
      </c>
      <c r="AN122" s="229">
        <v>2.0500000000000001E-2</v>
      </c>
      <c r="AO122" s="231">
        <v>3443.73</v>
      </c>
      <c r="AP122" s="231">
        <v>3467.14</v>
      </c>
      <c r="AQ122" s="228">
        <v>0</v>
      </c>
      <c r="AR122" s="230">
        <v>3447600</v>
      </c>
      <c r="AS122" s="230">
        <v>10773200</v>
      </c>
      <c r="AT122" s="230">
        <v>-7325600</v>
      </c>
      <c r="AU122" s="229">
        <v>-0.68</v>
      </c>
      <c r="AV122" s="230">
        <v>3349000</v>
      </c>
      <c r="AW122" s="230">
        <v>2957200</v>
      </c>
      <c r="AX122" s="230">
        <v>391800</v>
      </c>
      <c r="AY122" s="229">
        <v>0.13250000000000001</v>
      </c>
      <c r="AZ122" s="230">
        <v>82800</v>
      </c>
      <c r="BA122" s="230">
        <v>7655000</v>
      </c>
      <c r="BB122" s="230">
        <v>-7572200</v>
      </c>
      <c r="BC122" s="229">
        <v>-0.98919999999999997</v>
      </c>
      <c r="BD122" s="230">
        <v>15800</v>
      </c>
      <c r="BE122" s="230">
        <v>161000</v>
      </c>
      <c r="BF122" s="230">
        <v>-145200</v>
      </c>
      <c r="BG122" s="229">
        <v>-0.90190000000000003</v>
      </c>
      <c r="BH122" s="230">
        <v>5511200</v>
      </c>
      <c r="BI122" s="230">
        <v>11173200</v>
      </c>
      <c r="BJ122" s="230">
        <v>-5662000</v>
      </c>
      <c r="BK122" s="229">
        <v>-0.50670000000000004</v>
      </c>
      <c r="BL122" s="230">
        <v>4629400</v>
      </c>
      <c r="BM122" s="230">
        <v>12532600</v>
      </c>
      <c r="BN122" s="230">
        <v>-7903200</v>
      </c>
      <c r="BO122" s="229">
        <v>-0.63060000000000005</v>
      </c>
      <c r="BP122" s="230">
        <v>13588200</v>
      </c>
      <c r="BQ122" s="230">
        <v>34479000</v>
      </c>
      <c r="BR122" s="230">
        <v>-20890800</v>
      </c>
      <c r="BS122" s="229">
        <v>-0.60589999999999999</v>
      </c>
      <c r="BT122" s="230">
        <v>4059436</v>
      </c>
      <c r="BU122" s="230">
        <v>8261826</v>
      </c>
      <c r="BV122" s="230">
        <v>-4202390</v>
      </c>
      <c r="BW122" s="229">
        <v>-0.50870000000000004</v>
      </c>
      <c r="BX122" s="230">
        <v>18589600</v>
      </c>
      <c r="BY122" s="230">
        <v>18171200</v>
      </c>
      <c r="BZ122" s="230">
        <v>418400</v>
      </c>
      <c r="CA122" s="229">
        <v>2.3E-2</v>
      </c>
      <c r="CB122" s="230">
        <v>16954200</v>
      </c>
      <c r="CC122" s="230">
        <v>586200</v>
      </c>
      <c r="CD122" s="230">
        <v>16368000</v>
      </c>
      <c r="CE122" s="229">
        <v>27.9222</v>
      </c>
      <c r="CF122" s="230">
        <v>1625000</v>
      </c>
      <c r="CG122" s="230">
        <v>16564600</v>
      </c>
      <c r="CH122" s="230">
        <v>-14939600</v>
      </c>
      <c r="CI122" s="229">
        <v>-0.90190000000000003</v>
      </c>
      <c r="CJ122" s="230">
        <v>10400</v>
      </c>
      <c r="CK122" s="230">
        <v>1606600</v>
      </c>
      <c r="CL122" s="230">
        <v>-1596200</v>
      </c>
      <c r="CM122" s="229">
        <v>-0.99350000000000005</v>
      </c>
      <c r="CN122" s="230">
        <v>2055400</v>
      </c>
      <c r="CO122" s="230">
        <v>1708400</v>
      </c>
      <c r="CP122" s="230">
        <v>347000</v>
      </c>
      <c r="CQ122" s="229">
        <v>0.2031</v>
      </c>
      <c r="CR122" s="230">
        <v>2341600</v>
      </c>
      <c r="CS122" s="230">
        <v>1919800</v>
      </c>
      <c r="CT122" s="230">
        <v>421800</v>
      </c>
      <c r="CU122" s="229">
        <v>0.21970000000000001</v>
      </c>
      <c r="CV122" s="230">
        <v>22986600</v>
      </c>
      <c r="CW122" s="230">
        <v>21799400</v>
      </c>
      <c r="CX122" s="230">
        <v>1187200</v>
      </c>
      <c r="CY122" s="229">
        <v>5.45E-2</v>
      </c>
      <c r="CZ122" s="228">
        <v>31.28</v>
      </c>
      <c r="DA122" s="228">
        <v>32.96</v>
      </c>
      <c r="DB122" s="228">
        <v>-1.68</v>
      </c>
      <c r="DC122" s="228">
        <v>-1.68</v>
      </c>
      <c r="DD122" s="228">
        <v>31.34</v>
      </c>
      <c r="DE122" s="228">
        <v>31.34</v>
      </c>
      <c r="DF122" s="228">
        <v>-0.06</v>
      </c>
      <c r="DG122" s="228">
        <v>0</v>
      </c>
      <c r="DH122" s="228">
        <v>30.03</v>
      </c>
      <c r="DI122" s="228">
        <v>31.66</v>
      </c>
      <c r="DJ122" s="228">
        <v>-1.63</v>
      </c>
      <c r="DK122" s="228">
        <v>-1.63</v>
      </c>
      <c r="DL122" s="228">
        <v>32.78</v>
      </c>
      <c r="DM122" s="228">
        <v>34.18</v>
      </c>
      <c r="DN122" s="228">
        <v>-1.4</v>
      </c>
      <c r="DO122" s="228">
        <v>-1.4</v>
      </c>
      <c r="DP122" s="228">
        <v>1.1399999999999999</v>
      </c>
      <c r="DQ122" s="228">
        <v>1.1200000000000001</v>
      </c>
      <c r="DR122" s="228">
        <v>0.02</v>
      </c>
      <c r="DS122" s="229">
        <v>1.7899999999999999E-2</v>
      </c>
      <c r="DT122" s="231">
        <v>3600</v>
      </c>
      <c r="DU122" s="231">
        <v>3400</v>
      </c>
      <c r="DV122" s="228">
        <v>0.84</v>
      </c>
      <c r="DW122" s="228">
        <v>1.1200000000000001</v>
      </c>
      <c r="DX122" s="228">
        <v>-0.28000000000000003</v>
      </c>
      <c r="DY122" s="229">
        <v>-0.25</v>
      </c>
      <c r="DZ122" s="229">
        <v>8.7999999999999995E-2</v>
      </c>
      <c r="EA122" s="230">
        <v>18171200</v>
      </c>
      <c r="EB122" s="229">
        <v>6.6E-3</v>
      </c>
      <c r="EC122" s="229">
        <v>8.7999999999999995E-2</v>
      </c>
      <c r="ED122" s="228">
        <v>23.41</v>
      </c>
      <c r="EE122" s="229">
        <v>6.7999999999999996E-3</v>
      </c>
      <c r="EF122" s="230">
        <v>2629462</v>
      </c>
      <c r="EG122" s="230">
        <v>5230550</v>
      </c>
      <c r="EH122" s="229">
        <v>-0.49730000000000002</v>
      </c>
      <c r="EI122" s="229">
        <v>0.64770000000000005</v>
      </c>
      <c r="EJ122" s="231">
        <v>202225.54</v>
      </c>
      <c r="EK122" s="231">
        <v>155951.69</v>
      </c>
      <c r="EL122" s="231">
        <v>118752.33</v>
      </c>
      <c r="EM122" s="231">
        <v>57260</v>
      </c>
      <c r="EN122" s="231">
        <v>476929.56</v>
      </c>
      <c r="EO122" s="231">
        <v>1201576.74</v>
      </c>
      <c r="EP122" s="231">
        <v>-724647.18</v>
      </c>
      <c r="EQ122" s="229">
        <v>-0.60309999999999997</v>
      </c>
      <c r="ER122" s="231">
        <v>75235</v>
      </c>
      <c r="ES122" s="231">
        <v>79169</v>
      </c>
      <c r="ET122" s="231">
        <v>645512</v>
      </c>
      <c r="EU122" s="231">
        <v>95452027</v>
      </c>
      <c r="EV122" s="231">
        <v>799916</v>
      </c>
      <c r="EW122" s="231">
        <v>749079</v>
      </c>
      <c r="EX122" s="231">
        <v>50837</v>
      </c>
      <c r="EY122" s="229">
        <v>6.7900000000000002E-2</v>
      </c>
      <c r="EZ122" s="229">
        <v>0.24079999999999999</v>
      </c>
      <c r="FA122" s="227" t="s">
        <v>555</v>
      </c>
      <c r="FB122" s="161">
        <f t="shared" si="1"/>
        <v>1635400</v>
      </c>
    </row>
    <row r="123" spans="1:158" ht="17.25" hidden="1" thickBot="1" x14ac:dyDescent="0.3">
      <c r="A123" s="226">
        <v>46050</v>
      </c>
      <c r="B123" s="227" t="s">
        <v>175</v>
      </c>
      <c r="C123" s="227" t="s">
        <v>253</v>
      </c>
      <c r="D123" s="228">
        <v>3000</v>
      </c>
      <c r="E123" s="228">
        <v>292.45</v>
      </c>
      <c r="F123" s="228">
        <v>296.95</v>
      </c>
      <c r="G123" s="228">
        <v>-4.5</v>
      </c>
      <c r="H123" s="229">
        <v>-1.52E-2</v>
      </c>
      <c r="I123" s="228">
        <v>291.7</v>
      </c>
      <c r="J123" s="228">
        <v>295.10000000000002</v>
      </c>
      <c r="K123" s="228">
        <v>-3.4</v>
      </c>
      <c r="L123" s="229">
        <v>-1.15E-2</v>
      </c>
      <c r="M123" s="228">
        <v>292.45</v>
      </c>
      <c r="N123" s="228">
        <v>295.2</v>
      </c>
      <c r="O123" s="228">
        <v>-2.75</v>
      </c>
      <c r="P123" s="229">
        <v>-9.2999999999999992E-3</v>
      </c>
      <c r="Q123" s="228">
        <v>294.39999999999998</v>
      </c>
      <c r="R123" s="228">
        <v>296.95</v>
      </c>
      <c r="S123" s="228">
        <v>-2.5499999999999998</v>
      </c>
      <c r="T123" s="229">
        <v>-8.6E-3</v>
      </c>
      <c r="U123" s="228">
        <v>0</v>
      </c>
      <c r="V123" s="228">
        <v>298.85000000000002</v>
      </c>
      <c r="W123" s="228">
        <v>0</v>
      </c>
      <c r="X123" s="229">
        <v>0</v>
      </c>
      <c r="Y123" s="228">
        <v>0.75</v>
      </c>
      <c r="Z123" s="228">
        <v>1.85</v>
      </c>
      <c r="AA123" s="228">
        <v>-1.1000000000000001</v>
      </c>
      <c r="AB123" s="229">
        <v>2.5999999999999999E-3</v>
      </c>
      <c r="AC123" s="228">
        <v>0.75</v>
      </c>
      <c r="AD123" s="228">
        <v>0.1</v>
      </c>
      <c r="AE123" s="228">
        <v>0.65</v>
      </c>
      <c r="AF123" s="229">
        <v>2.5999999999999999E-3</v>
      </c>
      <c r="AG123" s="228">
        <v>2.7</v>
      </c>
      <c r="AH123" s="228">
        <v>1.85</v>
      </c>
      <c r="AI123" s="228">
        <v>0.85</v>
      </c>
      <c r="AJ123" s="229">
        <v>9.2999999999999992E-3</v>
      </c>
      <c r="AK123" s="228">
        <v>0</v>
      </c>
      <c r="AL123" s="228">
        <v>3.75</v>
      </c>
      <c r="AM123" s="228">
        <v>0</v>
      </c>
      <c r="AN123" s="229">
        <v>0</v>
      </c>
      <c r="AO123" s="228">
        <v>292.98</v>
      </c>
      <c r="AP123" s="228">
        <v>295.22000000000003</v>
      </c>
      <c r="AQ123" s="228">
        <v>0</v>
      </c>
      <c r="AR123" s="230">
        <v>13380000</v>
      </c>
      <c r="AS123" s="230">
        <v>34212000</v>
      </c>
      <c r="AT123" s="230">
        <v>-20832000</v>
      </c>
      <c r="AU123" s="229">
        <v>-0.6089</v>
      </c>
      <c r="AV123" s="230">
        <v>13056000</v>
      </c>
      <c r="AW123" s="230">
        <v>14403000</v>
      </c>
      <c r="AX123" s="230">
        <v>-1347000</v>
      </c>
      <c r="AY123" s="229">
        <v>-9.35E-2</v>
      </c>
      <c r="AZ123" s="230">
        <v>324000</v>
      </c>
      <c r="BA123" s="230">
        <v>19554000</v>
      </c>
      <c r="BB123" s="230">
        <v>-19230000</v>
      </c>
      <c r="BC123" s="229">
        <v>-0.98340000000000005</v>
      </c>
      <c r="BD123" s="228">
        <v>0</v>
      </c>
      <c r="BE123" s="230">
        <v>255000</v>
      </c>
      <c r="BF123" s="228">
        <v>0</v>
      </c>
      <c r="BG123" s="229">
        <v>0</v>
      </c>
      <c r="BH123" s="230">
        <v>19287000</v>
      </c>
      <c r="BI123" s="230">
        <v>20229000</v>
      </c>
      <c r="BJ123" s="230">
        <v>-942000</v>
      </c>
      <c r="BK123" s="229">
        <v>-4.6600000000000003E-2</v>
      </c>
      <c r="BL123" s="230">
        <v>12816000</v>
      </c>
      <c r="BM123" s="230">
        <v>18126000</v>
      </c>
      <c r="BN123" s="230">
        <v>-5310000</v>
      </c>
      <c r="BO123" s="229">
        <v>-0.29289999999999999</v>
      </c>
      <c r="BP123" s="230">
        <v>45483000</v>
      </c>
      <c r="BQ123" s="230">
        <v>72567000</v>
      </c>
      <c r="BR123" s="230">
        <v>-27084000</v>
      </c>
      <c r="BS123" s="229">
        <v>-0.37319999999999998</v>
      </c>
      <c r="BT123" s="230">
        <v>6274309</v>
      </c>
      <c r="BU123" s="230">
        <v>3111793</v>
      </c>
      <c r="BV123" s="230">
        <v>3162516</v>
      </c>
      <c r="BW123" s="229">
        <v>1.0163</v>
      </c>
      <c r="BX123" s="230">
        <v>41727000</v>
      </c>
      <c r="BY123" s="230">
        <v>42087000</v>
      </c>
      <c r="BZ123" s="230">
        <v>-360000</v>
      </c>
      <c r="CA123" s="229">
        <v>-8.6E-3</v>
      </c>
      <c r="CB123" s="230">
        <v>41394000</v>
      </c>
      <c r="CC123" s="230">
        <v>2631000</v>
      </c>
      <c r="CD123" s="230">
        <v>38763000</v>
      </c>
      <c r="CE123" s="229">
        <v>14.7332</v>
      </c>
      <c r="CF123" s="230">
        <v>333000</v>
      </c>
      <c r="CG123" s="230">
        <v>41802000</v>
      </c>
      <c r="CH123" s="230">
        <v>-41469000</v>
      </c>
      <c r="CI123" s="229">
        <v>-0.99199999999999999</v>
      </c>
      <c r="CJ123" s="228">
        <v>0</v>
      </c>
      <c r="CK123" s="230">
        <v>285000</v>
      </c>
      <c r="CL123" s="230">
        <v>-285000</v>
      </c>
      <c r="CM123" s="229">
        <v>-1</v>
      </c>
      <c r="CN123" s="230">
        <v>11487000</v>
      </c>
      <c r="CO123" s="230">
        <v>8301000</v>
      </c>
      <c r="CP123" s="230">
        <v>3186000</v>
      </c>
      <c r="CQ123" s="229">
        <v>0.38379999999999997</v>
      </c>
      <c r="CR123" s="230">
        <v>9741000</v>
      </c>
      <c r="CS123" s="230">
        <v>6900000</v>
      </c>
      <c r="CT123" s="230">
        <v>2841000</v>
      </c>
      <c r="CU123" s="229">
        <v>0.41170000000000001</v>
      </c>
      <c r="CV123" s="230">
        <v>62955000</v>
      </c>
      <c r="CW123" s="230">
        <v>57288000</v>
      </c>
      <c r="CX123" s="230">
        <v>5667000</v>
      </c>
      <c r="CY123" s="229">
        <v>9.8900000000000002E-2</v>
      </c>
      <c r="CZ123" s="228">
        <v>44.03</v>
      </c>
      <c r="DA123" s="228">
        <v>42.64</v>
      </c>
      <c r="DB123" s="228">
        <v>1.39</v>
      </c>
      <c r="DC123" s="228">
        <v>1.39</v>
      </c>
      <c r="DD123" s="228">
        <v>42.17</v>
      </c>
      <c r="DE123" s="228">
        <v>42.24</v>
      </c>
      <c r="DF123" s="228">
        <v>1.86</v>
      </c>
      <c r="DG123" s="228">
        <v>-7.0000000000000007E-2</v>
      </c>
      <c r="DH123" s="228">
        <v>42.66</v>
      </c>
      <c r="DI123" s="228">
        <v>41.87</v>
      </c>
      <c r="DJ123" s="228">
        <v>0.79</v>
      </c>
      <c r="DK123" s="228">
        <v>0.79</v>
      </c>
      <c r="DL123" s="228">
        <v>46.1</v>
      </c>
      <c r="DM123" s="228">
        <v>43.6</v>
      </c>
      <c r="DN123" s="228">
        <v>2.5</v>
      </c>
      <c r="DO123" s="228">
        <v>2.5</v>
      </c>
      <c r="DP123" s="228">
        <v>0.85</v>
      </c>
      <c r="DQ123" s="228">
        <v>0.83</v>
      </c>
      <c r="DR123" s="228">
        <v>0.02</v>
      </c>
      <c r="DS123" s="229">
        <v>2.41E-2</v>
      </c>
      <c r="DT123" s="228">
        <v>300</v>
      </c>
      <c r="DU123" s="228">
        <v>260</v>
      </c>
      <c r="DV123" s="228">
        <v>0.66</v>
      </c>
      <c r="DW123" s="228">
        <v>0.9</v>
      </c>
      <c r="DX123" s="228">
        <v>-0.24</v>
      </c>
      <c r="DY123" s="229">
        <v>-0.26669999999999999</v>
      </c>
      <c r="DZ123" s="229">
        <v>8.0000000000000002E-3</v>
      </c>
      <c r="EA123" s="230">
        <v>42087000</v>
      </c>
      <c r="EB123" s="229">
        <v>6.7000000000000002E-3</v>
      </c>
      <c r="EC123" s="229">
        <v>8.0000000000000002E-3</v>
      </c>
      <c r="ED123" s="228">
        <v>2.2400000000000002</v>
      </c>
      <c r="EE123" s="229">
        <v>7.6E-3</v>
      </c>
      <c r="EF123" s="230">
        <v>2971987</v>
      </c>
      <c r="EG123" s="230">
        <v>1121744</v>
      </c>
      <c r="EH123" s="229">
        <v>1.6494</v>
      </c>
      <c r="EI123" s="229">
        <v>0.47370000000000001</v>
      </c>
      <c r="EJ123" s="231">
        <v>61994.400000000001</v>
      </c>
      <c r="EK123" s="231">
        <v>36827.69</v>
      </c>
      <c r="EL123" s="231">
        <v>39207.730000000003</v>
      </c>
      <c r="EM123" s="231">
        <v>12608</v>
      </c>
      <c r="EN123" s="231">
        <v>138029.82</v>
      </c>
      <c r="EO123" s="231">
        <v>217183.8</v>
      </c>
      <c r="EP123" s="231">
        <v>-79153.98</v>
      </c>
      <c r="EQ123" s="229">
        <v>-0.36449999999999999</v>
      </c>
      <c r="ER123" s="231">
        <v>36552</v>
      </c>
      <c r="ES123" s="231">
        <v>27194</v>
      </c>
      <c r="ET123" s="231">
        <v>122037</v>
      </c>
      <c r="EU123" s="231">
        <v>82205057</v>
      </c>
      <c r="EV123" s="231">
        <v>185783</v>
      </c>
      <c r="EW123" s="231">
        <v>170939</v>
      </c>
      <c r="EX123" s="231">
        <v>14844</v>
      </c>
      <c r="EY123" s="229">
        <v>8.6800000000000002E-2</v>
      </c>
      <c r="EZ123" s="229">
        <v>0.76580000000000004</v>
      </c>
      <c r="FA123" s="227" t="s">
        <v>568</v>
      </c>
      <c r="FB123" s="161">
        <f t="shared" si="1"/>
        <v>333000</v>
      </c>
    </row>
    <row r="124" spans="1:158" ht="17.25" hidden="1" thickBot="1" x14ac:dyDescent="0.3">
      <c r="A124" s="226">
        <v>46050</v>
      </c>
      <c r="B124" s="227" t="s">
        <v>170</v>
      </c>
      <c r="C124" s="227" t="s">
        <v>671</v>
      </c>
      <c r="D124" s="228">
        <v>225</v>
      </c>
      <c r="E124" s="231">
        <v>2122.5</v>
      </c>
      <c r="F124" s="231">
        <v>2106.6999999999998</v>
      </c>
      <c r="G124" s="228">
        <v>15.8</v>
      </c>
      <c r="H124" s="229">
        <v>7.4999999999999997E-3</v>
      </c>
      <c r="I124" s="231">
        <v>2116.9</v>
      </c>
      <c r="J124" s="231">
        <v>2094.1999999999998</v>
      </c>
      <c r="K124" s="228">
        <v>22.7</v>
      </c>
      <c r="L124" s="229">
        <v>1.0800000000000001E-2</v>
      </c>
      <c r="M124" s="231">
        <v>2122.5</v>
      </c>
      <c r="N124" s="231">
        <v>2092.9</v>
      </c>
      <c r="O124" s="228">
        <v>29.6</v>
      </c>
      <c r="P124" s="229">
        <v>1.41E-2</v>
      </c>
      <c r="Q124" s="231">
        <v>2132.6</v>
      </c>
      <c r="R124" s="231">
        <v>2106.6999999999998</v>
      </c>
      <c r="S124" s="228">
        <v>25.9</v>
      </c>
      <c r="T124" s="229">
        <v>1.23E-2</v>
      </c>
      <c r="U124" s="231">
        <v>2110</v>
      </c>
      <c r="V124" s="231">
        <v>2124.3000000000002</v>
      </c>
      <c r="W124" s="228">
        <v>-14.3</v>
      </c>
      <c r="X124" s="229">
        <v>-6.7000000000000002E-3</v>
      </c>
      <c r="Y124" s="228">
        <v>5.6</v>
      </c>
      <c r="Z124" s="228">
        <v>12.5</v>
      </c>
      <c r="AA124" s="228">
        <v>-6.9</v>
      </c>
      <c r="AB124" s="229">
        <v>2.5999999999999999E-3</v>
      </c>
      <c r="AC124" s="228">
        <v>5.6</v>
      </c>
      <c r="AD124" s="228">
        <v>-1.3</v>
      </c>
      <c r="AE124" s="228">
        <v>6.9</v>
      </c>
      <c r="AF124" s="229">
        <v>2.5999999999999999E-3</v>
      </c>
      <c r="AG124" s="228">
        <v>15.7</v>
      </c>
      <c r="AH124" s="228">
        <v>12.5</v>
      </c>
      <c r="AI124" s="228">
        <v>3.2</v>
      </c>
      <c r="AJ124" s="229">
        <v>7.4000000000000003E-3</v>
      </c>
      <c r="AK124" s="228">
        <v>-6.9</v>
      </c>
      <c r="AL124" s="228">
        <v>30.1</v>
      </c>
      <c r="AM124" s="228">
        <v>-37</v>
      </c>
      <c r="AN124" s="229">
        <v>-3.3E-3</v>
      </c>
      <c r="AO124" s="231">
        <v>2105.96</v>
      </c>
      <c r="AP124" s="231">
        <v>2117.4</v>
      </c>
      <c r="AQ124" s="228">
        <v>0</v>
      </c>
      <c r="AR124" s="230">
        <v>561375</v>
      </c>
      <c r="AS124" s="230">
        <v>1234350</v>
      </c>
      <c r="AT124" s="230">
        <v>-672975</v>
      </c>
      <c r="AU124" s="229">
        <v>-0.54520000000000002</v>
      </c>
      <c r="AV124" s="230">
        <v>542475</v>
      </c>
      <c r="AW124" s="230">
        <v>596925</v>
      </c>
      <c r="AX124" s="230">
        <v>-54450</v>
      </c>
      <c r="AY124" s="229">
        <v>-9.1200000000000003E-2</v>
      </c>
      <c r="AZ124" s="230">
        <v>18450</v>
      </c>
      <c r="BA124" s="230">
        <v>630450</v>
      </c>
      <c r="BB124" s="230">
        <v>-612000</v>
      </c>
      <c r="BC124" s="229">
        <v>-0.97070000000000001</v>
      </c>
      <c r="BD124" s="228">
        <v>450</v>
      </c>
      <c r="BE124" s="230">
        <v>6975</v>
      </c>
      <c r="BF124" s="230">
        <v>-6525</v>
      </c>
      <c r="BG124" s="229">
        <v>-0.9355</v>
      </c>
      <c r="BH124" s="230">
        <v>447750</v>
      </c>
      <c r="BI124" s="230">
        <v>853875</v>
      </c>
      <c r="BJ124" s="230">
        <v>-406125</v>
      </c>
      <c r="BK124" s="229">
        <v>-0.47560000000000002</v>
      </c>
      <c r="BL124" s="230">
        <v>282375</v>
      </c>
      <c r="BM124" s="230">
        <v>438750</v>
      </c>
      <c r="BN124" s="230">
        <v>-156375</v>
      </c>
      <c r="BO124" s="229">
        <v>-0.35639999999999999</v>
      </c>
      <c r="BP124" s="230">
        <v>1291500</v>
      </c>
      <c r="BQ124" s="230">
        <v>2526975</v>
      </c>
      <c r="BR124" s="230">
        <v>-1235475</v>
      </c>
      <c r="BS124" s="229">
        <v>-0.4889</v>
      </c>
      <c r="BT124" s="230">
        <v>335177</v>
      </c>
      <c r="BU124" s="230">
        <v>456131</v>
      </c>
      <c r="BV124" s="230">
        <v>-120954</v>
      </c>
      <c r="BW124" s="229">
        <v>-0.26519999999999999</v>
      </c>
      <c r="BX124" s="230">
        <v>2049300</v>
      </c>
      <c r="BY124" s="230">
        <v>1993500</v>
      </c>
      <c r="BZ124" s="230">
        <v>55800</v>
      </c>
      <c r="CA124" s="229">
        <v>2.8000000000000001E-2</v>
      </c>
      <c r="CB124" s="230">
        <v>2020500</v>
      </c>
      <c r="CC124" s="230">
        <v>97200</v>
      </c>
      <c r="CD124" s="230">
        <v>1923300</v>
      </c>
      <c r="CE124" s="229">
        <v>19.786999999999999</v>
      </c>
      <c r="CF124" s="230">
        <v>28575</v>
      </c>
      <c r="CG124" s="230">
        <v>1965375</v>
      </c>
      <c r="CH124" s="230">
        <v>-1936800</v>
      </c>
      <c r="CI124" s="229">
        <v>-0.98550000000000004</v>
      </c>
      <c r="CJ124" s="228">
        <v>225</v>
      </c>
      <c r="CK124" s="230">
        <v>28125</v>
      </c>
      <c r="CL124" s="230">
        <v>-27900</v>
      </c>
      <c r="CM124" s="229">
        <v>-0.99199999999999999</v>
      </c>
      <c r="CN124" s="230">
        <v>225675</v>
      </c>
      <c r="CO124" s="230">
        <v>101475</v>
      </c>
      <c r="CP124" s="230">
        <v>124200</v>
      </c>
      <c r="CQ124" s="229">
        <v>1.2239</v>
      </c>
      <c r="CR124" s="230">
        <v>256500</v>
      </c>
      <c r="CS124" s="230">
        <v>165600</v>
      </c>
      <c r="CT124" s="230">
        <v>90900</v>
      </c>
      <c r="CU124" s="229">
        <v>0.54890000000000005</v>
      </c>
      <c r="CV124" s="230">
        <v>2531475</v>
      </c>
      <c r="CW124" s="230">
        <v>2260575</v>
      </c>
      <c r="CX124" s="230">
        <v>270900</v>
      </c>
      <c r="CY124" s="229">
        <v>0.1198</v>
      </c>
      <c r="CZ124" s="228">
        <v>32.78</v>
      </c>
      <c r="DA124" s="228">
        <v>33.520000000000003</v>
      </c>
      <c r="DB124" s="228">
        <v>-0.74</v>
      </c>
      <c r="DC124" s="228">
        <v>-0.74</v>
      </c>
      <c r="DD124" s="228">
        <v>32.36</v>
      </c>
      <c r="DE124" s="228">
        <v>32.43</v>
      </c>
      <c r="DF124" s="228">
        <v>0.42</v>
      </c>
      <c r="DG124" s="228">
        <v>-7.0000000000000007E-2</v>
      </c>
      <c r="DH124" s="228">
        <v>32.44</v>
      </c>
      <c r="DI124" s="228">
        <v>33.64</v>
      </c>
      <c r="DJ124" s="228">
        <v>-1.2</v>
      </c>
      <c r="DK124" s="228">
        <v>-1.2</v>
      </c>
      <c r="DL124" s="228">
        <v>33.31</v>
      </c>
      <c r="DM124" s="228">
        <v>33.43</v>
      </c>
      <c r="DN124" s="228">
        <v>-0.12</v>
      </c>
      <c r="DO124" s="228">
        <v>-0.12</v>
      </c>
      <c r="DP124" s="228">
        <v>1.1399999999999999</v>
      </c>
      <c r="DQ124" s="228">
        <v>1.63</v>
      </c>
      <c r="DR124" s="228">
        <v>-0.49</v>
      </c>
      <c r="DS124" s="229">
        <v>-0.30059999999999998</v>
      </c>
      <c r="DT124" s="231">
        <v>2200</v>
      </c>
      <c r="DU124" s="231">
        <v>2100</v>
      </c>
      <c r="DV124" s="228">
        <v>0.63</v>
      </c>
      <c r="DW124" s="228">
        <v>0.51</v>
      </c>
      <c r="DX124" s="228">
        <v>0.12</v>
      </c>
      <c r="DY124" s="229">
        <v>0.23530000000000001</v>
      </c>
      <c r="DZ124" s="229">
        <v>1.41E-2</v>
      </c>
      <c r="EA124" s="230">
        <v>1993500</v>
      </c>
      <c r="EB124" s="229">
        <v>4.7999999999999996E-3</v>
      </c>
      <c r="EC124" s="229">
        <v>1.41E-2</v>
      </c>
      <c r="ED124" s="228">
        <v>11.44</v>
      </c>
      <c r="EE124" s="229">
        <v>5.4000000000000003E-3</v>
      </c>
      <c r="EF124" s="230">
        <v>162309</v>
      </c>
      <c r="EG124" s="230">
        <v>255317</v>
      </c>
      <c r="EH124" s="229">
        <v>-0.36430000000000001</v>
      </c>
      <c r="EI124" s="229">
        <v>0.48420000000000002</v>
      </c>
      <c r="EJ124" s="231">
        <v>9951.7000000000007</v>
      </c>
      <c r="EK124" s="231">
        <v>6026.37</v>
      </c>
      <c r="EL124" s="231">
        <v>11824.44</v>
      </c>
      <c r="EM124" s="231">
        <v>7698</v>
      </c>
      <c r="EN124" s="231">
        <v>27802.51</v>
      </c>
      <c r="EO124" s="231">
        <v>54355.5</v>
      </c>
      <c r="EP124" s="231">
        <v>-26552.99</v>
      </c>
      <c r="EQ124" s="229">
        <v>-0.48849999999999999</v>
      </c>
      <c r="ER124" s="231">
        <v>4994</v>
      </c>
      <c r="ES124" s="231">
        <v>5398</v>
      </c>
      <c r="ET124" s="231">
        <v>43499</v>
      </c>
      <c r="EU124" s="231">
        <v>16919681</v>
      </c>
      <c r="EV124" s="231">
        <v>53891</v>
      </c>
      <c r="EW124" s="231">
        <v>47758</v>
      </c>
      <c r="EX124" s="231">
        <v>6133</v>
      </c>
      <c r="EY124" s="229">
        <v>0.12839999999999999</v>
      </c>
      <c r="EZ124" s="229">
        <v>0.14960000000000001</v>
      </c>
      <c r="FA124" s="227" t="s">
        <v>555</v>
      </c>
      <c r="FB124" s="161">
        <f t="shared" si="1"/>
        <v>28800</v>
      </c>
    </row>
    <row r="125" spans="1:158" ht="17.25" hidden="1" thickBot="1" x14ac:dyDescent="0.3">
      <c r="A125" s="226">
        <v>46050</v>
      </c>
      <c r="B125" s="227" t="s">
        <v>168</v>
      </c>
      <c r="C125" s="227" t="s">
        <v>254</v>
      </c>
      <c r="D125" s="228">
        <v>1200</v>
      </c>
      <c r="E125" s="228">
        <v>741.65</v>
      </c>
      <c r="F125" s="228">
        <v>750.85</v>
      </c>
      <c r="G125" s="228">
        <v>-9.1999999999999993</v>
      </c>
      <c r="H125" s="229">
        <v>-1.23E-2</v>
      </c>
      <c r="I125" s="228">
        <v>736.65</v>
      </c>
      <c r="J125" s="228">
        <v>745.8</v>
      </c>
      <c r="K125" s="228">
        <v>-9.15</v>
      </c>
      <c r="L125" s="229">
        <v>-1.23E-2</v>
      </c>
      <c r="M125" s="228">
        <v>741.65</v>
      </c>
      <c r="N125" s="228">
        <v>746.75</v>
      </c>
      <c r="O125" s="228">
        <v>-5.0999999999999996</v>
      </c>
      <c r="P125" s="229">
        <v>-6.7999999999999996E-3</v>
      </c>
      <c r="Q125" s="228">
        <v>743.3</v>
      </c>
      <c r="R125" s="228">
        <v>750.85</v>
      </c>
      <c r="S125" s="228">
        <v>-7.55</v>
      </c>
      <c r="T125" s="229">
        <v>-1.01E-2</v>
      </c>
      <c r="U125" s="228">
        <v>738</v>
      </c>
      <c r="V125" s="228">
        <v>753.05</v>
      </c>
      <c r="W125" s="228">
        <v>-15.05</v>
      </c>
      <c r="X125" s="229">
        <v>-0.02</v>
      </c>
      <c r="Y125" s="228">
        <v>5</v>
      </c>
      <c r="Z125" s="228">
        <v>5.05</v>
      </c>
      <c r="AA125" s="228">
        <v>-0.05</v>
      </c>
      <c r="AB125" s="229">
        <v>6.7999999999999996E-3</v>
      </c>
      <c r="AC125" s="228">
        <v>5</v>
      </c>
      <c r="AD125" s="228">
        <v>0.95</v>
      </c>
      <c r="AE125" s="228">
        <v>4.05</v>
      </c>
      <c r="AF125" s="229">
        <v>6.7999999999999996E-3</v>
      </c>
      <c r="AG125" s="228">
        <v>6.65</v>
      </c>
      <c r="AH125" s="228">
        <v>5.05</v>
      </c>
      <c r="AI125" s="228">
        <v>1.6</v>
      </c>
      <c r="AJ125" s="229">
        <v>8.9999999999999993E-3</v>
      </c>
      <c r="AK125" s="228">
        <v>1.35</v>
      </c>
      <c r="AL125" s="228">
        <v>7.25</v>
      </c>
      <c r="AM125" s="228">
        <v>-5.9</v>
      </c>
      <c r="AN125" s="229">
        <v>1.8E-3</v>
      </c>
      <c r="AO125" s="228">
        <v>739.4</v>
      </c>
      <c r="AP125" s="228">
        <v>739</v>
      </c>
      <c r="AQ125" s="228">
        <v>0</v>
      </c>
      <c r="AR125" s="230">
        <v>6488400</v>
      </c>
      <c r="AS125" s="230">
        <v>13401600</v>
      </c>
      <c r="AT125" s="230">
        <v>-6913200</v>
      </c>
      <c r="AU125" s="229">
        <v>-0.51580000000000004</v>
      </c>
      <c r="AV125" s="230">
        <v>6324000</v>
      </c>
      <c r="AW125" s="230">
        <v>6018000</v>
      </c>
      <c r="AX125" s="230">
        <v>306000</v>
      </c>
      <c r="AY125" s="229">
        <v>5.0799999999999998E-2</v>
      </c>
      <c r="AZ125" s="230">
        <v>163200</v>
      </c>
      <c r="BA125" s="230">
        <v>7374000</v>
      </c>
      <c r="BB125" s="230">
        <v>-7210800</v>
      </c>
      <c r="BC125" s="229">
        <v>-0.97789999999999999</v>
      </c>
      <c r="BD125" s="230">
        <v>1200</v>
      </c>
      <c r="BE125" s="230">
        <v>9600</v>
      </c>
      <c r="BF125" s="230">
        <v>-8400</v>
      </c>
      <c r="BG125" s="229">
        <v>-0.875</v>
      </c>
      <c r="BH125" s="230">
        <v>17379600</v>
      </c>
      <c r="BI125" s="230">
        <v>10009200</v>
      </c>
      <c r="BJ125" s="230">
        <v>7370400</v>
      </c>
      <c r="BK125" s="229">
        <v>0.73640000000000005</v>
      </c>
      <c r="BL125" s="230">
        <v>13399200</v>
      </c>
      <c r="BM125" s="230">
        <v>6084000</v>
      </c>
      <c r="BN125" s="230">
        <v>7315200</v>
      </c>
      <c r="BO125" s="229">
        <v>1.2023999999999999</v>
      </c>
      <c r="BP125" s="230">
        <v>37267200</v>
      </c>
      <c r="BQ125" s="230">
        <v>29494800</v>
      </c>
      <c r="BR125" s="230">
        <v>7772400</v>
      </c>
      <c r="BS125" s="229">
        <v>0.26350000000000001</v>
      </c>
      <c r="BT125" s="230">
        <v>5660017</v>
      </c>
      <c r="BU125" s="230">
        <v>2718349</v>
      </c>
      <c r="BV125" s="230">
        <v>2941668</v>
      </c>
      <c r="BW125" s="229">
        <v>1.0822000000000001</v>
      </c>
      <c r="BX125" s="230">
        <v>29803200</v>
      </c>
      <c r="BY125" s="230">
        <v>29211600</v>
      </c>
      <c r="BZ125" s="230">
        <v>591600</v>
      </c>
      <c r="CA125" s="229">
        <v>2.0299999999999999E-2</v>
      </c>
      <c r="CB125" s="230">
        <v>29701200</v>
      </c>
      <c r="CC125" s="230">
        <v>591600</v>
      </c>
      <c r="CD125" s="230">
        <v>29109600</v>
      </c>
      <c r="CE125" s="229">
        <v>49.204900000000002</v>
      </c>
      <c r="CF125" s="230">
        <v>100800</v>
      </c>
      <c r="CG125" s="230">
        <v>29167200</v>
      </c>
      <c r="CH125" s="230">
        <v>-29066400</v>
      </c>
      <c r="CI125" s="229">
        <v>-0.99650000000000005</v>
      </c>
      <c r="CJ125" s="230">
        <v>1200</v>
      </c>
      <c r="CK125" s="230">
        <v>44400</v>
      </c>
      <c r="CL125" s="230">
        <v>-43200</v>
      </c>
      <c r="CM125" s="229">
        <v>-0.97299999999999998</v>
      </c>
      <c r="CN125" s="230">
        <v>3178800</v>
      </c>
      <c r="CO125" s="230">
        <v>2090400</v>
      </c>
      <c r="CP125" s="230">
        <v>1088400</v>
      </c>
      <c r="CQ125" s="229">
        <v>0.52070000000000005</v>
      </c>
      <c r="CR125" s="230">
        <v>2442000</v>
      </c>
      <c r="CS125" s="230">
        <v>1893600</v>
      </c>
      <c r="CT125" s="230">
        <v>548400</v>
      </c>
      <c r="CU125" s="229">
        <v>0.28960000000000002</v>
      </c>
      <c r="CV125" s="230">
        <v>35424000</v>
      </c>
      <c r="CW125" s="230">
        <v>33195600</v>
      </c>
      <c r="CX125" s="230">
        <v>2228400</v>
      </c>
      <c r="CY125" s="229">
        <v>6.7100000000000007E-2</v>
      </c>
      <c r="CZ125" s="228">
        <v>24.29</v>
      </c>
      <c r="DA125" s="228">
        <v>28.31</v>
      </c>
      <c r="DB125" s="228">
        <v>-4.0199999999999996</v>
      </c>
      <c r="DC125" s="228">
        <v>-4.0199999999999996</v>
      </c>
      <c r="DD125" s="228">
        <v>24.25</v>
      </c>
      <c r="DE125" s="228">
        <v>24.26</v>
      </c>
      <c r="DF125" s="228">
        <v>0.04</v>
      </c>
      <c r="DG125" s="228">
        <v>-0.01</v>
      </c>
      <c r="DH125" s="228">
        <v>23.98</v>
      </c>
      <c r="DI125" s="228">
        <v>27.81</v>
      </c>
      <c r="DJ125" s="228">
        <v>-3.83</v>
      </c>
      <c r="DK125" s="228">
        <v>-3.83</v>
      </c>
      <c r="DL125" s="228">
        <v>24.68</v>
      </c>
      <c r="DM125" s="228">
        <v>28.93</v>
      </c>
      <c r="DN125" s="228">
        <v>-4.25</v>
      </c>
      <c r="DO125" s="228">
        <v>-4.25</v>
      </c>
      <c r="DP125" s="228">
        <v>0.77</v>
      </c>
      <c r="DQ125" s="228">
        <v>0.91</v>
      </c>
      <c r="DR125" s="228">
        <v>-0.14000000000000001</v>
      </c>
      <c r="DS125" s="229">
        <v>-0.15379999999999999</v>
      </c>
      <c r="DT125" s="228">
        <v>800</v>
      </c>
      <c r="DU125" s="228">
        <v>700</v>
      </c>
      <c r="DV125" s="228">
        <v>0.77</v>
      </c>
      <c r="DW125" s="228">
        <v>0.61</v>
      </c>
      <c r="DX125" s="228">
        <v>0.16</v>
      </c>
      <c r="DY125" s="229">
        <v>0.26229999999999998</v>
      </c>
      <c r="DZ125" s="229">
        <v>3.3999999999999998E-3</v>
      </c>
      <c r="EA125" s="230">
        <v>29211600</v>
      </c>
      <c r="EB125" s="229">
        <v>2.2000000000000001E-3</v>
      </c>
      <c r="EC125" s="229">
        <v>3.3999999999999998E-3</v>
      </c>
      <c r="ED125" s="228">
        <v>-0.4</v>
      </c>
      <c r="EE125" s="229">
        <v>-5.0000000000000001E-4</v>
      </c>
      <c r="EF125" s="230">
        <v>2953657</v>
      </c>
      <c r="EG125" s="230">
        <v>1613028</v>
      </c>
      <c r="EH125" s="229">
        <v>0.83109999999999995</v>
      </c>
      <c r="EI125" s="229">
        <v>0.52180000000000004</v>
      </c>
      <c r="EJ125" s="231">
        <v>135071.45000000001</v>
      </c>
      <c r="EK125" s="231">
        <v>98242.54</v>
      </c>
      <c r="EL125" s="231">
        <v>47974.559999999998</v>
      </c>
      <c r="EM125" s="231">
        <v>16061</v>
      </c>
      <c r="EN125" s="231">
        <v>281288.55</v>
      </c>
      <c r="EO125" s="231">
        <v>222880.53</v>
      </c>
      <c r="EP125" s="231">
        <v>58408.02</v>
      </c>
      <c r="EQ125" s="229">
        <v>0.2621</v>
      </c>
      <c r="ER125" s="231">
        <v>24866</v>
      </c>
      <c r="ES125" s="231">
        <v>17508</v>
      </c>
      <c r="ET125" s="231">
        <v>221037</v>
      </c>
      <c r="EU125" s="231">
        <v>79442217</v>
      </c>
      <c r="EV125" s="231">
        <v>263411</v>
      </c>
      <c r="EW125" s="231">
        <v>249481</v>
      </c>
      <c r="EX125" s="231">
        <v>13930</v>
      </c>
      <c r="EY125" s="229">
        <v>5.5800000000000002E-2</v>
      </c>
      <c r="EZ125" s="229">
        <v>0.44590000000000002</v>
      </c>
      <c r="FA125" s="227" t="s">
        <v>567</v>
      </c>
      <c r="FB125" s="161">
        <f t="shared" si="1"/>
        <v>102000</v>
      </c>
    </row>
    <row r="126" spans="1:158" ht="17.25" hidden="1" thickBot="1" x14ac:dyDescent="0.3">
      <c r="A126" s="226">
        <v>46050</v>
      </c>
      <c r="B126" s="227" t="s">
        <v>162</v>
      </c>
      <c r="C126" s="227" t="s">
        <v>255</v>
      </c>
      <c r="D126" s="228">
        <v>50</v>
      </c>
      <c r="E126" s="231">
        <v>14950</v>
      </c>
      <c r="F126" s="231">
        <v>15341</v>
      </c>
      <c r="G126" s="228">
        <v>-391</v>
      </c>
      <c r="H126" s="229">
        <v>-2.5499999999999998E-2</v>
      </c>
      <c r="I126" s="231">
        <v>14877</v>
      </c>
      <c r="J126" s="231">
        <v>15245</v>
      </c>
      <c r="K126" s="228">
        <v>-368</v>
      </c>
      <c r="L126" s="229">
        <v>-2.41E-2</v>
      </c>
      <c r="M126" s="231">
        <v>14950</v>
      </c>
      <c r="N126" s="231">
        <v>15230</v>
      </c>
      <c r="O126" s="228">
        <v>-280</v>
      </c>
      <c r="P126" s="229">
        <v>-1.84E-2</v>
      </c>
      <c r="Q126" s="231">
        <v>15029</v>
      </c>
      <c r="R126" s="231">
        <v>15341</v>
      </c>
      <c r="S126" s="228">
        <v>-312</v>
      </c>
      <c r="T126" s="229">
        <v>-2.0299999999999999E-2</v>
      </c>
      <c r="U126" s="231">
        <v>15112</v>
      </c>
      <c r="V126" s="231">
        <v>15429</v>
      </c>
      <c r="W126" s="228">
        <v>-317</v>
      </c>
      <c r="X126" s="229">
        <v>-2.0500000000000001E-2</v>
      </c>
      <c r="Y126" s="228">
        <v>73</v>
      </c>
      <c r="Z126" s="228">
        <v>96</v>
      </c>
      <c r="AA126" s="228">
        <v>-23</v>
      </c>
      <c r="AB126" s="229">
        <v>4.8999999999999998E-3</v>
      </c>
      <c r="AC126" s="228">
        <v>73</v>
      </c>
      <c r="AD126" s="228">
        <v>-15</v>
      </c>
      <c r="AE126" s="228">
        <v>88</v>
      </c>
      <c r="AF126" s="229">
        <v>4.8999999999999998E-3</v>
      </c>
      <c r="AG126" s="228">
        <v>152</v>
      </c>
      <c r="AH126" s="228">
        <v>96</v>
      </c>
      <c r="AI126" s="228">
        <v>56</v>
      </c>
      <c r="AJ126" s="229">
        <v>1.0200000000000001E-2</v>
      </c>
      <c r="AK126" s="228">
        <v>235</v>
      </c>
      <c r="AL126" s="228">
        <v>184</v>
      </c>
      <c r="AM126" s="228">
        <v>51</v>
      </c>
      <c r="AN126" s="229">
        <v>1.5800000000000002E-2</v>
      </c>
      <c r="AO126" s="231">
        <v>14993</v>
      </c>
      <c r="AP126" s="231">
        <v>15093.95</v>
      </c>
      <c r="AQ126" s="228">
        <v>0</v>
      </c>
      <c r="AR126" s="230">
        <v>2552850</v>
      </c>
      <c r="AS126" s="230">
        <v>1504550</v>
      </c>
      <c r="AT126" s="230">
        <v>1048300</v>
      </c>
      <c r="AU126" s="229">
        <v>0.69679999999999997</v>
      </c>
      <c r="AV126" s="230">
        <v>2493600</v>
      </c>
      <c r="AW126" s="230">
        <v>533900</v>
      </c>
      <c r="AX126" s="230">
        <v>1959700</v>
      </c>
      <c r="AY126" s="229">
        <v>3.6705000000000001</v>
      </c>
      <c r="AZ126" s="230">
        <v>52550</v>
      </c>
      <c r="BA126" s="230">
        <v>949550</v>
      </c>
      <c r="BB126" s="230">
        <v>-897000</v>
      </c>
      <c r="BC126" s="229">
        <v>-0.94469999999999998</v>
      </c>
      <c r="BD126" s="230">
        <v>6700</v>
      </c>
      <c r="BE126" s="230">
        <v>21100</v>
      </c>
      <c r="BF126" s="230">
        <v>-14400</v>
      </c>
      <c r="BG126" s="229">
        <v>-0.6825</v>
      </c>
      <c r="BH126" s="230">
        <v>13177850</v>
      </c>
      <c r="BI126" s="230">
        <v>6344450</v>
      </c>
      <c r="BJ126" s="230">
        <v>6833400</v>
      </c>
      <c r="BK126" s="229">
        <v>1.0770999999999999</v>
      </c>
      <c r="BL126" s="230">
        <v>8139600</v>
      </c>
      <c r="BM126" s="230">
        <v>5640800</v>
      </c>
      <c r="BN126" s="230">
        <v>2498800</v>
      </c>
      <c r="BO126" s="229">
        <v>0.443</v>
      </c>
      <c r="BP126" s="230">
        <v>23870300</v>
      </c>
      <c r="BQ126" s="230">
        <v>13489800</v>
      </c>
      <c r="BR126" s="230">
        <v>10380500</v>
      </c>
      <c r="BS126" s="229">
        <v>0.76949999999999996</v>
      </c>
      <c r="BT126" s="230">
        <v>1661857</v>
      </c>
      <c r="BU126" s="230">
        <v>601001</v>
      </c>
      <c r="BV126" s="230">
        <v>1060856</v>
      </c>
      <c r="BW126" s="229">
        <v>1.7650999999999999</v>
      </c>
      <c r="BX126" s="230">
        <v>3269000</v>
      </c>
      <c r="BY126" s="230">
        <v>3082700</v>
      </c>
      <c r="BZ126" s="230">
        <v>186300</v>
      </c>
      <c r="CA126" s="229">
        <v>6.0400000000000002E-2</v>
      </c>
      <c r="CB126" s="230">
        <v>3101300</v>
      </c>
      <c r="CC126" s="230">
        <v>157850</v>
      </c>
      <c r="CD126" s="230">
        <v>2943450</v>
      </c>
      <c r="CE126" s="229">
        <v>18.647099999999998</v>
      </c>
      <c r="CF126" s="230">
        <v>164500</v>
      </c>
      <c r="CG126" s="230">
        <v>2924150</v>
      </c>
      <c r="CH126" s="230">
        <v>-2759650</v>
      </c>
      <c r="CI126" s="229">
        <v>-0.94369999999999998</v>
      </c>
      <c r="CJ126" s="230">
        <v>3200</v>
      </c>
      <c r="CK126" s="230">
        <v>158550</v>
      </c>
      <c r="CL126" s="230">
        <v>-155350</v>
      </c>
      <c r="CM126" s="229">
        <v>-0.9798</v>
      </c>
      <c r="CN126" s="230">
        <v>1813400</v>
      </c>
      <c r="CO126" s="230">
        <v>568850</v>
      </c>
      <c r="CP126" s="230">
        <v>1244550</v>
      </c>
      <c r="CQ126" s="229">
        <v>2.1878000000000002</v>
      </c>
      <c r="CR126" s="230">
        <v>1062500</v>
      </c>
      <c r="CS126" s="230">
        <v>432400</v>
      </c>
      <c r="CT126" s="230">
        <v>630100</v>
      </c>
      <c r="CU126" s="229">
        <v>1.4572000000000001</v>
      </c>
      <c r="CV126" s="230">
        <v>6144900</v>
      </c>
      <c r="CW126" s="230">
        <v>4083950</v>
      </c>
      <c r="CX126" s="230">
        <v>2060950</v>
      </c>
      <c r="CY126" s="229">
        <v>0.50460000000000005</v>
      </c>
      <c r="CZ126" s="228">
        <v>26.98</v>
      </c>
      <c r="DA126" s="228">
        <v>29.32</v>
      </c>
      <c r="DB126" s="228">
        <v>-2.34</v>
      </c>
      <c r="DC126" s="228">
        <v>-2.34</v>
      </c>
      <c r="DD126" s="228">
        <v>24.64</v>
      </c>
      <c r="DE126" s="228">
        <v>24.48</v>
      </c>
      <c r="DF126" s="228">
        <v>2.34</v>
      </c>
      <c r="DG126" s="228">
        <v>0.16</v>
      </c>
      <c r="DH126" s="228">
        <v>26.4</v>
      </c>
      <c r="DI126" s="228">
        <v>29.02</v>
      </c>
      <c r="DJ126" s="228">
        <v>-2.62</v>
      </c>
      <c r="DK126" s="228">
        <v>-2.62</v>
      </c>
      <c r="DL126" s="228">
        <v>27.92</v>
      </c>
      <c r="DM126" s="228">
        <v>29.64</v>
      </c>
      <c r="DN126" s="228">
        <v>-1.72</v>
      </c>
      <c r="DO126" s="228">
        <v>-1.72</v>
      </c>
      <c r="DP126" s="228">
        <v>0.59</v>
      </c>
      <c r="DQ126" s="228">
        <v>0.76</v>
      </c>
      <c r="DR126" s="228">
        <v>-0.17</v>
      </c>
      <c r="DS126" s="229">
        <v>-0.22370000000000001</v>
      </c>
      <c r="DT126" s="231">
        <v>16000</v>
      </c>
      <c r="DU126" s="231">
        <v>15000</v>
      </c>
      <c r="DV126" s="228">
        <v>0.62</v>
      </c>
      <c r="DW126" s="228">
        <v>0.89</v>
      </c>
      <c r="DX126" s="228">
        <v>-0.27</v>
      </c>
      <c r="DY126" s="229">
        <v>-0.3034</v>
      </c>
      <c r="DZ126" s="229">
        <v>5.1299999999999998E-2</v>
      </c>
      <c r="EA126" s="230">
        <v>3082700</v>
      </c>
      <c r="EB126" s="229">
        <v>5.3E-3</v>
      </c>
      <c r="EC126" s="229">
        <v>5.1299999999999998E-2</v>
      </c>
      <c r="ED126" s="228">
        <v>100.95</v>
      </c>
      <c r="EE126" s="229">
        <v>6.7000000000000002E-3</v>
      </c>
      <c r="EF126" s="230">
        <v>674335</v>
      </c>
      <c r="EG126" s="230">
        <v>317109</v>
      </c>
      <c r="EH126" s="229">
        <v>1.1265000000000001</v>
      </c>
      <c r="EI126" s="229">
        <v>0.40579999999999999</v>
      </c>
      <c r="EJ126" s="231">
        <v>2104901.2000000002</v>
      </c>
      <c r="EK126" s="231">
        <v>1196118.55</v>
      </c>
      <c r="EL126" s="231">
        <v>382815.54</v>
      </c>
      <c r="EM126" s="231">
        <v>38820</v>
      </c>
      <c r="EN126" s="231">
        <v>3683835.29</v>
      </c>
      <c r="EO126" s="231">
        <v>2088632.16</v>
      </c>
      <c r="EP126" s="231">
        <v>1595203.13</v>
      </c>
      <c r="EQ126" s="229">
        <v>0.76380000000000003</v>
      </c>
      <c r="ER126" s="231">
        <v>289994</v>
      </c>
      <c r="ES126" s="231">
        <v>154697</v>
      </c>
      <c r="ET126" s="231">
        <v>488851</v>
      </c>
      <c r="EU126" s="231">
        <v>17687048</v>
      </c>
      <c r="EV126" s="231">
        <v>933542</v>
      </c>
      <c r="EW126" s="231">
        <v>631780</v>
      </c>
      <c r="EX126" s="231">
        <v>301762</v>
      </c>
      <c r="EY126" s="229">
        <v>0.47760000000000002</v>
      </c>
      <c r="EZ126" s="229">
        <v>0.34739999999999999</v>
      </c>
      <c r="FA126" s="227" t="s">
        <v>567</v>
      </c>
      <c r="FB126" s="161">
        <f t="shared" si="1"/>
        <v>167700</v>
      </c>
    </row>
    <row r="127" spans="1:158" ht="17.25" hidden="1" thickBot="1" x14ac:dyDescent="0.3">
      <c r="A127" s="226">
        <v>46050</v>
      </c>
      <c r="B127" s="227" t="s">
        <v>170</v>
      </c>
      <c r="C127" s="227" t="s">
        <v>603</v>
      </c>
      <c r="D127" s="228">
        <v>525</v>
      </c>
      <c r="E127" s="228">
        <v>964</v>
      </c>
      <c r="F127" s="228">
        <v>982.6</v>
      </c>
      <c r="G127" s="228">
        <v>-18.600000000000001</v>
      </c>
      <c r="H127" s="229">
        <v>-1.89E-2</v>
      </c>
      <c r="I127" s="228">
        <v>958.6</v>
      </c>
      <c r="J127" s="228">
        <v>975.5</v>
      </c>
      <c r="K127" s="228">
        <v>-16.899999999999999</v>
      </c>
      <c r="L127" s="229">
        <v>-1.7299999999999999E-2</v>
      </c>
      <c r="M127" s="228">
        <v>964</v>
      </c>
      <c r="N127" s="228">
        <v>977.6</v>
      </c>
      <c r="O127" s="228">
        <v>-13.6</v>
      </c>
      <c r="P127" s="229">
        <v>-1.3899999999999999E-2</v>
      </c>
      <c r="Q127" s="228">
        <v>970.3</v>
      </c>
      <c r="R127" s="228">
        <v>982.6</v>
      </c>
      <c r="S127" s="228">
        <v>-12.3</v>
      </c>
      <c r="T127" s="229">
        <v>-1.2500000000000001E-2</v>
      </c>
      <c r="U127" s="228">
        <v>979</v>
      </c>
      <c r="V127" s="228">
        <v>987.8</v>
      </c>
      <c r="W127" s="228">
        <v>-8.8000000000000007</v>
      </c>
      <c r="X127" s="229">
        <v>-8.8999999999999999E-3</v>
      </c>
      <c r="Y127" s="228">
        <v>5.4</v>
      </c>
      <c r="Z127" s="228">
        <v>7.1</v>
      </c>
      <c r="AA127" s="228">
        <v>-1.7</v>
      </c>
      <c r="AB127" s="229">
        <v>5.5999999999999999E-3</v>
      </c>
      <c r="AC127" s="228">
        <v>5.4</v>
      </c>
      <c r="AD127" s="228">
        <v>2.1</v>
      </c>
      <c r="AE127" s="228">
        <v>3.3</v>
      </c>
      <c r="AF127" s="229">
        <v>5.5999999999999999E-3</v>
      </c>
      <c r="AG127" s="228">
        <v>11.7</v>
      </c>
      <c r="AH127" s="228">
        <v>7.1</v>
      </c>
      <c r="AI127" s="228">
        <v>4.5999999999999996</v>
      </c>
      <c r="AJ127" s="229">
        <v>1.2200000000000001E-2</v>
      </c>
      <c r="AK127" s="228">
        <v>20.399999999999999</v>
      </c>
      <c r="AL127" s="228">
        <v>12.3</v>
      </c>
      <c r="AM127" s="228">
        <v>8.1</v>
      </c>
      <c r="AN127" s="229">
        <v>2.1299999999999999E-2</v>
      </c>
      <c r="AO127" s="228">
        <v>967.33</v>
      </c>
      <c r="AP127" s="228">
        <v>975.33</v>
      </c>
      <c r="AQ127" s="228">
        <v>0</v>
      </c>
      <c r="AR127" s="230">
        <v>2643375</v>
      </c>
      <c r="AS127" s="230">
        <v>8113875</v>
      </c>
      <c r="AT127" s="230">
        <v>-5470500</v>
      </c>
      <c r="AU127" s="229">
        <v>-0.67420000000000002</v>
      </c>
      <c r="AV127" s="230">
        <v>2552025</v>
      </c>
      <c r="AW127" s="230">
        <v>3162600</v>
      </c>
      <c r="AX127" s="230">
        <v>-610575</v>
      </c>
      <c r="AY127" s="229">
        <v>-0.19309999999999999</v>
      </c>
      <c r="AZ127" s="230">
        <v>87150</v>
      </c>
      <c r="BA127" s="230">
        <v>4856775</v>
      </c>
      <c r="BB127" s="230">
        <v>-4769625</v>
      </c>
      <c r="BC127" s="229">
        <v>-0.98209999999999997</v>
      </c>
      <c r="BD127" s="230">
        <v>4200</v>
      </c>
      <c r="BE127" s="230">
        <v>94500</v>
      </c>
      <c r="BF127" s="230">
        <v>-90300</v>
      </c>
      <c r="BG127" s="229">
        <v>-0.9556</v>
      </c>
      <c r="BH127" s="230">
        <v>2178750</v>
      </c>
      <c r="BI127" s="230">
        <v>2178750</v>
      </c>
      <c r="BJ127" s="228">
        <v>0</v>
      </c>
      <c r="BK127" s="229">
        <v>0</v>
      </c>
      <c r="BL127" s="230">
        <v>1548750</v>
      </c>
      <c r="BM127" s="230">
        <v>2579325</v>
      </c>
      <c r="BN127" s="230">
        <v>-1030575</v>
      </c>
      <c r="BO127" s="229">
        <v>-0.39960000000000001</v>
      </c>
      <c r="BP127" s="230">
        <v>6370875</v>
      </c>
      <c r="BQ127" s="230">
        <v>12871950</v>
      </c>
      <c r="BR127" s="230">
        <v>-6501075</v>
      </c>
      <c r="BS127" s="229">
        <v>-0.50509999999999999</v>
      </c>
      <c r="BT127" s="230">
        <v>4301537</v>
      </c>
      <c r="BU127" s="230">
        <v>5265709</v>
      </c>
      <c r="BV127" s="230">
        <v>-964172</v>
      </c>
      <c r="BW127" s="229">
        <v>-0.18310000000000001</v>
      </c>
      <c r="BX127" s="230">
        <v>18296775</v>
      </c>
      <c r="BY127" s="230">
        <v>17925600</v>
      </c>
      <c r="BZ127" s="230">
        <v>371175</v>
      </c>
      <c r="CA127" s="229">
        <v>2.07E-2</v>
      </c>
      <c r="CB127" s="230">
        <v>17658900</v>
      </c>
      <c r="CC127" s="230">
        <v>1685250</v>
      </c>
      <c r="CD127" s="230">
        <v>15973650</v>
      </c>
      <c r="CE127" s="229">
        <v>9.4785000000000004</v>
      </c>
      <c r="CF127" s="230">
        <v>633675</v>
      </c>
      <c r="CG127" s="230">
        <v>17337075</v>
      </c>
      <c r="CH127" s="230">
        <v>-16703400</v>
      </c>
      <c r="CI127" s="229">
        <v>-0.96340000000000003</v>
      </c>
      <c r="CJ127" s="230">
        <v>4200</v>
      </c>
      <c r="CK127" s="230">
        <v>588525</v>
      </c>
      <c r="CL127" s="230">
        <v>-584325</v>
      </c>
      <c r="CM127" s="229">
        <v>-0.9929</v>
      </c>
      <c r="CN127" s="230">
        <v>1376025</v>
      </c>
      <c r="CO127" s="230">
        <v>981225</v>
      </c>
      <c r="CP127" s="230">
        <v>394800</v>
      </c>
      <c r="CQ127" s="229">
        <v>0.40239999999999998</v>
      </c>
      <c r="CR127" s="230">
        <v>1352400</v>
      </c>
      <c r="CS127" s="230">
        <v>1073625</v>
      </c>
      <c r="CT127" s="230">
        <v>278775</v>
      </c>
      <c r="CU127" s="229">
        <v>0.25969999999999999</v>
      </c>
      <c r="CV127" s="230">
        <v>21025200</v>
      </c>
      <c r="CW127" s="230">
        <v>19980450</v>
      </c>
      <c r="CX127" s="230">
        <v>1044750</v>
      </c>
      <c r="CY127" s="229">
        <v>5.2299999999999999E-2</v>
      </c>
      <c r="CZ127" s="228">
        <v>32.44</v>
      </c>
      <c r="DA127" s="228">
        <v>32.520000000000003</v>
      </c>
      <c r="DB127" s="228">
        <v>-0.08</v>
      </c>
      <c r="DC127" s="228">
        <v>-0.08</v>
      </c>
      <c r="DD127" s="228">
        <v>37.74</v>
      </c>
      <c r="DE127" s="228">
        <v>37.770000000000003</v>
      </c>
      <c r="DF127" s="228">
        <v>-5.3</v>
      </c>
      <c r="DG127" s="228">
        <v>-0.03</v>
      </c>
      <c r="DH127" s="228">
        <v>32.28</v>
      </c>
      <c r="DI127" s="228">
        <v>32.43</v>
      </c>
      <c r="DJ127" s="228">
        <v>-0.15</v>
      </c>
      <c r="DK127" s="228">
        <v>-0.15</v>
      </c>
      <c r="DL127" s="228">
        <v>32.659999999999997</v>
      </c>
      <c r="DM127" s="228">
        <v>32.619999999999997</v>
      </c>
      <c r="DN127" s="228">
        <v>0.04</v>
      </c>
      <c r="DO127" s="228">
        <v>0.04</v>
      </c>
      <c r="DP127" s="228">
        <v>0.98</v>
      </c>
      <c r="DQ127" s="228">
        <v>1.0900000000000001</v>
      </c>
      <c r="DR127" s="228">
        <v>-0.11</v>
      </c>
      <c r="DS127" s="229">
        <v>-0.1009</v>
      </c>
      <c r="DT127" s="231">
        <v>1000</v>
      </c>
      <c r="DU127" s="231">
        <v>1000</v>
      </c>
      <c r="DV127" s="228">
        <v>0.71</v>
      </c>
      <c r="DW127" s="228">
        <v>1.18</v>
      </c>
      <c r="DX127" s="228">
        <v>-0.47</v>
      </c>
      <c r="DY127" s="229">
        <v>-0.39829999999999999</v>
      </c>
      <c r="DZ127" s="229">
        <v>3.49E-2</v>
      </c>
      <c r="EA127" s="230">
        <v>17925600</v>
      </c>
      <c r="EB127" s="229">
        <v>6.4999999999999997E-3</v>
      </c>
      <c r="EC127" s="229">
        <v>3.49E-2</v>
      </c>
      <c r="ED127" s="228">
        <v>8</v>
      </c>
      <c r="EE127" s="229">
        <v>8.3000000000000001E-3</v>
      </c>
      <c r="EF127" s="230">
        <v>2877935</v>
      </c>
      <c r="EG127" s="230">
        <v>3473439</v>
      </c>
      <c r="EH127" s="229">
        <v>-0.1714</v>
      </c>
      <c r="EI127" s="229">
        <v>0.66900000000000004</v>
      </c>
      <c r="EJ127" s="231">
        <v>22320.44</v>
      </c>
      <c r="EK127" s="231">
        <v>15176.18</v>
      </c>
      <c r="EL127" s="231">
        <v>25577.68</v>
      </c>
      <c r="EM127" s="231">
        <v>22903</v>
      </c>
      <c r="EN127" s="231">
        <v>63074.3</v>
      </c>
      <c r="EO127" s="231">
        <v>128172.09</v>
      </c>
      <c r="EP127" s="231">
        <v>-65097.79</v>
      </c>
      <c r="EQ127" s="229">
        <v>-0.50790000000000002</v>
      </c>
      <c r="ER127" s="231">
        <v>14166</v>
      </c>
      <c r="ES127" s="231">
        <v>13760</v>
      </c>
      <c r="ET127" s="231">
        <v>176421</v>
      </c>
      <c r="EU127" s="231">
        <v>111218809</v>
      </c>
      <c r="EV127" s="231">
        <v>204348</v>
      </c>
      <c r="EW127" s="231">
        <v>197540</v>
      </c>
      <c r="EX127" s="231">
        <v>6808</v>
      </c>
      <c r="EY127" s="229">
        <v>3.4500000000000003E-2</v>
      </c>
      <c r="EZ127" s="229">
        <v>0.189</v>
      </c>
      <c r="FA127" s="227" t="s">
        <v>567</v>
      </c>
      <c r="FB127" s="161">
        <f t="shared" si="1"/>
        <v>637875</v>
      </c>
    </row>
    <row r="128" spans="1:158" ht="17.25" hidden="1" thickBot="1" x14ac:dyDescent="0.3">
      <c r="A128" s="226">
        <v>46050</v>
      </c>
      <c r="B128" s="227" t="s">
        <v>215</v>
      </c>
      <c r="C128" s="227" t="s">
        <v>672</v>
      </c>
      <c r="D128" s="228">
        <v>200</v>
      </c>
      <c r="E128" s="231">
        <v>2518.1999999999998</v>
      </c>
      <c r="F128" s="231">
        <v>2342.5</v>
      </c>
      <c r="G128" s="228">
        <v>175.7</v>
      </c>
      <c r="H128" s="229">
        <v>7.4999999999999997E-2</v>
      </c>
      <c r="I128" s="231">
        <v>2505.6</v>
      </c>
      <c r="J128" s="231">
        <v>2335.1</v>
      </c>
      <c r="K128" s="228">
        <v>170.5</v>
      </c>
      <c r="L128" s="229">
        <v>7.2999999999999995E-2</v>
      </c>
      <c r="M128" s="231">
        <v>2518.1999999999998</v>
      </c>
      <c r="N128" s="231">
        <v>2327.8000000000002</v>
      </c>
      <c r="O128" s="228">
        <v>190.4</v>
      </c>
      <c r="P128" s="229">
        <v>8.1799999999999998E-2</v>
      </c>
      <c r="Q128" s="231">
        <v>2534.1999999999998</v>
      </c>
      <c r="R128" s="231">
        <v>2342.5</v>
      </c>
      <c r="S128" s="228">
        <v>191.7</v>
      </c>
      <c r="T128" s="229">
        <v>8.1799999999999998E-2</v>
      </c>
      <c r="U128" s="231">
        <v>2545.5</v>
      </c>
      <c r="V128" s="231">
        <v>2370.6</v>
      </c>
      <c r="W128" s="228">
        <v>174.9</v>
      </c>
      <c r="X128" s="229">
        <v>7.3800000000000004E-2</v>
      </c>
      <c r="Y128" s="228">
        <v>12.6</v>
      </c>
      <c r="Z128" s="228">
        <v>7.4</v>
      </c>
      <c r="AA128" s="228">
        <v>5.2</v>
      </c>
      <c r="AB128" s="229">
        <v>5.0000000000000001E-3</v>
      </c>
      <c r="AC128" s="228">
        <v>12.6</v>
      </c>
      <c r="AD128" s="228">
        <v>-7.3</v>
      </c>
      <c r="AE128" s="228">
        <v>19.899999999999999</v>
      </c>
      <c r="AF128" s="229">
        <v>5.0000000000000001E-3</v>
      </c>
      <c r="AG128" s="228">
        <v>28.6</v>
      </c>
      <c r="AH128" s="228">
        <v>7.4</v>
      </c>
      <c r="AI128" s="228">
        <v>21.2</v>
      </c>
      <c r="AJ128" s="229">
        <v>1.14E-2</v>
      </c>
      <c r="AK128" s="228">
        <v>39.9</v>
      </c>
      <c r="AL128" s="228">
        <v>35.5</v>
      </c>
      <c r="AM128" s="228">
        <v>4.4000000000000004</v>
      </c>
      <c r="AN128" s="229">
        <v>1.5900000000000001E-2</v>
      </c>
      <c r="AO128" s="231">
        <v>2467.86</v>
      </c>
      <c r="AP128" s="231">
        <v>2476.62</v>
      </c>
      <c r="AQ128" s="228">
        <v>0</v>
      </c>
      <c r="AR128" s="230">
        <v>1740800</v>
      </c>
      <c r="AS128" s="230">
        <v>5298600</v>
      </c>
      <c r="AT128" s="230">
        <v>-3557800</v>
      </c>
      <c r="AU128" s="229">
        <v>-0.67149999999999999</v>
      </c>
      <c r="AV128" s="230">
        <v>1638400</v>
      </c>
      <c r="AW128" s="230">
        <v>2505400</v>
      </c>
      <c r="AX128" s="230">
        <v>-867000</v>
      </c>
      <c r="AY128" s="229">
        <v>-0.34610000000000002</v>
      </c>
      <c r="AZ128" s="230">
        <v>92600</v>
      </c>
      <c r="BA128" s="230">
        <v>2723200</v>
      </c>
      <c r="BB128" s="230">
        <v>-2630600</v>
      </c>
      <c r="BC128" s="229">
        <v>-0.96599999999999997</v>
      </c>
      <c r="BD128" s="230">
        <v>9800</v>
      </c>
      <c r="BE128" s="230">
        <v>70000</v>
      </c>
      <c r="BF128" s="230">
        <v>-60200</v>
      </c>
      <c r="BG128" s="229">
        <v>-0.86</v>
      </c>
      <c r="BH128" s="230">
        <v>7752400</v>
      </c>
      <c r="BI128" s="230">
        <v>3731000</v>
      </c>
      <c r="BJ128" s="230">
        <v>4021400</v>
      </c>
      <c r="BK128" s="229">
        <v>1.0778000000000001</v>
      </c>
      <c r="BL128" s="230">
        <v>1508400</v>
      </c>
      <c r="BM128" s="230">
        <v>2013000</v>
      </c>
      <c r="BN128" s="230">
        <v>-504600</v>
      </c>
      <c r="BO128" s="229">
        <v>-0.25069999999999998</v>
      </c>
      <c r="BP128" s="230">
        <v>11001600</v>
      </c>
      <c r="BQ128" s="230">
        <v>11042600</v>
      </c>
      <c r="BR128" s="230">
        <v>-41000</v>
      </c>
      <c r="BS128" s="229">
        <v>-3.7000000000000002E-3</v>
      </c>
      <c r="BT128" s="230">
        <v>2445916</v>
      </c>
      <c r="BU128" s="230">
        <v>1036855</v>
      </c>
      <c r="BV128" s="230">
        <v>1409061</v>
      </c>
      <c r="BW128" s="229">
        <v>1.359</v>
      </c>
      <c r="BX128" s="230">
        <v>4521000</v>
      </c>
      <c r="BY128" s="230">
        <v>4381400</v>
      </c>
      <c r="BZ128" s="230">
        <v>139600</v>
      </c>
      <c r="CA128" s="229">
        <v>3.1899999999999998E-2</v>
      </c>
      <c r="CB128" s="230">
        <v>4356000</v>
      </c>
      <c r="CC128" s="230">
        <v>442400</v>
      </c>
      <c r="CD128" s="230">
        <v>3913600</v>
      </c>
      <c r="CE128" s="229">
        <v>8.8462999999999994</v>
      </c>
      <c r="CF128" s="230">
        <v>158800</v>
      </c>
      <c r="CG128" s="230">
        <v>4233600</v>
      </c>
      <c r="CH128" s="230">
        <v>-4074800</v>
      </c>
      <c r="CI128" s="229">
        <v>-0.96250000000000002</v>
      </c>
      <c r="CJ128" s="230">
        <v>6200</v>
      </c>
      <c r="CK128" s="230">
        <v>147800</v>
      </c>
      <c r="CL128" s="230">
        <v>-141600</v>
      </c>
      <c r="CM128" s="229">
        <v>-0.95809999999999995</v>
      </c>
      <c r="CN128" s="230">
        <v>1542000</v>
      </c>
      <c r="CO128" s="230">
        <v>1014800</v>
      </c>
      <c r="CP128" s="230">
        <v>527200</v>
      </c>
      <c r="CQ128" s="229">
        <v>0.51949999999999996</v>
      </c>
      <c r="CR128" s="230">
        <v>1157400</v>
      </c>
      <c r="CS128" s="230">
        <v>957600</v>
      </c>
      <c r="CT128" s="230">
        <v>199800</v>
      </c>
      <c r="CU128" s="229">
        <v>0.20860000000000001</v>
      </c>
      <c r="CV128" s="230">
        <v>7220400</v>
      </c>
      <c r="CW128" s="230">
        <v>6353800</v>
      </c>
      <c r="CX128" s="230">
        <v>866600</v>
      </c>
      <c r="CY128" s="229">
        <v>0.13639999999999999</v>
      </c>
      <c r="CZ128" s="228">
        <v>45.41</v>
      </c>
      <c r="DA128" s="228">
        <v>45.09</v>
      </c>
      <c r="DB128" s="228">
        <v>0.32</v>
      </c>
      <c r="DC128" s="228">
        <v>0.32</v>
      </c>
      <c r="DD128" s="228">
        <v>54.06</v>
      </c>
      <c r="DE128" s="228">
        <v>53.31</v>
      </c>
      <c r="DF128" s="228">
        <v>-8.65</v>
      </c>
      <c r="DG128" s="228">
        <v>0.75</v>
      </c>
      <c r="DH128" s="228">
        <v>45.17</v>
      </c>
      <c r="DI128" s="228">
        <v>45.33</v>
      </c>
      <c r="DJ128" s="228">
        <v>-0.16</v>
      </c>
      <c r="DK128" s="228">
        <v>-0.16</v>
      </c>
      <c r="DL128" s="228">
        <v>46.64</v>
      </c>
      <c r="DM128" s="228">
        <v>44.72</v>
      </c>
      <c r="DN128" s="228">
        <v>1.92</v>
      </c>
      <c r="DO128" s="228">
        <v>1.92</v>
      </c>
      <c r="DP128" s="228">
        <v>0.75</v>
      </c>
      <c r="DQ128" s="228">
        <v>0.94</v>
      </c>
      <c r="DR128" s="228">
        <v>-0.19</v>
      </c>
      <c r="DS128" s="229">
        <v>-0.2021</v>
      </c>
      <c r="DT128" s="231">
        <v>2500</v>
      </c>
      <c r="DU128" s="231">
        <v>2300</v>
      </c>
      <c r="DV128" s="228">
        <v>0.19</v>
      </c>
      <c r="DW128" s="228">
        <v>0.54</v>
      </c>
      <c r="DX128" s="228">
        <v>-0.35</v>
      </c>
      <c r="DY128" s="229">
        <v>-0.64810000000000001</v>
      </c>
      <c r="DZ128" s="229">
        <v>3.6499999999999998E-2</v>
      </c>
      <c r="EA128" s="230">
        <v>4381400</v>
      </c>
      <c r="EB128" s="229">
        <v>6.4000000000000003E-3</v>
      </c>
      <c r="EC128" s="229">
        <v>3.6499999999999998E-2</v>
      </c>
      <c r="ED128" s="228">
        <v>8.76</v>
      </c>
      <c r="EE128" s="229">
        <v>3.5000000000000001E-3</v>
      </c>
      <c r="EF128" s="230">
        <v>607173</v>
      </c>
      <c r="EG128" s="230">
        <v>254526</v>
      </c>
      <c r="EH128" s="229">
        <v>1.3855</v>
      </c>
      <c r="EI128" s="229">
        <v>0.2482</v>
      </c>
      <c r="EJ128" s="231">
        <v>204933.11</v>
      </c>
      <c r="EK128" s="231">
        <v>36624.07</v>
      </c>
      <c r="EL128" s="231">
        <v>42972.56</v>
      </c>
      <c r="EM128" s="231">
        <v>18182</v>
      </c>
      <c r="EN128" s="231">
        <v>284529.74</v>
      </c>
      <c r="EO128" s="231">
        <v>266506.45</v>
      </c>
      <c r="EP128" s="231">
        <v>18023.29</v>
      </c>
      <c r="EQ128" s="229">
        <v>6.7599999999999993E-2</v>
      </c>
      <c r="ER128" s="231">
        <v>39711</v>
      </c>
      <c r="ES128" s="231">
        <v>27498</v>
      </c>
      <c r="ET128" s="231">
        <v>113875</v>
      </c>
      <c r="EU128" s="231">
        <v>11364224</v>
      </c>
      <c r="EV128" s="231">
        <v>181084</v>
      </c>
      <c r="EW128" s="231">
        <v>150854</v>
      </c>
      <c r="EX128" s="231">
        <v>30230</v>
      </c>
      <c r="EY128" s="229">
        <v>0.20039999999999999</v>
      </c>
      <c r="EZ128" s="229">
        <v>0.63539999999999996</v>
      </c>
      <c r="FA128" s="227" t="s">
        <v>555</v>
      </c>
      <c r="FB128" s="161">
        <f t="shared" si="1"/>
        <v>165000</v>
      </c>
    </row>
    <row r="129" spans="1:158" ht="17.25" hidden="1" thickBot="1" x14ac:dyDescent="0.3">
      <c r="A129" s="226">
        <v>46050</v>
      </c>
      <c r="B129" s="227" t="s">
        <v>175</v>
      </c>
      <c r="C129" s="227" t="s">
        <v>517</v>
      </c>
      <c r="D129" s="228">
        <v>625</v>
      </c>
      <c r="E129" s="231">
        <v>2605</v>
      </c>
      <c r="F129" s="231">
        <v>2437</v>
      </c>
      <c r="G129" s="228">
        <v>168</v>
      </c>
      <c r="H129" s="229">
        <v>6.8900000000000003E-2</v>
      </c>
      <c r="I129" s="231">
        <v>2593</v>
      </c>
      <c r="J129" s="231">
        <v>2418</v>
      </c>
      <c r="K129" s="228">
        <v>175</v>
      </c>
      <c r="L129" s="229">
        <v>7.2400000000000006E-2</v>
      </c>
      <c r="M129" s="231">
        <v>2605</v>
      </c>
      <c r="N129" s="231">
        <v>2418</v>
      </c>
      <c r="O129" s="228">
        <v>187</v>
      </c>
      <c r="P129" s="229">
        <v>7.7299999999999994E-2</v>
      </c>
      <c r="Q129" s="231">
        <v>2619</v>
      </c>
      <c r="R129" s="231">
        <v>2437</v>
      </c>
      <c r="S129" s="228">
        <v>182</v>
      </c>
      <c r="T129" s="229">
        <v>7.4700000000000003E-2</v>
      </c>
      <c r="U129" s="231">
        <v>2636</v>
      </c>
      <c r="V129" s="231">
        <v>2453</v>
      </c>
      <c r="W129" s="228">
        <v>183</v>
      </c>
      <c r="X129" s="229">
        <v>7.46E-2</v>
      </c>
      <c r="Y129" s="228">
        <v>12</v>
      </c>
      <c r="Z129" s="228">
        <v>19</v>
      </c>
      <c r="AA129" s="228">
        <v>-7</v>
      </c>
      <c r="AB129" s="229">
        <v>4.5999999999999999E-3</v>
      </c>
      <c r="AC129" s="228">
        <v>12</v>
      </c>
      <c r="AD129" s="228">
        <v>0</v>
      </c>
      <c r="AE129" s="228">
        <v>12</v>
      </c>
      <c r="AF129" s="229">
        <v>4.5999999999999999E-3</v>
      </c>
      <c r="AG129" s="228">
        <v>26</v>
      </c>
      <c r="AH129" s="228">
        <v>19</v>
      </c>
      <c r="AI129" s="228">
        <v>7</v>
      </c>
      <c r="AJ129" s="229">
        <v>0.01</v>
      </c>
      <c r="AK129" s="228">
        <v>43</v>
      </c>
      <c r="AL129" s="228">
        <v>35</v>
      </c>
      <c r="AM129" s="228">
        <v>8</v>
      </c>
      <c r="AN129" s="229">
        <v>1.66E-2</v>
      </c>
      <c r="AO129" s="231">
        <v>2574.88</v>
      </c>
      <c r="AP129" s="231">
        <v>2589.84</v>
      </c>
      <c r="AQ129" s="228">
        <v>0</v>
      </c>
      <c r="AR129" s="230">
        <v>10173750</v>
      </c>
      <c r="AS129" s="230">
        <v>17637500</v>
      </c>
      <c r="AT129" s="230">
        <v>-7463750</v>
      </c>
      <c r="AU129" s="229">
        <v>-0.42320000000000002</v>
      </c>
      <c r="AV129" s="230">
        <v>9505000</v>
      </c>
      <c r="AW129" s="230">
        <v>6706875</v>
      </c>
      <c r="AX129" s="230">
        <v>2798125</v>
      </c>
      <c r="AY129" s="229">
        <v>0.41720000000000002</v>
      </c>
      <c r="AZ129" s="230">
        <v>576250</v>
      </c>
      <c r="BA129" s="230">
        <v>10622500</v>
      </c>
      <c r="BB129" s="230">
        <v>-10046250</v>
      </c>
      <c r="BC129" s="229">
        <v>-0.94579999999999997</v>
      </c>
      <c r="BD129" s="230">
        <v>92500</v>
      </c>
      <c r="BE129" s="230">
        <v>308125</v>
      </c>
      <c r="BF129" s="230">
        <v>-215625</v>
      </c>
      <c r="BG129" s="229">
        <v>-0.69979999999999998</v>
      </c>
      <c r="BH129" s="230">
        <v>35406875</v>
      </c>
      <c r="BI129" s="230">
        <v>74517500</v>
      </c>
      <c r="BJ129" s="230">
        <v>-39110625</v>
      </c>
      <c r="BK129" s="229">
        <v>-0.52490000000000003</v>
      </c>
      <c r="BL129" s="230">
        <v>18433125</v>
      </c>
      <c r="BM129" s="230">
        <v>23696250</v>
      </c>
      <c r="BN129" s="230">
        <v>-5263125</v>
      </c>
      <c r="BO129" s="229">
        <v>-0.22209999999999999</v>
      </c>
      <c r="BP129" s="230">
        <v>64013750</v>
      </c>
      <c r="BQ129" s="230">
        <v>115851250</v>
      </c>
      <c r="BR129" s="230">
        <v>-51837500</v>
      </c>
      <c r="BS129" s="229">
        <v>-0.44740000000000002</v>
      </c>
      <c r="BT129" s="230">
        <v>7912504</v>
      </c>
      <c r="BU129" s="230">
        <v>6973158</v>
      </c>
      <c r="BV129" s="230">
        <v>939346</v>
      </c>
      <c r="BW129" s="229">
        <v>0.13469999999999999</v>
      </c>
      <c r="BX129" s="230">
        <v>13953125</v>
      </c>
      <c r="BY129" s="230">
        <v>14710000</v>
      </c>
      <c r="BZ129" s="230">
        <v>-756875</v>
      </c>
      <c r="CA129" s="229">
        <v>-5.1499999999999997E-2</v>
      </c>
      <c r="CB129" s="230">
        <v>13546875</v>
      </c>
      <c r="CC129" s="230">
        <v>865000</v>
      </c>
      <c r="CD129" s="230">
        <v>12681875</v>
      </c>
      <c r="CE129" s="229">
        <v>14.661099999999999</v>
      </c>
      <c r="CF129" s="230">
        <v>355625</v>
      </c>
      <c r="CG129" s="230">
        <v>14368750</v>
      </c>
      <c r="CH129" s="230">
        <v>-14013125</v>
      </c>
      <c r="CI129" s="229">
        <v>-0.97529999999999994</v>
      </c>
      <c r="CJ129" s="230">
        <v>50625</v>
      </c>
      <c r="CK129" s="230">
        <v>341250</v>
      </c>
      <c r="CL129" s="230">
        <v>-290625</v>
      </c>
      <c r="CM129" s="229">
        <v>-0.85160000000000002</v>
      </c>
      <c r="CN129" s="230">
        <v>5821875</v>
      </c>
      <c r="CO129" s="230">
        <v>4853750</v>
      </c>
      <c r="CP129" s="230">
        <v>968125</v>
      </c>
      <c r="CQ129" s="229">
        <v>0.19950000000000001</v>
      </c>
      <c r="CR129" s="230">
        <v>5118125</v>
      </c>
      <c r="CS129" s="230">
        <v>3243125</v>
      </c>
      <c r="CT129" s="230">
        <v>1875000</v>
      </c>
      <c r="CU129" s="229">
        <v>0.57809999999999995</v>
      </c>
      <c r="CV129" s="230">
        <v>24893125</v>
      </c>
      <c r="CW129" s="230">
        <v>22806875</v>
      </c>
      <c r="CX129" s="230">
        <v>2086250</v>
      </c>
      <c r="CY129" s="229">
        <v>9.1499999999999998E-2</v>
      </c>
      <c r="CZ129" s="228">
        <v>40.72</v>
      </c>
      <c r="DA129" s="228">
        <v>43.51</v>
      </c>
      <c r="DB129" s="228">
        <v>-2.79</v>
      </c>
      <c r="DC129" s="228">
        <v>-2.79</v>
      </c>
      <c r="DD129" s="228">
        <v>46.25</v>
      </c>
      <c r="DE129" s="228">
        <v>45.4</v>
      </c>
      <c r="DF129" s="228">
        <v>-5.53</v>
      </c>
      <c r="DG129" s="228">
        <v>0.85</v>
      </c>
      <c r="DH129" s="228">
        <v>39.74</v>
      </c>
      <c r="DI129" s="228">
        <v>43.21</v>
      </c>
      <c r="DJ129" s="228">
        <v>-3.47</v>
      </c>
      <c r="DK129" s="228">
        <v>-3.47</v>
      </c>
      <c r="DL129" s="228">
        <v>42.61</v>
      </c>
      <c r="DM129" s="228">
        <v>44.28</v>
      </c>
      <c r="DN129" s="228">
        <v>-1.67</v>
      </c>
      <c r="DO129" s="228">
        <v>-1.67</v>
      </c>
      <c r="DP129" s="228">
        <v>0.88</v>
      </c>
      <c r="DQ129" s="228">
        <v>0.67</v>
      </c>
      <c r="DR129" s="228">
        <v>0.21</v>
      </c>
      <c r="DS129" s="229">
        <v>0.31340000000000001</v>
      </c>
      <c r="DT129" s="231">
        <v>2600</v>
      </c>
      <c r="DU129" s="231">
        <v>2300</v>
      </c>
      <c r="DV129" s="228">
        <v>0.52</v>
      </c>
      <c r="DW129" s="228">
        <v>0.32</v>
      </c>
      <c r="DX129" s="228">
        <v>0.2</v>
      </c>
      <c r="DY129" s="229">
        <v>0.625</v>
      </c>
      <c r="DZ129" s="229">
        <v>2.9100000000000001E-2</v>
      </c>
      <c r="EA129" s="230">
        <v>14710000</v>
      </c>
      <c r="EB129" s="229">
        <v>5.4000000000000003E-3</v>
      </c>
      <c r="EC129" s="229">
        <v>2.9100000000000001E-2</v>
      </c>
      <c r="ED129" s="228">
        <v>14.96</v>
      </c>
      <c r="EE129" s="229">
        <v>5.7999999999999996E-3</v>
      </c>
      <c r="EF129" s="230">
        <v>3053031</v>
      </c>
      <c r="EG129" s="230">
        <v>2146030</v>
      </c>
      <c r="EH129" s="229">
        <v>0.42259999999999998</v>
      </c>
      <c r="EI129" s="229">
        <v>0.38579999999999998</v>
      </c>
      <c r="EJ129" s="231">
        <v>966512.76</v>
      </c>
      <c r="EK129" s="231">
        <v>455483.62</v>
      </c>
      <c r="EL129" s="231">
        <v>262077.59</v>
      </c>
      <c r="EM129" s="231">
        <v>25258</v>
      </c>
      <c r="EN129" s="231">
        <v>1684073.97</v>
      </c>
      <c r="EO129" s="231">
        <v>2838695.91</v>
      </c>
      <c r="EP129" s="231">
        <v>-1154621.94</v>
      </c>
      <c r="EQ129" s="229">
        <v>-0.40670000000000001</v>
      </c>
      <c r="ER129" s="231">
        <v>150226</v>
      </c>
      <c r="ES129" s="231">
        <v>119630</v>
      </c>
      <c r="ET129" s="231">
        <v>363544</v>
      </c>
      <c r="EU129" s="231">
        <v>38177110</v>
      </c>
      <c r="EV129" s="231">
        <v>633400</v>
      </c>
      <c r="EW129" s="231">
        <v>552544</v>
      </c>
      <c r="EX129" s="231">
        <v>80856</v>
      </c>
      <c r="EY129" s="229">
        <v>0.14630000000000001</v>
      </c>
      <c r="EZ129" s="229">
        <v>0.65200000000000002</v>
      </c>
      <c r="FA129" s="227" t="s">
        <v>556</v>
      </c>
      <c r="FB129" s="161">
        <f t="shared" si="1"/>
        <v>406250</v>
      </c>
    </row>
    <row r="130" spans="1:158" ht="17.25" hidden="1" thickBot="1" x14ac:dyDescent="0.3">
      <c r="A130" s="226">
        <v>46050</v>
      </c>
      <c r="B130" s="227" t="s">
        <v>175</v>
      </c>
      <c r="C130" s="227" t="s">
        <v>257</v>
      </c>
      <c r="D130" s="228">
        <v>400</v>
      </c>
      <c r="E130" s="231">
        <v>1629.7</v>
      </c>
      <c r="F130" s="231">
        <v>1589.7</v>
      </c>
      <c r="G130" s="228">
        <v>40</v>
      </c>
      <c r="H130" s="229">
        <v>2.52E-2</v>
      </c>
      <c r="I130" s="231">
        <v>1623.9</v>
      </c>
      <c r="J130" s="231">
        <v>1576.6</v>
      </c>
      <c r="K130" s="228">
        <v>47.3</v>
      </c>
      <c r="L130" s="229">
        <v>0.03</v>
      </c>
      <c r="M130" s="231">
        <v>1629.7</v>
      </c>
      <c r="N130" s="231">
        <v>1582.1</v>
      </c>
      <c r="O130" s="228">
        <v>47.6</v>
      </c>
      <c r="P130" s="229">
        <v>3.0099999999999998E-2</v>
      </c>
      <c r="Q130" s="231">
        <v>1641.2</v>
      </c>
      <c r="R130" s="231">
        <v>1589.7</v>
      </c>
      <c r="S130" s="228">
        <v>51.5</v>
      </c>
      <c r="T130" s="229">
        <v>3.2399999999999998E-2</v>
      </c>
      <c r="U130" s="228">
        <v>0</v>
      </c>
      <c r="V130" s="231">
        <v>1596.3</v>
      </c>
      <c r="W130" s="228">
        <v>0</v>
      </c>
      <c r="X130" s="229">
        <v>0</v>
      </c>
      <c r="Y130" s="228">
        <v>5.8</v>
      </c>
      <c r="Z130" s="228">
        <v>13.1</v>
      </c>
      <c r="AA130" s="228">
        <v>-7.3</v>
      </c>
      <c r="AB130" s="229">
        <v>3.5999999999999999E-3</v>
      </c>
      <c r="AC130" s="228">
        <v>5.8</v>
      </c>
      <c r="AD130" s="228">
        <v>5.5</v>
      </c>
      <c r="AE130" s="228">
        <v>0.3</v>
      </c>
      <c r="AF130" s="229">
        <v>3.5999999999999999E-3</v>
      </c>
      <c r="AG130" s="228">
        <v>17.3</v>
      </c>
      <c r="AH130" s="228">
        <v>13.1</v>
      </c>
      <c r="AI130" s="228">
        <v>4.2</v>
      </c>
      <c r="AJ130" s="229">
        <v>1.0699999999999999E-2</v>
      </c>
      <c r="AK130" s="228">
        <v>0</v>
      </c>
      <c r="AL130" s="228">
        <v>19.7</v>
      </c>
      <c r="AM130" s="228">
        <v>0</v>
      </c>
      <c r="AN130" s="229">
        <v>0</v>
      </c>
      <c r="AO130" s="231">
        <v>1622.03</v>
      </c>
      <c r="AP130" s="231">
        <v>1634.46</v>
      </c>
      <c r="AQ130" s="228">
        <v>0</v>
      </c>
      <c r="AR130" s="230">
        <v>1324800</v>
      </c>
      <c r="AS130" s="230">
        <v>3688800</v>
      </c>
      <c r="AT130" s="230">
        <v>-2364000</v>
      </c>
      <c r="AU130" s="229">
        <v>-0.64090000000000003</v>
      </c>
      <c r="AV130" s="230">
        <v>1308000</v>
      </c>
      <c r="AW130" s="230">
        <v>1472400</v>
      </c>
      <c r="AX130" s="230">
        <v>-164400</v>
      </c>
      <c r="AY130" s="229">
        <v>-0.11169999999999999</v>
      </c>
      <c r="AZ130" s="230">
        <v>16800</v>
      </c>
      <c r="BA130" s="230">
        <v>2210800</v>
      </c>
      <c r="BB130" s="230">
        <v>-2194000</v>
      </c>
      <c r="BC130" s="229">
        <v>-0.99239999999999995</v>
      </c>
      <c r="BD130" s="228">
        <v>0</v>
      </c>
      <c r="BE130" s="230">
        <v>5600</v>
      </c>
      <c r="BF130" s="228">
        <v>0</v>
      </c>
      <c r="BG130" s="229">
        <v>0</v>
      </c>
      <c r="BH130" s="230">
        <v>1007200</v>
      </c>
      <c r="BI130" s="230">
        <v>673600</v>
      </c>
      <c r="BJ130" s="230">
        <v>333600</v>
      </c>
      <c r="BK130" s="229">
        <v>0.49519999999999997</v>
      </c>
      <c r="BL130" s="230">
        <v>570800</v>
      </c>
      <c r="BM130" s="230">
        <v>1359600</v>
      </c>
      <c r="BN130" s="230">
        <v>-788800</v>
      </c>
      <c r="BO130" s="229">
        <v>-0.58020000000000005</v>
      </c>
      <c r="BP130" s="230">
        <v>2902800</v>
      </c>
      <c r="BQ130" s="230">
        <v>5722000</v>
      </c>
      <c r="BR130" s="230">
        <v>-2819200</v>
      </c>
      <c r="BS130" s="229">
        <v>-0.49270000000000003</v>
      </c>
      <c r="BT130" s="230">
        <v>756234</v>
      </c>
      <c r="BU130" s="230">
        <v>1361178</v>
      </c>
      <c r="BV130" s="230">
        <v>-604944</v>
      </c>
      <c r="BW130" s="229">
        <v>-0.44440000000000002</v>
      </c>
      <c r="BX130" s="230">
        <v>8646400</v>
      </c>
      <c r="BY130" s="230">
        <v>8920000</v>
      </c>
      <c r="BZ130" s="230">
        <v>-273600</v>
      </c>
      <c r="CA130" s="229">
        <v>-3.0700000000000002E-2</v>
      </c>
      <c r="CB130" s="230">
        <v>8630000</v>
      </c>
      <c r="CC130" s="230">
        <v>418000</v>
      </c>
      <c r="CD130" s="230">
        <v>8212000</v>
      </c>
      <c r="CE130" s="229">
        <v>19.645900000000001</v>
      </c>
      <c r="CF130" s="230">
        <v>16400</v>
      </c>
      <c r="CG130" s="230">
        <v>8912000</v>
      </c>
      <c r="CH130" s="230">
        <v>-8895600</v>
      </c>
      <c r="CI130" s="229">
        <v>-0.99819999999999998</v>
      </c>
      <c r="CJ130" s="228">
        <v>0</v>
      </c>
      <c r="CK130" s="230">
        <v>8000</v>
      </c>
      <c r="CL130" s="230">
        <v>-8000</v>
      </c>
      <c r="CM130" s="229">
        <v>-1</v>
      </c>
      <c r="CN130" s="230">
        <v>620800</v>
      </c>
      <c r="CO130" s="230">
        <v>228800</v>
      </c>
      <c r="CP130" s="230">
        <v>392000</v>
      </c>
      <c r="CQ130" s="229">
        <v>1.7133</v>
      </c>
      <c r="CR130" s="230">
        <v>502000</v>
      </c>
      <c r="CS130" s="230">
        <v>227200</v>
      </c>
      <c r="CT130" s="230">
        <v>274800</v>
      </c>
      <c r="CU130" s="229">
        <v>1.2095</v>
      </c>
      <c r="CV130" s="230">
        <v>9769200</v>
      </c>
      <c r="CW130" s="230">
        <v>9376000</v>
      </c>
      <c r="CX130" s="230">
        <v>393200</v>
      </c>
      <c r="CY130" s="229">
        <v>4.19E-2</v>
      </c>
      <c r="CZ130" s="228">
        <v>30.81</v>
      </c>
      <c r="DA130" s="228">
        <v>31.45</v>
      </c>
      <c r="DB130" s="228">
        <v>-0.64</v>
      </c>
      <c r="DC130" s="228">
        <v>-0.64</v>
      </c>
      <c r="DD130" s="228">
        <v>29.18</v>
      </c>
      <c r="DE130" s="228">
        <v>29</v>
      </c>
      <c r="DF130" s="228">
        <v>1.63</v>
      </c>
      <c r="DG130" s="228">
        <v>0.18</v>
      </c>
      <c r="DH130" s="228">
        <v>30.54</v>
      </c>
      <c r="DI130" s="228">
        <v>30.55</v>
      </c>
      <c r="DJ130" s="228">
        <v>-0.01</v>
      </c>
      <c r="DK130" s="228">
        <v>-0.01</v>
      </c>
      <c r="DL130" s="228">
        <v>31.31</v>
      </c>
      <c r="DM130" s="228">
        <v>32.18</v>
      </c>
      <c r="DN130" s="228">
        <v>-0.87</v>
      </c>
      <c r="DO130" s="228">
        <v>-0.87</v>
      </c>
      <c r="DP130" s="228">
        <v>0.81</v>
      </c>
      <c r="DQ130" s="228">
        <v>0.99</v>
      </c>
      <c r="DR130" s="228">
        <v>-0.18</v>
      </c>
      <c r="DS130" s="229">
        <v>-0.18179999999999999</v>
      </c>
      <c r="DT130" s="231">
        <v>1700</v>
      </c>
      <c r="DU130" s="231">
        <v>1540</v>
      </c>
      <c r="DV130" s="228">
        <v>0.56999999999999995</v>
      </c>
      <c r="DW130" s="228">
        <v>2.02</v>
      </c>
      <c r="DX130" s="228">
        <v>-1.45</v>
      </c>
      <c r="DY130" s="229">
        <v>-0.71779999999999999</v>
      </c>
      <c r="DZ130" s="229">
        <v>1.9E-3</v>
      </c>
      <c r="EA130" s="230">
        <v>8920000</v>
      </c>
      <c r="EB130" s="229">
        <v>7.1000000000000004E-3</v>
      </c>
      <c r="EC130" s="229">
        <v>1.9E-3</v>
      </c>
      <c r="ED130" s="228">
        <v>12.43</v>
      </c>
      <c r="EE130" s="229">
        <v>7.7000000000000002E-3</v>
      </c>
      <c r="EF130" s="230">
        <v>554442</v>
      </c>
      <c r="EG130" s="230">
        <v>796872</v>
      </c>
      <c r="EH130" s="229">
        <v>-0.30420000000000003</v>
      </c>
      <c r="EI130" s="229">
        <v>0.73319999999999996</v>
      </c>
      <c r="EJ130" s="231">
        <v>17170.490000000002</v>
      </c>
      <c r="EK130" s="231">
        <v>9057.73</v>
      </c>
      <c r="EL130" s="231">
        <v>21490.77</v>
      </c>
      <c r="EM130" s="231">
        <v>14605</v>
      </c>
      <c r="EN130" s="231">
        <v>47718.99</v>
      </c>
      <c r="EO130" s="231">
        <v>91551.52</v>
      </c>
      <c r="EP130" s="231">
        <v>-43832.53</v>
      </c>
      <c r="EQ130" s="229">
        <v>-0.4788</v>
      </c>
      <c r="ER130" s="231">
        <v>10352</v>
      </c>
      <c r="ES130" s="231">
        <v>7809</v>
      </c>
      <c r="ET130" s="231">
        <v>140912</v>
      </c>
      <c r="EU130" s="231">
        <v>33919851</v>
      </c>
      <c r="EV130" s="231">
        <v>159073</v>
      </c>
      <c r="EW130" s="231">
        <v>149213</v>
      </c>
      <c r="EX130" s="231">
        <v>9860</v>
      </c>
      <c r="EY130" s="229">
        <v>6.6100000000000006E-2</v>
      </c>
      <c r="EZ130" s="229">
        <v>0.28799999999999998</v>
      </c>
      <c r="FA130" s="227" t="s">
        <v>556</v>
      </c>
      <c r="FB130" s="161">
        <f t="shared" si="1"/>
        <v>16400</v>
      </c>
    </row>
    <row r="131" spans="1:158" ht="17.25" hidden="1" thickBot="1" x14ac:dyDescent="0.3">
      <c r="A131" s="226">
        <v>46050</v>
      </c>
      <c r="B131" s="227" t="s">
        <v>181</v>
      </c>
      <c r="C131" s="227" t="s">
        <v>563</v>
      </c>
      <c r="D131" s="228">
        <v>120</v>
      </c>
      <c r="E131" s="231">
        <v>13409.05</v>
      </c>
      <c r="F131" s="231">
        <v>13216.2</v>
      </c>
      <c r="G131" s="228">
        <v>192.85</v>
      </c>
      <c r="H131" s="229">
        <v>1.46E-2</v>
      </c>
      <c r="I131" s="231">
        <v>13381.9</v>
      </c>
      <c r="J131" s="231">
        <v>13137.9</v>
      </c>
      <c r="K131" s="228">
        <v>244</v>
      </c>
      <c r="L131" s="229">
        <v>1.8599999999999998E-2</v>
      </c>
      <c r="M131" s="231">
        <v>13409.05</v>
      </c>
      <c r="N131" s="231">
        <v>13118.95</v>
      </c>
      <c r="O131" s="228">
        <v>290.10000000000002</v>
      </c>
      <c r="P131" s="229">
        <v>2.2100000000000002E-2</v>
      </c>
      <c r="Q131" s="231">
        <v>13476.6</v>
      </c>
      <c r="R131" s="231">
        <v>13216.2</v>
      </c>
      <c r="S131" s="228">
        <v>260.39999999999998</v>
      </c>
      <c r="T131" s="229">
        <v>1.9699999999999999E-2</v>
      </c>
      <c r="U131" s="231">
        <v>13525.75</v>
      </c>
      <c r="V131" s="231">
        <v>13312.85</v>
      </c>
      <c r="W131" s="228">
        <v>212.9</v>
      </c>
      <c r="X131" s="229">
        <v>1.6E-2</v>
      </c>
      <c r="Y131" s="228">
        <v>27.15</v>
      </c>
      <c r="Z131" s="228">
        <v>78.3</v>
      </c>
      <c r="AA131" s="228">
        <v>-51.15</v>
      </c>
      <c r="AB131" s="229">
        <v>2E-3</v>
      </c>
      <c r="AC131" s="228">
        <v>27.15</v>
      </c>
      <c r="AD131" s="228">
        <v>-18.95</v>
      </c>
      <c r="AE131" s="228">
        <v>46.1</v>
      </c>
      <c r="AF131" s="229">
        <v>2E-3</v>
      </c>
      <c r="AG131" s="228">
        <v>94.7</v>
      </c>
      <c r="AH131" s="228">
        <v>78.3</v>
      </c>
      <c r="AI131" s="228">
        <v>16.399999999999999</v>
      </c>
      <c r="AJ131" s="229">
        <v>7.1000000000000004E-3</v>
      </c>
      <c r="AK131" s="228">
        <v>143.85</v>
      </c>
      <c r="AL131" s="228">
        <v>174.95</v>
      </c>
      <c r="AM131" s="228">
        <v>-31.1</v>
      </c>
      <c r="AN131" s="229">
        <v>1.0699999999999999E-2</v>
      </c>
      <c r="AO131" s="231">
        <v>13313.86</v>
      </c>
      <c r="AP131" s="231">
        <v>13384.01</v>
      </c>
      <c r="AQ131" s="228">
        <v>0</v>
      </c>
      <c r="AR131" s="230">
        <v>833760</v>
      </c>
      <c r="AS131" s="230">
        <v>2466120</v>
      </c>
      <c r="AT131" s="230">
        <v>-1632360</v>
      </c>
      <c r="AU131" s="229">
        <v>-0.66190000000000004</v>
      </c>
      <c r="AV131" s="230">
        <v>790080</v>
      </c>
      <c r="AW131" s="230">
        <v>978600</v>
      </c>
      <c r="AX131" s="230">
        <v>-188520</v>
      </c>
      <c r="AY131" s="229">
        <v>-0.19259999999999999</v>
      </c>
      <c r="AZ131" s="230">
        <v>38520</v>
      </c>
      <c r="BA131" s="230">
        <v>1415760</v>
      </c>
      <c r="BB131" s="230">
        <v>-1377240</v>
      </c>
      <c r="BC131" s="229">
        <v>-0.9728</v>
      </c>
      <c r="BD131" s="230">
        <v>5160</v>
      </c>
      <c r="BE131" s="230">
        <v>71760</v>
      </c>
      <c r="BF131" s="230">
        <v>-66600</v>
      </c>
      <c r="BG131" s="229">
        <v>-0.92810000000000004</v>
      </c>
      <c r="BH131" s="230">
        <v>14721480</v>
      </c>
      <c r="BI131" s="230">
        <v>607618800</v>
      </c>
      <c r="BJ131" s="230">
        <v>-592897320</v>
      </c>
      <c r="BK131" s="229">
        <v>-0.9758</v>
      </c>
      <c r="BL131" s="230">
        <v>12636480</v>
      </c>
      <c r="BM131" s="230">
        <v>535380480</v>
      </c>
      <c r="BN131" s="230">
        <v>-522744000</v>
      </c>
      <c r="BO131" s="229">
        <v>-0.97640000000000005</v>
      </c>
      <c r="BP131" s="230">
        <v>28191720</v>
      </c>
      <c r="BQ131" s="230">
        <v>1145465400</v>
      </c>
      <c r="BR131" s="230">
        <v>-1117273680</v>
      </c>
      <c r="BS131" s="229">
        <v>-0.97540000000000004</v>
      </c>
      <c r="BT131" s="228">
        <v>0</v>
      </c>
      <c r="BU131" s="228">
        <v>0</v>
      </c>
      <c r="BV131" s="228">
        <v>0</v>
      </c>
      <c r="BW131" s="229">
        <v>0</v>
      </c>
      <c r="BX131" s="230">
        <v>2570640</v>
      </c>
      <c r="BY131" s="230">
        <v>2608680</v>
      </c>
      <c r="BZ131" s="230">
        <v>-38040</v>
      </c>
      <c r="CA131" s="229">
        <v>-1.46E-2</v>
      </c>
      <c r="CB131" s="230">
        <v>2503560</v>
      </c>
      <c r="CC131" s="230">
        <v>414720</v>
      </c>
      <c r="CD131" s="230">
        <v>2088840</v>
      </c>
      <c r="CE131" s="229">
        <v>5.0366999999999997</v>
      </c>
      <c r="CF131" s="230">
        <v>64560</v>
      </c>
      <c r="CG131" s="230">
        <v>2547360</v>
      </c>
      <c r="CH131" s="230">
        <v>-2482800</v>
      </c>
      <c r="CI131" s="229">
        <v>-0.97470000000000001</v>
      </c>
      <c r="CJ131" s="230">
        <v>2520</v>
      </c>
      <c r="CK131" s="230">
        <v>61320</v>
      </c>
      <c r="CL131" s="230">
        <v>-58800</v>
      </c>
      <c r="CM131" s="229">
        <v>-0.95889999999999997</v>
      </c>
      <c r="CN131" s="230">
        <v>3551880</v>
      </c>
      <c r="CO131" s="230">
        <v>1902600</v>
      </c>
      <c r="CP131" s="230">
        <v>1649280</v>
      </c>
      <c r="CQ131" s="229">
        <v>0.8669</v>
      </c>
      <c r="CR131" s="230">
        <v>4038600</v>
      </c>
      <c r="CS131" s="230">
        <v>2024640</v>
      </c>
      <c r="CT131" s="230">
        <v>2013960</v>
      </c>
      <c r="CU131" s="229">
        <v>0.99470000000000003</v>
      </c>
      <c r="CV131" s="230">
        <v>10161120</v>
      </c>
      <c r="CW131" s="230">
        <v>6535920</v>
      </c>
      <c r="CX131" s="230">
        <v>3625200</v>
      </c>
      <c r="CY131" s="229">
        <v>0.55469999999999997</v>
      </c>
      <c r="CZ131" s="228">
        <v>20.54</v>
      </c>
      <c r="DA131" s="228">
        <v>21.55</v>
      </c>
      <c r="DB131" s="228">
        <v>-1.01</v>
      </c>
      <c r="DC131" s="228">
        <v>-1.01</v>
      </c>
      <c r="DD131" s="228">
        <v>21.71</v>
      </c>
      <c r="DE131" s="228">
        <v>21.67</v>
      </c>
      <c r="DF131" s="228">
        <v>-1.17</v>
      </c>
      <c r="DG131" s="228">
        <v>0.04</v>
      </c>
      <c r="DH131" s="228">
        <v>19.3</v>
      </c>
      <c r="DI131" s="228">
        <v>20.58</v>
      </c>
      <c r="DJ131" s="228">
        <v>-1.28</v>
      </c>
      <c r="DK131" s="228">
        <v>-1.28</v>
      </c>
      <c r="DL131" s="228">
        <v>21.98</v>
      </c>
      <c r="DM131" s="228">
        <v>22.74</v>
      </c>
      <c r="DN131" s="228">
        <v>-0.76</v>
      </c>
      <c r="DO131" s="228">
        <v>-0.76</v>
      </c>
      <c r="DP131" s="228">
        <v>1.1399999999999999</v>
      </c>
      <c r="DQ131" s="228">
        <v>1.06</v>
      </c>
      <c r="DR131" s="228">
        <v>0.08</v>
      </c>
      <c r="DS131" s="229">
        <v>7.5499999999999998E-2</v>
      </c>
      <c r="DT131" s="231">
        <v>14000</v>
      </c>
      <c r="DU131" s="231">
        <v>13000</v>
      </c>
      <c r="DV131" s="228">
        <v>0.86</v>
      </c>
      <c r="DW131" s="228">
        <v>0.88</v>
      </c>
      <c r="DX131" s="228">
        <v>-0.02</v>
      </c>
      <c r="DY131" s="229">
        <v>-2.2700000000000001E-2</v>
      </c>
      <c r="DZ131" s="229">
        <v>2.6100000000000002E-2</v>
      </c>
      <c r="EA131" s="230">
        <v>2608680</v>
      </c>
      <c r="EB131" s="229">
        <v>5.0000000000000001E-3</v>
      </c>
      <c r="EC131" s="229">
        <v>2.6100000000000002E-2</v>
      </c>
      <c r="ED131" s="228">
        <v>70.150000000000006</v>
      </c>
      <c r="EE131" s="229">
        <v>5.3E-3</v>
      </c>
      <c r="EF131" s="228">
        <v>0</v>
      </c>
      <c r="EG131" s="228">
        <v>0</v>
      </c>
      <c r="EH131" s="229">
        <v>0</v>
      </c>
      <c r="EI131" s="229">
        <v>0</v>
      </c>
      <c r="EJ131" s="231">
        <v>2042121.96</v>
      </c>
      <c r="EK131" s="231">
        <v>1637592.57</v>
      </c>
      <c r="EL131" s="231">
        <v>111038.54</v>
      </c>
      <c r="EM131" s="228">
        <v>0</v>
      </c>
      <c r="EN131" s="231">
        <v>3790753.07</v>
      </c>
      <c r="EO131" s="231">
        <v>149983048.02000001</v>
      </c>
      <c r="EP131" s="231">
        <v>-146192294.94999999</v>
      </c>
      <c r="EQ131" s="229">
        <v>-0.97470000000000001</v>
      </c>
      <c r="ER131" s="231">
        <v>489734</v>
      </c>
      <c r="ES131" s="231">
        <v>515284</v>
      </c>
      <c r="ET131" s="231">
        <v>344745</v>
      </c>
      <c r="EU131" s="228">
        <v>0</v>
      </c>
      <c r="EV131" s="231">
        <v>1349763</v>
      </c>
      <c r="EW131" s="231">
        <v>865756</v>
      </c>
      <c r="EX131" s="231">
        <v>484007</v>
      </c>
      <c r="EY131" s="229">
        <v>0.55910000000000004</v>
      </c>
      <c r="EZ131" s="229">
        <v>0</v>
      </c>
      <c r="FA131" s="227" t="s">
        <v>556</v>
      </c>
      <c r="FB131" s="161">
        <f t="shared" ref="FB131:FB138" si="2">BX131-CB131</f>
        <v>67080</v>
      </c>
    </row>
    <row r="132" spans="1:158" ht="17.25" hidden="1" thickBot="1" x14ac:dyDescent="0.3">
      <c r="A132" s="226">
        <v>46050</v>
      </c>
      <c r="B132" s="227" t="s">
        <v>162</v>
      </c>
      <c r="C132" s="227" t="s">
        <v>559</v>
      </c>
      <c r="D132" s="228">
        <v>6150</v>
      </c>
      <c r="E132" s="228">
        <v>111.88</v>
      </c>
      <c r="F132" s="228">
        <v>110.23</v>
      </c>
      <c r="G132" s="228">
        <v>1.65</v>
      </c>
      <c r="H132" s="229">
        <v>1.4999999999999999E-2</v>
      </c>
      <c r="I132" s="228">
        <v>111.43</v>
      </c>
      <c r="J132" s="228">
        <v>109.67</v>
      </c>
      <c r="K132" s="228">
        <v>1.76</v>
      </c>
      <c r="L132" s="229">
        <v>1.6E-2</v>
      </c>
      <c r="M132" s="228">
        <v>111.88</v>
      </c>
      <c r="N132" s="228">
        <v>109.67</v>
      </c>
      <c r="O132" s="228">
        <v>2.21</v>
      </c>
      <c r="P132" s="229">
        <v>2.0199999999999999E-2</v>
      </c>
      <c r="Q132" s="228">
        <v>112.55</v>
      </c>
      <c r="R132" s="228">
        <v>110.23</v>
      </c>
      <c r="S132" s="228">
        <v>2.3199999999999998</v>
      </c>
      <c r="T132" s="229">
        <v>2.1000000000000001E-2</v>
      </c>
      <c r="U132" s="228">
        <v>113.32</v>
      </c>
      <c r="V132" s="228">
        <v>111.11</v>
      </c>
      <c r="W132" s="228">
        <v>2.21</v>
      </c>
      <c r="X132" s="229">
        <v>1.9900000000000001E-2</v>
      </c>
      <c r="Y132" s="228">
        <v>0.45</v>
      </c>
      <c r="Z132" s="228">
        <v>0.56000000000000005</v>
      </c>
      <c r="AA132" s="228">
        <v>-0.11</v>
      </c>
      <c r="AB132" s="229">
        <v>4.0000000000000001E-3</v>
      </c>
      <c r="AC132" s="228">
        <v>0.45</v>
      </c>
      <c r="AD132" s="228">
        <v>0</v>
      </c>
      <c r="AE132" s="228">
        <v>0.45</v>
      </c>
      <c r="AF132" s="229">
        <v>4.0000000000000001E-3</v>
      </c>
      <c r="AG132" s="228">
        <v>1.1200000000000001</v>
      </c>
      <c r="AH132" s="228">
        <v>0.56000000000000005</v>
      </c>
      <c r="AI132" s="228">
        <v>0.56000000000000005</v>
      </c>
      <c r="AJ132" s="229">
        <v>1.01E-2</v>
      </c>
      <c r="AK132" s="228">
        <v>1.89</v>
      </c>
      <c r="AL132" s="228">
        <v>1.44</v>
      </c>
      <c r="AM132" s="228">
        <v>0.45</v>
      </c>
      <c r="AN132" s="229">
        <v>1.7000000000000001E-2</v>
      </c>
      <c r="AO132" s="228">
        <v>110.59</v>
      </c>
      <c r="AP132" s="228">
        <v>111.28</v>
      </c>
      <c r="AQ132" s="228">
        <v>0</v>
      </c>
      <c r="AR132" s="230">
        <v>26629500</v>
      </c>
      <c r="AS132" s="230">
        <v>76112400</v>
      </c>
      <c r="AT132" s="230">
        <v>-49482900</v>
      </c>
      <c r="AU132" s="229">
        <v>-0.65010000000000001</v>
      </c>
      <c r="AV132" s="230">
        <v>25374900</v>
      </c>
      <c r="AW132" s="230">
        <v>33505200</v>
      </c>
      <c r="AX132" s="230">
        <v>-8130300</v>
      </c>
      <c r="AY132" s="229">
        <v>-0.2427</v>
      </c>
      <c r="AZ132" s="230">
        <v>1125450</v>
      </c>
      <c r="BA132" s="230">
        <v>41352600</v>
      </c>
      <c r="BB132" s="230">
        <v>-40227150</v>
      </c>
      <c r="BC132" s="229">
        <v>-0.9728</v>
      </c>
      <c r="BD132" s="230">
        <v>129150</v>
      </c>
      <c r="BE132" s="230">
        <v>1254600</v>
      </c>
      <c r="BF132" s="230">
        <v>-1125450</v>
      </c>
      <c r="BG132" s="229">
        <v>-0.89710000000000001</v>
      </c>
      <c r="BH132" s="230">
        <v>27453600</v>
      </c>
      <c r="BI132" s="230">
        <v>61254000</v>
      </c>
      <c r="BJ132" s="230">
        <v>-33800400</v>
      </c>
      <c r="BK132" s="229">
        <v>-0.55179999999999996</v>
      </c>
      <c r="BL132" s="230">
        <v>9157350</v>
      </c>
      <c r="BM132" s="230">
        <v>31654050</v>
      </c>
      <c r="BN132" s="230">
        <v>-22496700</v>
      </c>
      <c r="BO132" s="229">
        <v>-0.7107</v>
      </c>
      <c r="BP132" s="230">
        <v>63240450</v>
      </c>
      <c r="BQ132" s="230">
        <v>169020450</v>
      </c>
      <c r="BR132" s="230">
        <v>-105780000</v>
      </c>
      <c r="BS132" s="229">
        <v>-0.62580000000000002</v>
      </c>
      <c r="BT132" s="230">
        <v>12696794</v>
      </c>
      <c r="BU132" s="230">
        <v>10305374</v>
      </c>
      <c r="BV132" s="230">
        <v>2391420</v>
      </c>
      <c r="BW132" s="229">
        <v>0.2321</v>
      </c>
      <c r="BX132" s="230">
        <v>173282400</v>
      </c>
      <c r="BY132" s="230">
        <v>172083150</v>
      </c>
      <c r="BZ132" s="230">
        <v>1199250</v>
      </c>
      <c r="CA132" s="229">
        <v>7.0000000000000001E-3</v>
      </c>
      <c r="CB132" s="230">
        <v>170434950</v>
      </c>
      <c r="CC132" s="230">
        <v>6432900</v>
      </c>
      <c r="CD132" s="230">
        <v>164002050</v>
      </c>
      <c r="CE132" s="229">
        <v>25.494299999999999</v>
      </c>
      <c r="CF132" s="230">
        <v>2773650</v>
      </c>
      <c r="CG132" s="230">
        <v>169407900</v>
      </c>
      <c r="CH132" s="230">
        <v>-166634250</v>
      </c>
      <c r="CI132" s="229">
        <v>-0.98360000000000003</v>
      </c>
      <c r="CJ132" s="230">
        <v>73800</v>
      </c>
      <c r="CK132" s="230">
        <v>2675250</v>
      </c>
      <c r="CL132" s="230">
        <v>-2601450</v>
      </c>
      <c r="CM132" s="229">
        <v>-0.97240000000000004</v>
      </c>
      <c r="CN132" s="230">
        <v>22619700</v>
      </c>
      <c r="CO132" s="230">
        <v>21223650</v>
      </c>
      <c r="CP132" s="230">
        <v>1396050</v>
      </c>
      <c r="CQ132" s="229">
        <v>6.5799999999999997E-2</v>
      </c>
      <c r="CR132" s="230">
        <v>18413100</v>
      </c>
      <c r="CS132" s="230">
        <v>16887900</v>
      </c>
      <c r="CT132" s="230">
        <v>1525200</v>
      </c>
      <c r="CU132" s="229">
        <v>9.0300000000000005E-2</v>
      </c>
      <c r="CV132" s="230">
        <v>214315200</v>
      </c>
      <c r="CW132" s="230">
        <v>210194700</v>
      </c>
      <c r="CX132" s="230">
        <v>4120500</v>
      </c>
      <c r="CY132" s="229">
        <v>1.9599999999999999E-2</v>
      </c>
      <c r="CZ132" s="228">
        <v>38.369999999999997</v>
      </c>
      <c r="DA132" s="228">
        <v>40.58</v>
      </c>
      <c r="DB132" s="228">
        <v>-2.21</v>
      </c>
      <c r="DC132" s="228">
        <v>-2.21</v>
      </c>
      <c r="DD132" s="228">
        <v>38.08</v>
      </c>
      <c r="DE132" s="228">
        <v>38.119999999999997</v>
      </c>
      <c r="DF132" s="228">
        <v>0.28999999999999998</v>
      </c>
      <c r="DG132" s="228">
        <v>-0.04</v>
      </c>
      <c r="DH132" s="228">
        <v>37.93</v>
      </c>
      <c r="DI132" s="228">
        <v>40.340000000000003</v>
      </c>
      <c r="DJ132" s="228">
        <v>-2.41</v>
      </c>
      <c r="DK132" s="228">
        <v>-2.41</v>
      </c>
      <c r="DL132" s="228">
        <v>39.67</v>
      </c>
      <c r="DM132" s="228">
        <v>41.01</v>
      </c>
      <c r="DN132" s="228">
        <v>-1.34</v>
      </c>
      <c r="DO132" s="228">
        <v>-1.34</v>
      </c>
      <c r="DP132" s="228">
        <v>0.81</v>
      </c>
      <c r="DQ132" s="228">
        <v>0.8</v>
      </c>
      <c r="DR132" s="228">
        <v>0.01</v>
      </c>
      <c r="DS132" s="229">
        <v>1.2500000000000001E-2</v>
      </c>
      <c r="DT132" s="228">
        <v>120</v>
      </c>
      <c r="DU132" s="228">
        <v>110</v>
      </c>
      <c r="DV132" s="228">
        <v>0.33</v>
      </c>
      <c r="DW132" s="228">
        <v>0.52</v>
      </c>
      <c r="DX132" s="228">
        <v>-0.19</v>
      </c>
      <c r="DY132" s="229">
        <v>-0.3654</v>
      </c>
      <c r="DZ132" s="229">
        <v>1.6400000000000001E-2</v>
      </c>
      <c r="EA132" s="230">
        <v>172083150</v>
      </c>
      <c r="EB132" s="229">
        <v>6.0000000000000001E-3</v>
      </c>
      <c r="EC132" s="229">
        <v>1.6400000000000001E-2</v>
      </c>
      <c r="ED132" s="228">
        <v>0.69</v>
      </c>
      <c r="EE132" s="229">
        <v>6.1999999999999998E-3</v>
      </c>
      <c r="EF132" s="230">
        <v>6664411</v>
      </c>
      <c r="EG132" s="230">
        <v>4242518</v>
      </c>
      <c r="EH132" s="229">
        <v>0.57089999999999996</v>
      </c>
      <c r="EI132" s="229">
        <v>0.52490000000000003</v>
      </c>
      <c r="EJ132" s="231">
        <v>32853.919999999998</v>
      </c>
      <c r="EK132" s="231">
        <v>9948.17</v>
      </c>
      <c r="EL132" s="231">
        <v>29460.33</v>
      </c>
      <c r="EM132" s="231">
        <v>19220</v>
      </c>
      <c r="EN132" s="231">
        <v>72262.42</v>
      </c>
      <c r="EO132" s="231">
        <v>189758.54</v>
      </c>
      <c r="EP132" s="231">
        <v>-117496.12</v>
      </c>
      <c r="EQ132" s="229">
        <v>-0.61919999999999997</v>
      </c>
      <c r="ER132" s="231">
        <v>26656</v>
      </c>
      <c r="ES132" s="231">
        <v>19823</v>
      </c>
      <c r="ET132" s="231">
        <v>193888</v>
      </c>
      <c r="EU132" s="231">
        <v>606151620</v>
      </c>
      <c r="EV132" s="231">
        <v>240367</v>
      </c>
      <c r="EW132" s="231">
        <v>232950</v>
      </c>
      <c r="EX132" s="231">
        <v>7417</v>
      </c>
      <c r="EY132" s="229">
        <v>3.1800000000000002E-2</v>
      </c>
      <c r="EZ132" s="229">
        <v>0.35360000000000003</v>
      </c>
      <c r="FA132" s="227" t="s">
        <v>555</v>
      </c>
      <c r="FB132" s="161">
        <f t="shared" si="2"/>
        <v>2847450</v>
      </c>
    </row>
    <row r="133" spans="1:158" ht="17.25" hidden="1" thickBot="1" x14ac:dyDescent="0.3">
      <c r="A133" s="226">
        <v>46050</v>
      </c>
      <c r="B133" s="227" t="s">
        <v>221</v>
      </c>
      <c r="C133" s="227" t="s">
        <v>487</v>
      </c>
      <c r="D133" s="228">
        <v>275</v>
      </c>
      <c r="E133" s="231">
        <v>2843.6</v>
      </c>
      <c r="F133" s="231">
        <v>2826</v>
      </c>
      <c r="G133" s="228">
        <v>17.600000000000001</v>
      </c>
      <c r="H133" s="229">
        <v>6.1999999999999998E-3</v>
      </c>
      <c r="I133" s="231">
        <v>2833.7</v>
      </c>
      <c r="J133" s="231">
        <v>2806.1</v>
      </c>
      <c r="K133" s="228">
        <v>27.6</v>
      </c>
      <c r="L133" s="229">
        <v>9.7999999999999997E-3</v>
      </c>
      <c r="M133" s="231">
        <v>2843.6</v>
      </c>
      <c r="N133" s="231">
        <v>2814.8</v>
      </c>
      <c r="O133" s="228">
        <v>28.8</v>
      </c>
      <c r="P133" s="229">
        <v>1.0200000000000001E-2</v>
      </c>
      <c r="Q133" s="231">
        <v>2861.2</v>
      </c>
      <c r="R133" s="231">
        <v>2826</v>
      </c>
      <c r="S133" s="228">
        <v>35.200000000000003</v>
      </c>
      <c r="T133" s="229">
        <v>1.2500000000000001E-2</v>
      </c>
      <c r="U133" s="228">
        <v>0</v>
      </c>
      <c r="V133" s="231">
        <v>2846</v>
      </c>
      <c r="W133" s="228">
        <v>0</v>
      </c>
      <c r="X133" s="229">
        <v>0</v>
      </c>
      <c r="Y133" s="228">
        <v>9.9</v>
      </c>
      <c r="Z133" s="228">
        <v>19.899999999999999</v>
      </c>
      <c r="AA133" s="228">
        <v>-10</v>
      </c>
      <c r="AB133" s="229">
        <v>3.5000000000000001E-3</v>
      </c>
      <c r="AC133" s="228">
        <v>9.9</v>
      </c>
      <c r="AD133" s="228">
        <v>8.6999999999999993</v>
      </c>
      <c r="AE133" s="228">
        <v>1.2</v>
      </c>
      <c r="AF133" s="229">
        <v>3.5000000000000001E-3</v>
      </c>
      <c r="AG133" s="228">
        <v>27.5</v>
      </c>
      <c r="AH133" s="228">
        <v>19.899999999999999</v>
      </c>
      <c r="AI133" s="228">
        <v>7.6</v>
      </c>
      <c r="AJ133" s="229">
        <v>9.7000000000000003E-3</v>
      </c>
      <c r="AK133" s="228">
        <v>0</v>
      </c>
      <c r="AL133" s="228">
        <v>39.9</v>
      </c>
      <c r="AM133" s="228">
        <v>0</v>
      </c>
      <c r="AN133" s="229">
        <v>0</v>
      </c>
      <c r="AO133" s="231">
        <v>2843.26</v>
      </c>
      <c r="AP133" s="231">
        <v>2857.61</v>
      </c>
      <c r="AQ133" s="228">
        <v>0</v>
      </c>
      <c r="AR133" s="230">
        <v>514250</v>
      </c>
      <c r="AS133" s="230">
        <v>2503600</v>
      </c>
      <c r="AT133" s="230">
        <v>-1989350</v>
      </c>
      <c r="AU133" s="229">
        <v>-0.79459999999999997</v>
      </c>
      <c r="AV133" s="230">
        <v>503800</v>
      </c>
      <c r="AW133" s="230">
        <v>979000</v>
      </c>
      <c r="AX133" s="230">
        <v>-475200</v>
      </c>
      <c r="AY133" s="229">
        <v>-0.4854</v>
      </c>
      <c r="AZ133" s="230">
        <v>10450</v>
      </c>
      <c r="BA133" s="230">
        <v>1510025</v>
      </c>
      <c r="BB133" s="230">
        <v>-1499575</v>
      </c>
      <c r="BC133" s="229">
        <v>-0.99309999999999998</v>
      </c>
      <c r="BD133" s="228">
        <v>0</v>
      </c>
      <c r="BE133" s="230">
        <v>14575</v>
      </c>
      <c r="BF133" s="228">
        <v>0</v>
      </c>
      <c r="BG133" s="229">
        <v>0</v>
      </c>
      <c r="BH133" s="230">
        <v>686675</v>
      </c>
      <c r="BI133" s="230">
        <v>1906300</v>
      </c>
      <c r="BJ133" s="230">
        <v>-1219625</v>
      </c>
      <c r="BK133" s="229">
        <v>-0.63980000000000004</v>
      </c>
      <c r="BL133" s="230">
        <v>358050</v>
      </c>
      <c r="BM133" s="230">
        <v>1183050</v>
      </c>
      <c r="BN133" s="230">
        <v>-825000</v>
      </c>
      <c r="BO133" s="229">
        <v>-0.69740000000000002</v>
      </c>
      <c r="BP133" s="230">
        <v>1558975</v>
      </c>
      <c r="BQ133" s="230">
        <v>5592950</v>
      </c>
      <c r="BR133" s="230">
        <v>-4033975</v>
      </c>
      <c r="BS133" s="229">
        <v>-0.72130000000000005</v>
      </c>
      <c r="BT133" s="230">
        <v>226946</v>
      </c>
      <c r="BU133" s="230">
        <v>512284</v>
      </c>
      <c r="BV133" s="230">
        <v>-285338</v>
      </c>
      <c r="BW133" s="229">
        <v>-0.55700000000000005</v>
      </c>
      <c r="BX133" s="230">
        <v>4638700</v>
      </c>
      <c r="BY133" s="230">
        <v>4601300</v>
      </c>
      <c r="BZ133" s="230">
        <v>37400</v>
      </c>
      <c r="CA133" s="229">
        <v>8.0999999999999996E-3</v>
      </c>
      <c r="CB133" s="230">
        <v>4612025</v>
      </c>
      <c r="CC133" s="230">
        <v>193600</v>
      </c>
      <c r="CD133" s="230">
        <v>4418425</v>
      </c>
      <c r="CE133" s="229">
        <v>22.822399999999998</v>
      </c>
      <c r="CF133" s="230">
        <v>26675</v>
      </c>
      <c r="CG133" s="230">
        <v>4575725</v>
      </c>
      <c r="CH133" s="230">
        <v>-4549050</v>
      </c>
      <c r="CI133" s="229">
        <v>-0.99419999999999997</v>
      </c>
      <c r="CJ133" s="228">
        <v>0</v>
      </c>
      <c r="CK133" s="230">
        <v>25575</v>
      </c>
      <c r="CL133" s="230">
        <v>-25575</v>
      </c>
      <c r="CM133" s="229">
        <v>-1</v>
      </c>
      <c r="CN133" s="230">
        <v>423500</v>
      </c>
      <c r="CO133" s="230">
        <v>390225</v>
      </c>
      <c r="CP133" s="230">
        <v>33275</v>
      </c>
      <c r="CQ133" s="229">
        <v>8.5300000000000001E-2</v>
      </c>
      <c r="CR133" s="230">
        <v>313500</v>
      </c>
      <c r="CS133" s="230">
        <v>276100</v>
      </c>
      <c r="CT133" s="230">
        <v>37400</v>
      </c>
      <c r="CU133" s="229">
        <v>0.13550000000000001</v>
      </c>
      <c r="CV133" s="230">
        <v>5375700</v>
      </c>
      <c r="CW133" s="230">
        <v>5267625</v>
      </c>
      <c r="CX133" s="230">
        <v>108075</v>
      </c>
      <c r="CY133" s="229">
        <v>2.0500000000000001E-2</v>
      </c>
      <c r="CZ133" s="228">
        <v>30.12</v>
      </c>
      <c r="DA133" s="228">
        <v>31.51</v>
      </c>
      <c r="DB133" s="228">
        <v>-1.39</v>
      </c>
      <c r="DC133" s="228">
        <v>-1.39</v>
      </c>
      <c r="DD133" s="228">
        <v>35.17</v>
      </c>
      <c r="DE133" s="228">
        <v>35.24</v>
      </c>
      <c r="DF133" s="228">
        <v>-5.05</v>
      </c>
      <c r="DG133" s="228">
        <v>-7.0000000000000007E-2</v>
      </c>
      <c r="DH133" s="228">
        <v>29.46</v>
      </c>
      <c r="DI133" s="228">
        <v>31.05</v>
      </c>
      <c r="DJ133" s="228">
        <v>-1.59</v>
      </c>
      <c r="DK133" s="228">
        <v>-1.59</v>
      </c>
      <c r="DL133" s="228">
        <v>31.38</v>
      </c>
      <c r="DM133" s="228">
        <v>32.29</v>
      </c>
      <c r="DN133" s="228">
        <v>-0.91</v>
      </c>
      <c r="DO133" s="228">
        <v>-0.91</v>
      </c>
      <c r="DP133" s="228">
        <v>0.74</v>
      </c>
      <c r="DQ133" s="228">
        <v>0.71</v>
      </c>
      <c r="DR133" s="228">
        <v>0.03</v>
      </c>
      <c r="DS133" s="229">
        <v>4.2299999999999997E-2</v>
      </c>
      <c r="DT133" s="231">
        <v>2900</v>
      </c>
      <c r="DU133" s="231">
        <v>2800</v>
      </c>
      <c r="DV133" s="228">
        <v>0.52</v>
      </c>
      <c r="DW133" s="228">
        <v>0.62</v>
      </c>
      <c r="DX133" s="228">
        <v>-0.1</v>
      </c>
      <c r="DY133" s="229">
        <v>-0.1613</v>
      </c>
      <c r="DZ133" s="229">
        <v>5.7999999999999996E-3</v>
      </c>
      <c r="EA133" s="230">
        <v>4601300</v>
      </c>
      <c r="EB133" s="229">
        <v>6.1999999999999998E-3</v>
      </c>
      <c r="EC133" s="229">
        <v>5.7999999999999996E-3</v>
      </c>
      <c r="ED133" s="228">
        <v>14.35</v>
      </c>
      <c r="EE133" s="229">
        <v>5.0000000000000001E-3</v>
      </c>
      <c r="EF133" s="230">
        <v>109896</v>
      </c>
      <c r="EG133" s="230">
        <v>278908</v>
      </c>
      <c r="EH133" s="229">
        <v>-0.60599999999999998</v>
      </c>
      <c r="EI133" s="229">
        <v>0.48420000000000002</v>
      </c>
      <c r="EJ133" s="231">
        <v>20735.96</v>
      </c>
      <c r="EK133" s="231">
        <v>9718.1200000000008</v>
      </c>
      <c r="EL133" s="231">
        <v>14622.94</v>
      </c>
      <c r="EM133" s="231">
        <v>16972</v>
      </c>
      <c r="EN133" s="231">
        <v>45077.02</v>
      </c>
      <c r="EO133" s="231">
        <v>157994.13</v>
      </c>
      <c r="EP133" s="231">
        <v>-112917.11</v>
      </c>
      <c r="EQ133" s="229">
        <v>-0.7147</v>
      </c>
      <c r="ER133" s="231">
        <v>12511</v>
      </c>
      <c r="ES133" s="231">
        <v>8363</v>
      </c>
      <c r="ET133" s="231">
        <v>131911</v>
      </c>
      <c r="EU133" s="231">
        <v>17093933</v>
      </c>
      <c r="EV133" s="231">
        <v>152785</v>
      </c>
      <c r="EW133" s="231">
        <v>148830</v>
      </c>
      <c r="EX133" s="231">
        <v>3955</v>
      </c>
      <c r="EY133" s="229">
        <v>2.6599999999999999E-2</v>
      </c>
      <c r="EZ133" s="229">
        <v>0.3145</v>
      </c>
      <c r="FA133" s="227" t="s">
        <v>555</v>
      </c>
      <c r="FB133" s="161">
        <f t="shared" si="2"/>
        <v>26675</v>
      </c>
    </row>
    <row r="134" spans="1:158" ht="17.25" hidden="1" thickBot="1" x14ac:dyDescent="0.3">
      <c r="A134" s="226">
        <v>46050</v>
      </c>
      <c r="B134" s="227" t="s">
        <v>175</v>
      </c>
      <c r="C134" s="227" t="s">
        <v>262</v>
      </c>
      <c r="D134" s="228">
        <v>275</v>
      </c>
      <c r="E134" s="231">
        <v>3986.5</v>
      </c>
      <c r="F134" s="231">
        <v>3889.7</v>
      </c>
      <c r="G134" s="228">
        <v>96.8</v>
      </c>
      <c r="H134" s="229">
        <v>2.4899999999999999E-2</v>
      </c>
      <c r="I134" s="231">
        <v>3955.5</v>
      </c>
      <c r="J134" s="231">
        <v>3867.4</v>
      </c>
      <c r="K134" s="228">
        <v>88.1</v>
      </c>
      <c r="L134" s="229">
        <v>2.2800000000000001E-2</v>
      </c>
      <c r="M134" s="231">
        <v>3986.5</v>
      </c>
      <c r="N134" s="231">
        <v>3864.6</v>
      </c>
      <c r="O134" s="228">
        <v>121.9</v>
      </c>
      <c r="P134" s="229">
        <v>3.15E-2</v>
      </c>
      <c r="Q134" s="231">
        <v>4008.6</v>
      </c>
      <c r="R134" s="231">
        <v>3889.7</v>
      </c>
      <c r="S134" s="228">
        <v>118.9</v>
      </c>
      <c r="T134" s="229">
        <v>3.0599999999999999E-2</v>
      </c>
      <c r="U134" s="231">
        <v>4009.2</v>
      </c>
      <c r="V134" s="231">
        <v>3913.5</v>
      </c>
      <c r="W134" s="228">
        <v>95.7</v>
      </c>
      <c r="X134" s="229">
        <v>2.4500000000000001E-2</v>
      </c>
      <c r="Y134" s="228">
        <v>31</v>
      </c>
      <c r="Z134" s="228">
        <v>22.3</v>
      </c>
      <c r="AA134" s="228">
        <v>8.6999999999999993</v>
      </c>
      <c r="AB134" s="229">
        <v>7.7999999999999996E-3</v>
      </c>
      <c r="AC134" s="228">
        <v>31</v>
      </c>
      <c r="AD134" s="228">
        <v>-2.8</v>
      </c>
      <c r="AE134" s="228">
        <v>33.799999999999997</v>
      </c>
      <c r="AF134" s="229">
        <v>7.7999999999999996E-3</v>
      </c>
      <c r="AG134" s="228">
        <v>53.1</v>
      </c>
      <c r="AH134" s="228">
        <v>22.3</v>
      </c>
      <c r="AI134" s="228">
        <v>30.8</v>
      </c>
      <c r="AJ134" s="229">
        <v>1.34E-2</v>
      </c>
      <c r="AK134" s="228">
        <v>53.7</v>
      </c>
      <c r="AL134" s="228">
        <v>46.1</v>
      </c>
      <c r="AM134" s="228">
        <v>7.6</v>
      </c>
      <c r="AN134" s="229">
        <v>1.3599999999999999E-2</v>
      </c>
      <c r="AO134" s="231">
        <v>3964.77</v>
      </c>
      <c r="AP134" s="231">
        <v>3987.42</v>
      </c>
      <c r="AQ134" s="228">
        <v>0</v>
      </c>
      <c r="AR134" s="230">
        <v>1078550</v>
      </c>
      <c r="AS134" s="230">
        <v>2063050</v>
      </c>
      <c r="AT134" s="230">
        <v>-984500</v>
      </c>
      <c r="AU134" s="229">
        <v>-0.47720000000000001</v>
      </c>
      <c r="AV134" s="230">
        <v>1027400</v>
      </c>
      <c r="AW134" s="230">
        <v>779625</v>
      </c>
      <c r="AX134" s="230">
        <v>247775</v>
      </c>
      <c r="AY134" s="229">
        <v>0.31780000000000003</v>
      </c>
      <c r="AZ134" s="230">
        <v>45375</v>
      </c>
      <c r="BA134" s="230">
        <v>1252625</v>
      </c>
      <c r="BB134" s="230">
        <v>-1207250</v>
      </c>
      <c r="BC134" s="229">
        <v>-0.96379999999999999</v>
      </c>
      <c r="BD134" s="230">
        <v>5775</v>
      </c>
      <c r="BE134" s="230">
        <v>30800</v>
      </c>
      <c r="BF134" s="230">
        <v>-25025</v>
      </c>
      <c r="BG134" s="229">
        <v>-0.8125</v>
      </c>
      <c r="BH134" s="230">
        <v>1367850</v>
      </c>
      <c r="BI134" s="230">
        <v>3091825</v>
      </c>
      <c r="BJ134" s="230">
        <v>-1723975</v>
      </c>
      <c r="BK134" s="229">
        <v>-0.55759999999999998</v>
      </c>
      <c r="BL134" s="230">
        <v>596475</v>
      </c>
      <c r="BM134" s="230">
        <v>2022900</v>
      </c>
      <c r="BN134" s="230">
        <v>-1426425</v>
      </c>
      <c r="BO134" s="229">
        <v>-0.70509999999999995</v>
      </c>
      <c r="BP134" s="230">
        <v>3042875</v>
      </c>
      <c r="BQ134" s="230">
        <v>7177775</v>
      </c>
      <c r="BR134" s="230">
        <v>-4134900</v>
      </c>
      <c r="BS134" s="229">
        <v>-0.57609999999999995</v>
      </c>
      <c r="BT134" s="230">
        <v>475085</v>
      </c>
      <c r="BU134" s="230">
        <v>515215</v>
      </c>
      <c r="BV134" s="230">
        <v>-40130</v>
      </c>
      <c r="BW134" s="229">
        <v>-7.7899999999999997E-2</v>
      </c>
      <c r="BX134" s="230">
        <v>3921500</v>
      </c>
      <c r="BY134" s="230">
        <v>3744400</v>
      </c>
      <c r="BZ134" s="230">
        <v>177100</v>
      </c>
      <c r="CA134" s="229">
        <v>4.7300000000000002E-2</v>
      </c>
      <c r="CB134" s="230">
        <v>3854950</v>
      </c>
      <c r="CC134" s="230">
        <v>141075</v>
      </c>
      <c r="CD134" s="230">
        <v>3713875</v>
      </c>
      <c r="CE134" s="229">
        <v>26.325500000000002</v>
      </c>
      <c r="CF134" s="230">
        <v>61600</v>
      </c>
      <c r="CG134" s="230">
        <v>3689400</v>
      </c>
      <c r="CH134" s="230">
        <v>-3627800</v>
      </c>
      <c r="CI134" s="229">
        <v>-0.98329999999999995</v>
      </c>
      <c r="CJ134" s="230">
        <v>4950</v>
      </c>
      <c r="CK134" s="230">
        <v>55000</v>
      </c>
      <c r="CL134" s="230">
        <v>-50050</v>
      </c>
      <c r="CM134" s="229">
        <v>-0.91</v>
      </c>
      <c r="CN134" s="230">
        <v>971575</v>
      </c>
      <c r="CO134" s="230">
        <v>755700</v>
      </c>
      <c r="CP134" s="230">
        <v>215875</v>
      </c>
      <c r="CQ134" s="229">
        <v>0.28570000000000001</v>
      </c>
      <c r="CR134" s="230">
        <v>671000</v>
      </c>
      <c r="CS134" s="230">
        <v>547250</v>
      </c>
      <c r="CT134" s="230">
        <v>123750</v>
      </c>
      <c r="CU134" s="229">
        <v>0.2261</v>
      </c>
      <c r="CV134" s="230">
        <v>5564075</v>
      </c>
      <c r="CW134" s="230">
        <v>5047350</v>
      </c>
      <c r="CX134" s="230">
        <v>516725</v>
      </c>
      <c r="CY134" s="229">
        <v>0.1024</v>
      </c>
      <c r="CZ134" s="228">
        <v>39.07</v>
      </c>
      <c r="DA134" s="228">
        <v>39.42</v>
      </c>
      <c r="DB134" s="228">
        <v>-0.35</v>
      </c>
      <c r="DC134" s="228">
        <v>-0.35</v>
      </c>
      <c r="DD134" s="228">
        <v>35</v>
      </c>
      <c r="DE134" s="228">
        <v>34.93</v>
      </c>
      <c r="DF134" s="228">
        <v>4.07</v>
      </c>
      <c r="DG134" s="228">
        <v>7.0000000000000007E-2</v>
      </c>
      <c r="DH134" s="228">
        <v>38.520000000000003</v>
      </c>
      <c r="DI134" s="228">
        <v>38.72</v>
      </c>
      <c r="DJ134" s="228">
        <v>-0.2</v>
      </c>
      <c r="DK134" s="228">
        <v>-0.2</v>
      </c>
      <c r="DL134" s="228">
        <v>40.340000000000003</v>
      </c>
      <c r="DM134" s="228">
        <v>40.58</v>
      </c>
      <c r="DN134" s="228">
        <v>-0.24</v>
      </c>
      <c r="DO134" s="228">
        <v>-0.24</v>
      </c>
      <c r="DP134" s="228">
        <v>0.69</v>
      </c>
      <c r="DQ134" s="228">
        <v>0.72</v>
      </c>
      <c r="DR134" s="228">
        <v>-0.03</v>
      </c>
      <c r="DS134" s="229">
        <v>-4.1700000000000001E-2</v>
      </c>
      <c r="DT134" s="231">
        <v>3700</v>
      </c>
      <c r="DU134" s="231">
        <v>3500</v>
      </c>
      <c r="DV134" s="228">
        <v>0.44</v>
      </c>
      <c r="DW134" s="228">
        <v>0.65</v>
      </c>
      <c r="DX134" s="228">
        <v>-0.21</v>
      </c>
      <c r="DY134" s="229">
        <v>-0.3231</v>
      </c>
      <c r="DZ134" s="229">
        <v>1.7000000000000001E-2</v>
      </c>
      <c r="EA134" s="230">
        <v>3744400</v>
      </c>
      <c r="EB134" s="229">
        <v>5.4999999999999997E-3</v>
      </c>
      <c r="EC134" s="229">
        <v>1.7000000000000001E-2</v>
      </c>
      <c r="ED134" s="228">
        <v>22.65</v>
      </c>
      <c r="EE134" s="229">
        <v>5.7000000000000002E-3</v>
      </c>
      <c r="EF134" s="230">
        <v>255157</v>
      </c>
      <c r="EG134" s="230">
        <v>247559</v>
      </c>
      <c r="EH134" s="229">
        <v>3.0700000000000002E-2</v>
      </c>
      <c r="EI134" s="229">
        <v>0.53710000000000002</v>
      </c>
      <c r="EJ134" s="231">
        <v>57602.09</v>
      </c>
      <c r="EK134" s="231">
        <v>22904.240000000002</v>
      </c>
      <c r="EL134" s="231">
        <v>42774</v>
      </c>
      <c r="EM134" s="231">
        <v>13646</v>
      </c>
      <c r="EN134" s="231">
        <v>123280.33</v>
      </c>
      <c r="EO134" s="231">
        <v>280132.39</v>
      </c>
      <c r="EP134" s="231">
        <v>-156852.06</v>
      </c>
      <c r="EQ134" s="229">
        <v>-0.55989999999999995</v>
      </c>
      <c r="ER134" s="231">
        <v>38869</v>
      </c>
      <c r="ES134" s="231">
        <v>24725</v>
      </c>
      <c r="ET134" s="231">
        <v>156345</v>
      </c>
      <c r="EU134" s="231">
        <v>14790848</v>
      </c>
      <c r="EV134" s="231">
        <v>219939</v>
      </c>
      <c r="EW134" s="231">
        <v>195898</v>
      </c>
      <c r="EX134" s="231">
        <v>24041</v>
      </c>
      <c r="EY134" s="229">
        <v>0.1227</v>
      </c>
      <c r="EZ134" s="229">
        <v>0.37619999999999998</v>
      </c>
      <c r="FA134" s="227" t="s">
        <v>555</v>
      </c>
      <c r="FB134" s="161">
        <f t="shared" si="2"/>
        <v>66550</v>
      </c>
    </row>
    <row r="135" spans="1:158" ht="17.25" hidden="1" thickBot="1" x14ac:dyDescent="0.3">
      <c r="A135" s="226">
        <v>46050</v>
      </c>
      <c r="B135" s="227" t="s">
        <v>227</v>
      </c>
      <c r="C135" s="227" t="s">
        <v>263</v>
      </c>
      <c r="D135" s="228">
        <v>3750</v>
      </c>
      <c r="E135" s="228">
        <v>404.05</v>
      </c>
      <c r="F135" s="228">
        <v>382.05</v>
      </c>
      <c r="G135" s="228">
        <v>22</v>
      </c>
      <c r="H135" s="229">
        <v>5.7599999999999998E-2</v>
      </c>
      <c r="I135" s="228">
        <v>406.15</v>
      </c>
      <c r="J135" s="228">
        <v>384.6</v>
      </c>
      <c r="K135" s="228">
        <v>21.55</v>
      </c>
      <c r="L135" s="229">
        <v>5.6000000000000001E-2</v>
      </c>
      <c r="M135" s="228">
        <v>404.05</v>
      </c>
      <c r="N135" s="228">
        <v>384.4</v>
      </c>
      <c r="O135" s="228">
        <v>19.649999999999999</v>
      </c>
      <c r="P135" s="229">
        <v>5.11E-2</v>
      </c>
      <c r="Q135" s="228">
        <v>404.6</v>
      </c>
      <c r="R135" s="228">
        <v>382.05</v>
      </c>
      <c r="S135" s="228">
        <v>22.55</v>
      </c>
      <c r="T135" s="229">
        <v>5.8999999999999997E-2</v>
      </c>
      <c r="U135" s="228">
        <v>406.5</v>
      </c>
      <c r="V135" s="228">
        <v>382.65</v>
      </c>
      <c r="W135" s="228">
        <v>23.85</v>
      </c>
      <c r="X135" s="229">
        <v>6.2300000000000001E-2</v>
      </c>
      <c r="Y135" s="228">
        <v>-2.1</v>
      </c>
      <c r="Z135" s="228">
        <v>-2.5499999999999998</v>
      </c>
      <c r="AA135" s="228">
        <v>0.45</v>
      </c>
      <c r="AB135" s="229">
        <v>-5.1999999999999998E-3</v>
      </c>
      <c r="AC135" s="228">
        <v>-2.1</v>
      </c>
      <c r="AD135" s="228">
        <v>-0.2</v>
      </c>
      <c r="AE135" s="228">
        <v>-1.9</v>
      </c>
      <c r="AF135" s="229">
        <v>-5.1999999999999998E-3</v>
      </c>
      <c r="AG135" s="228">
        <v>-1.55</v>
      </c>
      <c r="AH135" s="228">
        <v>-2.5499999999999998</v>
      </c>
      <c r="AI135" s="228">
        <v>1</v>
      </c>
      <c r="AJ135" s="229">
        <v>-3.8E-3</v>
      </c>
      <c r="AK135" s="228">
        <v>0.35</v>
      </c>
      <c r="AL135" s="228">
        <v>-1.95</v>
      </c>
      <c r="AM135" s="228">
        <v>2.2999999999999998</v>
      </c>
      <c r="AN135" s="229">
        <v>8.9999999999999998E-4</v>
      </c>
      <c r="AO135" s="228">
        <v>396.41</v>
      </c>
      <c r="AP135" s="228">
        <v>397.03</v>
      </c>
      <c r="AQ135" s="228">
        <v>0</v>
      </c>
      <c r="AR135" s="230">
        <v>35332500</v>
      </c>
      <c r="AS135" s="230">
        <v>49661250</v>
      </c>
      <c r="AT135" s="230">
        <v>-14328750</v>
      </c>
      <c r="AU135" s="229">
        <v>-0.28849999999999998</v>
      </c>
      <c r="AV135" s="230">
        <v>32666250</v>
      </c>
      <c r="AW135" s="230">
        <v>18405000</v>
      </c>
      <c r="AX135" s="230">
        <v>14261250</v>
      </c>
      <c r="AY135" s="229">
        <v>0.77490000000000003</v>
      </c>
      <c r="AZ135" s="230">
        <v>2160000</v>
      </c>
      <c r="BA135" s="230">
        <v>29910000</v>
      </c>
      <c r="BB135" s="230">
        <v>-27750000</v>
      </c>
      <c r="BC135" s="229">
        <v>-0.92779999999999996</v>
      </c>
      <c r="BD135" s="230">
        <v>506250</v>
      </c>
      <c r="BE135" s="230">
        <v>1346250</v>
      </c>
      <c r="BF135" s="230">
        <v>-840000</v>
      </c>
      <c r="BG135" s="229">
        <v>-0.624</v>
      </c>
      <c r="BH135" s="230">
        <v>92966250</v>
      </c>
      <c r="BI135" s="230">
        <v>78116250</v>
      </c>
      <c r="BJ135" s="230">
        <v>14850000</v>
      </c>
      <c r="BK135" s="229">
        <v>0.19009999999999999</v>
      </c>
      <c r="BL135" s="230">
        <v>39780000</v>
      </c>
      <c r="BM135" s="230">
        <v>39127500</v>
      </c>
      <c r="BN135" s="230">
        <v>652500</v>
      </c>
      <c r="BO135" s="229">
        <v>1.67E-2</v>
      </c>
      <c r="BP135" s="230">
        <v>168078750</v>
      </c>
      <c r="BQ135" s="230">
        <v>166905000</v>
      </c>
      <c r="BR135" s="230">
        <v>1173750</v>
      </c>
      <c r="BS135" s="229">
        <v>7.0000000000000001E-3</v>
      </c>
      <c r="BT135" s="230">
        <v>23886396</v>
      </c>
      <c r="BU135" s="230">
        <v>16362182</v>
      </c>
      <c r="BV135" s="230">
        <v>7524214</v>
      </c>
      <c r="BW135" s="229">
        <v>0.45989999999999998</v>
      </c>
      <c r="BX135" s="230">
        <v>49327500</v>
      </c>
      <c r="BY135" s="230">
        <v>48011250</v>
      </c>
      <c r="BZ135" s="230">
        <v>1316250</v>
      </c>
      <c r="CA135" s="229">
        <v>2.7400000000000001E-2</v>
      </c>
      <c r="CB135" s="230">
        <v>47441250</v>
      </c>
      <c r="CC135" s="230">
        <v>4522500</v>
      </c>
      <c r="CD135" s="230">
        <v>42918750</v>
      </c>
      <c r="CE135" s="229">
        <v>9.49</v>
      </c>
      <c r="CF135" s="230">
        <v>1590000</v>
      </c>
      <c r="CG135" s="230">
        <v>46788750</v>
      </c>
      <c r="CH135" s="230">
        <v>-45198750</v>
      </c>
      <c r="CI135" s="229">
        <v>-0.96599999999999997</v>
      </c>
      <c r="CJ135" s="230">
        <v>296250</v>
      </c>
      <c r="CK135" s="230">
        <v>1222500</v>
      </c>
      <c r="CL135" s="230">
        <v>-926250</v>
      </c>
      <c r="CM135" s="229">
        <v>-0.75770000000000004</v>
      </c>
      <c r="CN135" s="230">
        <v>21401250</v>
      </c>
      <c r="CO135" s="230">
        <v>19245000</v>
      </c>
      <c r="CP135" s="230">
        <v>2156250</v>
      </c>
      <c r="CQ135" s="229">
        <v>0.112</v>
      </c>
      <c r="CR135" s="230">
        <v>18521250</v>
      </c>
      <c r="CS135" s="230">
        <v>14932500</v>
      </c>
      <c r="CT135" s="230">
        <v>3588750</v>
      </c>
      <c r="CU135" s="229">
        <v>0.24030000000000001</v>
      </c>
      <c r="CV135" s="230">
        <v>89250000</v>
      </c>
      <c r="CW135" s="230">
        <v>82188750</v>
      </c>
      <c r="CX135" s="230">
        <v>7061250</v>
      </c>
      <c r="CY135" s="229">
        <v>8.5900000000000004E-2</v>
      </c>
      <c r="CZ135" s="228">
        <v>44.18</v>
      </c>
      <c r="DA135" s="228">
        <v>42.51</v>
      </c>
      <c r="DB135" s="228">
        <v>1.67</v>
      </c>
      <c r="DC135" s="228">
        <v>1.67</v>
      </c>
      <c r="DD135" s="228">
        <v>47.99</v>
      </c>
      <c r="DE135" s="228">
        <v>47.54</v>
      </c>
      <c r="DF135" s="228">
        <v>-3.81</v>
      </c>
      <c r="DG135" s="228">
        <v>0.45</v>
      </c>
      <c r="DH135" s="228">
        <v>43.64</v>
      </c>
      <c r="DI135" s="228">
        <v>42.21</v>
      </c>
      <c r="DJ135" s="228">
        <v>1.43</v>
      </c>
      <c r="DK135" s="228">
        <v>1.43</v>
      </c>
      <c r="DL135" s="228">
        <v>45.43</v>
      </c>
      <c r="DM135" s="228">
        <v>43.2</v>
      </c>
      <c r="DN135" s="228">
        <v>2.23</v>
      </c>
      <c r="DO135" s="228">
        <v>2.23</v>
      </c>
      <c r="DP135" s="228">
        <v>0.87</v>
      </c>
      <c r="DQ135" s="228">
        <v>0.78</v>
      </c>
      <c r="DR135" s="228">
        <v>0.09</v>
      </c>
      <c r="DS135" s="229">
        <v>0.1154</v>
      </c>
      <c r="DT135" s="228">
        <v>400</v>
      </c>
      <c r="DU135" s="228">
        <v>350</v>
      </c>
      <c r="DV135" s="228">
        <v>0.43</v>
      </c>
      <c r="DW135" s="228">
        <v>0.5</v>
      </c>
      <c r="DX135" s="228">
        <v>-7.0000000000000007E-2</v>
      </c>
      <c r="DY135" s="229">
        <v>-0.14000000000000001</v>
      </c>
      <c r="DZ135" s="229">
        <v>3.8199999999999998E-2</v>
      </c>
      <c r="EA135" s="230">
        <v>48011250</v>
      </c>
      <c r="EB135" s="229">
        <v>1.4E-3</v>
      </c>
      <c r="EC135" s="229">
        <v>3.8199999999999998E-2</v>
      </c>
      <c r="ED135" s="228">
        <v>0.62</v>
      </c>
      <c r="EE135" s="229">
        <v>1.6000000000000001E-3</v>
      </c>
      <c r="EF135" s="230">
        <v>6015058</v>
      </c>
      <c r="EG135" s="230">
        <v>6398299</v>
      </c>
      <c r="EH135" s="229">
        <v>-5.9900000000000002E-2</v>
      </c>
      <c r="EI135" s="229">
        <v>0.25180000000000002</v>
      </c>
      <c r="EJ135" s="231">
        <v>390435.89</v>
      </c>
      <c r="EK135" s="231">
        <v>153451.44</v>
      </c>
      <c r="EL135" s="231">
        <v>140099.65</v>
      </c>
      <c r="EM135" s="231">
        <v>14247</v>
      </c>
      <c r="EN135" s="231">
        <v>683986.98</v>
      </c>
      <c r="EO135" s="231">
        <v>638547.06000000006</v>
      </c>
      <c r="EP135" s="231">
        <v>45439.92</v>
      </c>
      <c r="EQ135" s="229">
        <v>7.1199999999999999E-2</v>
      </c>
      <c r="ER135" s="231">
        <v>84217</v>
      </c>
      <c r="ES135" s="231">
        <v>65983</v>
      </c>
      <c r="ET135" s="231">
        <v>199324</v>
      </c>
      <c r="EU135" s="231">
        <v>134225816</v>
      </c>
      <c r="EV135" s="231">
        <v>349524</v>
      </c>
      <c r="EW135" s="231">
        <v>309193</v>
      </c>
      <c r="EX135" s="231">
        <v>40331</v>
      </c>
      <c r="EY135" s="229">
        <v>0.13039999999999999</v>
      </c>
      <c r="EZ135" s="229">
        <v>0.66490000000000005</v>
      </c>
      <c r="FA135" s="227" t="s">
        <v>555</v>
      </c>
      <c r="FB135" s="161">
        <f t="shared" si="2"/>
        <v>1886250</v>
      </c>
    </row>
    <row r="136" spans="1:158" ht="17.25" hidden="1" thickBot="1" x14ac:dyDescent="0.3">
      <c r="A136" s="226">
        <v>46050</v>
      </c>
      <c r="B136" s="227" t="s">
        <v>615</v>
      </c>
      <c r="C136" s="227" t="s">
        <v>264</v>
      </c>
      <c r="D136" s="228">
        <v>375</v>
      </c>
      <c r="E136" s="231">
        <v>1307.7</v>
      </c>
      <c r="F136" s="231">
        <v>1286.2</v>
      </c>
      <c r="G136" s="228">
        <v>21.5</v>
      </c>
      <c r="H136" s="229">
        <v>1.67E-2</v>
      </c>
      <c r="I136" s="231">
        <v>1299.9000000000001</v>
      </c>
      <c r="J136" s="231">
        <v>1279</v>
      </c>
      <c r="K136" s="228">
        <v>20.9</v>
      </c>
      <c r="L136" s="229">
        <v>1.6299999999999999E-2</v>
      </c>
      <c r="M136" s="231">
        <v>1307.7</v>
      </c>
      <c r="N136" s="231">
        <v>1282.4000000000001</v>
      </c>
      <c r="O136" s="228">
        <v>25.3</v>
      </c>
      <c r="P136" s="229">
        <v>1.9699999999999999E-2</v>
      </c>
      <c r="Q136" s="231">
        <v>1308</v>
      </c>
      <c r="R136" s="231">
        <v>1286.2</v>
      </c>
      <c r="S136" s="228">
        <v>21.8</v>
      </c>
      <c r="T136" s="229">
        <v>1.6899999999999998E-2</v>
      </c>
      <c r="U136" s="231">
        <v>1310</v>
      </c>
      <c r="V136" s="231">
        <v>1292.8</v>
      </c>
      <c r="W136" s="228">
        <v>17.2</v>
      </c>
      <c r="X136" s="229">
        <v>1.3299999999999999E-2</v>
      </c>
      <c r="Y136" s="228">
        <v>7.8</v>
      </c>
      <c r="Z136" s="228">
        <v>7.2</v>
      </c>
      <c r="AA136" s="228">
        <v>0.6</v>
      </c>
      <c r="AB136" s="229">
        <v>6.0000000000000001E-3</v>
      </c>
      <c r="AC136" s="228">
        <v>7.8</v>
      </c>
      <c r="AD136" s="228">
        <v>3.4</v>
      </c>
      <c r="AE136" s="228">
        <v>4.4000000000000004</v>
      </c>
      <c r="AF136" s="229">
        <v>6.0000000000000001E-3</v>
      </c>
      <c r="AG136" s="228">
        <v>8.1</v>
      </c>
      <c r="AH136" s="228">
        <v>7.2</v>
      </c>
      <c r="AI136" s="228">
        <v>0.9</v>
      </c>
      <c r="AJ136" s="229">
        <v>6.1999999999999998E-3</v>
      </c>
      <c r="AK136" s="228">
        <v>10.1</v>
      </c>
      <c r="AL136" s="228">
        <v>13.8</v>
      </c>
      <c r="AM136" s="228">
        <v>-3.7</v>
      </c>
      <c r="AN136" s="229">
        <v>7.7999999999999996E-3</v>
      </c>
      <c r="AO136" s="231">
        <v>1293.07</v>
      </c>
      <c r="AP136" s="231">
        <v>1286.92</v>
      </c>
      <c r="AQ136" s="228">
        <v>0</v>
      </c>
      <c r="AR136" s="230">
        <v>1463625</v>
      </c>
      <c r="AS136" s="230">
        <v>3369375</v>
      </c>
      <c r="AT136" s="230">
        <v>-1905750</v>
      </c>
      <c r="AU136" s="229">
        <v>-0.56559999999999999</v>
      </c>
      <c r="AV136" s="230">
        <v>1384500</v>
      </c>
      <c r="AW136" s="230">
        <v>1419000</v>
      </c>
      <c r="AX136" s="230">
        <v>-34500</v>
      </c>
      <c r="AY136" s="229">
        <v>-2.4299999999999999E-2</v>
      </c>
      <c r="AZ136" s="230">
        <v>77625</v>
      </c>
      <c r="BA136" s="230">
        <v>1915500</v>
      </c>
      <c r="BB136" s="230">
        <v>-1837875</v>
      </c>
      <c r="BC136" s="229">
        <v>-0.95950000000000002</v>
      </c>
      <c r="BD136" s="230">
        <v>1500</v>
      </c>
      <c r="BE136" s="230">
        <v>34875</v>
      </c>
      <c r="BF136" s="230">
        <v>-33375</v>
      </c>
      <c r="BG136" s="229">
        <v>-0.95699999999999996</v>
      </c>
      <c r="BH136" s="230">
        <v>1627125</v>
      </c>
      <c r="BI136" s="230">
        <v>2947875</v>
      </c>
      <c r="BJ136" s="230">
        <v>-1320750</v>
      </c>
      <c r="BK136" s="229">
        <v>-0.44800000000000001</v>
      </c>
      <c r="BL136" s="230">
        <v>1009125</v>
      </c>
      <c r="BM136" s="230">
        <v>3315000</v>
      </c>
      <c r="BN136" s="230">
        <v>-2305875</v>
      </c>
      <c r="BO136" s="229">
        <v>-0.6956</v>
      </c>
      <c r="BP136" s="230">
        <v>4099875</v>
      </c>
      <c r="BQ136" s="230">
        <v>9632250</v>
      </c>
      <c r="BR136" s="230">
        <v>-5532375</v>
      </c>
      <c r="BS136" s="229">
        <v>-0.57440000000000002</v>
      </c>
      <c r="BT136" s="230">
        <v>1301629</v>
      </c>
      <c r="BU136" s="230">
        <v>1901692</v>
      </c>
      <c r="BV136" s="230">
        <v>-600063</v>
      </c>
      <c r="BW136" s="229">
        <v>-0.3155</v>
      </c>
      <c r="BX136" s="230">
        <v>8115750</v>
      </c>
      <c r="BY136" s="230">
        <v>7957500</v>
      </c>
      <c r="BZ136" s="230">
        <v>158250</v>
      </c>
      <c r="CA136" s="229">
        <v>1.9900000000000001E-2</v>
      </c>
      <c r="CB136" s="230">
        <v>8035875</v>
      </c>
      <c r="CC136" s="230">
        <v>263250</v>
      </c>
      <c r="CD136" s="230">
        <v>7772625</v>
      </c>
      <c r="CE136" s="229">
        <v>29.525600000000001</v>
      </c>
      <c r="CF136" s="230">
        <v>78375</v>
      </c>
      <c r="CG136" s="230">
        <v>7908750</v>
      </c>
      <c r="CH136" s="230">
        <v>-7830375</v>
      </c>
      <c r="CI136" s="229">
        <v>-0.99009999999999998</v>
      </c>
      <c r="CJ136" s="230">
        <v>1500</v>
      </c>
      <c r="CK136" s="230">
        <v>48750</v>
      </c>
      <c r="CL136" s="230">
        <v>-47250</v>
      </c>
      <c r="CM136" s="229">
        <v>-0.96919999999999995</v>
      </c>
      <c r="CN136" s="230">
        <v>1081125</v>
      </c>
      <c r="CO136" s="230">
        <v>825375</v>
      </c>
      <c r="CP136" s="230">
        <v>255750</v>
      </c>
      <c r="CQ136" s="229">
        <v>0.30990000000000001</v>
      </c>
      <c r="CR136" s="230">
        <v>956625</v>
      </c>
      <c r="CS136" s="230">
        <v>792000</v>
      </c>
      <c r="CT136" s="230">
        <v>164625</v>
      </c>
      <c r="CU136" s="229">
        <v>0.2079</v>
      </c>
      <c r="CV136" s="230">
        <v>10153500</v>
      </c>
      <c r="CW136" s="230">
        <v>9574875</v>
      </c>
      <c r="CX136" s="230">
        <v>578625</v>
      </c>
      <c r="CY136" s="229">
        <v>6.0400000000000002E-2</v>
      </c>
      <c r="CZ136" s="228">
        <v>35.200000000000003</v>
      </c>
      <c r="DA136" s="228">
        <v>35.909999999999997</v>
      </c>
      <c r="DB136" s="228">
        <v>-0.71</v>
      </c>
      <c r="DC136" s="228">
        <v>-0.71</v>
      </c>
      <c r="DD136" s="228">
        <v>35.21</v>
      </c>
      <c r="DE136" s="228">
        <v>35.229999999999997</v>
      </c>
      <c r="DF136" s="228">
        <v>-0.01</v>
      </c>
      <c r="DG136" s="228">
        <v>-0.02</v>
      </c>
      <c r="DH136" s="228">
        <v>33.74</v>
      </c>
      <c r="DI136" s="228">
        <v>33.86</v>
      </c>
      <c r="DJ136" s="228">
        <v>-0.12</v>
      </c>
      <c r="DK136" s="228">
        <v>-0.12</v>
      </c>
      <c r="DL136" s="228">
        <v>37.549999999999997</v>
      </c>
      <c r="DM136" s="228">
        <v>38.07</v>
      </c>
      <c r="DN136" s="228">
        <v>-0.52</v>
      </c>
      <c r="DO136" s="228">
        <v>-0.52</v>
      </c>
      <c r="DP136" s="228">
        <v>0.88</v>
      </c>
      <c r="DQ136" s="228">
        <v>0.96</v>
      </c>
      <c r="DR136" s="228">
        <v>-0.08</v>
      </c>
      <c r="DS136" s="229">
        <v>-8.3299999999999999E-2</v>
      </c>
      <c r="DT136" s="231">
        <v>1320</v>
      </c>
      <c r="DU136" s="231">
        <v>1200</v>
      </c>
      <c r="DV136" s="228">
        <v>0.62</v>
      </c>
      <c r="DW136" s="228">
        <v>1.1200000000000001</v>
      </c>
      <c r="DX136" s="228">
        <v>-0.5</v>
      </c>
      <c r="DY136" s="229">
        <v>-0.44640000000000002</v>
      </c>
      <c r="DZ136" s="229">
        <v>9.7999999999999997E-3</v>
      </c>
      <c r="EA136" s="230">
        <v>7957500</v>
      </c>
      <c r="EB136" s="229">
        <v>2.0000000000000001E-4</v>
      </c>
      <c r="EC136" s="229">
        <v>9.7999999999999997E-3</v>
      </c>
      <c r="ED136" s="228">
        <v>-6.15</v>
      </c>
      <c r="EE136" s="229">
        <v>-4.7999999999999996E-3</v>
      </c>
      <c r="EF136" s="230">
        <v>806366</v>
      </c>
      <c r="EG136" s="230">
        <v>1142336</v>
      </c>
      <c r="EH136" s="229">
        <v>-0.29409999999999997</v>
      </c>
      <c r="EI136" s="229">
        <v>0.61950000000000005</v>
      </c>
      <c r="EJ136" s="231">
        <v>22434.51</v>
      </c>
      <c r="EK136" s="231">
        <v>12724.32</v>
      </c>
      <c r="EL136" s="231">
        <v>18920.88</v>
      </c>
      <c r="EM136" s="231">
        <v>19125</v>
      </c>
      <c r="EN136" s="231">
        <v>54079.71</v>
      </c>
      <c r="EO136" s="231">
        <v>126023.08</v>
      </c>
      <c r="EP136" s="231">
        <v>-71943.37</v>
      </c>
      <c r="EQ136" s="229">
        <v>-0.57089999999999996</v>
      </c>
      <c r="ER136" s="231">
        <v>14795</v>
      </c>
      <c r="ES136" s="231">
        <v>11867</v>
      </c>
      <c r="ET136" s="231">
        <v>106130</v>
      </c>
      <c r="EU136" s="231">
        <v>45110207</v>
      </c>
      <c r="EV136" s="231">
        <v>132793</v>
      </c>
      <c r="EW136" s="231">
        <v>123526</v>
      </c>
      <c r="EX136" s="231">
        <v>9267</v>
      </c>
      <c r="EY136" s="229">
        <v>7.4999999999999997E-2</v>
      </c>
      <c r="EZ136" s="229">
        <v>0.22509999999999999</v>
      </c>
      <c r="FA136" s="227" t="s">
        <v>555</v>
      </c>
      <c r="FB136" s="161">
        <f t="shared" si="2"/>
        <v>79875</v>
      </c>
    </row>
    <row r="137" spans="1:158" ht="17.25" hidden="1" thickBot="1" x14ac:dyDescent="0.3">
      <c r="A137" s="226">
        <v>46050</v>
      </c>
      <c r="B137" s="227" t="s">
        <v>206</v>
      </c>
      <c r="C137" s="227" t="s">
        <v>550</v>
      </c>
      <c r="D137" s="228">
        <v>6500</v>
      </c>
      <c r="E137" s="228">
        <v>99.8</v>
      </c>
      <c r="F137" s="228">
        <v>97.23</v>
      </c>
      <c r="G137" s="228">
        <v>2.57</v>
      </c>
      <c r="H137" s="229">
        <v>2.64E-2</v>
      </c>
      <c r="I137" s="228">
        <v>99.53</v>
      </c>
      <c r="J137" s="228">
        <v>96.84</v>
      </c>
      <c r="K137" s="228">
        <v>2.69</v>
      </c>
      <c r="L137" s="229">
        <v>2.7799999999999998E-2</v>
      </c>
      <c r="M137" s="228">
        <v>99.8</v>
      </c>
      <c r="N137" s="228">
        <v>96.64</v>
      </c>
      <c r="O137" s="228">
        <v>3.16</v>
      </c>
      <c r="P137" s="229">
        <v>3.27E-2</v>
      </c>
      <c r="Q137" s="228">
        <v>100.39</v>
      </c>
      <c r="R137" s="228">
        <v>97.23</v>
      </c>
      <c r="S137" s="228">
        <v>3.16</v>
      </c>
      <c r="T137" s="229">
        <v>3.2500000000000001E-2</v>
      </c>
      <c r="U137" s="228">
        <v>100.98</v>
      </c>
      <c r="V137" s="228">
        <v>98.03</v>
      </c>
      <c r="W137" s="228">
        <v>2.95</v>
      </c>
      <c r="X137" s="229">
        <v>3.0099999999999998E-2</v>
      </c>
      <c r="Y137" s="228">
        <v>0.27</v>
      </c>
      <c r="Z137" s="228">
        <v>0.39</v>
      </c>
      <c r="AA137" s="228">
        <v>-0.12</v>
      </c>
      <c r="AB137" s="229">
        <v>2.7000000000000001E-3</v>
      </c>
      <c r="AC137" s="228">
        <v>0.27</v>
      </c>
      <c r="AD137" s="228">
        <v>-0.2</v>
      </c>
      <c r="AE137" s="228">
        <v>0.47</v>
      </c>
      <c r="AF137" s="229">
        <v>2.7000000000000001E-3</v>
      </c>
      <c r="AG137" s="228">
        <v>0.86</v>
      </c>
      <c r="AH137" s="228">
        <v>0.39</v>
      </c>
      <c r="AI137" s="228">
        <v>0.47</v>
      </c>
      <c r="AJ137" s="229">
        <v>8.6E-3</v>
      </c>
      <c r="AK137" s="228">
        <v>1.45</v>
      </c>
      <c r="AL137" s="228">
        <v>1.19</v>
      </c>
      <c r="AM137" s="228">
        <v>0.26</v>
      </c>
      <c r="AN137" s="229">
        <v>1.46E-2</v>
      </c>
      <c r="AO137" s="228">
        <v>98.54</v>
      </c>
      <c r="AP137" s="228">
        <v>99.11</v>
      </c>
      <c r="AQ137" s="228">
        <v>0</v>
      </c>
      <c r="AR137" s="230">
        <v>18200000</v>
      </c>
      <c r="AS137" s="230">
        <v>83375500</v>
      </c>
      <c r="AT137" s="230">
        <v>-65175500</v>
      </c>
      <c r="AU137" s="229">
        <v>-0.78169999999999995</v>
      </c>
      <c r="AV137" s="230">
        <v>17205500</v>
      </c>
      <c r="AW137" s="230">
        <v>38493000</v>
      </c>
      <c r="AX137" s="230">
        <v>-21287500</v>
      </c>
      <c r="AY137" s="229">
        <v>-0.55300000000000005</v>
      </c>
      <c r="AZ137" s="230">
        <v>832000</v>
      </c>
      <c r="BA137" s="230">
        <v>43465500</v>
      </c>
      <c r="BB137" s="230">
        <v>-42633500</v>
      </c>
      <c r="BC137" s="229">
        <v>-0.98089999999999999</v>
      </c>
      <c r="BD137" s="230">
        <v>162500</v>
      </c>
      <c r="BE137" s="230">
        <v>1417000</v>
      </c>
      <c r="BF137" s="230">
        <v>-1254500</v>
      </c>
      <c r="BG137" s="229">
        <v>-0.88529999999999998</v>
      </c>
      <c r="BH137" s="230">
        <v>28912000</v>
      </c>
      <c r="BI137" s="230">
        <v>32090500</v>
      </c>
      <c r="BJ137" s="230">
        <v>-3178500</v>
      </c>
      <c r="BK137" s="229">
        <v>-9.9000000000000005E-2</v>
      </c>
      <c r="BL137" s="230">
        <v>10140000</v>
      </c>
      <c r="BM137" s="230">
        <v>22061000</v>
      </c>
      <c r="BN137" s="230">
        <v>-11921000</v>
      </c>
      <c r="BO137" s="229">
        <v>-0.54039999999999999</v>
      </c>
      <c r="BP137" s="230">
        <v>57252000</v>
      </c>
      <c r="BQ137" s="230">
        <v>137527000</v>
      </c>
      <c r="BR137" s="230">
        <v>-80275000</v>
      </c>
      <c r="BS137" s="229">
        <v>-0.5837</v>
      </c>
      <c r="BT137" s="230">
        <v>11788751</v>
      </c>
      <c r="BU137" s="230">
        <v>11220914</v>
      </c>
      <c r="BV137" s="230">
        <v>567837</v>
      </c>
      <c r="BW137" s="229">
        <v>5.0599999999999999E-2</v>
      </c>
      <c r="BX137" s="230">
        <v>85676500</v>
      </c>
      <c r="BY137" s="230">
        <v>86378500</v>
      </c>
      <c r="BZ137" s="230">
        <v>-702000</v>
      </c>
      <c r="CA137" s="229">
        <v>-8.0999999999999996E-3</v>
      </c>
      <c r="CB137" s="230">
        <v>82576000</v>
      </c>
      <c r="CC137" s="230">
        <v>8294000</v>
      </c>
      <c r="CD137" s="230">
        <v>74282000</v>
      </c>
      <c r="CE137" s="229">
        <v>8.9560999999999993</v>
      </c>
      <c r="CF137" s="230">
        <v>2983500</v>
      </c>
      <c r="CG137" s="230">
        <v>83421000</v>
      </c>
      <c r="CH137" s="230">
        <v>-80437500</v>
      </c>
      <c r="CI137" s="229">
        <v>-0.96419999999999995</v>
      </c>
      <c r="CJ137" s="230">
        <v>117000</v>
      </c>
      <c r="CK137" s="230">
        <v>2957500</v>
      </c>
      <c r="CL137" s="230">
        <v>-2840500</v>
      </c>
      <c r="CM137" s="229">
        <v>-0.96040000000000003</v>
      </c>
      <c r="CN137" s="230">
        <v>20650500</v>
      </c>
      <c r="CO137" s="230">
        <v>16854500</v>
      </c>
      <c r="CP137" s="230">
        <v>3796000</v>
      </c>
      <c r="CQ137" s="229">
        <v>0.22520000000000001</v>
      </c>
      <c r="CR137" s="230">
        <v>16932500</v>
      </c>
      <c r="CS137" s="230">
        <v>15184000</v>
      </c>
      <c r="CT137" s="230">
        <v>1748500</v>
      </c>
      <c r="CU137" s="229">
        <v>0.1152</v>
      </c>
      <c r="CV137" s="230">
        <v>123259500</v>
      </c>
      <c r="CW137" s="230">
        <v>118417000</v>
      </c>
      <c r="CX137" s="230">
        <v>4842500</v>
      </c>
      <c r="CY137" s="229">
        <v>4.0899999999999999E-2</v>
      </c>
      <c r="CZ137" s="228">
        <v>44.14</v>
      </c>
      <c r="DA137" s="228">
        <v>45.5</v>
      </c>
      <c r="DB137" s="228">
        <v>-1.36</v>
      </c>
      <c r="DC137" s="228">
        <v>-1.36</v>
      </c>
      <c r="DD137" s="228">
        <v>50.44</v>
      </c>
      <c r="DE137" s="228">
        <v>50.44</v>
      </c>
      <c r="DF137" s="228">
        <v>-6.3</v>
      </c>
      <c r="DG137" s="228">
        <v>0</v>
      </c>
      <c r="DH137" s="228">
        <v>43.99</v>
      </c>
      <c r="DI137" s="228">
        <v>45.51</v>
      </c>
      <c r="DJ137" s="228">
        <v>-1.52</v>
      </c>
      <c r="DK137" s="228">
        <v>-1.52</v>
      </c>
      <c r="DL137" s="228">
        <v>44.56</v>
      </c>
      <c r="DM137" s="228">
        <v>45.47</v>
      </c>
      <c r="DN137" s="228">
        <v>-0.91</v>
      </c>
      <c r="DO137" s="228">
        <v>-0.91</v>
      </c>
      <c r="DP137" s="228">
        <v>0.82</v>
      </c>
      <c r="DQ137" s="228">
        <v>0.9</v>
      </c>
      <c r="DR137" s="228">
        <v>-0.08</v>
      </c>
      <c r="DS137" s="229">
        <v>-8.8900000000000007E-2</v>
      </c>
      <c r="DT137" s="228">
        <v>100</v>
      </c>
      <c r="DU137" s="228">
        <v>100</v>
      </c>
      <c r="DV137" s="228">
        <v>0.35</v>
      </c>
      <c r="DW137" s="228">
        <v>0.69</v>
      </c>
      <c r="DX137" s="228">
        <v>-0.34</v>
      </c>
      <c r="DY137" s="229">
        <v>-0.49280000000000002</v>
      </c>
      <c r="DZ137" s="229">
        <v>3.6200000000000003E-2</v>
      </c>
      <c r="EA137" s="230">
        <v>86378500</v>
      </c>
      <c r="EB137" s="229">
        <v>5.8999999999999999E-3</v>
      </c>
      <c r="EC137" s="229">
        <v>3.6200000000000003E-2</v>
      </c>
      <c r="ED137" s="228">
        <v>0.56999999999999995</v>
      </c>
      <c r="EE137" s="229">
        <v>5.7999999999999996E-3</v>
      </c>
      <c r="EF137" s="230">
        <v>3795858</v>
      </c>
      <c r="EG137" s="230">
        <v>3181243</v>
      </c>
      <c r="EH137" s="229">
        <v>0.19320000000000001</v>
      </c>
      <c r="EI137" s="229">
        <v>0.32200000000000001</v>
      </c>
      <c r="EJ137" s="231">
        <v>31023.34</v>
      </c>
      <c r="EK137" s="231">
        <v>9950.11</v>
      </c>
      <c r="EL137" s="231">
        <v>17942.3</v>
      </c>
      <c r="EM137" s="231">
        <v>10719</v>
      </c>
      <c r="EN137" s="231">
        <v>58915.75</v>
      </c>
      <c r="EO137" s="231">
        <v>137676.53</v>
      </c>
      <c r="EP137" s="231">
        <v>-78760.78</v>
      </c>
      <c r="EQ137" s="229">
        <v>-0.57210000000000005</v>
      </c>
      <c r="ER137" s="231">
        <v>22354</v>
      </c>
      <c r="ES137" s="231">
        <v>16652</v>
      </c>
      <c r="ET137" s="231">
        <v>85524</v>
      </c>
      <c r="EU137" s="231">
        <v>154894704</v>
      </c>
      <c r="EV137" s="231">
        <v>124530</v>
      </c>
      <c r="EW137" s="231">
        <v>117283</v>
      </c>
      <c r="EX137" s="231">
        <v>7247</v>
      </c>
      <c r="EY137" s="229">
        <v>6.1800000000000001E-2</v>
      </c>
      <c r="EZ137" s="229">
        <v>0.79579999999999995</v>
      </c>
      <c r="FA137" s="227" t="s">
        <v>556</v>
      </c>
      <c r="FB137" s="161">
        <f t="shared" si="2"/>
        <v>3100500</v>
      </c>
    </row>
    <row r="138" spans="1:158" ht="17.25" hidden="1" thickBot="1" x14ac:dyDescent="0.3">
      <c r="A138" s="226">
        <v>46050</v>
      </c>
      <c r="B138" s="227" t="s">
        <v>168</v>
      </c>
      <c r="C138" s="227" t="s">
        <v>265</v>
      </c>
      <c r="D138" s="228">
        <v>500</v>
      </c>
      <c r="E138" s="231">
        <v>1288.5999999999999</v>
      </c>
      <c r="F138" s="231">
        <v>1304.5999999999999</v>
      </c>
      <c r="G138" s="228">
        <v>-16</v>
      </c>
      <c r="H138" s="229">
        <v>-1.23E-2</v>
      </c>
      <c r="I138" s="231">
        <v>1292.4000000000001</v>
      </c>
      <c r="J138" s="231">
        <v>1303.3</v>
      </c>
      <c r="K138" s="228">
        <v>-10.9</v>
      </c>
      <c r="L138" s="229">
        <v>-8.3999999999999995E-3</v>
      </c>
      <c r="M138" s="231">
        <v>1288.5999999999999</v>
      </c>
      <c r="N138" s="231">
        <v>1302</v>
      </c>
      <c r="O138" s="228">
        <v>-13.4</v>
      </c>
      <c r="P138" s="229">
        <v>-1.03E-2</v>
      </c>
      <c r="Q138" s="231">
        <v>1296.5</v>
      </c>
      <c r="R138" s="231">
        <v>1304.5999999999999</v>
      </c>
      <c r="S138" s="228">
        <v>-8.1</v>
      </c>
      <c r="T138" s="229">
        <v>-6.1999999999999998E-3</v>
      </c>
      <c r="U138" s="231">
        <v>1300.8</v>
      </c>
      <c r="V138" s="231">
        <v>1313.9</v>
      </c>
      <c r="W138" s="228">
        <v>-13.1</v>
      </c>
      <c r="X138" s="229">
        <v>-0.01</v>
      </c>
      <c r="Y138" s="228">
        <v>-3.8</v>
      </c>
      <c r="Z138" s="228">
        <v>1.3</v>
      </c>
      <c r="AA138" s="228">
        <v>-5.0999999999999996</v>
      </c>
      <c r="AB138" s="229">
        <v>-2.8999999999999998E-3</v>
      </c>
      <c r="AC138" s="228">
        <v>-3.8</v>
      </c>
      <c r="AD138" s="228">
        <v>-1.3</v>
      </c>
      <c r="AE138" s="228">
        <v>-2.5</v>
      </c>
      <c r="AF138" s="229">
        <v>-2.8999999999999998E-3</v>
      </c>
      <c r="AG138" s="228">
        <v>4.0999999999999996</v>
      </c>
      <c r="AH138" s="228">
        <v>1.3</v>
      </c>
      <c r="AI138" s="228">
        <v>2.8</v>
      </c>
      <c r="AJ138" s="229">
        <v>3.2000000000000002E-3</v>
      </c>
      <c r="AK138" s="228">
        <v>8.4</v>
      </c>
      <c r="AL138" s="228">
        <v>10.6</v>
      </c>
      <c r="AM138" s="228">
        <v>-2.2000000000000002</v>
      </c>
      <c r="AN138" s="229">
        <v>6.4999999999999997E-3</v>
      </c>
      <c r="AO138" s="231">
        <v>1287.8599999999999</v>
      </c>
      <c r="AP138" s="231">
        <v>1292.07</v>
      </c>
      <c r="AQ138" s="228">
        <v>0</v>
      </c>
      <c r="AR138" s="230">
        <v>2677500</v>
      </c>
      <c r="AS138" s="230">
        <v>8233000</v>
      </c>
      <c r="AT138" s="230">
        <v>-5555500</v>
      </c>
      <c r="AU138" s="229">
        <v>-0.67479999999999996</v>
      </c>
      <c r="AV138" s="230">
        <v>2545500</v>
      </c>
      <c r="AW138" s="230">
        <v>3583500</v>
      </c>
      <c r="AX138" s="230">
        <v>-1038000</v>
      </c>
      <c r="AY138" s="229">
        <v>-0.28970000000000001</v>
      </c>
      <c r="AZ138" s="230">
        <v>128000</v>
      </c>
      <c r="BA138" s="230">
        <v>4605000</v>
      </c>
      <c r="BB138" s="230">
        <v>-4477000</v>
      </c>
      <c r="BC138" s="229">
        <v>-0.97219999999999995</v>
      </c>
      <c r="BD138" s="230">
        <v>4000</v>
      </c>
      <c r="BE138" s="230">
        <v>44500</v>
      </c>
      <c r="BF138" s="230">
        <v>-40500</v>
      </c>
      <c r="BG138" s="229">
        <v>-0.91010000000000002</v>
      </c>
      <c r="BH138" s="230">
        <v>2669000</v>
      </c>
      <c r="BI138" s="230">
        <v>2556000</v>
      </c>
      <c r="BJ138" s="230">
        <v>113000</v>
      </c>
      <c r="BK138" s="229">
        <v>4.4200000000000003E-2</v>
      </c>
      <c r="BL138" s="230">
        <v>1587500</v>
      </c>
      <c r="BM138" s="230">
        <v>1704000</v>
      </c>
      <c r="BN138" s="230">
        <v>-116500</v>
      </c>
      <c r="BO138" s="229">
        <v>-6.8400000000000002E-2</v>
      </c>
      <c r="BP138" s="230">
        <v>6934000</v>
      </c>
      <c r="BQ138" s="230">
        <v>12493000</v>
      </c>
      <c r="BR138" s="230">
        <v>-5559000</v>
      </c>
      <c r="BS138" s="229">
        <v>-0.44500000000000001</v>
      </c>
      <c r="BT138" s="230">
        <v>966729</v>
      </c>
      <c r="BU138" s="230">
        <v>1179783</v>
      </c>
      <c r="BV138" s="230">
        <v>-213054</v>
      </c>
      <c r="BW138" s="229">
        <v>-0.18060000000000001</v>
      </c>
      <c r="BX138" s="230">
        <v>17722500</v>
      </c>
      <c r="BY138" s="230">
        <v>17714000</v>
      </c>
      <c r="BZ138" s="230">
        <v>8500</v>
      </c>
      <c r="CA138" s="229">
        <v>5.0000000000000001E-4</v>
      </c>
      <c r="CB138" s="230">
        <v>17447000</v>
      </c>
      <c r="CC138" s="230">
        <v>380000</v>
      </c>
      <c r="CD138" s="230">
        <v>17067000</v>
      </c>
      <c r="CE138" s="229">
        <v>44.913200000000003</v>
      </c>
      <c r="CF138" s="230">
        <v>271500</v>
      </c>
      <c r="CG138" s="230">
        <v>17475500</v>
      </c>
      <c r="CH138" s="230">
        <v>-17204000</v>
      </c>
      <c r="CI138" s="229">
        <v>-0.98450000000000004</v>
      </c>
      <c r="CJ138" s="230">
        <v>4000</v>
      </c>
      <c r="CK138" s="230">
        <v>238500</v>
      </c>
      <c r="CL138" s="230">
        <v>-234500</v>
      </c>
      <c r="CM138" s="229">
        <v>-0.98319999999999996</v>
      </c>
      <c r="CN138" s="230">
        <v>1539000</v>
      </c>
      <c r="CO138" s="230">
        <v>802000</v>
      </c>
      <c r="CP138" s="230">
        <v>737000</v>
      </c>
      <c r="CQ138" s="229">
        <v>0.91900000000000004</v>
      </c>
      <c r="CR138" s="230">
        <v>1104500</v>
      </c>
      <c r="CS138" s="230">
        <v>685500</v>
      </c>
      <c r="CT138" s="230">
        <v>419000</v>
      </c>
      <c r="CU138" s="229">
        <v>0.61119999999999997</v>
      </c>
      <c r="CV138" s="230">
        <v>20366000</v>
      </c>
      <c r="CW138" s="230">
        <v>19201500</v>
      </c>
      <c r="CX138" s="230">
        <v>1164500</v>
      </c>
      <c r="CY138" s="229">
        <v>6.0600000000000001E-2</v>
      </c>
      <c r="CZ138" s="228">
        <v>27.81</v>
      </c>
      <c r="DA138" s="228">
        <v>26.57</v>
      </c>
      <c r="DB138" s="228">
        <v>1.24</v>
      </c>
      <c r="DC138" s="228">
        <v>1.24</v>
      </c>
      <c r="DD138" s="228">
        <v>22.5</v>
      </c>
      <c r="DE138" s="228">
        <v>22.51</v>
      </c>
      <c r="DF138" s="228">
        <v>5.31</v>
      </c>
      <c r="DG138" s="228">
        <v>-0.01</v>
      </c>
      <c r="DH138" s="228">
        <v>27.47</v>
      </c>
      <c r="DI138" s="228">
        <v>26.18</v>
      </c>
      <c r="DJ138" s="228">
        <v>1.29</v>
      </c>
      <c r="DK138" s="228">
        <v>1.29</v>
      </c>
      <c r="DL138" s="228">
        <v>28.4</v>
      </c>
      <c r="DM138" s="228">
        <v>27.2</v>
      </c>
      <c r="DN138" s="228">
        <v>1.2</v>
      </c>
      <c r="DO138" s="228">
        <v>1.2</v>
      </c>
      <c r="DP138" s="228">
        <v>0.72</v>
      </c>
      <c r="DQ138" s="228">
        <v>0.85</v>
      </c>
      <c r="DR138" s="228">
        <v>-0.13</v>
      </c>
      <c r="DS138" s="229">
        <v>-0.15290000000000001</v>
      </c>
      <c r="DT138" s="231">
        <v>1300</v>
      </c>
      <c r="DU138" s="231">
        <v>1300</v>
      </c>
      <c r="DV138" s="228">
        <v>0.59</v>
      </c>
      <c r="DW138" s="228">
        <v>0.67</v>
      </c>
      <c r="DX138" s="228">
        <v>-0.08</v>
      </c>
      <c r="DY138" s="229">
        <v>-0.11940000000000001</v>
      </c>
      <c r="DZ138" s="229">
        <v>1.55E-2</v>
      </c>
      <c r="EA138" s="230">
        <v>17714000</v>
      </c>
      <c r="EB138" s="229">
        <v>6.1000000000000004E-3</v>
      </c>
      <c r="EC138" s="229">
        <v>1.55E-2</v>
      </c>
      <c r="ED138" s="228">
        <v>4.21</v>
      </c>
      <c r="EE138" s="229">
        <v>3.3E-3</v>
      </c>
      <c r="EF138" s="230">
        <v>468721</v>
      </c>
      <c r="EG138" s="230">
        <v>537863</v>
      </c>
      <c r="EH138" s="229">
        <v>-0.1285</v>
      </c>
      <c r="EI138" s="229">
        <v>0.4849</v>
      </c>
      <c r="EJ138" s="231">
        <v>36078.15</v>
      </c>
      <c r="EK138" s="231">
        <v>20104.759999999998</v>
      </c>
      <c r="EL138" s="231">
        <v>34488.1</v>
      </c>
      <c r="EM138" s="231">
        <v>21709</v>
      </c>
      <c r="EN138" s="231">
        <v>90671.01</v>
      </c>
      <c r="EO138" s="231">
        <v>163356.09</v>
      </c>
      <c r="EP138" s="231">
        <v>-72685.08</v>
      </c>
      <c r="EQ138" s="229">
        <v>-0.44490000000000002</v>
      </c>
      <c r="ER138" s="231">
        <v>20195</v>
      </c>
      <c r="ES138" s="231">
        <v>13778</v>
      </c>
      <c r="ET138" s="231">
        <v>228394</v>
      </c>
      <c r="EU138" s="231">
        <v>71801274</v>
      </c>
      <c r="EV138" s="231">
        <v>262367</v>
      </c>
      <c r="EW138" s="231">
        <v>250525</v>
      </c>
      <c r="EX138" s="231">
        <v>11842</v>
      </c>
      <c r="EY138" s="229">
        <v>4.7300000000000002E-2</v>
      </c>
      <c r="EZ138" s="229">
        <v>0.28360000000000002</v>
      </c>
      <c r="FA138" s="227" t="s">
        <v>567</v>
      </c>
      <c r="FB138" s="161">
        <f t="shared" si="2"/>
        <v>275500</v>
      </c>
    </row>
    <row r="139" spans="1:158" ht="17.25" hidden="1" thickBot="1" x14ac:dyDescent="0.3">
      <c r="A139" s="226">
        <v>46050</v>
      </c>
      <c r="B139" s="227" t="s">
        <v>161</v>
      </c>
      <c r="C139" s="227" t="s">
        <v>585</v>
      </c>
      <c r="D139" s="228">
        <v>6400</v>
      </c>
      <c r="E139" s="228">
        <v>78.38</v>
      </c>
      <c r="F139" s="228">
        <v>75.08</v>
      </c>
      <c r="G139" s="228">
        <v>3.3</v>
      </c>
      <c r="H139" s="229">
        <v>4.3999999999999997E-2</v>
      </c>
      <c r="I139" s="228">
        <v>78.89</v>
      </c>
      <c r="J139" s="228">
        <v>75.14</v>
      </c>
      <c r="K139" s="228">
        <v>3.75</v>
      </c>
      <c r="L139" s="229">
        <v>4.99E-2</v>
      </c>
      <c r="M139" s="228">
        <v>78.38</v>
      </c>
      <c r="N139" s="228">
        <v>75.290000000000006</v>
      </c>
      <c r="O139" s="228">
        <v>3.09</v>
      </c>
      <c r="P139" s="229">
        <v>4.1000000000000002E-2</v>
      </c>
      <c r="Q139" s="228">
        <v>78.819999999999993</v>
      </c>
      <c r="R139" s="228">
        <v>75.08</v>
      </c>
      <c r="S139" s="228">
        <v>3.74</v>
      </c>
      <c r="T139" s="229">
        <v>4.9799999999999997E-2</v>
      </c>
      <c r="U139" s="228">
        <v>79.3</v>
      </c>
      <c r="V139" s="228">
        <v>75.86</v>
      </c>
      <c r="W139" s="228">
        <v>3.44</v>
      </c>
      <c r="X139" s="229">
        <v>4.53E-2</v>
      </c>
      <c r="Y139" s="228">
        <v>-0.51</v>
      </c>
      <c r="Z139" s="228">
        <v>-0.06</v>
      </c>
      <c r="AA139" s="228">
        <v>-0.45</v>
      </c>
      <c r="AB139" s="229">
        <v>-6.4999999999999997E-3</v>
      </c>
      <c r="AC139" s="228">
        <v>-0.51</v>
      </c>
      <c r="AD139" s="228">
        <v>0.15</v>
      </c>
      <c r="AE139" s="228">
        <v>-0.66</v>
      </c>
      <c r="AF139" s="229">
        <v>-6.4999999999999997E-3</v>
      </c>
      <c r="AG139" s="228">
        <v>-7.0000000000000007E-2</v>
      </c>
      <c r="AH139" s="228">
        <v>-0.06</v>
      </c>
      <c r="AI139" s="228">
        <v>-0.01</v>
      </c>
      <c r="AJ139" s="229">
        <v>-8.9999999999999998E-4</v>
      </c>
      <c r="AK139" s="228">
        <v>0.41</v>
      </c>
      <c r="AL139" s="228">
        <v>0.72</v>
      </c>
      <c r="AM139" s="228">
        <v>-0.31</v>
      </c>
      <c r="AN139" s="229">
        <v>5.1999999999999998E-3</v>
      </c>
      <c r="AO139" s="228">
        <v>77.52</v>
      </c>
      <c r="AP139" s="228">
        <v>77.88</v>
      </c>
      <c r="AQ139" s="228">
        <v>0</v>
      </c>
      <c r="AR139" s="230">
        <v>13497600</v>
      </c>
      <c r="AS139" s="230">
        <v>77452800</v>
      </c>
      <c r="AT139" s="230">
        <v>-63955200</v>
      </c>
      <c r="AU139" s="229">
        <v>-0.82569999999999999</v>
      </c>
      <c r="AV139" s="230">
        <v>12595200</v>
      </c>
      <c r="AW139" s="230">
        <v>32371200</v>
      </c>
      <c r="AX139" s="230">
        <v>-19776000</v>
      </c>
      <c r="AY139" s="229">
        <v>-0.6109</v>
      </c>
      <c r="AZ139" s="230">
        <v>748800</v>
      </c>
      <c r="BA139" s="230">
        <v>43449600</v>
      </c>
      <c r="BB139" s="230">
        <v>-42700800</v>
      </c>
      <c r="BC139" s="229">
        <v>-0.98280000000000001</v>
      </c>
      <c r="BD139" s="230">
        <v>153600</v>
      </c>
      <c r="BE139" s="230">
        <v>1632000</v>
      </c>
      <c r="BF139" s="230">
        <v>-1478400</v>
      </c>
      <c r="BG139" s="229">
        <v>-0.90590000000000004</v>
      </c>
      <c r="BH139" s="230">
        <v>25907200</v>
      </c>
      <c r="BI139" s="230">
        <v>30380800</v>
      </c>
      <c r="BJ139" s="230">
        <v>-4473600</v>
      </c>
      <c r="BK139" s="229">
        <v>-0.14729999999999999</v>
      </c>
      <c r="BL139" s="230">
        <v>15500800</v>
      </c>
      <c r="BM139" s="230">
        <v>23865600</v>
      </c>
      <c r="BN139" s="230">
        <v>-8364800</v>
      </c>
      <c r="BO139" s="229">
        <v>-0.35049999999999998</v>
      </c>
      <c r="BP139" s="230">
        <v>54905600</v>
      </c>
      <c r="BQ139" s="230">
        <v>131699200</v>
      </c>
      <c r="BR139" s="230">
        <v>-76793600</v>
      </c>
      <c r="BS139" s="229">
        <v>-0.58309999999999995</v>
      </c>
      <c r="BT139" s="230">
        <v>12096568</v>
      </c>
      <c r="BU139" s="230">
        <v>41674636</v>
      </c>
      <c r="BV139" s="230">
        <v>-29578068</v>
      </c>
      <c r="BW139" s="229">
        <v>-0.7097</v>
      </c>
      <c r="BX139" s="230">
        <v>71475200</v>
      </c>
      <c r="BY139" s="230">
        <v>71276800</v>
      </c>
      <c r="BZ139" s="230">
        <v>198400</v>
      </c>
      <c r="CA139" s="229">
        <v>2.8E-3</v>
      </c>
      <c r="CB139" s="230">
        <v>69894400</v>
      </c>
      <c r="CC139" s="230">
        <v>21465600</v>
      </c>
      <c r="CD139" s="230">
        <v>48428800</v>
      </c>
      <c r="CE139" s="229">
        <v>2.2561</v>
      </c>
      <c r="CF139" s="230">
        <v>1446400</v>
      </c>
      <c r="CG139" s="230">
        <v>69843200</v>
      </c>
      <c r="CH139" s="230">
        <v>-68396800</v>
      </c>
      <c r="CI139" s="229">
        <v>-0.97929999999999995</v>
      </c>
      <c r="CJ139" s="230">
        <v>134400</v>
      </c>
      <c r="CK139" s="230">
        <v>1433600</v>
      </c>
      <c r="CL139" s="230">
        <v>-1299200</v>
      </c>
      <c r="CM139" s="229">
        <v>-0.90629999999999999</v>
      </c>
      <c r="CN139" s="230">
        <v>13612800</v>
      </c>
      <c r="CO139" s="230">
        <v>11488000</v>
      </c>
      <c r="CP139" s="230">
        <v>2124800</v>
      </c>
      <c r="CQ139" s="229">
        <v>0.185</v>
      </c>
      <c r="CR139" s="230">
        <v>12160000</v>
      </c>
      <c r="CS139" s="230">
        <v>10649600</v>
      </c>
      <c r="CT139" s="230">
        <v>1510400</v>
      </c>
      <c r="CU139" s="229">
        <v>0.14180000000000001</v>
      </c>
      <c r="CV139" s="230">
        <v>97248000</v>
      </c>
      <c r="CW139" s="230">
        <v>93414400</v>
      </c>
      <c r="CX139" s="230">
        <v>3833600</v>
      </c>
      <c r="CY139" s="229">
        <v>4.1000000000000002E-2</v>
      </c>
      <c r="CZ139" s="228">
        <v>37.119999999999997</v>
      </c>
      <c r="DA139" s="228">
        <v>36.950000000000003</v>
      </c>
      <c r="DB139" s="228">
        <v>0.17</v>
      </c>
      <c r="DC139" s="228">
        <v>0.17</v>
      </c>
      <c r="DD139" s="228">
        <v>36.520000000000003</v>
      </c>
      <c r="DE139" s="228">
        <v>36.15</v>
      </c>
      <c r="DF139" s="228">
        <v>0.6</v>
      </c>
      <c r="DG139" s="228">
        <v>0.37</v>
      </c>
      <c r="DH139" s="228">
        <v>37.03</v>
      </c>
      <c r="DI139" s="228">
        <v>37.67</v>
      </c>
      <c r="DJ139" s="228">
        <v>-0.64</v>
      </c>
      <c r="DK139" s="228">
        <v>-0.64</v>
      </c>
      <c r="DL139" s="228">
        <v>37.270000000000003</v>
      </c>
      <c r="DM139" s="228">
        <v>35.64</v>
      </c>
      <c r="DN139" s="228">
        <v>1.63</v>
      </c>
      <c r="DO139" s="228">
        <v>1.63</v>
      </c>
      <c r="DP139" s="228">
        <v>0.89</v>
      </c>
      <c r="DQ139" s="228">
        <v>0.93</v>
      </c>
      <c r="DR139" s="228">
        <v>-0.04</v>
      </c>
      <c r="DS139" s="229">
        <v>-4.2999999999999997E-2</v>
      </c>
      <c r="DT139" s="228">
        <v>80</v>
      </c>
      <c r="DU139" s="228">
        <v>75</v>
      </c>
      <c r="DV139" s="228">
        <v>0.6</v>
      </c>
      <c r="DW139" s="228">
        <v>0.79</v>
      </c>
      <c r="DX139" s="228">
        <v>-0.19</v>
      </c>
      <c r="DY139" s="229">
        <v>-0.24049999999999999</v>
      </c>
      <c r="DZ139" s="229">
        <v>2.2100000000000002E-2</v>
      </c>
      <c r="EA139" s="230">
        <v>71276800</v>
      </c>
      <c r="EB139" s="229">
        <v>5.5999999999999999E-3</v>
      </c>
      <c r="EC139" s="229">
        <v>2.2100000000000002E-2</v>
      </c>
      <c r="ED139" s="228">
        <v>0.36</v>
      </c>
      <c r="EE139" s="229">
        <v>4.5999999999999999E-3</v>
      </c>
      <c r="EF139" s="230">
        <v>5400383</v>
      </c>
      <c r="EG139" s="230">
        <v>25375295</v>
      </c>
      <c r="EH139" s="229">
        <v>-0.78720000000000001</v>
      </c>
      <c r="EI139" s="229">
        <v>0.44640000000000002</v>
      </c>
      <c r="EJ139" s="231">
        <v>21587.81</v>
      </c>
      <c r="EK139" s="231">
        <v>11656.01</v>
      </c>
      <c r="EL139" s="231">
        <v>10467.89</v>
      </c>
      <c r="EM139" s="231">
        <v>9034</v>
      </c>
      <c r="EN139" s="231">
        <v>43711.71</v>
      </c>
      <c r="EO139" s="231">
        <v>100971.65</v>
      </c>
      <c r="EP139" s="231">
        <v>-57259.94</v>
      </c>
      <c r="EQ139" s="229">
        <v>-0.56710000000000005</v>
      </c>
      <c r="ER139" s="231">
        <v>11210</v>
      </c>
      <c r="ES139" s="231">
        <v>9146</v>
      </c>
      <c r="ET139" s="231">
        <v>56030</v>
      </c>
      <c r="EU139" s="231">
        <v>491233252</v>
      </c>
      <c r="EV139" s="231">
        <v>76386</v>
      </c>
      <c r="EW139" s="231">
        <v>70871</v>
      </c>
      <c r="EX139" s="231">
        <v>5515</v>
      </c>
      <c r="EY139" s="229">
        <v>7.7799999999999994E-2</v>
      </c>
      <c r="EZ139" s="229">
        <v>0.19800000000000001</v>
      </c>
      <c r="FA139" s="227" t="s">
        <v>555</v>
      </c>
      <c r="FB139" s="161">
        <f>BX139-CB139</f>
        <v>1580800</v>
      </c>
    </row>
    <row r="140" spans="1:158" ht="17.25" hidden="1" thickBot="1" x14ac:dyDescent="0.3">
      <c r="A140" s="226">
        <v>46050</v>
      </c>
      <c r="B140" s="227" t="s">
        <v>181</v>
      </c>
      <c r="C140" s="227" t="s">
        <v>266</v>
      </c>
      <c r="D140" s="228">
        <v>65</v>
      </c>
      <c r="E140" s="231">
        <v>25450.400000000001</v>
      </c>
      <c r="F140" s="231">
        <v>25382.6</v>
      </c>
      <c r="G140" s="228">
        <v>67.8</v>
      </c>
      <c r="H140" s="229">
        <v>2.7000000000000001E-3</v>
      </c>
      <c r="I140" s="231">
        <v>25342.75</v>
      </c>
      <c r="J140" s="231">
        <v>25175.4</v>
      </c>
      <c r="K140" s="228">
        <v>167.35</v>
      </c>
      <c r="L140" s="229">
        <v>6.6E-3</v>
      </c>
      <c r="M140" s="231">
        <v>25450.400000000001</v>
      </c>
      <c r="N140" s="231">
        <v>25164.2</v>
      </c>
      <c r="O140" s="228">
        <v>286.2</v>
      </c>
      <c r="P140" s="229">
        <v>1.14E-2</v>
      </c>
      <c r="Q140" s="231">
        <v>25630.3</v>
      </c>
      <c r="R140" s="231">
        <v>25382.6</v>
      </c>
      <c r="S140" s="228">
        <v>247.7</v>
      </c>
      <c r="T140" s="229">
        <v>9.7999999999999997E-3</v>
      </c>
      <c r="U140" s="231">
        <v>25778.799999999999</v>
      </c>
      <c r="V140" s="231">
        <v>25569.3</v>
      </c>
      <c r="W140" s="228">
        <v>209.5</v>
      </c>
      <c r="X140" s="229">
        <v>8.2000000000000007E-3</v>
      </c>
      <c r="Y140" s="228">
        <v>107.65</v>
      </c>
      <c r="Z140" s="228">
        <v>207.2</v>
      </c>
      <c r="AA140" s="228">
        <v>-99.55</v>
      </c>
      <c r="AB140" s="229">
        <v>4.1999999999999997E-3</v>
      </c>
      <c r="AC140" s="228">
        <v>107.65</v>
      </c>
      <c r="AD140" s="228">
        <v>-11.2</v>
      </c>
      <c r="AE140" s="228">
        <v>118.85</v>
      </c>
      <c r="AF140" s="229">
        <v>4.1999999999999997E-3</v>
      </c>
      <c r="AG140" s="228">
        <v>287.55</v>
      </c>
      <c r="AH140" s="228">
        <v>207.2</v>
      </c>
      <c r="AI140" s="228">
        <v>80.349999999999994</v>
      </c>
      <c r="AJ140" s="229">
        <v>1.1299999999999999E-2</v>
      </c>
      <c r="AK140" s="228">
        <v>436.05</v>
      </c>
      <c r="AL140" s="228">
        <v>393.9</v>
      </c>
      <c r="AM140" s="228">
        <v>42.15</v>
      </c>
      <c r="AN140" s="229">
        <v>1.72E-2</v>
      </c>
      <c r="AO140" s="231">
        <v>25413.4</v>
      </c>
      <c r="AP140" s="231">
        <v>25590.65</v>
      </c>
      <c r="AQ140" s="228">
        <v>0</v>
      </c>
      <c r="AR140" s="230">
        <v>7699835</v>
      </c>
      <c r="AS140" s="230">
        <v>18152615</v>
      </c>
      <c r="AT140" s="230">
        <v>-10452780</v>
      </c>
      <c r="AU140" s="229">
        <v>-0.57579999999999998</v>
      </c>
      <c r="AV140" s="230">
        <v>7094555</v>
      </c>
      <c r="AW140" s="230">
        <v>6903260</v>
      </c>
      <c r="AX140" s="230">
        <v>191295</v>
      </c>
      <c r="AY140" s="229">
        <v>2.7699999999999999E-2</v>
      </c>
      <c r="AZ140" s="230">
        <v>462800</v>
      </c>
      <c r="BA140" s="230">
        <v>10598510</v>
      </c>
      <c r="BB140" s="230">
        <v>-10135710</v>
      </c>
      <c r="BC140" s="229">
        <v>-0.95630000000000004</v>
      </c>
      <c r="BD140" s="230">
        <v>142480</v>
      </c>
      <c r="BE140" s="230">
        <v>650845</v>
      </c>
      <c r="BF140" s="230">
        <v>-508365</v>
      </c>
      <c r="BG140" s="229">
        <v>-0.78110000000000002</v>
      </c>
      <c r="BH140" s="230">
        <v>1618591195</v>
      </c>
      <c r="BI140" s="230">
        <v>13693993235</v>
      </c>
      <c r="BJ140" s="230">
        <v>-12075402040</v>
      </c>
      <c r="BK140" s="229">
        <v>-0.88180000000000003</v>
      </c>
      <c r="BL140" s="230">
        <v>1513102305</v>
      </c>
      <c r="BM140" s="230">
        <v>12547923050</v>
      </c>
      <c r="BN140" s="230">
        <v>-11034820745</v>
      </c>
      <c r="BO140" s="229">
        <v>-0.87939999999999996</v>
      </c>
      <c r="BP140" s="230">
        <v>3139393335</v>
      </c>
      <c r="BQ140" s="230">
        <v>26260068900</v>
      </c>
      <c r="BR140" s="230">
        <v>-23120675565</v>
      </c>
      <c r="BS140" s="229">
        <v>-0.88039999999999996</v>
      </c>
      <c r="BT140" s="228">
        <v>0</v>
      </c>
      <c r="BU140" s="228">
        <v>0</v>
      </c>
      <c r="BV140" s="228">
        <v>0</v>
      </c>
      <c r="BW140" s="229">
        <v>0</v>
      </c>
      <c r="BX140" s="230">
        <v>17879680</v>
      </c>
      <c r="BY140" s="230">
        <v>17426435</v>
      </c>
      <c r="BZ140" s="230">
        <v>453245</v>
      </c>
      <c r="CA140" s="229">
        <v>2.5999999999999999E-2</v>
      </c>
      <c r="CB140" s="230">
        <v>16587545</v>
      </c>
      <c r="CC140" s="230">
        <v>7205965</v>
      </c>
      <c r="CD140" s="230">
        <v>9381580</v>
      </c>
      <c r="CE140" s="229">
        <v>1.3019000000000001</v>
      </c>
      <c r="CF140" s="230">
        <v>1227005</v>
      </c>
      <c r="CG140" s="230">
        <v>16245710</v>
      </c>
      <c r="CH140" s="230">
        <v>-15018705</v>
      </c>
      <c r="CI140" s="229">
        <v>-0.92449999999999999</v>
      </c>
      <c r="CJ140" s="230">
        <v>65130</v>
      </c>
      <c r="CK140" s="230">
        <v>1180725</v>
      </c>
      <c r="CL140" s="230">
        <v>-1115595</v>
      </c>
      <c r="CM140" s="229">
        <v>-0.94479999999999997</v>
      </c>
      <c r="CN140" s="230">
        <v>166048825</v>
      </c>
      <c r="CO140" s="230">
        <v>118626980</v>
      </c>
      <c r="CP140" s="230">
        <v>47421845</v>
      </c>
      <c r="CQ140" s="229">
        <v>0.39979999999999999</v>
      </c>
      <c r="CR140" s="230">
        <v>161205950</v>
      </c>
      <c r="CS140" s="230">
        <v>120672240</v>
      </c>
      <c r="CT140" s="230">
        <v>40533710</v>
      </c>
      <c r="CU140" s="229">
        <v>0.33589999999999998</v>
      </c>
      <c r="CV140" s="230">
        <v>345134455</v>
      </c>
      <c r="CW140" s="230">
        <v>256725655</v>
      </c>
      <c r="CX140" s="230">
        <v>88408800</v>
      </c>
      <c r="CY140" s="229">
        <v>0.34439999999999998</v>
      </c>
      <c r="CZ140" s="228">
        <v>16.829999999999998</v>
      </c>
      <c r="DA140" s="228">
        <v>17.93</v>
      </c>
      <c r="DB140" s="228">
        <v>-1.1000000000000001</v>
      </c>
      <c r="DC140" s="228">
        <v>-1.1000000000000001</v>
      </c>
      <c r="DD140" s="228">
        <v>13.75</v>
      </c>
      <c r="DE140" s="228">
        <v>13.76</v>
      </c>
      <c r="DF140" s="228">
        <v>3.08</v>
      </c>
      <c r="DG140" s="228">
        <v>-0.01</v>
      </c>
      <c r="DH140" s="228">
        <v>16.239999999999998</v>
      </c>
      <c r="DI140" s="228">
        <v>16.989999999999998</v>
      </c>
      <c r="DJ140" s="228">
        <v>-0.75</v>
      </c>
      <c r="DK140" s="228">
        <v>-0.75</v>
      </c>
      <c r="DL140" s="228">
        <v>17.46</v>
      </c>
      <c r="DM140" s="228">
        <v>19.02</v>
      </c>
      <c r="DN140" s="228">
        <v>-1.56</v>
      </c>
      <c r="DO140" s="228">
        <v>-1.56</v>
      </c>
      <c r="DP140" s="228">
        <v>0.97</v>
      </c>
      <c r="DQ140" s="228">
        <v>1.02</v>
      </c>
      <c r="DR140" s="228">
        <v>-0.05</v>
      </c>
      <c r="DS140" s="229">
        <v>-4.9000000000000002E-2</v>
      </c>
      <c r="DT140" s="231">
        <v>26000</v>
      </c>
      <c r="DU140" s="231">
        <v>23300</v>
      </c>
      <c r="DV140" s="228">
        <v>0.93</v>
      </c>
      <c r="DW140" s="228">
        <v>0.92</v>
      </c>
      <c r="DX140" s="228">
        <v>0.01</v>
      </c>
      <c r="DY140" s="229">
        <v>1.09E-2</v>
      </c>
      <c r="DZ140" s="229">
        <v>7.2300000000000003E-2</v>
      </c>
      <c r="EA140" s="230">
        <v>17426435</v>
      </c>
      <c r="EB140" s="229">
        <v>7.1000000000000004E-3</v>
      </c>
      <c r="EC140" s="229">
        <v>7.2300000000000003E-2</v>
      </c>
      <c r="ED140" s="228">
        <v>177.25</v>
      </c>
      <c r="EE140" s="229">
        <v>7.0000000000000001E-3</v>
      </c>
      <c r="EF140" s="228">
        <v>0</v>
      </c>
      <c r="EG140" s="228">
        <v>0</v>
      </c>
      <c r="EH140" s="229">
        <v>0</v>
      </c>
      <c r="EI140" s="229">
        <v>0</v>
      </c>
      <c r="EJ140" s="231">
        <v>419664269.97000003</v>
      </c>
      <c r="EK140" s="231">
        <v>378525460.52999997</v>
      </c>
      <c r="EL140" s="231">
        <v>1958073.94</v>
      </c>
      <c r="EM140" s="231">
        <v>239360</v>
      </c>
      <c r="EN140" s="231">
        <v>800147804.44000006</v>
      </c>
      <c r="EO140" s="231">
        <v>6604354766.1300001</v>
      </c>
      <c r="EP140" s="231">
        <v>-5804206961.6899996</v>
      </c>
      <c r="EQ140" s="229">
        <v>-0.87880000000000003</v>
      </c>
      <c r="ER140" s="231">
        <v>43522223</v>
      </c>
      <c r="ES140" s="231">
        <v>39937478</v>
      </c>
      <c r="ET140" s="231">
        <v>4552871</v>
      </c>
      <c r="EU140" s="228">
        <v>0</v>
      </c>
      <c r="EV140" s="231">
        <v>88012573</v>
      </c>
      <c r="EW140" s="231">
        <v>65497704</v>
      </c>
      <c r="EX140" s="231">
        <v>22514869</v>
      </c>
      <c r="EY140" s="229">
        <v>0.34379999999999999</v>
      </c>
      <c r="EZ140" s="229">
        <v>0</v>
      </c>
      <c r="FA140" s="227" t="s">
        <v>555</v>
      </c>
      <c r="FB140" s="161">
        <f>BX140-CB140</f>
        <v>1292135</v>
      </c>
    </row>
    <row r="141" spans="1:158" ht="17.25" hidden="1" thickBot="1" x14ac:dyDescent="0.3">
      <c r="A141" s="226">
        <v>46050</v>
      </c>
      <c r="B141" s="227" t="s">
        <v>181</v>
      </c>
      <c r="C141" s="227" t="s">
        <v>566</v>
      </c>
      <c r="D141" s="228">
        <v>25</v>
      </c>
      <c r="E141" s="231">
        <v>68402.8</v>
      </c>
      <c r="F141" s="231">
        <v>67036.399999999994</v>
      </c>
      <c r="G141" s="231">
        <v>1366.4</v>
      </c>
      <c r="H141" s="229">
        <v>2.0400000000000001E-2</v>
      </c>
      <c r="I141" s="231">
        <v>68205.649999999994</v>
      </c>
      <c r="J141" s="231">
        <v>66696.55</v>
      </c>
      <c r="K141" s="231">
        <v>1509.1</v>
      </c>
      <c r="L141" s="229">
        <v>2.2599999999999999E-2</v>
      </c>
      <c r="M141" s="231">
        <v>68402.8</v>
      </c>
      <c r="N141" s="231">
        <v>66675.8</v>
      </c>
      <c r="O141" s="231">
        <v>1727</v>
      </c>
      <c r="P141" s="229">
        <v>2.5899999999999999E-2</v>
      </c>
      <c r="Q141" s="231">
        <v>68802.2</v>
      </c>
      <c r="R141" s="231">
        <v>67036.399999999994</v>
      </c>
      <c r="S141" s="231">
        <v>1765.8</v>
      </c>
      <c r="T141" s="229">
        <v>2.63E-2</v>
      </c>
      <c r="U141" s="228">
        <v>0</v>
      </c>
      <c r="V141" s="231">
        <v>67582</v>
      </c>
      <c r="W141" s="228">
        <v>0</v>
      </c>
      <c r="X141" s="229">
        <v>0</v>
      </c>
      <c r="Y141" s="228">
        <v>197.15</v>
      </c>
      <c r="Z141" s="228">
        <v>339.85</v>
      </c>
      <c r="AA141" s="228">
        <v>-142.69999999999999</v>
      </c>
      <c r="AB141" s="229">
        <v>2.8999999999999998E-3</v>
      </c>
      <c r="AC141" s="228">
        <v>197.15</v>
      </c>
      <c r="AD141" s="228">
        <v>-20.75</v>
      </c>
      <c r="AE141" s="228">
        <v>217.9</v>
      </c>
      <c r="AF141" s="229">
        <v>2.8999999999999998E-3</v>
      </c>
      <c r="AG141" s="228">
        <v>596.54999999999995</v>
      </c>
      <c r="AH141" s="228">
        <v>339.85</v>
      </c>
      <c r="AI141" s="228">
        <v>256.7</v>
      </c>
      <c r="AJ141" s="229">
        <v>8.6999999999999994E-3</v>
      </c>
      <c r="AK141" s="228">
        <v>0</v>
      </c>
      <c r="AL141" s="228">
        <v>885.45</v>
      </c>
      <c r="AM141" s="228">
        <v>0</v>
      </c>
      <c r="AN141" s="229">
        <v>0</v>
      </c>
      <c r="AO141" s="231">
        <v>67763.86</v>
      </c>
      <c r="AP141" s="231">
        <v>68497.78</v>
      </c>
      <c r="AQ141" s="228">
        <v>0</v>
      </c>
      <c r="AR141" s="230">
        <v>13400</v>
      </c>
      <c r="AS141" s="230">
        <v>40125</v>
      </c>
      <c r="AT141" s="230">
        <v>-26725</v>
      </c>
      <c r="AU141" s="229">
        <v>-0.66600000000000004</v>
      </c>
      <c r="AV141" s="230">
        <v>12950</v>
      </c>
      <c r="AW141" s="230">
        <v>22400</v>
      </c>
      <c r="AX141" s="230">
        <v>-9450</v>
      </c>
      <c r="AY141" s="229">
        <v>-0.4219</v>
      </c>
      <c r="AZ141" s="228">
        <v>450</v>
      </c>
      <c r="BA141" s="230">
        <v>17550</v>
      </c>
      <c r="BB141" s="230">
        <v>-17100</v>
      </c>
      <c r="BC141" s="229">
        <v>-0.97440000000000004</v>
      </c>
      <c r="BD141" s="228">
        <v>0</v>
      </c>
      <c r="BE141" s="228">
        <v>175</v>
      </c>
      <c r="BF141" s="228">
        <v>0</v>
      </c>
      <c r="BG141" s="229">
        <v>0</v>
      </c>
      <c r="BH141" s="230">
        <v>6300</v>
      </c>
      <c r="BI141" s="230">
        <v>278475</v>
      </c>
      <c r="BJ141" s="230">
        <v>-272175</v>
      </c>
      <c r="BK141" s="229">
        <v>-0.97740000000000005</v>
      </c>
      <c r="BL141" s="230">
        <v>4100</v>
      </c>
      <c r="BM141" s="230">
        <v>91375</v>
      </c>
      <c r="BN141" s="230">
        <v>-87275</v>
      </c>
      <c r="BO141" s="229">
        <v>-0.95509999999999995</v>
      </c>
      <c r="BP141" s="230">
        <v>23800</v>
      </c>
      <c r="BQ141" s="230">
        <v>409975</v>
      </c>
      <c r="BR141" s="230">
        <v>-386175</v>
      </c>
      <c r="BS141" s="229">
        <v>-0.94189999999999996</v>
      </c>
      <c r="BT141" s="228">
        <v>0</v>
      </c>
      <c r="BU141" s="228">
        <v>0</v>
      </c>
      <c r="BV141" s="228">
        <v>0</v>
      </c>
      <c r="BW141" s="229">
        <v>0</v>
      </c>
      <c r="BX141" s="230">
        <v>22000</v>
      </c>
      <c r="BY141" s="230">
        <v>19900</v>
      </c>
      <c r="BZ141" s="230">
        <v>2100</v>
      </c>
      <c r="CA141" s="229">
        <v>0.1055</v>
      </c>
      <c r="CB141" s="230">
        <v>21575</v>
      </c>
      <c r="CC141" s="230">
        <v>2600</v>
      </c>
      <c r="CD141" s="230">
        <v>18975</v>
      </c>
      <c r="CE141" s="229">
        <v>7.2980999999999998</v>
      </c>
      <c r="CF141" s="228">
        <v>425</v>
      </c>
      <c r="CG141" s="230">
        <v>19725</v>
      </c>
      <c r="CH141" s="230">
        <v>-19300</v>
      </c>
      <c r="CI141" s="229">
        <v>-0.97850000000000004</v>
      </c>
      <c r="CJ141" s="228">
        <v>0</v>
      </c>
      <c r="CK141" s="228">
        <v>175</v>
      </c>
      <c r="CL141" s="228">
        <v>-175</v>
      </c>
      <c r="CM141" s="229">
        <v>-1</v>
      </c>
      <c r="CN141" s="230">
        <v>1900</v>
      </c>
      <c r="CO141" s="228">
        <v>25</v>
      </c>
      <c r="CP141" s="230">
        <v>1875</v>
      </c>
      <c r="CQ141" s="229">
        <v>75</v>
      </c>
      <c r="CR141" s="230">
        <v>1425</v>
      </c>
      <c r="CS141" s="228">
        <v>550</v>
      </c>
      <c r="CT141" s="228">
        <v>875</v>
      </c>
      <c r="CU141" s="229">
        <v>1.5909</v>
      </c>
      <c r="CV141" s="230">
        <v>25325</v>
      </c>
      <c r="CW141" s="230">
        <v>20475</v>
      </c>
      <c r="CX141" s="230">
        <v>4850</v>
      </c>
      <c r="CY141" s="229">
        <v>0.2369</v>
      </c>
      <c r="CZ141" s="228">
        <v>16.87</v>
      </c>
      <c r="DA141" s="228">
        <v>16.2</v>
      </c>
      <c r="DB141" s="228">
        <v>0.67</v>
      </c>
      <c r="DC141" s="228">
        <v>0.67</v>
      </c>
      <c r="DD141" s="228">
        <v>19.829999999999998</v>
      </c>
      <c r="DE141" s="228">
        <v>19.649999999999999</v>
      </c>
      <c r="DF141" s="228">
        <v>-2.96</v>
      </c>
      <c r="DG141" s="228">
        <v>0.18</v>
      </c>
      <c r="DH141" s="228">
        <v>16.13</v>
      </c>
      <c r="DI141" s="228">
        <v>15.08</v>
      </c>
      <c r="DJ141" s="228">
        <v>1.05</v>
      </c>
      <c r="DK141" s="228">
        <v>1.05</v>
      </c>
      <c r="DL141" s="228">
        <v>18</v>
      </c>
      <c r="DM141" s="228">
        <v>16.239999999999998</v>
      </c>
      <c r="DN141" s="228">
        <v>1.76</v>
      </c>
      <c r="DO141" s="228">
        <v>1.76</v>
      </c>
      <c r="DP141" s="228">
        <v>0.75</v>
      </c>
      <c r="DQ141" s="228">
        <v>22</v>
      </c>
      <c r="DR141" s="228">
        <v>-21.25</v>
      </c>
      <c r="DS141" s="229">
        <v>-0.96589999999999998</v>
      </c>
      <c r="DT141" s="231">
        <v>67500</v>
      </c>
      <c r="DU141" s="231">
        <v>67000</v>
      </c>
      <c r="DV141" s="228">
        <v>0.65</v>
      </c>
      <c r="DW141" s="228">
        <v>0.33</v>
      </c>
      <c r="DX141" s="228">
        <v>0.32</v>
      </c>
      <c r="DY141" s="229">
        <v>0.96970000000000001</v>
      </c>
      <c r="DZ141" s="229">
        <v>1.9300000000000001E-2</v>
      </c>
      <c r="EA141" s="230">
        <v>19900</v>
      </c>
      <c r="EB141" s="229">
        <v>5.7999999999999996E-3</v>
      </c>
      <c r="EC141" s="229">
        <v>1.9300000000000001E-2</v>
      </c>
      <c r="ED141" s="228">
        <v>733.92</v>
      </c>
      <c r="EE141" s="229">
        <v>1.0800000000000001E-2</v>
      </c>
      <c r="EF141" s="228">
        <v>0</v>
      </c>
      <c r="EG141" s="228">
        <v>0</v>
      </c>
      <c r="EH141" s="229">
        <v>0</v>
      </c>
      <c r="EI141" s="229">
        <v>0</v>
      </c>
      <c r="EJ141" s="231">
        <v>4339.37</v>
      </c>
      <c r="EK141" s="231">
        <v>2769.05</v>
      </c>
      <c r="EL141" s="231">
        <v>9083.66</v>
      </c>
      <c r="EM141" s="228">
        <v>0</v>
      </c>
      <c r="EN141" s="231">
        <v>16192.08</v>
      </c>
      <c r="EO141" s="231">
        <v>274431.31</v>
      </c>
      <c r="EP141" s="231">
        <v>-258239.23</v>
      </c>
      <c r="EQ141" s="229">
        <v>-0.94099999999999995</v>
      </c>
      <c r="ER141" s="231">
        <v>1284</v>
      </c>
      <c r="ES141" s="228">
        <v>951</v>
      </c>
      <c r="ET141" s="231">
        <v>15050</v>
      </c>
      <c r="EU141" s="228">
        <v>0</v>
      </c>
      <c r="EV141" s="231">
        <v>17284</v>
      </c>
      <c r="EW141" s="231">
        <v>13727</v>
      </c>
      <c r="EX141" s="231">
        <v>3557</v>
      </c>
      <c r="EY141" s="229">
        <v>0.2591</v>
      </c>
      <c r="EZ141" s="229">
        <v>0</v>
      </c>
      <c r="FA141" s="227" t="s">
        <v>555</v>
      </c>
      <c r="FB141" s="161">
        <f>BX214-CB214</f>
        <v>133200</v>
      </c>
    </row>
    <row r="142" spans="1:158" ht="17.25" hidden="1" thickBot="1" x14ac:dyDescent="0.3">
      <c r="A142" s="226">
        <v>46050</v>
      </c>
      <c r="B142" s="227" t="s">
        <v>227</v>
      </c>
      <c r="C142" s="227" t="s">
        <v>267</v>
      </c>
      <c r="D142" s="228">
        <v>6750</v>
      </c>
      <c r="E142" s="228">
        <v>81.69</v>
      </c>
      <c r="F142" s="228">
        <v>79.42</v>
      </c>
      <c r="G142" s="228">
        <v>2.27</v>
      </c>
      <c r="H142" s="229">
        <v>2.86E-2</v>
      </c>
      <c r="I142" s="228">
        <v>81.52</v>
      </c>
      <c r="J142" s="228">
        <v>78.84</v>
      </c>
      <c r="K142" s="228">
        <v>2.68</v>
      </c>
      <c r="L142" s="229">
        <v>3.4000000000000002E-2</v>
      </c>
      <c r="M142" s="228">
        <v>81.69</v>
      </c>
      <c r="N142" s="228">
        <v>78.89</v>
      </c>
      <c r="O142" s="228">
        <v>2.8</v>
      </c>
      <c r="P142" s="229">
        <v>3.5499999999999997E-2</v>
      </c>
      <c r="Q142" s="228">
        <v>82.19</v>
      </c>
      <c r="R142" s="228">
        <v>79.42</v>
      </c>
      <c r="S142" s="228">
        <v>2.77</v>
      </c>
      <c r="T142" s="229">
        <v>3.49E-2</v>
      </c>
      <c r="U142" s="228">
        <v>82.21</v>
      </c>
      <c r="V142" s="228">
        <v>80.03</v>
      </c>
      <c r="W142" s="228">
        <v>2.1800000000000002</v>
      </c>
      <c r="X142" s="229">
        <v>2.7199999999999998E-2</v>
      </c>
      <c r="Y142" s="228">
        <v>0.17</v>
      </c>
      <c r="Z142" s="228">
        <v>0.57999999999999996</v>
      </c>
      <c r="AA142" s="228">
        <v>-0.41</v>
      </c>
      <c r="AB142" s="229">
        <v>2.0999999999999999E-3</v>
      </c>
      <c r="AC142" s="228">
        <v>0.17</v>
      </c>
      <c r="AD142" s="228">
        <v>0.05</v>
      </c>
      <c r="AE142" s="228">
        <v>0.12</v>
      </c>
      <c r="AF142" s="229">
        <v>2.0999999999999999E-3</v>
      </c>
      <c r="AG142" s="228">
        <v>0.67</v>
      </c>
      <c r="AH142" s="228">
        <v>0.57999999999999996</v>
      </c>
      <c r="AI142" s="228">
        <v>0.09</v>
      </c>
      <c r="AJ142" s="229">
        <v>8.2000000000000007E-3</v>
      </c>
      <c r="AK142" s="228">
        <v>0.69</v>
      </c>
      <c r="AL142" s="228">
        <v>1.19</v>
      </c>
      <c r="AM142" s="228">
        <v>-0.5</v>
      </c>
      <c r="AN142" s="229">
        <v>8.5000000000000006E-3</v>
      </c>
      <c r="AO142" s="228">
        <v>81.23</v>
      </c>
      <c r="AP142" s="228">
        <v>81.48</v>
      </c>
      <c r="AQ142" s="228">
        <v>0</v>
      </c>
      <c r="AR142" s="230">
        <v>42950250</v>
      </c>
      <c r="AS142" s="230">
        <v>168655500</v>
      </c>
      <c r="AT142" s="230">
        <v>-125705250</v>
      </c>
      <c r="AU142" s="229">
        <v>-0.74529999999999996</v>
      </c>
      <c r="AV142" s="230">
        <v>40844250</v>
      </c>
      <c r="AW142" s="230">
        <v>73575000</v>
      </c>
      <c r="AX142" s="230">
        <v>-32730750</v>
      </c>
      <c r="AY142" s="229">
        <v>-0.44490000000000002</v>
      </c>
      <c r="AZ142" s="230">
        <v>2065500</v>
      </c>
      <c r="BA142" s="230">
        <v>93170250</v>
      </c>
      <c r="BB142" s="230">
        <v>-91104750</v>
      </c>
      <c r="BC142" s="229">
        <v>-0.9778</v>
      </c>
      <c r="BD142" s="230">
        <v>40500</v>
      </c>
      <c r="BE142" s="230">
        <v>1910250</v>
      </c>
      <c r="BF142" s="230">
        <v>-1869750</v>
      </c>
      <c r="BG142" s="229">
        <v>-0.9788</v>
      </c>
      <c r="BH142" s="230">
        <v>105252750</v>
      </c>
      <c r="BI142" s="230">
        <v>82667250</v>
      </c>
      <c r="BJ142" s="230">
        <v>22585500</v>
      </c>
      <c r="BK142" s="229">
        <v>0.2732</v>
      </c>
      <c r="BL142" s="230">
        <v>29470500</v>
      </c>
      <c r="BM142" s="230">
        <v>40317750</v>
      </c>
      <c r="BN142" s="230">
        <v>-10847250</v>
      </c>
      <c r="BO142" s="229">
        <v>-0.26900000000000002</v>
      </c>
      <c r="BP142" s="230">
        <v>177673500</v>
      </c>
      <c r="BQ142" s="230">
        <v>291640500</v>
      </c>
      <c r="BR142" s="230">
        <v>-113967000</v>
      </c>
      <c r="BS142" s="229">
        <v>-0.39079999999999998</v>
      </c>
      <c r="BT142" s="230">
        <v>33391563</v>
      </c>
      <c r="BU142" s="230">
        <v>30467959</v>
      </c>
      <c r="BV142" s="230">
        <v>2923604</v>
      </c>
      <c r="BW142" s="229">
        <v>9.6000000000000002E-2</v>
      </c>
      <c r="BX142" s="230">
        <v>337331250</v>
      </c>
      <c r="BY142" s="230">
        <v>337797000</v>
      </c>
      <c r="BZ142" s="230">
        <v>-465750</v>
      </c>
      <c r="CA142" s="229">
        <v>-1.4E-3</v>
      </c>
      <c r="CB142" s="230">
        <v>332451000</v>
      </c>
      <c r="CC142" s="230">
        <v>13999500</v>
      </c>
      <c r="CD142" s="230">
        <v>318451500</v>
      </c>
      <c r="CE142" s="229">
        <v>22.747299999999999</v>
      </c>
      <c r="CF142" s="230">
        <v>4853250</v>
      </c>
      <c r="CG142" s="230">
        <v>332950500</v>
      </c>
      <c r="CH142" s="230">
        <v>-328097250</v>
      </c>
      <c r="CI142" s="229">
        <v>-0.98540000000000005</v>
      </c>
      <c r="CJ142" s="230">
        <v>27000</v>
      </c>
      <c r="CK142" s="230">
        <v>4846500</v>
      </c>
      <c r="CL142" s="230">
        <v>-4819500</v>
      </c>
      <c r="CM142" s="229">
        <v>-0.99439999999999995</v>
      </c>
      <c r="CN142" s="230">
        <v>57341250</v>
      </c>
      <c r="CO142" s="230">
        <v>47000250</v>
      </c>
      <c r="CP142" s="230">
        <v>10341000</v>
      </c>
      <c r="CQ142" s="229">
        <v>0.22</v>
      </c>
      <c r="CR142" s="230">
        <v>34161750</v>
      </c>
      <c r="CS142" s="230">
        <v>32238000</v>
      </c>
      <c r="CT142" s="230">
        <v>1923750</v>
      </c>
      <c r="CU142" s="229">
        <v>5.9700000000000003E-2</v>
      </c>
      <c r="CV142" s="230">
        <v>428834250</v>
      </c>
      <c r="CW142" s="230">
        <v>417035250</v>
      </c>
      <c r="CX142" s="230">
        <v>11799000</v>
      </c>
      <c r="CY142" s="229">
        <v>2.8299999999999999E-2</v>
      </c>
      <c r="CZ142" s="228">
        <v>36.36</v>
      </c>
      <c r="DA142" s="228">
        <v>37.64</v>
      </c>
      <c r="DB142" s="228">
        <v>-1.28</v>
      </c>
      <c r="DC142" s="228">
        <v>-1.28</v>
      </c>
      <c r="DD142" s="228">
        <v>37.880000000000003</v>
      </c>
      <c r="DE142" s="228">
        <v>37.79</v>
      </c>
      <c r="DF142" s="228">
        <v>-1.52</v>
      </c>
      <c r="DG142" s="228">
        <v>0.09</v>
      </c>
      <c r="DH142" s="228">
        <v>36.159999999999997</v>
      </c>
      <c r="DI142" s="228">
        <v>37.39</v>
      </c>
      <c r="DJ142" s="228">
        <v>-1.23</v>
      </c>
      <c r="DK142" s="228">
        <v>-1.23</v>
      </c>
      <c r="DL142" s="228">
        <v>37.090000000000003</v>
      </c>
      <c r="DM142" s="228">
        <v>38.25</v>
      </c>
      <c r="DN142" s="228">
        <v>-1.1599999999999999</v>
      </c>
      <c r="DO142" s="228">
        <v>-1.1599999999999999</v>
      </c>
      <c r="DP142" s="228">
        <v>0.6</v>
      </c>
      <c r="DQ142" s="228">
        <v>0.69</v>
      </c>
      <c r="DR142" s="228">
        <v>-0.09</v>
      </c>
      <c r="DS142" s="229">
        <v>-0.13039999999999999</v>
      </c>
      <c r="DT142" s="228">
        <v>90</v>
      </c>
      <c r="DU142" s="228">
        <v>70</v>
      </c>
      <c r="DV142" s="228">
        <v>0.28000000000000003</v>
      </c>
      <c r="DW142" s="228">
        <v>0.49</v>
      </c>
      <c r="DX142" s="228">
        <v>-0.21</v>
      </c>
      <c r="DY142" s="229">
        <v>-0.42859999999999998</v>
      </c>
      <c r="DZ142" s="229">
        <v>1.4500000000000001E-2</v>
      </c>
      <c r="EA142" s="230">
        <v>337797000</v>
      </c>
      <c r="EB142" s="229">
        <v>6.1000000000000004E-3</v>
      </c>
      <c r="EC142" s="229">
        <v>1.4500000000000001E-2</v>
      </c>
      <c r="ED142" s="228">
        <v>0.25</v>
      </c>
      <c r="EE142" s="229">
        <v>3.0999999999999999E-3</v>
      </c>
      <c r="EF142" s="230">
        <v>14831820</v>
      </c>
      <c r="EG142" s="230">
        <v>16090402</v>
      </c>
      <c r="EH142" s="229">
        <v>-7.8200000000000006E-2</v>
      </c>
      <c r="EI142" s="229">
        <v>0.44419999999999998</v>
      </c>
      <c r="EJ142" s="231">
        <v>90708.31</v>
      </c>
      <c r="EK142" s="231">
        <v>23446.89</v>
      </c>
      <c r="EL142" s="231">
        <v>34894.82</v>
      </c>
      <c r="EM142" s="231">
        <v>28307</v>
      </c>
      <c r="EN142" s="231">
        <v>149050.01999999999</v>
      </c>
      <c r="EO142" s="231">
        <v>232691.98</v>
      </c>
      <c r="EP142" s="231">
        <v>-83641.960000000006</v>
      </c>
      <c r="EQ142" s="229">
        <v>-0.35949999999999999</v>
      </c>
      <c r="ER142" s="231">
        <v>48433</v>
      </c>
      <c r="ES142" s="231">
        <v>26645</v>
      </c>
      <c r="ET142" s="231">
        <v>275590</v>
      </c>
      <c r="EU142" s="231">
        <v>517037525</v>
      </c>
      <c r="EV142" s="231">
        <v>350669</v>
      </c>
      <c r="EW142" s="231">
        <v>333070</v>
      </c>
      <c r="EX142" s="231">
        <v>17599</v>
      </c>
      <c r="EY142" s="229">
        <v>5.28E-2</v>
      </c>
      <c r="EZ142" s="229">
        <v>0.82940000000000003</v>
      </c>
      <c r="FA142" s="227" t="s">
        <v>556</v>
      </c>
      <c r="FB142" s="161">
        <f t="shared" ref="FB142:FB161" si="3">BX215-CB215</f>
        <v>0</v>
      </c>
    </row>
    <row r="143" spans="1:158" ht="17.25" hidden="1" thickBot="1" x14ac:dyDescent="0.3">
      <c r="A143" s="226">
        <v>46050</v>
      </c>
      <c r="B143" s="227" t="s">
        <v>161</v>
      </c>
      <c r="C143" s="227" t="s">
        <v>268</v>
      </c>
      <c r="D143" s="228">
        <v>1500</v>
      </c>
      <c r="E143" s="228">
        <v>347.5</v>
      </c>
      <c r="F143" s="228">
        <v>343.5</v>
      </c>
      <c r="G143" s="228">
        <v>4</v>
      </c>
      <c r="H143" s="229">
        <v>1.1599999999999999E-2</v>
      </c>
      <c r="I143" s="228">
        <v>348.05</v>
      </c>
      <c r="J143" s="228">
        <v>344.7</v>
      </c>
      <c r="K143" s="228">
        <v>3.35</v>
      </c>
      <c r="L143" s="229">
        <v>9.7000000000000003E-3</v>
      </c>
      <c r="M143" s="228">
        <v>347.5</v>
      </c>
      <c r="N143" s="228">
        <v>343.45</v>
      </c>
      <c r="O143" s="228">
        <v>4.05</v>
      </c>
      <c r="P143" s="229">
        <v>1.18E-2</v>
      </c>
      <c r="Q143" s="228">
        <v>349.8</v>
      </c>
      <c r="R143" s="228">
        <v>343.5</v>
      </c>
      <c r="S143" s="228">
        <v>6.3</v>
      </c>
      <c r="T143" s="229">
        <v>1.83E-2</v>
      </c>
      <c r="U143" s="228">
        <v>352.25</v>
      </c>
      <c r="V143" s="228">
        <v>346.3</v>
      </c>
      <c r="W143" s="228">
        <v>5.95</v>
      </c>
      <c r="X143" s="229">
        <v>1.72E-2</v>
      </c>
      <c r="Y143" s="228">
        <v>-0.55000000000000004</v>
      </c>
      <c r="Z143" s="228">
        <v>-1.2</v>
      </c>
      <c r="AA143" s="228">
        <v>0.65</v>
      </c>
      <c r="AB143" s="229">
        <v>-1.6000000000000001E-3</v>
      </c>
      <c r="AC143" s="228">
        <v>-0.55000000000000004</v>
      </c>
      <c r="AD143" s="228">
        <v>-1.25</v>
      </c>
      <c r="AE143" s="228">
        <v>0.7</v>
      </c>
      <c r="AF143" s="229">
        <v>-1.6000000000000001E-3</v>
      </c>
      <c r="AG143" s="228">
        <v>1.75</v>
      </c>
      <c r="AH143" s="228">
        <v>-1.2</v>
      </c>
      <c r="AI143" s="228">
        <v>2.95</v>
      </c>
      <c r="AJ143" s="229">
        <v>5.0000000000000001E-3</v>
      </c>
      <c r="AK143" s="228">
        <v>4.2</v>
      </c>
      <c r="AL143" s="228">
        <v>1.6</v>
      </c>
      <c r="AM143" s="228">
        <v>2.6</v>
      </c>
      <c r="AN143" s="229">
        <v>1.21E-2</v>
      </c>
      <c r="AO143" s="228">
        <v>347.84</v>
      </c>
      <c r="AP143" s="228">
        <v>350.14</v>
      </c>
      <c r="AQ143" s="228">
        <v>0</v>
      </c>
      <c r="AR143" s="230">
        <v>9687000</v>
      </c>
      <c r="AS143" s="230">
        <v>47373000</v>
      </c>
      <c r="AT143" s="230">
        <v>-37686000</v>
      </c>
      <c r="AU143" s="229">
        <v>-0.79549999999999998</v>
      </c>
      <c r="AV143" s="230">
        <v>9388500</v>
      </c>
      <c r="AW143" s="230">
        <v>20890500</v>
      </c>
      <c r="AX143" s="230">
        <v>-11502000</v>
      </c>
      <c r="AY143" s="229">
        <v>-0.55059999999999998</v>
      </c>
      <c r="AZ143" s="230">
        <v>270000</v>
      </c>
      <c r="BA143" s="230">
        <v>25959000</v>
      </c>
      <c r="BB143" s="230">
        <v>-25689000</v>
      </c>
      <c r="BC143" s="229">
        <v>-0.98960000000000004</v>
      </c>
      <c r="BD143" s="230">
        <v>28500</v>
      </c>
      <c r="BE143" s="230">
        <v>523500</v>
      </c>
      <c r="BF143" s="230">
        <v>-495000</v>
      </c>
      <c r="BG143" s="229">
        <v>-0.9456</v>
      </c>
      <c r="BH143" s="230">
        <v>50512500</v>
      </c>
      <c r="BI143" s="230">
        <v>51261000</v>
      </c>
      <c r="BJ143" s="230">
        <v>-748500</v>
      </c>
      <c r="BK143" s="229">
        <v>-1.46E-2</v>
      </c>
      <c r="BL143" s="230">
        <v>20712000</v>
      </c>
      <c r="BM143" s="230">
        <v>28923000</v>
      </c>
      <c r="BN143" s="230">
        <v>-8211000</v>
      </c>
      <c r="BO143" s="229">
        <v>-0.28389999999999999</v>
      </c>
      <c r="BP143" s="230">
        <v>80911500</v>
      </c>
      <c r="BQ143" s="230">
        <v>127557000</v>
      </c>
      <c r="BR143" s="230">
        <v>-46645500</v>
      </c>
      <c r="BS143" s="229">
        <v>-0.36570000000000003</v>
      </c>
      <c r="BT143" s="230">
        <v>14762156</v>
      </c>
      <c r="BU143" s="230">
        <v>13046025</v>
      </c>
      <c r="BV143" s="230">
        <v>1716131</v>
      </c>
      <c r="BW143" s="229">
        <v>0.13150000000000001</v>
      </c>
      <c r="BX143" s="230">
        <v>84969000</v>
      </c>
      <c r="BY143" s="230">
        <v>84417000</v>
      </c>
      <c r="BZ143" s="230">
        <v>552000</v>
      </c>
      <c r="CA143" s="229">
        <v>6.4999999999999997E-3</v>
      </c>
      <c r="CB143" s="230">
        <v>83296500</v>
      </c>
      <c r="CC143" s="230">
        <v>9816000</v>
      </c>
      <c r="CD143" s="230">
        <v>73480500</v>
      </c>
      <c r="CE143" s="229">
        <v>7.4858000000000002</v>
      </c>
      <c r="CF143" s="230">
        <v>1645500</v>
      </c>
      <c r="CG143" s="230">
        <v>82815000</v>
      </c>
      <c r="CH143" s="230">
        <v>-81169500</v>
      </c>
      <c r="CI143" s="229">
        <v>-0.98009999999999997</v>
      </c>
      <c r="CJ143" s="230">
        <v>27000</v>
      </c>
      <c r="CK143" s="230">
        <v>1602000</v>
      </c>
      <c r="CL143" s="230">
        <v>-1575000</v>
      </c>
      <c r="CM143" s="229">
        <v>-0.98309999999999997</v>
      </c>
      <c r="CN143" s="230">
        <v>16818000</v>
      </c>
      <c r="CO143" s="230">
        <v>12246000</v>
      </c>
      <c r="CP143" s="230">
        <v>4572000</v>
      </c>
      <c r="CQ143" s="229">
        <v>0.37330000000000002</v>
      </c>
      <c r="CR143" s="230">
        <v>13540500</v>
      </c>
      <c r="CS143" s="230">
        <v>10563000</v>
      </c>
      <c r="CT143" s="230">
        <v>2977500</v>
      </c>
      <c r="CU143" s="229">
        <v>0.28189999999999998</v>
      </c>
      <c r="CV143" s="230">
        <v>115327500</v>
      </c>
      <c r="CW143" s="230">
        <v>107226000</v>
      </c>
      <c r="CX143" s="230">
        <v>8101500</v>
      </c>
      <c r="CY143" s="229">
        <v>7.5600000000000001E-2</v>
      </c>
      <c r="CZ143" s="228">
        <v>26.56</v>
      </c>
      <c r="DA143" s="228">
        <v>26.14</v>
      </c>
      <c r="DB143" s="228">
        <v>0.42</v>
      </c>
      <c r="DC143" s="228">
        <v>0.42</v>
      </c>
      <c r="DD143" s="228">
        <v>27.01</v>
      </c>
      <c r="DE143" s="228">
        <v>27.05</v>
      </c>
      <c r="DF143" s="228">
        <v>-0.45</v>
      </c>
      <c r="DG143" s="228">
        <v>-0.04</v>
      </c>
      <c r="DH143" s="228">
        <v>26.33</v>
      </c>
      <c r="DI143" s="228">
        <v>25.81</v>
      </c>
      <c r="DJ143" s="228">
        <v>0.52</v>
      </c>
      <c r="DK143" s="228">
        <v>0.52</v>
      </c>
      <c r="DL143" s="228">
        <v>27.13</v>
      </c>
      <c r="DM143" s="228">
        <v>26.66</v>
      </c>
      <c r="DN143" s="228">
        <v>0.47</v>
      </c>
      <c r="DO143" s="228">
        <v>0.47</v>
      </c>
      <c r="DP143" s="228">
        <v>0.81</v>
      </c>
      <c r="DQ143" s="228">
        <v>0.86</v>
      </c>
      <c r="DR143" s="228">
        <v>-0.05</v>
      </c>
      <c r="DS143" s="229">
        <v>-5.8099999999999999E-2</v>
      </c>
      <c r="DT143" s="228">
        <v>350</v>
      </c>
      <c r="DU143" s="228">
        <v>380</v>
      </c>
      <c r="DV143" s="228">
        <v>0.41</v>
      </c>
      <c r="DW143" s="228">
        <v>0.56000000000000005</v>
      </c>
      <c r="DX143" s="228">
        <v>-0.15</v>
      </c>
      <c r="DY143" s="229">
        <v>-0.26790000000000003</v>
      </c>
      <c r="DZ143" s="229">
        <v>1.9699999999999999E-2</v>
      </c>
      <c r="EA143" s="230">
        <v>84417000</v>
      </c>
      <c r="EB143" s="229">
        <v>6.6E-3</v>
      </c>
      <c r="EC143" s="229">
        <v>1.9699999999999999E-2</v>
      </c>
      <c r="ED143" s="228">
        <v>2.2999999999999998</v>
      </c>
      <c r="EE143" s="229">
        <v>6.6E-3</v>
      </c>
      <c r="EF143" s="230">
        <v>9848918</v>
      </c>
      <c r="EG143" s="230">
        <v>8037809</v>
      </c>
      <c r="EH143" s="229">
        <v>0.2253</v>
      </c>
      <c r="EI143" s="229">
        <v>0.66720000000000002</v>
      </c>
      <c r="EJ143" s="231">
        <v>185520.23</v>
      </c>
      <c r="EK143" s="231">
        <v>71521.210000000006</v>
      </c>
      <c r="EL143" s="231">
        <v>33702.44</v>
      </c>
      <c r="EM143" s="231">
        <v>33538</v>
      </c>
      <c r="EN143" s="231">
        <v>290743.88</v>
      </c>
      <c r="EO143" s="231">
        <v>440417.93</v>
      </c>
      <c r="EP143" s="231">
        <v>-149674.04999999999</v>
      </c>
      <c r="EQ143" s="229">
        <v>-0.33979999999999999</v>
      </c>
      <c r="ER143" s="231">
        <v>60999</v>
      </c>
      <c r="ES143" s="231">
        <v>46064</v>
      </c>
      <c r="ET143" s="231">
        <v>295306</v>
      </c>
      <c r="EU143" s="231">
        <v>474131988</v>
      </c>
      <c r="EV143" s="231">
        <v>402369</v>
      </c>
      <c r="EW143" s="231">
        <v>370543</v>
      </c>
      <c r="EX143" s="231">
        <v>31826</v>
      </c>
      <c r="EY143" s="229">
        <v>8.5900000000000004E-2</v>
      </c>
      <c r="EZ143" s="229">
        <v>0.2432</v>
      </c>
      <c r="FA143" s="227" t="s">
        <v>555</v>
      </c>
      <c r="FB143" s="161">
        <f t="shared" si="3"/>
        <v>0</v>
      </c>
    </row>
    <row r="144" spans="1:158" ht="17.25" hidden="1" thickBot="1" x14ac:dyDescent="0.3">
      <c r="A144" s="226">
        <v>46050</v>
      </c>
      <c r="B144" s="227" t="s">
        <v>175</v>
      </c>
      <c r="C144" s="227" t="s">
        <v>684</v>
      </c>
      <c r="D144" s="228">
        <v>500</v>
      </c>
      <c r="E144" s="231">
        <v>1332.7</v>
      </c>
      <c r="F144" s="231">
        <v>1276.5</v>
      </c>
      <c r="G144" s="228">
        <v>56.2</v>
      </c>
      <c r="H144" s="229">
        <v>4.3999999999999997E-2</v>
      </c>
      <c r="I144" s="231">
        <v>1322.5</v>
      </c>
      <c r="J144" s="231">
        <v>1265.2</v>
      </c>
      <c r="K144" s="228">
        <v>57.3</v>
      </c>
      <c r="L144" s="229">
        <v>4.53E-2</v>
      </c>
      <c r="M144" s="231">
        <v>1332.7</v>
      </c>
      <c r="N144" s="231">
        <v>1264.9000000000001</v>
      </c>
      <c r="O144" s="228">
        <v>67.8</v>
      </c>
      <c r="P144" s="229">
        <v>5.3600000000000002E-2</v>
      </c>
      <c r="Q144" s="231">
        <v>1335.5</v>
      </c>
      <c r="R144" s="231">
        <v>1276.5</v>
      </c>
      <c r="S144" s="228">
        <v>59</v>
      </c>
      <c r="T144" s="229">
        <v>4.6199999999999998E-2</v>
      </c>
      <c r="U144" s="228">
        <v>0</v>
      </c>
      <c r="V144" s="231">
        <v>1285.5999999999999</v>
      </c>
      <c r="W144" s="228">
        <v>0</v>
      </c>
      <c r="X144" s="229">
        <v>0</v>
      </c>
      <c r="Y144" s="228">
        <v>10.199999999999999</v>
      </c>
      <c r="Z144" s="228">
        <v>11.3</v>
      </c>
      <c r="AA144" s="228">
        <v>-1.1000000000000001</v>
      </c>
      <c r="AB144" s="229">
        <v>7.7000000000000002E-3</v>
      </c>
      <c r="AC144" s="228">
        <v>10.199999999999999</v>
      </c>
      <c r="AD144" s="228">
        <v>-0.3</v>
      </c>
      <c r="AE144" s="228">
        <v>10.5</v>
      </c>
      <c r="AF144" s="229">
        <v>7.7000000000000002E-3</v>
      </c>
      <c r="AG144" s="228">
        <v>13</v>
      </c>
      <c r="AH144" s="228">
        <v>11.3</v>
      </c>
      <c r="AI144" s="228">
        <v>1.7</v>
      </c>
      <c r="AJ144" s="229">
        <v>9.7999999999999997E-3</v>
      </c>
      <c r="AK144" s="228">
        <v>0</v>
      </c>
      <c r="AL144" s="228">
        <v>20.399999999999999</v>
      </c>
      <c r="AM144" s="228">
        <v>0</v>
      </c>
      <c r="AN144" s="229">
        <v>0</v>
      </c>
      <c r="AO144" s="231">
        <v>1308.58</v>
      </c>
      <c r="AP144" s="231">
        <v>1323.42</v>
      </c>
      <c r="AQ144" s="228">
        <v>0</v>
      </c>
      <c r="AR144" s="230">
        <v>1257500</v>
      </c>
      <c r="AS144" s="230">
        <v>3056500</v>
      </c>
      <c r="AT144" s="230">
        <v>-1799000</v>
      </c>
      <c r="AU144" s="229">
        <v>-0.58860000000000001</v>
      </c>
      <c r="AV144" s="230">
        <v>1233500</v>
      </c>
      <c r="AW144" s="230">
        <v>1195000</v>
      </c>
      <c r="AX144" s="230">
        <v>38500</v>
      </c>
      <c r="AY144" s="229">
        <v>3.2199999999999999E-2</v>
      </c>
      <c r="AZ144" s="230">
        <v>24000</v>
      </c>
      <c r="BA144" s="230">
        <v>1842500</v>
      </c>
      <c r="BB144" s="230">
        <v>-1818500</v>
      </c>
      <c r="BC144" s="229">
        <v>-0.98699999999999999</v>
      </c>
      <c r="BD144" s="228">
        <v>0</v>
      </c>
      <c r="BE144" s="230">
        <v>19000</v>
      </c>
      <c r="BF144" s="228">
        <v>0</v>
      </c>
      <c r="BG144" s="229">
        <v>0</v>
      </c>
      <c r="BH144" s="230">
        <v>2148500</v>
      </c>
      <c r="BI144" s="230">
        <v>2394500</v>
      </c>
      <c r="BJ144" s="230">
        <v>-246000</v>
      </c>
      <c r="BK144" s="229">
        <v>-0.1027</v>
      </c>
      <c r="BL144" s="230">
        <v>968000</v>
      </c>
      <c r="BM144" s="230">
        <v>2170000</v>
      </c>
      <c r="BN144" s="230">
        <v>-1202000</v>
      </c>
      <c r="BO144" s="229">
        <v>-0.55389999999999995</v>
      </c>
      <c r="BP144" s="230">
        <v>4374000</v>
      </c>
      <c r="BQ144" s="230">
        <v>7621000</v>
      </c>
      <c r="BR144" s="230">
        <v>-3247000</v>
      </c>
      <c r="BS144" s="229">
        <v>-0.42609999999999998</v>
      </c>
      <c r="BT144" s="230">
        <v>863409</v>
      </c>
      <c r="BU144" s="230">
        <v>1576274</v>
      </c>
      <c r="BV144" s="230">
        <v>-712865</v>
      </c>
      <c r="BW144" s="229">
        <v>-0.45219999999999999</v>
      </c>
      <c r="BX144" s="230">
        <v>2733000</v>
      </c>
      <c r="BY144" s="230">
        <v>2693000</v>
      </c>
      <c r="BZ144" s="230">
        <v>40000</v>
      </c>
      <c r="CA144" s="229">
        <v>1.49E-2</v>
      </c>
      <c r="CB144" s="230">
        <v>2702000</v>
      </c>
      <c r="CC144" s="230">
        <v>142500</v>
      </c>
      <c r="CD144" s="230">
        <v>2559500</v>
      </c>
      <c r="CE144" s="229">
        <v>17.961400000000001</v>
      </c>
      <c r="CF144" s="230">
        <v>31000</v>
      </c>
      <c r="CG144" s="230">
        <v>2672500</v>
      </c>
      <c r="CH144" s="230">
        <v>-2641500</v>
      </c>
      <c r="CI144" s="229">
        <v>-0.98839999999999995</v>
      </c>
      <c r="CJ144" s="228">
        <v>0</v>
      </c>
      <c r="CK144" s="230">
        <v>20500</v>
      </c>
      <c r="CL144" s="230">
        <v>-20500</v>
      </c>
      <c r="CM144" s="229">
        <v>-1</v>
      </c>
      <c r="CN144" s="230">
        <v>590000</v>
      </c>
      <c r="CO144" s="230">
        <v>434500</v>
      </c>
      <c r="CP144" s="230">
        <v>155500</v>
      </c>
      <c r="CQ144" s="229">
        <v>0.3579</v>
      </c>
      <c r="CR144" s="230">
        <v>520000</v>
      </c>
      <c r="CS144" s="230">
        <v>400500</v>
      </c>
      <c r="CT144" s="230">
        <v>119500</v>
      </c>
      <c r="CU144" s="229">
        <v>0.2984</v>
      </c>
      <c r="CV144" s="230">
        <v>3843000</v>
      </c>
      <c r="CW144" s="230">
        <v>3528000</v>
      </c>
      <c r="CX144" s="230">
        <v>315000</v>
      </c>
      <c r="CY144" s="229">
        <v>8.9300000000000004E-2</v>
      </c>
      <c r="CZ144" s="228">
        <v>36.72</v>
      </c>
      <c r="DA144" s="228">
        <v>40.340000000000003</v>
      </c>
      <c r="DB144" s="228">
        <v>-3.62</v>
      </c>
      <c r="DC144" s="228">
        <v>-3.62</v>
      </c>
      <c r="DD144" s="228">
        <v>48.47</v>
      </c>
      <c r="DE144" s="228">
        <v>48.24</v>
      </c>
      <c r="DF144" s="228">
        <v>-11.75</v>
      </c>
      <c r="DG144" s="228">
        <v>0.23</v>
      </c>
      <c r="DH144" s="228">
        <v>35.75</v>
      </c>
      <c r="DI144" s="228">
        <v>38.15</v>
      </c>
      <c r="DJ144" s="228">
        <v>-2.4</v>
      </c>
      <c r="DK144" s="228">
        <v>-2.4</v>
      </c>
      <c r="DL144" s="228">
        <v>38.869999999999997</v>
      </c>
      <c r="DM144" s="228">
        <v>42.54</v>
      </c>
      <c r="DN144" s="228">
        <v>-3.67</v>
      </c>
      <c r="DO144" s="228">
        <v>-3.67</v>
      </c>
      <c r="DP144" s="228">
        <v>0.88</v>
      </c>
      <c r="DQ144" s="228">
        <v>0.92</v>
      </c>
      <c r="DR144" s="228">
        <v>-0.04</v>
      </c>
      <c r="DS144" s="229">
        <v>-4.3499999999999997E-2</v>
      </c>
      <c r="DT144" s="231">
        <v>1500</v>
      </c>
      <c r="DU144" s="231">
        <v>1200</v>
      </c>
      <c r="DV144" s="228">
        <v>0.45</v>
      </c>
      <c r="DW144" s="228">
        <v>0.91</v>
      </c>
      <c r="DX144" s="228">
        <v>-0.46</v>
      </c>
      <c r="DY144" s="229">
        <v>-0.50549999999999995</v>
      </c>
      <c r="DZ144" s="229">
        <v>1.1299999999999999E-2</v>
      </c>
      <c r="EA144" s="230">
        <v>2693000</v>
      </c>
      <c r="EB144" s="229">
        <v>2.0999999999999999E-3</v>
      </c>
      <c r="EC144" s="229">
        <v>1.1299999999999999E-2</v>
      </c>
      <c r="ED144" s="228">
        <v>14.84</v>
      </c>
      <c r="EE144" s="229">
        <v>1.1299999999999999E-2</v>
      </c>
      <c r="EF144" s="230">
        <v>370242</v>
      </c>
      <c r="EG144" s="230">
        <v>466330</v>
      </c>
      <c r="EH144" s="229">
        <v>-0.20610000000000001</v>
      </c>
      <c r="EI144" s="229">
        <v>0.42880000000000001</v>
      </c>
      <c r="EJ144" s="231">
        <v>30319.05</v>
      </c>
      <c r="EK144" s="231">
        <v>12556.11</v>
      </c>
      <c r="EL144" s="231">
        <v>16458.96</v>
      </c>
      <c r="EM144" s="231">
        <v>5307</v>
      </c>
      <c r="EN144" s="231">
        <v>59334.12</v>
      </c>
      <c r="EO144" s="231">
        <v>100622.95</v>
      </c>
      <c r="EP144" s="231">
        <v>-41288.83</v>
      </c>
      <c r="EQ144" s="229">
        <v>-0.4103</v>
      </c>
      <c r="ER144" s="231">
        <v>8242</v>
      </c>
      <c r="ES144" s="231">
        <v>6623</v>
      </c>
      <c r="ET144" s="231">
        <v>36424</v>
      </c>
      <c r="EU144" s="231">
        <v>12267678</v>
      </c>
      <c r="EV144" s="231">
        <v>51288</v>
      </c>
      <c r="EW144" s="231">
        <v>45539</v>
      </c>
      <c r="EX144" s="231">
        <v>5749</v>
      </c>
      <c r="EY144" s="229">
        <v>0.12620000000000001</v>
      </c>
      <c r="EZ144" s="229">
        <v>0.31330000000000002</v>
      </c>
      <c r="FA144" s="227" t="s">
        <v>555</v>
      </c>
      <c r="FB144" s="161">
        <f t="shared" si="3"/>
        <v>0</v>
      </c>
    </row>
    <row r="145" spans="1:158" ht="17.25" hidden="1" thickBot="1" x14ac:dyDescent="0.3">
      <c r="A145" s="226">
        <v>46050</v>
      </c>
      <c r="B145" s="227" t="s">
        <v>615</v>
      </c>
      <c r="C145" s="227" t="s">
        <v>613</v>
      </c>
      <c r="D145" s="228">
        <v>3125</v>
      </c>
      <c r="E145" s="228">
        <v>238.8</v>
      </c>
      <c r="F145" s="228">
        <v>238.3</v>
      </c>
      <c r="G145" s="228">
        <v>0.5</v>
      </c>
      <c r="H145" s="229">
        <v>2.0999999999999999E-3</v>
      </c>
      <c r="I145" s="228">
        <v>237.2</v>
      </c>
      <c r="J145" s="228">
        <v>236.5</v>
      </c>
      <c r="K145" s="228">
        <v>0.7</v>
      </c>
      <c r="L145" s="229">
        <v>3.0000000000000001E-3</v>
      </c>
      <c r="M145" s="228">
        <v>238.8</v>
      </c>
      <c r="N145" s="228">
        <v>236.95</v>
      </c>
      <c r="O145" s="228">
        <v>1.85</v>
      </c>
      <c r="P145" s="229">
        <v>7.7999999999999996E-3</v>
      </c>
      <c r="Q145" s="228">
        <v>240.15</v>
      </c>
      <c r="R145" s="228">
        <v>238.3</v>
      </c>
      <c r="S145" s="228">
        <v>1.85</v>
      </c>
      <c r="T145" s="229">
        <v>7.7999999999999996E-3</v>
      </c>
      <c r="U145" s="228">
        <v>0</v>
      </c>
      <c r="V145" s="228">
        <v>238.65</v>
      </c>
      <c r="W145" s="228">
        <v>0</v>
      </c>
      <c r="X145" s="229">
        <v>0</v>
      </c>
      <c r="Y145" s="228">
        <v>1.6</v>
      </c>
      <c r="Z145" s="228">
        <v>1.8</v>
      </c>
      <c r="AA145" s="228">
        <v>-0.2</v>
      </c>
      <c r="AB145" s="229">
        <v>6.7000000000000002E-3</v>
      </c>
      <c r="AC145" s="228">
        <v>1.6</v>
      </c>
      <c r="AD145" s="228">
        <v>0.45</v>
      </c>
      <c r="AE145" s="228">
        <v>1.1499999999999999</v>
      </c>
      <c r="AF145" s="229">
        <v>6.7000000000000002E-3</v>
      </c>
      <c r="AG145" s="228">
        <v>2.95</v>
      </c>
      <c r="AH145" s="228">
        <v>1.8</v>
      </c>
      <c r="AI145" s="228">
        <v>1.1499999999999999</v>
      </c>
      <c r="AJ145" s="229">
        <v>1.24E-2</v>
      </c>
      <c r="AK145" s="228">
        <v>0</v>
      </c>
      <c r="AL145" s="228">
        <v>2.15</v>
      </c>
      <c r="AM145" s="228">
        <v>0</v>
      </c>
      <c r="AN145" s="229">
        <v>0</v>
      </c>
      <c r="AO145" s="228">
        <v>237.61</v>
      </c>
      <c r="AP145" s="228">
        <v>237.7</v>
      </c>
      <c r="AQ145" s="228">
        <v>0</v>
      </c>
      <c r="AR145" s="230">
        <v>6187500</v>
      </c>
      <c r="AS145" s="230">
        <v>33665625</v>
      </c>
      <c r="AT145" s="230">
        <v>-27478125</v>
      </c>
      <c r="AU145" s="229">
        <v>-0.81620000000000004</v>
      </c>
      <c r="AV145" s="230">
        <v>6015625</v>
      </c>
      <c r="AW145" s="230">
        <v>14703125</v>
      </c>
      <c r="AX145" s="230">
        <v>-8687500</v>
      </c>
      <c r="AY145" s="229">
        <v>-0.59089999999999998</v>
      </c>
      <c r="AZ145" s="230">
        <v>171875</v>
      </c>
      <c r="BA145" s="230">
        <v>18750000</v>
      </c>
      <c r="BB145" s="230">
        <v>-18578125</v>
      </c>
      <c r="BC145" s="229">
        <v>-0.99080000000000001</v>
      </c>
      <c r="BD145" s="228">
        <v>0</v>
      </c>
      <c r="BE145" s="230">
        <v>212500</v>
      </c>
      <c r="BF145" s="228">
        <v>0</v>
      </c>
      <c r="BG145" s="229">
        <v>0</v>
      </c>
      <c r="BH145" s="230">
        <v>4506250</v>
      </c>
      <c r="BI145" s="230">
        <v>7046875</v>
      </c>
      <c r="BJ145" s="230">
        <v>-2540625</v>
      </c>
      <c r="BK145" s="229">
        <v>-0.36049999999999999</v>
      </c>
      <c r="BL145" s="230">
        <v>4040625</v>
      </c>
      <c r="BM145" s="230">
        <v>9134375</v>
      </c>
      <c r="BN145" s="230">
        <v>-5093750</v>
      </c>
      <c r="BO145" s="229">
        <v>-0.55759999999999998</v>
      </c>
      <c r="BP145" s="230">
        <v>14734375</v>
      </c>
      <c r="BQ145" s="230">
        <v>49846875</v>
      </c>
      <c r="BR145" s="230">
        <v>-35112500</v>
      </c>
      <c r="BS145" s="229">
        <v>-0.70440000000000003</v>
      </c>
      <c r="BT145" s="230">
        <v>6147559</v>
      </c>
      <c r="BU145" s="230">
        <v>8090235</v>
      </c>
      <c r="BV145" s="230">
        <v>-1942676</v>
      </c>
      <c r="BW145" s="229">
        <v>-0.24010000000000001</v>
      </c>
      <c r="BX145" s="230">
        <v>37646875</v>
      </c>
      <c r="BY145" s="230">
        <v>36640625</v>
      </c>
      <c r="BZ145" s="230">
        <v>1006250</v>
      </c>
      <c r="CA145" s="229">
        <v>2.75E-2</v>
      </c>
      <c r="CB145" s="230">
        <v>37303125</v>
      </c>
      <c r="CC145" s="230">
        <v>5443750</v>
      </c>
      <c r="CD145" s="230">
        <v>31859375</v>
      </c>
      <c r="CE145" s="229">
        <v>5.8525</v>
      </c>
      <c r="CF145" s="230">
        <v>343750</v>
      </c>
      <c r="CG145" s="230">
        <v>36350000</v>
      </c>
      <c r="CH145" s="230">
        <v>-36006250</v>
      </c>
      <c r="CI145" s="229">
        <v>-0.99050000000000005</v>
      </c>
      <c r="CJ145" s="228">
        <v>0</v>
      </c>
      <c r="CK145" s="230">
        <v>290625</v>
      </c>
      <c r="CL145" s="230">
        <v>-290625</v>
      </c>
      <c r="CM145" s="229">
        <v>-1</v>
      </c>
      <c r="CN145" s="230">
        <v>5381250</v>
      </c>
      <c r="CO145" s="230">
        <v>4606250</v>
      </c>
      <c r="CP145" s="230">
        <v>775000</v>
      </c>
      <c r="CQ145" s="229">
        <v>0.16819999999999999</v>
      </c>
      <c r="CR145" s="230">
        <v>6553125</v>
      </c>
      <c r="CS145" s="230">
        <v>5665625</v>
      </c>
      <c r="CT145" s="230">
        <v>887500</v>
      </c>
      <c r="CU145" s="229">
        <v>0.15659999999999999</v>
      </c>
      <c r="CV145" s="230">
        <v>49581250</v>
      </c>
      <c r="CW145" s="230">
        <v>46912500</v>
      </c>
      <c r="CX145" s="230">
        <v>2668750</v>
      </c>
      <c r="CY145" s="229">
        <v>5.6899999999999999E-2</v>
      </c>
      <c r="CZ145" s="228">
        <v>37.200000000000003</v>
      </c>
      <c r="DA145" s="228">
        <v>38.17</v>
      </c>
      <c r="DB145" s="228">
        <v>-0.97</v>
      </c>
      <c r="DC145" s="228">
        <v>-0.97</v>
      </c>
      <c r="DD145" s="228">
        <v>35.01</v>
      </c>
      <c r="DE145" s="228">
        <v>35.1</v>
      </c>
      <c r="DF145" s="228">
        <v>2.19</v>
      </c>
      <c r="DG145" s="228">
        <v>-0.09</v>
      </c>
      <c r="DH145" s="228">
        <v>37.28</v>
      </c>
      <c r="DI145" s="228">
        <v>37.380000000000003</v>
      </c>
      <c r="DJ145" s="228">
        <v>-0.1</v>
      </c>
      <c r="DK145" s="228">
        <v>-0.1</v>
      </c>
      <c r="DL145" s="228">
        <v>37.1</v>
      </c>
      <c r="DM145" s="228">
        <v>38.729999999999997</v>
      </c>
      <c r="DN145" s="228">
        <v>-1.63</v>
      </c>
      <c r="DO145" s="228">
        <v>-1.63</v>
      </c>
      <c r="DP145" s="228">
        <v>1.22</v>
      </c>
      <c r="DQ145" s="228">
        <v>1.23</v>
      </c>
      <c r="DR145" s="228">
        <v>-0.01</v>
      </c>
      <c r="DS145" s="229">
        <v>-8.0999999999999996E-3</v>
      </c>
      <c r="DT145" s="228">
        <v>240</v>
      </c>
      <c r="DU145" s="228">
        <v>235</v>
      </c>
      <c r="DV145" s="228">
        <v>0.9</v>
      </c>
      <c r="DW145" s="228">
        <v>1.3</v>
      </c>
      <c r="DX145" s="228">
        <v>-0.4</v>
      </c>
      <c r="DY145" s="229">
        <v>-0.30769999999999997</v>
      </c>
      <c r="DZ145" s="229">
        <v>9.1000000000000004E-3</v>
      </c>
      <c r="EA145" s="230">
        <v>36640625</v>
      </c>
      <c r="EB145" s="229">
        <v>5.7000000000000002E-3</v>
      </c>
      <c r="EC145" s="229">
        <v>9.1000000000000004E-3</v>
      </c>
      <c r="ED145" s="228">
        <v>0.09</v>
      </c>
      <c r="EE145" s="229">
        <v>4.0000000000000002E-4</v>
      </c>
      <c r="EF145" s="230">
        <v>3849897</v>
      </c>
      <c r="EG145" s="230">
        <v>4470084</v>
      </c>
      <c r="EH145" s="229">
        <v>-0.13869999999999999</v>
      </c>
      <c r="EI145" s="229">
        <v>0.62619999999999998</v>
      </c>
      <c r="EJ145" s="231">
        <v>11408.95</v>
      </c>
      <c r="EK145" s="231">
        <v>9796.56</v>
      </c>
      <c r="EL145" s="231">
        <v>14702.21</v>
      </c>
      <c r="EM145" s="231">
        <v>11030</v>
      </c>
      <c r="EN145" s="231">
        <v>35907.72</v>
      </c>
      <c r="EO145" s="231">
        <v>119570.36</v>
      </c>
      <c r="EP145" s="231">
        <v>-83662.64</v>
      </c>
      <c r="EQ145" s="229">
        <v>-0.69969999999999999</v>
      </c>
      <c r="ER145" s="231">
        <v>13910</v>
      </c>
      <c r="ES145" s="231">
        <v>15476</v>
      </c>
      <c r="ET145" s="231">
        <v>89905</v>
      </c>
      <c r="EU145" s="231">
        <v>205483040</v>
      </c>
      <c r="EV145" s="231">
        <v>119291</v>
      </c>
      <c r="EW145" s="231">
        <v>112731</v>
      </c>
      <c r="EX145" s="231">
        <v>6560</v>
      </c>
      <c r="EY145" s="229">
        <v>5.8200000000000002E-2</v>
      </c>
      <c r="EZ145" s="229">
        <v>0.24129999999999999</v>
      </c>
      <c r="FA145" s="227" t="s">
        <v>555</v>
      </c>
      <c r="FB145" s="161">
        <f t="shared" si="3"/>
        <v>0</v>
      </c>
    </row>
    <row r="146" spans="1:158" ht="17.25" hidden="1" thickBot="1" x14ac:dyDescent="0.3">
      <c r="A146" s="226">
        <v>46050</v>
      </c>
      <c r="B146" s="227" t="s">
        <v>206</v>
      </c>
      <c r="C146" s="227" t="s">
        <v>528</v>
      </c>
      <c r="D146" s="228">
        <v>350</v>
      </c>
      <c r="E146" s="231">
        <v>1488.5</v>
      </c>
      <c r="F146" s="231">
        <v>1476.8</v>
      </c>
      <c r="G146" s="228">
        <v>11.7</v>
      </c>
      <c r="H146" s="229">
        <v>7.9000000000000008E-3</v>
      </c>
      <c r="I146" s="231">
        <v>1483.2</v>
      </c>
      <c r="J146" s="231">
        <v>1467.6</v>
      </c>
      <c r="K146" s="228">
        <v>15.6</v>
      </c>
      <c r="L146" s="229">
        <v>1.06E-2</v>
      </c>
      <c r="M146" s="231">
        <v>1488.5</v>
      </c>
      <c r="N146" s="231">
        <v>1468</v>
      </c>
      <c r="O146" s="228">
        <v>20.5</v>
      </c>
      <c r="P146" s="229">
        <v>1.4E-2</v>
      </c>
      <c r="Q146" s="231">
        <v>1486.1</v>
      </c>
      <c r="R146" s="231">
        <v>1476.8</v>
      </c>
      <c r="S146" s="228">
        <v>9.3000000000000007</v>
      </c>
      <c r="T146" s="229">
        <v>6.3E-3</v>
      </c>
      <c r="U146" s="231">
        <v>1468</v>
      </c>
      <c r="V146" s="231">
        <v>1475.2</v>
      </c>
      <c r="W146" s="228">
        <v>-7.2</v>
      </c>
      <c r="X146" s="229">
        <v>-4.8999999999999998E-3</v>
      </c>
      <c r="Y146" s="228">
        <v>5.3</v>
      </c>
      <c r="Z146" s="228">
        <v>9.1999999999999993</v>
      </c>
      <c r="AA146" s="228">
        <v>-3.9</v>
      </c>
      <c r="AB146" s="229">
        <v>3.5999999999999999E-3</v>
      </c>
      <c r="AC146" s="228">
        <v>5.3</v>
      </c>
      <c r="AD146" s="228">
        <v>0.4</v>
      </c>
      <c r="AE146" s="228">
        <v>4.9000000000000004</v>
      </c>
      <c r="AF146" s="229">
        <v>3.5999999999999999E-3</v>
      </c>
      <c r="AG146" s="228">
        <v>2.9</v>
      </c>
      <c r="AH146" s="228">
        <v>9.1999999999999993</v>
      </c>
      <c r="AI146" s="228">
        <v>-6.3</v>
      </c>
      <c r="AJ146" s="229">
        <v>2E-3</v>
      </c>
      <c r="AK146" s="228">
        <v>-15.2</v>
      </c>
      <c r="AL146" s="228">
        <v>7.6</v>
      </c>
      <c r="AM146" s="228">
        <v>-22.8</v>
      </c>
      <c r="AN146" s="229">
        <v>-1.0200000000000001E-2</v>
      </c>
      <c r="AO146" s="231">
        <v>1483.25</v>
      </c>
      <c r="AP146" s="231">
        <v>1476.58</v>
      </c>
      <c r="AQ146" s="228">
        <v>0</v>
      </c>
      <c r="AR146" s="230">
        <v>977900</v>
      </c>
      <c r="AS146" s="230">
        <v>3302250</v>
      </c>
      <c r="AT146" s="230">
        <v>-2324350</v>
      </c>
      <c r="AU146" s="229">
        <v>-0.70389999999999997</v>
      </c>
      <c r="AV146" s="230">
        <v>956200</v>
      </c>
      <c r="AW146" s="230">
        <v>1505350</v>
      </c>
      <c r="AX146" s="230">
        <v>-549150</v>
      </c>
      <c r="AY146" s="229">
        <v>-0.36480000000000001</v>
      </c>
      <c r="AZ146" s="230">
        <v>21350</v>
      </c>
      <c r="BA146" s="230">
        <v>1773800</v>
      </c>
      <c r="BB146" s="230">
        <v>-1752450</v>
      </c>
      <c r="BC146" s="229">
        <v>-0.98799999999999999</v>
      </c>
      <c r="BD146" s="228">
        <v>350</v>
      </c>
      <c r="BE146" s="230">
        <v>23100</v>
      </c>
      <c r="BF146" s="230">
        <v>-22750</v>
      </c>
      <c r="BG146" s="229">
        <v>-0.98480000000000001</v>
      </c>
      <c r="BH146" s="230">
        <v>961100</v>
      </c>
      <c r="BI146" s="230">
        <v>1643600</v>
      </c>
      <c r="BJ146" s="230">
        <v>-682500</v>
      </c>
      <c r="BK146" s="229">
        <v>-0.41520000000000001</v>
      </c>
      <c r="BL146" s="230">
        <v>732550</v>
      </c>
      <c r="BM146" s="230">
        <v>1109150</v>
      </c>
      <c r="BN146" s="230">
        <v>-376600</v>
      </c>
      <c r="BO146" s="229">
        <v>-0.33950000000000002</v>
      </c>
      <c r="BP146" s="230">
        <v>2671550</v>
      </c>
      <c r="BQ146" s="230">
        <v>6055000</v>
      </c>
      <c r="BR146" s="230">
        <v>-3383450</v>
      </c>
      <c r="BS146" s="229">
        <v>-0.55879999999999996</v>
      </c>
      <c r="BT146" s="230">
        <v>532447</v>
      </c>
      <c r="BU146" s="230">
        <v>968188</v>
      </c>
      <c r="BV146" s="230">
        <v>-435741</v>
      </c>
      <c r="BW146" s="229">
        <v>-0.4501</v>
      </c>
      <c r="BX146" s="230">
        <v>5489400</v>
      </c>
      <c r="BY146" s="230">
        <v>5371100</v>
      </c>
      <c r="BZ146" s="230">
        <v>118300</v>
      </c>
      <c r="CA146" s="229">
        <v>2.1999999999999999E-2</v>
      </c>
      <c r="CB146" s="230">
        <v>5426400</v>
      </c>
      <c r="CC146" s="230">
        <v>597100</v>
      </c>
      <c r="CD146" s="230">
        <v>4829300</v>
      </c>
      <c r="CE146" s="229">
        <v>8.0878999999999994</v>
      </c>
      <c r="CF146" s="230">
        <v>62650</v>
      </c>
      <c r="CG146" s="230">
        <v>5310900</v>
      </c>
      <c r="CH146" s="230">
        <v>-5248250</v>
      </c>
      <c r="CI146" s="229">
        <v>-0.98819999999999997</v>
      </c>
      <c r="CJ146" s="228">
        <v>350</v>
      </c>
      <c r="CK146" s="230">
        <v>60200</v>
      </c>
      <c r="CL146" s="230">
        <v>-59850</v>
      </c>
      <c r="CM146" s="229">
        <v>-0.99419999999999997</v>
      </c>
      <c r="CN146" s="230">
        <v>722750</v>
      </c>
      <c r="CO146" s="230">
        <v>583100</v>
      </c>
      <c r="CP146" s="230">
        <v>139650</v>
      </c>
      <c r="CQ146" s="229">
        <v>0.23949999999999999</v>
      </c>
      <c r="CR146" s="230">
        <v>1006250</v>
      </c>
      <c r="CS146" s="230">
        <v>753550</v>
      </c>
      <c r="CT146" s="230">
        <v>252700</v>
      </c>
      <c r="CU146" s="229">
        <v>0.33529999999999999</v>
      </c>
      <c r="CV146" s="230">
        <v>7218400</v>
      </c>
      <c r="CW146" s="230">
        <v>6707750</v>
      </c>
      <c r="CX146" s="230">
        <v>510650</v>
      </c>
      <c r="CY146" s="229">
        <v>7.6100000000000001E-2</v>
      </c>
      <c r="CZ146" s="228">
        <v>34</v>
      </c>
      <c r="DA146" s="228">
        <v>36.14</v>
      </c>
      <c r="DB146" s="228">
        <v>-2.14</v>
      </c>
      <c r="DC146" s="228">
        <v>-2.14</v>
      </c>
      <c r="DD146" s="228">
        <v>37.159999999999997</v>
      </c>
      <c r="DE146" s="228">
        <v>37.229999999999997</v>
      </c>
      <c r="DF146" s="228">
        <v>-3.16</v>
      </c>
      <c r="DG146" s="228">
        <v>-7.0000000000000007E-2</v>
      </c>
      <c r="DH146" s="228">
        <v>33.71</v>
      </c>
      <c r="DI146" s="228">
        <v>35.49</v>
      </c>
      <c r="DJ146" s="228">
        <v>-1.78</v>
      </c>
      <c r="DK146" s="228">
        <v>-1.78</v>
      </c>
      <c r="DL146" s="228">
        <v>34.39</v>
      </c>
      <c r="DM146" s="228">
        <v>36.950000000000003</v>
      </c>
      <c r="DN146" s="228">
        <v>-2.56</v>
      </c>
      <c r="DO146" s="228">
        <v>-2.56</v>
      </c>
      <c r="DP146" s="228">
        <v>1.39</v>
      </c>
      <c r="DQ146" s="228">
        <v>1.29</v>
      </c>
      <c r="DR146" s="228">
        <v>0.1</v>
      </c>
      <c r="DS146" s="229">
        <v>7.7499999999999999E-2</v>
      </c>
      <c r="DT146" s="231">
        <v>1500</v>
      </c>
      <c r="DU146" s="231">
        <v>1340</v>
      </c>
      <c r="DV146" s="228">
        <v>0.76</v>
      </c>
      <c r="DW146" s="228">
        <v>0.67</v>
      </c>
      <c r="DX146" s="228">
        <v>0.09</v>
      </c>
      <c r="DY146" s="229">
        <v>0.1343</v>
      </c>
      <c r="DZ146" s="229">
        <v>1.15E-2</v>
      </c>
      <c r="EA146" s="230">
        <v>5371100</v>
      </c>
      <c r="EB146" s="229">
        <v>-1.6000000000000001E-3</v>
      </c>
      <c r="EC146" s="229">
        <v>1.15E-2</v>
      </c>
      <c r="ED146" s="228">
        <v>-6.67</v>
      </c>
      <c r="EE146" s="229">
        <v>-4.4999999999999997E-3</v>
      </c>
      <c r="EF146" s="230">
        <v>278351</v>
      </c>
      <c r="EG146" s="230">
        <v>474407</v>
      </c>
      <c r="EH146" s="229">
        <v>-0.4133</v>
      </c>
      <c r="EI146" s="229">
        <v>0.52280000000000004</v>
      </c>
      <c r="EJ146" s="231">
        <v>15188.11</v>
      </c>
      <c r="EK146" s="231">
        <v>10767.54</v>
      </c>
      <c r="EL146" s="231">
        <v>14503.21</v>
      </c>
      <c r="EM146" s="231">
        <v>13643</v>
      </c>
      <c r="EN146" s="231">
        <v>40458.86</v>
      </c>
      <c r="EO146" s="231">
        <v>91760.7</v>
      </c>
      <c r="EP146" s="231">
        <v>-51301.84</v>
      </c>
      <c r="EQ146" s="229">
        <v>-0.55910000000000004</v>
      </c>
      <c r="ER146" s="231">
        <v>11419</v>
      </c>
      <c r="ES146" s="231">
        <v>14515</v>
      </c>
      <c r="ET146" s="231">
        <v>81708</v>
      </c>
      <c r="EU146" s="231">
        <v>17614093</v>
      </c>
      <c r="EV146" s="231">
        <v>107642</v>
      </c>
      <c r="EW146" s="231">
        <v>99510</v>
      </c>
      <c r="EX146" s="231">
        <v>8132</v>
      </c>
      <c r="EY146" s="229">
        <v>8.1699999999999995E-2</v>
      </c>
      <c r="EZ146" s="229">
        <v>0.4098</v>
      </c>
      <c r="FA146" s="227" t="s">
        <v>555</v>
      </c>
      <c r="FB146" s="161">
        <f t="shared" si="3"/>
        <v>0</v>
      </c>
    </row>
    <row r="147" spans="1:158" ht="17.25" hidden="1" thickBot="1" x14ac:dyDescent="0.3">
      <c r="A147" s="226">
        <v>46050</v>
      </c>
      <c r="B147" s="227" t="s">
        <v>221</v>
      </c>
      <c r="C147" s="227" t="s">
        <v>518</v>
      </c>
      <c r="D147" s="228">
        <v>75</v>
      </c>
      <c r="E147" s="231">
        <v>8059</v>
      </c>
      <c r="F147" s="231">
        <v>8041.5</v>
      </c>
      <c r="G147" s="228">
        <v>17.5</v>
      </c>
      <c r="H147" s="229">
        <v>2.2000000000000001E-3</v>
      </c>
      <c r="I147" s="231">
        <v>8012.5</v>
      </c>
      <c r="J147" s="231">
        <v>8006</v>
      </c>
      <c r="K147" s="228">
        <v>6.5</v>
      </c>
      <c r="L147" s="229">
        <v>8.0000000000000004E-4</v>
      </c>
      <c r="M147" s="231">
        <v>8059</v>
      </c>
      <c r="N147" s="231">
        <v>8004.5</v>
      </c>
      <c r="O147" s="228">
        <v>54.5</v>
      </c>
      <c r="P147" s="229">
        <v>6.7999999999999996E-3</v>
      </c>
      <c r="Q147" s="231">
        <v>8089.5</v>
      </c>
      <c r="R147" s="231">
        <v>8041.5</v>
      </c>
      <c r="S147" s="228">
        <v>48</v>
      </c>
      <c r="T147" s="229">
        <v>6.0000000000000001E-3</v>
      </c>
      <c r="U147" s="231">
        <v>8121</v>
      </c>
      <c r="V147" s="231">
        <v>8072</v>
      </c>
      <c r="W147" s="228">
        <v>49</v>
      </c>
      <c r="X147" s="229">
        <v>6.1000000000000004E-3</v>
      </c>
      <c r="Y147" s="228">
        <v>46.5</v>
      </c>
      <c r="Z147" s="228">
        <v>35.5</v>
      </c>
      <c r="AA147" s="228">
        <v>11</v>
      </c>
      <c r="AB147" s="229">
        <v>5.7999999999999996E-3</v>
      </c>
      <c r="AC147" s="228">
        <v>46.5</v>
      </c>
      <c r="AD147" s="228">
        <v>-1.5</v>
      </c>
      <c r="AE147" s="228">
        <v>48</v>
      </c>
      <c r="AF147" s="229">
        <v>5.7999999999999996E-3</v>
      </c>
      <c r="AG147" s="228">
        <v>77</v>
      </c>
      <c r="AH147" s="228">
        <v>35.5</v>
      </c>
      <c r="AI147" s="228">
        <v>41.5</v>
      </c>
      <c r="AJ147" s="229">
        <v>9.5999999999999992E-3</v>
      </c>
      <c r="AK147" s="228">
        <v>108.5</v>
      </c>
      <c r="AL147" s="228">
        <v>66</v>
      </c>
      <c r="AM147" s="228">
        <v>42.5</v>
      </c>
      <c r="AN147" s="229">
        <v>1.35E-2</v>
      </c>
      <c r="AO147" s="231">
        <v>8038.27</v>
      </c>
      <c r="AP147" s="231">
        <v>8070.25</v>
      </c>
      <c r="AQ147" s="228">
        <v>0</v>
      </c>
      <c r="AR147" s="230">
        <v>161850</v>
      </c>
      <c r="AS147" s="230">
        <v>823350</v>
      </c>
      <c r="AT147" s="230">
        <v>-661500</v>
      </c>
      <c r="AU147" s="229">
        <v>-0.8034</v>
      </c>
      <c r="AV147" s="230">
        <v>156450</v>
      </c>
      <c r="AW147" s="230">
        <v>382650</v>
      </c>
      <c r="AX147" s="230">
        <v>-226200</v>
      </c>
      <c r="AY147" s="229">
        <v>-0.59109999999999996</v>
      </c>
      <c r="AZ147" s="230">
        <v>5025</v>
      </c>
      <c r="BA147" s="230">
        <v>429150</v>
      </c>
      <c r="BB147" s="230">
        <v>-424125</v>
      </c>
      <c r="BC147" s="229">
        <v>-0.98829999999999996</v>
      </c>
      <c r="BD147" s="228">
        <v>375</v>
      </c>
      <c r="BE147" s="230">
        <v>11550</v>
      </c>
      <c r="BF147" s="230">
        <v>-11175</v>
      </c>
      <c r="BG147" s="229">
        <v>-0.96750000000000003</v>
      </c>
      <c r="BH147" s="230">
        <v>275250</v>
      </c>
      <c r="BI147" s="230">
        <v>894375</v>
      </c>
      <c r="BJ147" s="230">
        <v>-619125</v>
      </c>
      <c r="BK147" s="229">
        <v>-0.69220000000000004</v>
      </c>
      <c r="BL147" s="230">
        <v>132150</v>
      </c>
      <c r="BM147" s="230">
        <v>697950</v>
      </c>
      <c r="BN147" s="230">
        <v>-565800</v>
      </c>
      <c r="BO147" s="229">
        <v>-0.81069999999999998</v>
      </c>
      <c r="BP147" s="230">
        <v>569250</v>
      </c>
      <c r="BQ147" s="230">
        <v>2415675</v>
      </c>
      <c r="BR147" s="230">
        <v>-1846425</v>
      </c>
      <c r="BS147" s="229">
        <v>-0.76439999999999997</v>
      </c>
      <c r="BT147" s="230">
        <v>86548</v>
      </c>
      <c r="BU147" s="230">
        <v>143987</v>
      </c>
      <c r="BV147" s="230">
        <v>-57439</v>
      </c>
      <c r="BW147" s="229">
        <v>-0.39889999999999998</v>
      </c>
      <c r="BX147" s="230">
        <v>1150200</v>
      </c>
      <c r="BY147" s="230">
        <v>1125525</v>
      </c>
      <c r="BZ147" s="230">
        <v>24675</v>
      </c>
      <c r="CA147" s="229">
        <v>2.1899999999999999E-2</v>
      </c>
      <c r="CB147" s="230">
        <v>1132875</v>
      </c>
      <c r="CC147" s="230">
        <v>43125</v>
      </c>
      <c r="CD147" s="230">
        <v>1089750</v>
      </c>
      <c r="CE147" s="229">
        <v>25.269600000000001</v>
      </c>
      <c r="CF147" s="230">
        <v>17025</v>
      </c>
      <c r="CG147" s="230">
        <v>1109625</v>
      </c>
      <c r="CH147" s="230">
        <v>-1092600</v>
      </c>
      <c r="CI147" s="229">
        <v>-0.98470000000000002</v>
      </c>
      <c r="CJ147" s="228">
        <v>300</v>
      </c>
      <c r="CK147" s="230">
        <v>15900</v>
      </c>
      <c r="CL147" s="230">
        <v>-15600</v>
      </c>
      <c r="CM147" s="229">
        <v>-0.98109999999999997</v>
      </c>
      <c r="CN147" s="230">
        <v>208575</v>
      </c>
      <c r="CO147" s="230">
        <v>186075</v>
      </c>
      <c r="CP147" s="230">
        <v>22500</v>
      </c>
      <c r="CQ147" s="229">
        <v>0.12089999999999999</v>
      </c>
      <c r="CR147" s="230">
        <v>172050</v>
      </c>
      <c r="CS147" s="230">
        <v>152475</v>
      </c>
      <c r="CT147" s="230">
        <v>19575</v>
      </c>
      <c r="CU147" s="229">
        <v>0.12839999999999999</v>
      </c>
      <c r="CV147" s="230">
        <v>1530825</v>
      </c>
      <c r="CW147" s="230">
        <v>1464075</v>
      </c>
      <c r="CX147" s="230">
        <v>66750</v>
      </c>
      <c r="CY147" s="229">
        <v>4.5600000000000002E-2</v>
      </c>
      <c r="CZ147" s="228">
        <v>29.21</v>
      </c>
      <c r="DA147" s="228">
        <v>31.41</v>
      </c>
      <c r="DB147" s="228">
        <v>-2.2000000000000002</v>
      </c>
      <c r="DC147" s="228">
        <v>-2.2000000000000002</v>
      </c>
      <c r="DD147" s="228">
        <v>38.44</v>
      </c>
      <c r="DE147" s="228">
        <v>38.53</v>
      </c>
      <c r="DF147" s="228">
        <v>-9.23</v>
      </c>
      <c r="DG147" s="228">
        <v>-0.09</v>
      </c>
      <c r="DH147" s="228">
        <v>29.13</v>
      </c>
      <c r="DI147" s="228">
        <v>31.52</v>
      </c>
      <c r="DJ147" s="228">
        <v>-2.39</v>
      </c>
      <c r="DK147" s="228">
        <v>-2.39</v>
      </c>
      <c r="DL147" s="228">
        <v>29.38</v>
      </c>
      <c r="DM147" s="228">
        <v>31.08</v>
      </c>
      <c r="DN147" s="228">
        <v>-1.7</v>
      </c>
      <c r="DO147" s="228">
        <v>-1.7</v>
      </c>
      <c r="DP147" s="228">
        <v>0.82</v>
      </c>
      <c r="DQ147" s="228">
        <v>0.82</v>
      </c>
      <c r="DR147" s="228">
        <v>0</v>
      </c>
      <c r="DS147" s="229">
        <v>0</v>
      </c>
      <c r="DT147" s="231">
        <v>8000</v>
      </c>
      <c r="DU147" s="231">
        <v>8000</v>
      </c>
      <c r="DV147" s="228">
        <v>0.48</v>
      </c>
      <c r="DW147" s="228">
        <v>0.78</v>
      </c>
      <c r="DX147" s="228">
        <v>-0.3</v>
      </c>
      <c r="DY147" s="229">
        <v>-0.3846</v>
      </c>
      <c r="DZ147" s="229">
        <v>1.5100000000000001E-2</v>
      </c>
      <c r="EA147" s="230">
        <v>1125525</v>
      </c>
      <c r="EB147" s="229">
        <v>3.8E-3</v>
      </c>
      <c r="EC147" s="229">
        <v>1.5100000000000001E-2</v>
      </c>
      <c r="ED147" s="228">
        <v>31.98</v>
      </c>
      <c r="EE147" s="229">
        <v>4.0000000000000001E-3</v>
      </c>
      <c r="EF147" s="230">
        <v>38833</v>
      </c>
      <c r="EG147" s="230">
        <v>67748</v>
      </c>
      <c r="EH147" s="229">
        <v>-0.42680000000000001</v>
      </c>
      <c r="EI147" s="229">
        <v>0.44869999999999999</v>
      </c>
      <c r="EJ147" s="231">
        <v>23301.56</v>
      </c>
      <c r="EK147" s="231">
        <v>10538.22</v>
      </c>
      <c r="EL147" s="231">
        <v>13011.96</v>
      </c>
      <c r="EM147" s="231">
        <v>19055</v>
      </c>
      <c r="EN147" s="231">
        <v>46851.74</v>
      </c>
      <c r="EO147" s="231">
        <v>194889.1</v>
      </c>
      <c r="EP147" s="231">
        <v>-148037.35999999999</v>
      </c>
      <c r="EQ147" s="229">
        <v>-0.75960000000000005</v>
      </c>
      <c r="ER147" s="231">
        <v>17435</v>
      </c>
      <c r="ES147" s="231">
        <v>13441</v>
      </c>
      <c r="ET147" s="231">
        <v>92700</v>
      </c>
      <c r="EU147" s="231">
        <v>3582756</v>
      </c>
      <c r="EV147" s="231">
        <v>123576</v>
      </c>
      <c r="EW147" s="231">
        <v>117989</v>
      </c>
      <c r="EX147" s="231">
        <v>5587</v>
      </c>
      <c r="EY147" s="229">
        <v>4.7399999999999998E-2</v>
      </c>
      <c r="EZ147" s="229">
        <v>0.42730000000000001</v>
      </c>
      <c r="FA147" s="227" t="s">
        <v>555</v>
      </c>
      <c r="FB147" s="161">
        <f t="shared" si="3"/>
        <v>0</v>
      </c>
    </row>
    <row r="148" spans="1:158" ht="17.25" hidden="1" thickBot="1" x14ac:dyDescent="0.3">
      <c r="A148" s="226">
        <v>46050</v>
      </c>
      <c r="B148" s="227" t="s">
        <v>193</v>
      </c>
      <c r="C148" s="227" t="s">
        <v>587</v>
      </c>
      <c r="D148" s="228">
        <v>1400</v>
      </c>
      <c r="E148" s="228">
        <v>490.5</v>
      </c>
      <c r="F148" s="228">
        <v>446.3</v>
      </c>
      <c r="G148" s="228">
        <v>44.2</v>
      </c>
      <c r="H148" s="229">
        <v>9.9000000000000005E-2</v>
      </c>
      <c r="I148" s="228">
        <v>490.5</v>
      </c>
      <c r="J148" s="228">
        <v>448.55</v>
      </c>
      <c r="K148" s="228">
        <v>41.95</v>
      </c>
      <c r="L148" s="229">
        <v>9.35E-2</v>
      </c>
      <c r="M148" s="228">
        <v>490.5</v>
      </c>
      <c r="N148" s="228">
        <v>449.35</v>
      </c>
      <c r="O148" s="228">
        <v>41.15</v>
      </c>
      <c r="P148" s="229">
        <v>9.1600000000000001E-2</v>
      </c>
      <c r="Q148" s="228">
        <v>490.5</v>
      </c>
      <c r="R148" s="228">
        <v>446.3</v>
      </c>
      <c r="S148" s="228">
        <v>44.2</v>
      </c>
      <c r="T148" s="229">
        <v>9.9000000000000005E-2</v>
      </c>
      <c r="U148" s="228">
        <v>491.6</v>
      </c>
      <c r="V148" s="228">
        <v>446.7</v>
      </c>
      <c r="W148" s="228">
        <v>44.9</v>
      </c>
      <c r="X148" s="229">
        <v>0.10050000000000001</v>
      </c>
      <c r="Y148" s="228">
        <v>0</v>
      </c>
      <c r="Z148" s="228">
        <v>-2.25</v>
      </c>
      <c r="AA148" s="228">
        <v>2.25</v>
      </c>
      <c r="AB148" s="229">
        <v>0</v>
      </c>
      <c r="AC148" s="228">
        <v>0</v>
      </c>
      <c r="AD148" s="228">
        <v>0.8</v>
      </c>
      <c r="AE148" s="228">
        <v>-0.8</v>
      </c>
      <c r="AF148" s="229">
        <v>0</v>
      </c>
      <c r="AG148" s="228">
        <v>0</v>
      </c>
      <c r="AH148" s="228">
        <v>-2.25</v>
      </c>
      <c r="AI148" s="228">
        <v>2.25</v>
      </c>
      <c r="AJ148" s="229">
        <v>0</v>
      </c>
      <c r="AK148" s="228">
        <v>1.1000000000000001</v>
      </c>
      <c r="AL148" s="228">
        <v>-1.85</v>
      </c>
      <c r="AM148" s="228">
        <v>2.95</v>
      </c>
      <c r="AN148" s="229">
        <v>2.2000000000000001E-3</v>
      </c>
      <c r="AO148" s="228">
        <v>482.98</v>
      </c>
      <c r="AP148" s="228">
        <v>483.81</v>
      </c>
      <c r="AQ148" s="228">
        <v>0</v>
      </c>
      <c r="AR148" s="230">
        <v>18369400</v>
      </c>
      <c r="AS148" s="230">
        <v>9041200</v>
      </c>
      <c r="AT148" s="230">
        <v>9328200</v>
      </c>
      <c r="AU148" s="229">
        <v>1.0317000000000001</v>
      </c>
      <c r="AV148" s="230">
        <v>17627400</v>
      </c>
      <c r="AW148" s="230">
        <v>2620800</v>
      </c>
      <c r="AX148" s="230">
        <v>15006600</v>
      </c>
      <c r="AY148" s="229">
        <v>5.726</v>
      </c>
      <c r="AZ148" s="230">
        <v>670600</v>
      </c>
      <c r="BA148" s="230">
        <v>6315400</v>
      </c>
      <c r="BB148" s="230">
        <v>-5644800</v>
      </c>
      <c r="BC148" s="229">
        <v>-0.89380000000000004</v>
      </c>
      <c r="BD148" s="230">
        <v>71400</v>
      </c>
      <c r="BE148" s="230">
        <v>105000</v>
      </c>
      <c r="BF148" s="230">
        <v>-33600</v>
      </c>
      <c r="BG148" s="229">
        <v>-0.32</v>
      </c>
      <c r="BH148" s="230">
        <v>58592800</v>
      </c>
      <c r="BI148" s="230">
        <v>13438600</v>
      </c>
      <c r="BJ148" s="230">
        <v>45154200</v>
      </c>
      <c r="BK148" s="229">
        <v>3.36</v>
      </c>
      <c r="BL148" s="230">
        <v>17451000</v>
      </c>
      <c r="BM148" s="230">
        <v>2381400</v>
      </c>
      <c r="BN148" s="230">
        <v>15069600</v>
      </c>
      <c r="BO148" s="229">
        <v>6.3280000000000003</v>
      </c>
      <c r="BP148" s="230">
        <v>94413200</v>
      </c>
      <c r="BQ148" s="230">
        <v>24861200</v>
      </c>
      <c r="BR148" s="230">
        <v>69552000</v>
      </c>
      <c r="BS148" s="229">
        <v>2.7976000000000001</v>
      </c>
      <c r="BT148" s="230">
        <v>31552962</v>
      </c>
      <c r="BU148" s="230">
        <v>3201841</v>
      </c>
      <c r="BV148" s="230">
        <v>28351121</v>
      </c>
      <c r="BW148" s="229">
        <v>8.8545999999999996</v>
      </c>
      <c r="BX148" s="230">
        <v>14457800</v>
      </c>
      <c r="BY148" s="230">
        <v>12714800</v>
      </c>
      <c r="BZ148" s="230">
        <v>1743000</v>
      </c>
      <c r="CA148" s="229">
        <v>0.1371</v>
      </c>
      <c r="CB148" s="230">
        <v>14142800</v>
      </c>
      <c r="CC148" s="230">
        <v>891800</v>
      </c>
      <c r="CD148" s="230">
        <v>13251000</v>
      </c>
      <c r="CE148" s="229">
        <v>14.858700000000001</v>
      </c>
      <c r="CF148" s="230">
        <v>273000</v>
      </c>
      <c r="CG148" s="230">
        <v>12531400</v>
      </c>
      <c r="CH148" s="230">
        <v>-12258400</v>
      </c>
      <c r="CI148" s="229">
        <v>-0.97819999999999996</v>
      </c>
      <c r="CJ148" s="230">
        <v>42000</v>
      </c>
      <c r="CK148" s="230">
        <v>183400</v>
      </c>
      <c r="CL148" s="230">
        <v>-141400</v>
      </c>
      <c r="CM148" s="229">
        <v>-0.77100000000000002</v>
      </c>
      <c r="CN148" s="230">
        <v>4776800</v>
      </c>
      <c r="CO148" s="230">
        <v>2697800</v>
      </c>
      <c r="CP148" s="230">
        <v>2079000</v>
      </c>
      <c r="CQ148" s="229">
        <v>0.77059999999999995</v>
      </c>
      <c r="CR148" s="230">
        <v>4030600</v>
      </c>
      <c r="CS148" s="230">
        <v>1618400</v>
      </c>
      <c r="CT148" s="230">
        <v>2412200</v>
      </c>
      <c r="CU148" s="229">
        <v>1.4904999999999999</v>
      </c>
      <c r="CV148" s="230">
        <v>23265200</v>
      </c>
      <c r="CW148" s="230">
        <v>17031000</v>
      </c>
      <c r="CX148" s="230">
        <v>6234200</v>
      </c>
      <c r="CY148" s="229">
        <v>0.36609999999999998</v>
      </c>
      <c r="CZ148" s="228">
        <v>44.47</v>
      </c>
      <c r="DA148" s="228">
        <v>39.700000000000003</v>
      </c>
      <c r="DB148" s="228">
        <v>4.7699999999999996</v>
      </c>
      <c r="DC148" s="228">
        <v>4.7699999999999996</v>
      </c>
      <c r="DD148" s="228">
        <v>42.76</v>
      </c>
      <c r="DE148" s="228">
        <v>40.909999999999997</v>
      </c>
      <c r="DF148" s="228">
        <v>1.71</v>
      </c>
      <c r="DG148" s="228">
        <v>1.85</v>
      </c>
      <c r="DH148" s="228">
        <v>44.22</v>
      </c>
      <c r="DI148" s="228">
        <v>39.58</v>
      </c>
      <c r="DJ148" s="228">
        <v>4.6399999999999997</v>
      </c>
      <c r="DK148" s="228">
        <v>4.6399999999999997</v>
      </c>
      <c r="DL148" s="228">
        <v>45.32</v>
      </c>
      <c r="DM148" s="228">
        <v>40.4</v>
      </c>
      <c r="DN148" s="228">
        <v>4.92</v>
      </c>
      <c r="DO148" s="228">
        <v>4.92</v>
      </c>
      <c r="DP148" s="228">
        <v>0.84</v>
      </c>
      <c r="DQ148" s="228">
        <v>0.6</v>
      </c>
      <c r="DR148" s="228">
        <v>0.24</v>
      </c>
      <c r="DS148" s="229">
        <v>0.4</v>
      </c>
      <c r="DT148" s="228">
        <v>500</v>
      </c>
      <c r="DU148" s="228">
        <v>450</v>
      </c>
      <c r="DV148" s="228">
        <v>0.3</v>
      </c>
      <c r="DW148" s="228">
        <v>0.18</v>
      </c>
      <c r="DX148" s="228">
        <v>0.12</v>
      </c>
      <c r="DY148" s="229">
        <v>0.66669999999999996</v>
      </c>
      <c r="DZ148" s="229">
        <v>2.18E-2</v>
      </c>
      <c r="EA148" s="230">
        <v>12714800</v>
      </c>
      <c r="EB148" s="229">
        <v>0</v>
      </c>
      <c r="EC148" s="229">
        <v>2.18E-2</v>
      </c>
      <c r="ED148" s="228">
        <v>0.83</v>
      </c>
      <c r="EE148" s="229">
        <v>1.6999999999999999E-3</v>
      </c>
      <c r="EF148" s="230">
        <v>12209258</v>
      </c>
      <c r="EG148" s="230">
        <v>1231121</v>
      </c>
      <c r="EH148" s="229">
        <v>8.9171999999999993</v>
      </c>
      <c r="EI148" s="229">
        <v>0.38690000000000002</v>
      </c>
      <c r="EJ148" s="231">
        <v>301747.8</v>
      </c>
      <c r="EK148" s="231">
        <v>82685.66</v>
      </c>
      <c r="EL148" s="231">
        <v>88729.26</v>
      </c>
      <c r="EM148" s="231">
        <v>9234</v>
      </c>
      <c r="EN148" s="231">
        <v>473162.72</v>
      </c>
      <c r="EO148" s="231">
        <v>113214.39999999999</v>
      </c>
      <c r="EP148" s="231">
        <v>359948.32</v>
      </c>
      <c r="EQ148" s="229">
        <v>3.1793999999999998</v>
      </c>
      <c r="ER148" s="231">
        <v>23585</v>
      </c>
      <c r="ES148" s="231">
        <v>18045</v>
      </c>
      <c r="ET148" s="231">
        <v>70916</v>
      </c>
      <c r="EU148" s="231">
        <v>102006452</v>
      </c>
      <c r="EV148" s="231">
        <v>112546</v>
      </c>
      <c r="EW148" s="231">
        <v>76026</v>
      </c>
      <c r="EX148" s="231">
        <v>36520</v>
      </c>
      <c r="EY148" s="229">
        <v>0.48039999999999999</v>
      </c>
      <c r="EZ148" s="229">
        <v>0.2281</v>
      </c>
      <c r="FA148" s="227" t="s">
        <v>555</v>
      </c>
      <c r="FB148" s="161">
        <f t="shared" si="3"/>
        <v>0</v>
      </c>
    </row>
    <row r="149" spans="1:158" ht="17.25" hidden="1" thickBot="1" x14ac:dyDescent="0.3">
      <c r="A149" s="226">
        <v>46050</v>
      </c>
      <c r="B149" s="227" t="s">
        <v>193</v>
      </c>
      <c r="C149" s="227" t="s">
        <v>269</v>
      </c>
      <c r="D149" s="228">
        <v>2250</v>
      </c>
      <c r="E149" s="228">
        <v>267.95</v>
      </c>
      <c r="F149" s="228">
        <v>247.87</v>
      </c>
      <c r="G149" s="228">
        <v>20.079999999999998</v>
      </c>
      <c r="H149" s="229">
        <v>8.1000000000000003E-2</v>
      </c>
      <c r="I149" s="228">
        <v>268.58</v>
      </c>
      <c r="J149" s="228">
        <v>247.95</v>
      </c>
      <c r="K149" s="228">
        <v>20.63</v>
      </c>
      <c r="L149" s="229">
        <v>8.3199999999999996E-2</v>
      </c>
      <c r="M149" s="228">
        <v>267.95</v>
      </c>
      <c r="N149" s="228">
        <v>247.47</v>
      </c>
      <c r="O149" s="228">
        <v>20.48</v>
      </c>
      <c r="P149" s="229">
        <v>8.2799999999999999E-2</v>
      </c>
      <c r="Q149" s="228">
        <v>269.23</v>
      </c>
      <c r="R149" s="228">
        <v>247.87</v>
      </c>
      <c r="S149" s="228">
        <v>21.36</v>
      </c>
      <c r="T149" s="229">
        <v>8.6199999999999999E-2</v>
      </c>
      <c r="U149" s="228">
        <v>270.58</v>
      </c>
      <c r="V149" s="228">
        <v>249.48</v>
      </c>
      <c r="W149" s="228">
        <v>21.1</v>
      </c>
      <c r="X149" s="229">
        <v>8.4599999999999995E-2</v>
      </c>
      <c r="Y149" s="228">
        <v>-0.63</v>
      </c>
      <c r="Z149" s="228">
        <v>-0.08</v>
      </c>
      <c r="AA149" s="228">
        <v>-0.55000000000000004</v>
      </c>
      <c r="AB149" s="229">
        <v>-2.3E-3</v>
      </c>
      <c r="AC149" s="228">
        <v>-0.63</v>
      </c>
      <c r="AD149" s="228">
        <v>-0.48</v>
      </c>
      <c r="AE149" s="228">
        <v>-0.15</v>
      </c>
      <c r="AF149" s="229">
        <v>-2.3E-3</v>
      </c>
      <c r="AG149" s="228">
        <v>0.65</v>
      </c>
      <c r="AH149" s="228">
        <v>-0.08</v>
      </c>
      <c r="AI149" s="228">
        <v>0.73</v>
      </c>
      <c r="AJ149" s="229">
        <v>2.3999999999999998E-3</v>
      </c>
      <c r="AK149" s="228">
        <v>2</v>
      </c>
      <c r="AL149" s="228">
        <v>1.53</v>
      </c>
      <c r="AM149" s="228">
        <v>0.47</v>
      </c>
      <c r="AN149" s="229">
        <v>7.4000000000000003E-3</v>
      </c>
      <c r="AO149" s="228">
        <v>263.77</v>
      </c>
      <c r="AP149" s="228">
        <v>264.37</v>
      </c>
      <c r="AQ149" s="228">
        <v>0</v>
      </c>
      <c r="AR149" s="230">
        <v>57663000</v>
      </c>
      <c r="AS149" s="230">
        <v>109374750</v>
      </c>
      <c r="AT149" s="230">
        <v>-51711750</v>
      </c>
      <c r="AU149" s="229">
        <v>-0.4728</v>
      </c>
      <c r="AV149" s="230">
        <v>55026000</v>
      </c>
      <c r="AW149" s="230">
        <v>62237250</v>
      </c>
      <c r="AX149" s="230">
        <v>-7211250</v>
      </c>
      <c r="AY149" s="229">
        <v>-0.1159</v>
      </c>
      <c r="AZ149" s="230">
        <v>2371500</v>
      </c>
      <c r="BA149" s="230">
        <v>46185750</v>
      </c>
      <c r="BB149" s="230">
        <v>-43814250</v>
      </c>
      <c r="BC149" s="229">
        <v>-0.94869999999999999</v>
      </c>
      <c r="BD149" s="230">
        <v>265500</v>
      </c>
      <c r="BE149" s="230">
        <v>951750</v>
      </c>
      <c r="BF149" s="230">
        <v>-686250</v>
      </c>
      <c r="BG149" s="229">
        <v>-0.72099999999999997</v>
      </c>
      <c r="BH149" s="230">
        <v>233093250</v>
      </c>
      <c r="BI149" s="230">
        <v>94394250</v>
      </c>
      <c r="BJ149" s="230">
        <v>138699000</v>
      </c>
      <c r="BK149" s="229">
        <v>1.4694</v>
      </c>
      <c r="BL149" s="230">
        <v>80574750</v>
      </c>
      <c r="BM149" s="230">
        <v>34611750</v>
      </c>
      <c r="BN149" s="230">
        <v>45963000</v>
      </c>
      <c r="BO149" s="229">
        <v>1.3280000000000001</v>
      </c>
      <c r="BP149" s="230">
        <v>371331000</v>
      </c>
      <c r="BQ149" s="230">
        <v>238380750</v>
      </c>
      <c r="BR149" s="230">
        <v>132950250</v>
      </c>
      <c r="BS149" s="229">
        <v>0.55769999999999997</v>
      </c>
      <c r="BT149" s="230">
        <v>80243940</v>
      </c>
      <c r="BU149" s="230">
        <v>16571947</v>
      </c>
      <c r="BV149" s="230">
        <v>63671993</v>
      </c>
      <c r="BW149" s="229">
        <v>3.8422000000000001</v>
      </c>
      <c r="BX149" s="230">
        <v>92110500</v>
      </c>
      <c r="BY149" s="230">
        <v>84948750</v>
      </c>
      <c r="BZ149" s="230">
        <v>7161750</v>
      </c>
      <c r="CA149" s="229">
        <v>8.43E-2</v>
      </c>
      <c r="CB149" s="230">
        <v>89973000</v>
      </c>
      <c r="CC149" s="230">
        <v>39080250</v>
      </c>
      <c r="CD149" s="230">
        <v>50892750</v>
      </c>
      <c r="CE149" s="229">
        <v>1.3023</v>
      </c>
      <c r="CF149" s="230">
        <v>2016000</v>
      </c>
      <c r="CG149" s="230">
        <v>83101500</v>
      </c>
      <c r="CH149" s="230">
        <v>-81085500</v>
      </c>
      <c r="CI149" s="229">
        <v>-0.97570000000000001</v>
      </c>
      <c r="CJ149" s="230">
        <v>121500</v>
      </c>
      <c r="CK149" s="230">
        <v>1847250</v>
      </c>
      <c r="CL149" s="230">
        <v>-1725750</v>
      </c>
      <c r="CM149" s="229">
        <v>-0.93420000000000003</v>
      </c>
      <c r="CN149" s="230">
        <v>27582750</v>
      </c>
      <c r="CO149" s="230">
        <v>15012000</v>
      </c>
      <c r="CP149" s="230">
        <v>12570750</v>
      </c>
      <c r="CQ149" s="229">
        <v>0.83740000000000003</v>
      </c>
      <c r="CR149" s="230">
        <v>24394500</v>
      </c>
      <c r="CS149" s="230">
        <v>12267000</v>
      </c>
      <c r="CT149" s="230">
        <v>12127500</v>
      </c>
      <c r="CU149" s="229">
        <v>0.98860000000000003</v>
      </c>
      <c r="CV149" s="230">
        <v>144087750</v>
      </c>
      <c r="CW149" s="230">
        <v>112227750</v>
      </c>
      <c r="CX149" s="230">
        <v>31860000</v>
      </c>
      <c r="CY149" s="229">
        <v>0.28389999999999999</v>
      </c>
      <c r="CZ149" s="228">
        <v>29.7</v>
      </c>
      <c r="DA149" s="228">
        <v>27.55</v>
      </c>
      <c r="DB149" s="228">
        <v>2.15</v>
      </c>
      <c r="DC149" s="228">
        <v>2.15</v>
      </c>
      <c r="DD149" s="228">
        <v>31.45</v>
      </c>
      <c r="DE149" s="228">
        <v>29.61</v>
      </c>
      <c r="DF149" s="228">
        <v>-1.75</v>
      </c>
      <c r="DG149" s="228">
        <v>1.84</v>
      </c>
      <c r="DH149" s="228">
        <v>29.12</v>
      </c>
      <c r="DI149" s="228">
        <v>26.86</v>
      </c>
      <c r="DJ149" s="228">
        <v>2.2599999999999998</v>
      </c>
      <c r="DK149" s="228">
        <v>2.2599999999999998</v>
      </c>
      <c r="DL149" s="228">
        <v>31.36</v>
      </c>
      <c r="DM149" s="228">
        <v>28.86</v>
      </c>
      <c r="DN149" s="228">
        <v>2.5</v>
      </c>
      <c r="DO149" s="228">
        <v>2.5</v>
      </c>
      <c r="DP149" s="228">
        <v>0.88</v>
      </c>
      <c r="DQ149" s="228">
        <v>0.82</v>
      </c>
      <c r="DR149" s="228">
        <v>0.06</v>
      </c>
      <c r="DS149" s="229">
        <v>7.3200000000000001E-2</v>
      </c>
      <c r="DT149" s="228">
        <v>270</v>
      </c>
      <c r="DU149" s="228">
        <v>230</v>
      </c>
      <c r="DV149" s="228">
        <v>0.35</v>
      </c>
      <c r="DW149" s="228">
        <v>0.37</v>
      </c>
      <c r="DX149" s="228">
        <v>-0.02</v>
      </c>
      <c r="DY149" s="229">
        <v>-5.4100000000000002E-2</v>
      </c>
      <c r="DZ149" s="229">
        <v>2.3199999999999998E-2</v>
      </c>
      <c r="EA149" s="230">
        <v>84948750</v>
      </c>
      <c r="EB149" s="229">
        <v>4.7999999999999996E-3</v>
      </c>
      <c r="EC149" s="229">
        <v>2.3199999999999998E-2</v>
      </c>
      <c r="ED149" s="228">
        <v>0.6</v>
      </c>
      <c r="EE149" s="229">
        <v>2.3E-3</v>
      </c>
      <c r="EF149" s="230">
        <v>36298590</v>
      </c>
      <c r="EG149" s="230">
        <v>9013293</v>
      </c>
      <c r="EH149" s="229">
        <v>3.0272000000000001</v>
      </c>
      <c r="EI149" s="229">
        <v>0.45240000000000002</v>
      </c>
      <c r="EJ149" s="231">
        <v>640684.97</v>
      </c>
      <c r="EK149" s="231">
        <v>208633.42</v>
      </c>
      <c r="EL149" s="231">
        <v>152122.85999999999</v>
      </c>
      <c r="EM149" s="231">
        <v>32390</v>
      </c>
      <c r="EN149" s="231">
        <v>1001441.25</v>
      </c>
      <c r="EO149" s="231">
        <v>594591.52</v>
      </c>
      <c r="EP149" s="231">
        <v>406849.73</v>
      </c>
      <c r="EQ149" s="229">
        <v>0.68430000000000002</v>
      </c>
      <c r="ER149" s="231">
        <v>73016</v>
      </c>
      <c r="ES149" s="231">
        <v>60304</v>
      </c>
      <c r="ET149" s="231">
        <v>246839</v>
      </c>
      <c r="EU149" s="231">
        <v>517141211</v>
      </c>
      <c r="EV149" s="231">
        <v>380159</v>
      </c>
      <c r="EW149" s="231">
        <v>278286</v>
      </c>
      <c r="EX149" s="231">
        <v>101873</v>
      </c>
      <c r="EY149" s="229">
        <v>0.36609999999999998</v>
      </c>
      <c r="EZ149" s="229">
        <v>0.27860000000000001</v>
      </c>
      <c r="FA149" s="227" t="s">
        <v>555</v>
      </c>
      <c r="FB149" s="161">
        <f t="shared" si="3"/>
        <v>0</v>
      </c>
    </row>
    <row r="150" spans="1:158" ht="17.25" thickBot="1" x14ac:dyDescent="0.3">
      <c r="A150" s="226">
        <v>46050</v>
      </c>
      <c r="B150" s="227" t="s">
        <v>197</v>
      </c>
      <c r="C150" s="227" t="s">
        <v>270</v>
      </c>
      <c r="D150" s="228">
        <v>15</v>
      </c>
      <c r="E150" s="231">
        <v>32065</v>
      </c>
      <c r="F150" s="231">
        <v>31785</v>
      </c>
      <c r="G150" s="228">
        <v>280</v>
      </c>
      <c r="H150" s="229">
        <v>8.8000000000000005E-3</v>
      </c>
      <c r="I150" s="231">
        <v>32615</v>
      </c>
      <c r="J150" s="231">
        <v>32520</v>
      </c>
      <c r="K150" s="228">
        <v>95</v>
      </c>
      <c r="L150" s="229">
        <v>2.8999999999999998E-3</v>
      </c>
      <c r="M150" s="231">
        <v>32065</v>
      </c>
      <c r="N150" s="231">
        <v>32480</v>
      </c>
      <c r="O150" s="228">
        <v>-415</v>
      </c>
      <c r="P150" s="229">
        <v>-1.2800000000000001E-2</v>
      </c>
      <c r="Q150" s="231">
        <v>31675</v>
      </c>
      <c r="R150" s="231">
        <v>31785</v>
      </c>
      <c r="S150" s="228">
        <v>-110</v>
      </c>
      <c r="T150" s="229">
        <v>-3.5000000000000001E-3</v>
      </c>
      <c r="U150" s="231">
        <v>31470</v>
      </c>
      <c r="V150" s="231">
        <v>31580</v>
      </c>
      <c r="W150" s="228">
        <v>-110</v>
      </c>
      <c r="X150" s="229">
        <v>-3.5000000000000001E-3</v>
      </c>
      <c r="Y150" s="228">
        <v>-550</v>
      </c>
      <c r="Z150" s="228">
        <v>-735</v>
      </c>
      <c r="AA150" s="228">
        <v>185</v>
      </c>
      <c r="AB150" s="229">
        <v>-1.6899999999999998E-2</v>
      </c>
      <c r="AC150" s="228">
        <v>-550</v>
      </c>
      <c r="AD150" s="228">
        <v>-40</v>
      </c>
      <c r="AE150" s="228">
        <v>-510</v>
      </c>
      <c r="AF150" s="229">
        <v>-1.6899999999999998E-2</v>
      </c>
      <c r="AG150" s="228">
        <v>-940</v>
      </c>
      <c r="AH150" s="228">
        <v>-735</v>
      </c>
      <c r="AI150" s="228">
        <v>-205</v>
      </c>
      <c r="AJ150" s="229">
        <v>-2.8799999999999999E-2</v>
      </c>
      <c r="AK150" s="231">
        <v>-1145</v>
      </c>
      <c r="AL150" s="228">
        <v>-940</v>
      </c>
      <c r="AM150" s="228">
        <v>-205</v>
      </c>
      <c r="AN150" s="229">
        <v>-3.5099999999999999E-2</v>
      </c>
      <c r="AO150" s="231">
        <v>31970.12</v>
      </c>
      <c r="AP150" s="231">
        <v>31629.98</v>
      </c>
      <c r="AQ150" s="228">
        <v>0</v>
      </c>
      <c r="AR150" s="230">
        <v>32490</v>
      </c>
      <c r="AS150" s="230">
        <v>147315</v>
      </c>
      <c r="AT150" s="230">
        <v>-114825</v>
      </c>
      <c r="AU150" s="229">
        <v>-0.77949999999999997</v>
      </c>
      <c r="AV150" s="230">
        <v>27675</v>
      </c>
      <c r="AW150" s="230">
        <v>64725</v>
      </c>
      <c r="AX150" s="230">
        <v>-37050</v>
      </c>
      <c r="AY150" s="229">
        <v>-0.57240000000000002</v>
      </c>
      <c r="AZ150" s="230">
        <v>4470</v>
      </c>
      <c r="BA150" s="230">
        <v>76005</v>
      </c>
      <c r="BB150" s="230">
        <v>-71535</v>
      </c>
      <c r="BC150" s="229">
        <v>-0.94120000000000004</v>
      </c>
      <c r="BD150" s="228">
        <v>345</v>
      </c>
      <c r="BE150" s="230">
        <v>6585</v>
      </c>
      <c r="BF150" s="230">
        <v>-6240</v>
      </c>
      <c r="BG150" s="229">
        <v>-0.9476</v>
      </c>
      <c r="BH150" s="230">
        <v>70245</v>
      </c>
      <c r="BI150" s="230">
        <v>151995</v>
      </c>
      <c r="BJ150" s="230">
        <v>-81750</v>
      </c>
      <c r="BK150" s="229">
        <v>-0.53779999999999994</v>
      </c>
      <c r="BL150" s="230">
        <v>17700</v>
      </c>
      <c r="BM150" s="230">
        <v>61755</v>
      </c>
      <c r="BN150" s="230">
        <v>-44055</v>
      </c>
      <c r="BO150" s="229">
        <v>-0.71340000000000003</v>
      </c>
      <c r="BP150" s="230">
        <v>120435</v>
      </c>
      <c r="BQ150" s="230">
        <v>361065</v>
      </c>
      <c r="BR150" s="230">
        <v>-240630</v>
      </c>
      <c r="BS150" s="229">
        <v>-0.66639999999999999</v>
      </c>
      <c r="BT150" s="230">
        <v>13566</v>
      </c>
      <c r="BU150" s="230">
        <v>36060</v>
      </c>
      <c r="BV150" s="230">
        <v>-22494</v>
      </c>
      <c r="BW150" s="229">
        <v>-0.62380000000000002</v>
      </c>
      <c r="BX150" s="230">
        <v>285270</v>
      </c>
      <c r="BY150" s="230">
        <v>282225</v>
      </c>
      <c r="BZ150" s="230">
        <v>3045</v>
      </c>
      <c r="CA150" s="229">
        <v>1.0800000000000001E-2</v>
      </c>
      <c r="CB150" s="230">
        <v>273870</v>
      </c>
      <c r="CC150" s="230">
        <v>11865</v>
      </c>
      <c r="CD150" s="230">
        <v>262005</v>
      </c>
      <c r="CE150" s="229">
        <v>22.0822</v>
      </c>
      <c r="CF150" s="230">
        <v>11130</v>
      </c>
      <c r="CG150" s="230">
        <v>273000</v>
      </c>
      <c r="CH150" s="230">
        <v>-261870</v>
      </c>
      <c r="CI150" s="229">
        <v>-0.95920000000000005</v>
      </c>
      <c r="CJ150" s="228">
        <v>270</v>
      </c>
      <c r="CK150" s="230">
        <v>9225</v>
      </c>
      <c r="CL150" s="230">
        <v>-8955</v>
      </c>
      <c r="CM150" s="229">
        <v>-0.97070000000000001</v>
      </c>
      <c r="CN150" s="230">
        <v>39255</v>
      </c>
      <c r="CO150" s="230">
        <v>30645</v>
      </c>
      <c r="CP150" s="230">
        <v>8610</v>
      </c>
      <c r="CQ150" s="229">
        <v>0.28100000000000003</v>
      </c>
      <c r="CR150" s="230">
        <v>26625</v>
      </c>
      <c r="CS150" s="230">
        <v>20190</v>
      </c>
      <c r="CT150" s="230">
        <v>6435</v>
      </c>
      <c r="CU150" s="229">
        <v>0.31869999999999998</v>
      </c>
      <c r="CV150" s="230">
        <v>351150</v>
      </c>
      <c r="CW150" s="230">
        <v>333060</v>
      </c>
      <c r="CX150" s="230">
        <v>18090</v>
      </c>
      <c r="CY150" s="229">
        <v>5.4300000000000001E-2</v>
      </c>
      <c r="CZ150" s="228">
        <v>32.18</v>
      </c>
      <c r="DA150" s="228">
        <v>31.01</v>
      </c>
      <c r="DB150" s="228">
        <v>1.17</v>
      </c>
      <c r="DC150" s="228">
        <v>1.17</v>
      </c>
      <c r="DD150" s="228">
        <v>27.34</v>
      </c>
      <c r="DE150" s="228">
        <v>27.4</v>
      </c>
      <c r="DF150" s="228">
        <v>4.84</v>
      </c>
      <c r="DG150" s="228">
        <v>-0.06</v>
      </c>
      <c r="DH150" s="228">
        <v>32.31</v>
      </c>
      <c r="DI150" s="228">
        <v>31.16</v>
      </c>
      <c r="DJ150" s="228">
        <v>1.1499999999999999</v>
      </c>
      <c r="DK150" s="228">
        <v>1.1499999999999999</v>
      </c>
      <c r="DL150" s="228">
        <v>31.66</v>
      </c>
      <c r="DM150" s="228">
        <v>30.56</v>
      </c>
      <c r="DN150" s="228">
        <v>1.1000000000000001</v>
      </c>
      <c r="DO150" s="228">
        <v>1.1000000000000001</v>
      </c>
      <c r="DP150" s="228">
        <v>0.68</v>
      </c>
      <c r="DQ150" s="228">
        <v>0.66</v>
      </c>
      <c r="DR150" s="228">
        <v>0.02</v>
      </c>
      <c r="DS150" s="229">
        <v>3.0300000000000001E-2</v>
      </c>
      <c r="DT150" s="231">
        <v>34000</v>
      </c>
      <c r="DU150" s="231">
        <v>30000</v>
      </c>
      <c r="DV150" s="228">
        <v>0.25</v>
      </c>
      <c r="DW150" s="228">
        <v>0.41</v>
      </c>
      <c r="DX150" s="228">
        <v>-0.16</v>
      </c>
      <c r="DY150" s="229">
        <v>-0.39019999999999999</v>
      </c>
      <c r="DZ150" s="229">
        <v>0.04</v>
      </c>
      <c r="EA150" s="230">
        <v>282225</v>
      </c>
      <c r="EB150" s="229">
        <v>-1.2200000000000001E-2</v>
      </c>
      <c r="EC150" s="229">
        <v>0.04</v>
      </c>
      <c r="ED150" s="228">
        <v>-340.14</v>
      </c>
      <c r="EE150" s="229">
        <v>-1.06E-2</v>
      </c>
      <c r="EF150" s="230">
        <v>6713</v>
      </c>
      <c r="EG150" s="230">
        <v>16981</v>
      </c>
      <c r="EH150" s="229">
        <v>-0.60470000000000002</v>
      </c>
      <c r="EI150" s="229">
        <v>0.49480000000000002</v>
      </c>
      <c r="EJ150" s="231">
        <v>25321.09</v>
      </c>
      <c r="EK150" s="231">
        <v>5704.32</v>
      </c>
      <c r="EL150" s="231">
        <v>10370.51</v>
      </c>
      <c r="EM150" s="231">
        <v>15886</v>
      </c>
      <c r="EN150" s="231">
        <v>41395.919999999998</v>
      </c>
      <c r="EO150" s="231">
        <v>120752.12</v>
      </c>
      <c r="EP150" s="231">
        <v>-79356.2</v>
      </c>
      <c r="EQ150" s="229">
        <v>-0.65720000000000001</v>
      </c>
      <c r="ER150" s="231">
        <v>13594</v>
      </c>
      <c r="ES150" s="231">
        <v>8776</v>
      </c>
      <c r="ET150" s="231">
        <v>91427</v>
      </c>
      <c r="EU150" s="231">
        <v>955549</v>
      </c>
      <c r="EV150" s="231">
        <v>113796</v>
      </c>
      <c r="EW150" s="231">
        <v>106997</v>
      </c>
      <c r="EX150" s="231">
        <v>6799</v>
      </c>
      <c r="EY150" s="229">
        <v>6.3500000000000001E-2</v>
      </c>
      <c r="EZ150" s="229">
        <v>0.36749999999999999</v>
      </c>
      <c r="FA150" s="227" t="s">
        <v>555</v>
      </c>
      <c r="FB150" s="161">
        <f t="shared" si="3"/>
        <v>0</v>
      </c>
    </row>
    <row r="151" spans="1:158" ht="17.25" thickBot="1" x14ac:dyDescent="0.3">
      <c r="A151" s="226">
        <v>46050</v>
      </c>
      <c r="B151" s="227" t="s">
        <v>168</v>
      </c>
      <c r="C151" s="227" t="s">
        <v>665</v>
      </c>
      <c r="D151" s="228">
        <v>900</v>
      </c>
      <c r="E151" s="228">
        <v>507.45</v>
      </c>
      <c r="F151" s="228">
        <v>503.05</v>
      </c>
      <c r="G151" s="228">
        <v>4.4000000000000004</v>
      </c>
      <c r="H151" s="229">
        <v>8.6999999999999994E-3</v>
      </c>
      <c r="I151" s="228">
        <v>505.75</v>
      </c>
      <c r="J151" s="228">
        <v>503.1</v>
      </c>
      <c r="K151" s="228">
        <v>2.65</v>
      </c>
      <c r="L151" s="229">
        <v>5.3E-3</v>
      </c>
      <c r="M151" s="228">
        <v>507.45</v>
      </c>
      <c r="N151" s="228">
        <v>499.65</v>
      </c>
      <c r="O151" s="228">
        <v>7.8</v>
      </c>
      <c r="P151" s="229">
        <v>1.5599999999999999E-2</v>
      </c>
      <c r="Q151" s="228">
        <v>509.85</v>
      </c>
      <c r="R151" s="228">
        <v>503.05</v>
      </c>
      <c r="S151" s="228">
        <v>6.8</v>
      </c>
      <c r="T151" s="229">
        <v>1.35E-2</v>
      </c>
      <c r="U151" s="228">
        <v>513.1</v>
      </c>
      <c r="V151" s="228">
        <v>506.6</v>
      </c>
      <c r="W151" s="228">
        <v>6.5</v>
      </c>
      <c r="X151" s="229">
        <v>1.2800000000000001E-2</v>
      </c>
      <c r="Y151" s="228">
        <v>1.7</v>
      </c>
      <c r="Z151" s="228">
        <v>-0.05</v>
      </c>
      <c r="AA151" s="228">
        <v>1.75</v>
      </c>
      <c r="AB151" s="229">
        <v>3.3999999999999998E-3</v>
      </c>
      <c r="AC151" s="228">
        <v>1.7</v>
      </c>
      <c r="AD151" s="228">
        <v>-3.45</v>
      </c>
      <c r="AE151" s="228">
        <v>5.15</v>
      </c>
      <c r="AF151" s="229">
        <v>3.3999999999999998E-3</v>
      </c>
      <c r="AG151" s="228">
        <v>4.0999999999999996</v>
      </c>
      <c r="AH151" s="228">
        <v>-0.05</v>
      </c>
      <c r="AI151" s="228">
        <v>4.1500000000000004</v>
      </c>
      <c r="AJ151" s="229">
        <v>8.0999999999999996E-3</v>
      </c>
      <c r="AK151" s="228">
        <v>7.35</v>
      </c>
      <c r="AL151" s="228">
        <v>3.5</v>
      </c>
      <c r="AM151" s="228">
        <v>3.85</v>
      </c>
      <c r="AN151" s="229">
        <v>1.4500000000000001E-2</v>
      </c>
      <c r="AO151" s="228">
        <v>503.17</v>
      </c>
      <c r="AP151" s="228">
        <v>505.34</v>
      </c>
      <c r="AQ151" s="228">
        <v>0</v>
      </c>
      <c r="AR151" s="230">
        <v>4953600</v>
      </c>
      <c r="AS151" s="230">
        <v>11813400</v>
      </c>
      <c r="AT151" s="230">
        <v>-6859800</v>
      </c>
      <c r="AU151" s="229">
        <v>-0.58069999999999999</v>
      </c>
      <c r="AV151" s="230">
        <v>4810500</v>
      </c>
      <c r="AW151" s="230">
        <v>5177700</v>
      </c>
      <c r="AX151" s="230">
        <v>-367200</v>
      </c>
      <c r="AY151" s="229">
        <v>-7.0900000000000005E-2</v>
      </c>
      <c r="AZ151" s="230">
        <v>142200</v>
      </c>
      <c r="BA151" s="230">
        <v>6588000</v>
      </c>
      <c r="BB151" s="230">
        <v>-6445800</v>
      </c>
      <c r="BC151" s="229">
        <v>-0.97840000000000005</v>
      </c>
      <c r="BD151" s="228">
        <v>900</v>
      </c>
      <c r="BE151" s="230">
        <v>47700</v>
      </c>
      <c r="BF151" s="230">
        <v>-46800</v>
      </c>
      <c r="BG151" s="229">
        <v>-0.98109999999999997</v>
      </c>
      <c r="BH151" s="230">
        <v>2214900</v>
      </c>
      <c r="BI151" s="230">
        <v>2242800</v>
      </c>
      <c r="BJ151" s="230">
        <v>-27900</v>
      </c>
      <c r="BK151" s="229">
        <v>-1.24E-2</v>
      </c>
      <c r="BL151" s="230">
        <v>1507500</v>
      </c>
      <c r="BM151" s="230">
        <v>2161800</v>
      </c>
      <c r="BN151" s="230">
        <v>-654300</v>
      </c>
      <c r="BO151" s="229">
        <v>-0.30270000000000002</v>
      </c>
      <c r="BP151" s="230">
        <v>8676000</v>
      </c>
      <c r="BQ151" s="230">
        <v>16218000</v>
      </c>
      <c r="BR151" s="230">
        <v>-7542000</v>
      </c>
      <c r="BS151" s="229">
        <v>-0.46500000000000002</v>
      </c>
      <c r="BT151" s="230">
        <v>5983335</v>
      </c>
      <c r="BU151" s="230">
        <v>5448193</v>
      </c>
      <c r="BV151" s="230">
        <v>535142</v>
      </c>
      <c r="BW151" s="229">
        <v>9.8199999999999996E-2</v>
      </c>
      <c r="BX151" s="230">
        <v>37246500</v>
      </c>
      <c r="BY151" s="230">
        <v>37284300</v>
      </c>
      <c r="BZ151" s="230">
        <v>-37800</v>
      </c>
      <c r="CA151" s="229">
        <v>-1E-3</v>
      </c>
      <c r="CB151" s="230">
        <v>37127700</v>
      </c>
      <c r="CC151" s="230">
        <v>535500</v>
      </c>
      <c r="CD151" s="230">
        <v>36592200</v>
      </c>
      <c r="CE151" s="229">
        <v>68.332800000000006</v>
      </c>
      <c r="CF151" s="230">
        <v>117900</v>
      </c>
      <c r="CG151" s="230">
        <v>37199700</v>
      </c>
      <c r="CH151" s="230">
        <v>-37081800</v>
      </c>
      <c r="CI151" s="229">
        <v>-0.99680000000000002</v>
      </c>
      <c r="CJ151" s="228">
        <v>900</v>
      </c>
      <c r="CK151" s="230">
        <v>84600</v>
      </c>
      <c r="CL151" s="230">
        <v>-83700</v>
      </c>
      <c r="CM151" s="229">
        <v>-0.98939999999999995</v>
      </c>
      <c r="CN151" s="230">
        <v>1131300</v>
      </c>
      <c r="CO151" s="230">
        <v>767700</v>
      </c>
      <c r="CP151" s="230">
        <v>363600</v>
      </c>
      <c r="CQ151" s="229">
        <v>0.47360000000000002</v>
      </c>
      <c r="CR151" s="230">
        <v>1154700</v>
      </c>
      <c r="CS151" s="230">
        <v>802800</v>
      </c>
      <c r="CT151" s="230">
        <v>351900</v>
      </c>
      <c r="CU151" s="229">
        <v>0.43830000000000002</v>
      </c>
      <c r="CV151" s="230">
        <v>39532500</v>
      </c>
      <c r="CW151" s="230">
        <v>38854800</v>
      </c>
      <c r="CX151" s="230">
        <v>677700</v>
      </c>
      <c r="CY151" s="229">
        <v>1.7399999999999999E-2</v>
      </c>
      <c r="CZ151" s="228">
        <v>34.11</v>
      </c>
      <c r="DA151" s="228">
        <v>37.32</v>
      </c>
      <c r="DB151" s="228">
        <v>-3.21</v>
      </c>
      <c r="DC151" s="228">
        <v>-3.21</v>
      </c>
      <c r="DD151" s="228">
        <v>33.159999999999997</v>
      </c>
      <c r="DE151" s="228">
        <v>33.22</v>
      </c>
      <c r="DF151" s="228">
        <v>0.95</v>
      </c>
      <c r="DG151" s="228">
        <v>-0.06</v>
      </c>
      <c r="DH151" s="228">
        <v>34.04</v>
      </c>
      <c r="DI151" s="228">
        <v>37.700000000000003</v>
      </c>
      <c r="DJ151" s="228">
        <v>-3.66</v>
      </c>
      <c r="DK151" s="228">
        <v>-3.66</v>
      </c>
      <c r="DL151" s="228">
        <v>34.22</v>
      </c>
      <c r="DM151" s="228">
        <v>36.99</v>
      </c>
      <c r="DN151" s="228">
        <v>-2.77</v>
      </c>
      <c r="DO151" s="228">
        <v>-2.77</v>
      </c>
      <c r="DP151" s="228">
        <v>1.02</v>
      </c>
      <c r="DQ151" s="228">
        <v>1.05</v>
      </c>
      <c r="DR151" s="228">
        <v>-0.03</v>
      </c>
      <c r="DS151" s="229">
        <v>-2.86E-2</v>
      </c>
      <c r="DT151" s="228">
        <v>500</v>
      </c>
      <c r="DU151" s="228">
        <v>500</v>
      </c>
      <c r="DV151" s="228">
        <v>0.68</v>
      </c>
      <c r="DW151" s="228">
        <v>0.96</v>
      </c>
      <c r="DX151" s="228">
        <v>-0.28000000000000003</v>
      </c>
      <c r="DY151" s="229">
        <v>-0.29170000000000001</v>
      </c>
      <c r="DZ151" s="229">
        <v>3.2000000000000002E-3</v>
      </c>
      <c r="EA151" s="230">
        <v>37284300</v>
      </c>
      <c r="EB151" s="229">
        <v>4.7000000000000002E-3</v>
      </c>
      <c r="EC151" s="229">
        <v>3.2000000000000002E-3</v>
      </c>
      <c r="ED151" s="228">
        <v>2.17</v>
      </c>
      <c r="EE151" s="229">
        <v>4.3E-3</v>
      </c>
      <c r="EF151" s="230">
        <v>3175945</v>
      </c>
      <c r="EG151" s="230">
        <v>2138425</v>
      </c>
      <c r="EH151" s="229">
        <v>0.48520000000000002</v>
      </c>
      <c r="EI151" s="229">
        <v>0.53080000000000005</v>
      </c>
      <c r="EJ151" s="231">
        <v>11821.65</v>
      </c>
      <c r="EK151" s="231">
        <v>7712.33</v>
      </c>
      <c r="EL151" s="231">
        <v>24928.41</v>
      </c>
      <c r="EM151" s="231">
        <v>19839</v>
      </c>
      <c r="EN151" s="231">
        <v>44462.39</v>
      </c>
      <c r="EO151" s="231">
        <v>82641.3</v>
      </c>
      <c r="EP151" s="231">
        <v>-38178.910000000003</v>
      </c>
      <c r="EQ151" s="229">
        <v>-0.46200000000000002</v>
      </c>
      <c r="ER151" s="231">
        <v>5963</v>
      </c>
      <c r="ES151" s="231">
        <v>5952</v>
      </c>
      <c r="ET151" s="231">
        <v>189010</v>
      </c>
      <c r="EU151" s="231">
        <v>50886533</v>
      </c>
      <c r="EV151" s="231">
        <v>200925</v>
      </c>
      <c r="EW151" s="231">
        <v>195815</v>
      </c>
      <c r="EX151" s="231">
        <v>5110</v>
      </c>
      <c r="EY151" s="229">
        <v>2.6100000000000002E-2</v>
      </c>
      <c r="EZ151" s="229">
        <v>0.77690000000000003</v>
      </c>
      <c r="FA151" s="227" t="s">
        <v>556</v>
      </c>
      <c r="FB151" s="161">
        <f t="shared" si="3"/>
        <v>0</v>
      </c>
    </row>
    <row r="152" spans="1:158" ht="17.25" thickBot="1" x14ac:dyDescent="0.3">
      <c r="A152" s="226">
        <v>46050</v>
      </c>
      <c r="B152" s="227" t="s">
        <v>615</v>
      </c>
      <c r="C152" s="227" t="s">
        <v>575</v>
      </c>
      <c r="D152" s="228">
        <v>725</v>
      </c>
      <c r="E152" s="231">
        <v>1184.7</v>
      </c>
      <c r="F152" s="231">
        <v>1154.0999999999999</v>
      </c>
      <c r="G152" s="228">
        <v>30.6</v>
      </c>
      <c r="H152" s="229">
        <v>2.6499999999999999E-2</v>
      </c>
      <c r="I152" s="231">
        <v>1177</v>
      </c>
      <c r="J152" s="231">
        <v>1144.8</v>
      </c>
      <c r="K152" s="228">
        <v>32.200000000000003</v>
      </c>
      <c r="L152" s="229">
        <v>2.81E-2</v>
      </c>
      <c r="M152" s="231">
        <v>1184.7</v>
      </c>
      <c r="N152" s="231">
        <v>1144</v>
      </c>
      <c r="O152" s="228">
        <v>40.700000000000003</v>
      </c>
      <c r="P152" s="229">
        <v>3.56E-2</v>
      </c>
      <c r="Q152" s="231">
        <v>1192.2</v>
      </c>
      <c r="R152" s="231">
        <v>1154.0999999999999</v>
      </c>
      <c r="S152" s="228">
        <v>38.1</v>
      </c>
      <c r="T152" s="229">
        <v>3.3000000000000002E-2</v>
      </c>
      <c r="U152" s="231">
        <v>1200.2</v>
      </c>
      <c r="V152" s="231">
        <v>1161.0999999999999</v>
      </c>
      <c r="W152" s="228">
        <v>39.1</v>
      </c>
      <c r="X152" s="229">
        <v>3.3700000000000001E-2</v>
      </c>
      <c r="Y152" s="228">
        <v>7.7</v>
      </c>
      <c r="Z152" s="228">
        <v>9.3000000000000007</v>
      </c>
      <c r="AA152" s="228">
        <v>-1.6</v>
      </c>
      <c r="AB152" s="229">
        <v>6.4999999999999997E-3</v>
      </c>
      <c r="AC152" s="228">
        <v>7.7</v>
      </c>
      <c r="AD152" s="228">
        <v>-0.8</v>
      </c>
      <c r="AE152" s="228">
        <v>8.5</v>
      </c>
      <c r="AF152" s="229">
        <v>6.4999999999999997E-3</v>
      </c>
      <c r="AG152" s="228">
        <v>15.2</v>
      </c>
      <c r="AH152" s="228">
        <v>9.3000000000000007</v>
      </c>
      <c r="AI152" s="228">
        <v>5.9</v>
      </c>
      <c r="AJ152" s="229">
        <v>1.29E-2</v>
      </c>
      <c r="AK152" s="228">
        <v>23.2</v>
      </c>
      <c r="AL152" s="228">
        <v>16.3</v>
      </c>
      <c r="AM152" s="228">
        <v>6.9</v>
      </c>
      <c r="AN152" s="229">
        <v>1.9699999999999999E-2</v>
      </c>
      <c r="AO152" s="231">
        <v>1175.3399999999999</v>
      </c>
      <c r="AP152" s="231">
        <v>1181.5</v>
      </c>
      <c r="AQ152" s="228">
        <v>0</v>
      </c>
      <c r="AR152" s="230">
        <v>4914050</v>
      </c>
      <c r="AS152" s="230">
        <v>15519350</v>
      </c>
      <c r="AT152" s="230">
        <v>-10605300</v>
      </c>
      <c r="AU152" s="229">
        <v>-0.68340000000000001</v>
      </c>
      <c r="AV152" s="230">
        <v>4822700</v>
      </c>
      <c r="AW152" s="230">
        <v>5936300</v>
      </c>
      <c r="AX152" s="230">
        <v>-1113600</v>
      </c>
      <c r="AY152" s="229">
        <v>-0.18759999999999999</v>
      </c>
      <c r="AZ152" s="230">
        <v>89175</v>
      </c>
      <c r="BA152" s="230">
        <v>9455450</v>
      </c>
      <c r="BB152" s="230">
        <v>-9366275</v>
      </c>
      <c r="BC152" s="229">
        <v>-0.99060000000000004</v>
      </c>
      <c r="BD152" s="230">
        <v>2175</v>
      </c>
      <c r="BE152" s="230">
        <v>127600</v>
      </c>
      <c r="BF152" s="230">
        <v>-125425</v>
      </c>
      <c r="BG152" s="229">
        <v>-0.98299999999999998</v>
      </c>
      <c r="BH152" s="230">
        <v>9421375</v>
      </c>
      <c r="BI152" s="230">
        <v>23076025</v>
      </c>
      <c r="BJ152" s="230">
        <v>-13654650</v>
      </c>
      <c r="BK152" s="229">
        <v>-0.5917</v>
      </c>
      <c r="BL152" s="230">
        <v>3271925</v>
      </c>
      <c r="BM152" s="230">
        <v>16793175</v>
      </c>
      <c r="BN152" s="230">
        <v>-13521250</v>
      </c>
      <c r="BO152" s="229">
        <v>-0.80520000000000003</v>
      </c>
      <c r="BP152" s="230">
        <v>17607350</v>
      </c>
      <c r="BQ152" s="230">
        <v>55388550</v>
      </c>
      <c r="BR152" s="230">
        <v>-37781200</v>
      </c>
      <c r="BS152" s="229">
        <v>-0.68210000000000004</v>
      </c>
      <c r="BT152" s="230">
        <v>3774853</v>
      </c>
      <c r="BU152" s="230">
        <v>5477443</v>
      </c>
      <c r="BV152" s="230">
        <v>-1702590</v>
      </c>
      <c r="BW152" s="229">
        <v>-0.31080000000000002</v>
      </c>
      <c r="BX152" s="230">
        <v>17797300</v>
      </c>
      <c r="BY152" s="230">
        <v>17418850</v>
      </c>
      <c r="BZ152" s="230">
        <v>378450</v>
      </c>
      <c r="CA152" s="229">
        <v>2.1700000000000001E-2</v>
      </c>
      <c r="CB152" s="230">
        <v>17553700</v>
      </c>
      <c r="CC152" s="230">
        <v>403100</v>
      </c>
      <c r="CD152" s="230">
        <v>17150600</v>
      </c>
      <c r="CE152" s="229">
        <v>42.546799999999998</v>
      </c>
      <c r="CF152" s="230">
        <v>241425</v>
      </c>
      <c r="CG152" s="230">
        <v>17183950</v>
      </c>
      <c r="CH152" s="230">
        <v>-16942525</v>
      </c>
      <c r="CI152" s="229">
        <v>-0.98599999999999999</v>
      </c>
      <c r="CJ152" s="230">
        <v>2175</v>
      </c>
      <c r="CK152" s="230">
        <v>234900</v>
      </c>
      <c r="CL152" s="230">
        <v>-232725</v>
      </c>
      <c r="CM152" s="229">
        <v>-0.99070000000000003</v>
      </c>
      <c r="CN152" s="230">
        <v>5457075</v>
      </c>
      <c r="CO152" s="230">
        <v>4831400</v>
      </c>
      <c r="CP152" s="230">
        <v>625675</v>
      </c>
      <c r="CQ152" s="229">
        <v>0.1295</v>
      </c>
      <c r="CR152" s="230">
        <v>3776525</v>
      </c>
      <c r="CS152" s="230">
        <v>3714900</v>
      </c>
      <c r="CT152" s="230">
        <v>61625</v>
      </c>
      <c r="CU152" s="229">
        <v>1.66E-2</v>
      </c>
      <c r="CV152" s="230">
        <v>27030900</v>
      </c>
      <c r="CW152" s="230">
        <v>25965150</v>
      </c>
      <c r="CX152" s="230">
        <v>1065750</v>
      </c>
      <c r="CY152" s="229">
        <v>4.1000000000000002E-2</v>
      </c>
      <c r="CZ152" s="228">
        <v>43.18</v>
      </c>
      <c r="DA152" s="228">
        <v>45.33</v>
      </c>
      <c r="DB152" s="228">
        <v>-2.15</v>
      </c>
      <c r="DC152" s="228">
        <v>-2.15</v>
      </c>
      <c r="DD152" s="228">
        <v>52.48</v>
      </c>
      <c r="DE152" s="228">
        <v>52.49</v>
      </c>
      <c r="DF152" s="228">
        <v>-9.3000000000000007</v>
      </c>
      <c r="DG152" s="228">
        <v>-0.01</v>
      </c>
      <c r="DH152" s="228">
        <v>42.73</v>
      </c>
      <c r="DI152" s="228">
        <v>44.77</v>
      </c>
      <c r="DJ152" s="228">
        <v>-2.04</v>
      </c>
      <c r="DK152" s="228">
        <v>-2.04</v>
      </c>
      <c r="DL152" s="228">
        <v>44.47</v>
      </c>
      <c r="DM152" s="228">
        <v>46.01</v>
      </c>
      <c r="DN152" s="228">
        <v>-1.54</v>
      </c>
      <c r="DO152" s="228">
        <v>-1.54</v>
      </c>
      <c r="DP152" s="228">
        <v>0.69</v>
      </c>
      <c r="DQ152" s="228">
        <v>0.77</v>
      </c>
      <c r="DR152" s="228">
        <v>-0.08</v>
      </c>
      <c r="DS152" s="229">
        <v>-0.10390000000000001</v>
      </c>
      <c r="DT152" s="231">
        <v>1200</v>
      </c>
      <c r="DU152" s="231">
        <v>1020</v>
      </c>
      <c r="DV152" s="228">
        <v>0.35</v>
      </c>
      <c r="DW152" s="228">
        <v>0.73</v>
      </c>
      <c r="DX152" s="228">
        <v>-0.38</v>
      </c>
      <c r="DY152" s="229">
        <v>-0.52049999999999996</v>
      </c>
      <c r="DZ152" s="229">
        <v>1.37E-2</v>
      </c>
      <c r="EA152" s="230">
        <v>17418850</v>
      </c>
      <c r="EB152" s="229">
        <v>6.3E-3</v>
      </c>
      <c r="EC152" s="229">
        <v>1.37E-2</v>
      </c>
      <c r="ED152" s="228">
        <v>6.16</v>
      </c>
      <c r="EE152" s="229">
        <v>5.1999999999999998E-3</v>
      </c>
      <c r="EF152" s="230">
        <v>1776240</v>
      </c>
      <c r="EG152" s="230">
        <v>2407232</v>
      </c>
      <c r="EH152" s="229">
        <v>-0.2621</v>
      </c>
      <c r="EI152" s="229">
        <v>0.47049999999999997</v>
      </c>
      <c r="EJ152" s="231">
        <v>120103.43</v>
      </c>
      <c r="EK152" s="231">
        <v>37825.74</v>
      </c>
      <c r="EL152" s="231">
        <v>57762.65</v>
      </c>
      <c r="EM152" s="231">
        <v>30528</v>
      </c>
      <c r="EN152" s="231">
        <v>215691.82</v>
      </c>
      <c r="EO152" s="231">
        <v>655593.43999999994</v>
      </c>
      <c r="EP152" s="231">
        <v>-439901.62</v>
      </c>
      <c r="EQ152" s="229">
        <v>-0.67100000000000004</v>
      </c>
      <c r="ER152" s="231">
        <v>69444</v>
      </c>
      <c r="ES152" s="231">
        <v>43117</v>
      </c>
      <c r="ET152" s="231">
        <v>210863</v>
      </c>
      <c r="EU152" s="231">
        <v>95799519</v>
      </c>
      <c r="EV152" s="231">
        <v>323424</v>
      </c>
      <c r="EW152" s="231">
        <v>304960</v>
      </c>
      <c r="EX152" s="231">
        <v>18464</v>
      </c>
      <c r="EY152" s="229">
        <v>6.0499999999999998E-2</v>
      </c>
      <c r="EZ152" s="229">
        <v>0.28220000000000001</v>
      </c>
      <c r="FA152" s="227" t="s">
        <v>555</v>
      </c>
      <c r="FB152" s="161">
        <f t="shared" si="3"/>
        <v>0</v>
      </c>
    </row>
    <row r="153" spans="1:158" ht="17.25" thickBot="1" x14ac:dyDescent="0.3">
      <c r="A153" s="226">
        <v>46050</v>
      </c>
      <c r="B153" s="227" t="s">
        <v>221</v>
      </c>
      <c r="C153" s="227" t="s">
        <v>529</v>
      </c>
      <c r="D153" s="228">
        <v>100</v>
      </c>
      <c r="E153" s="231">
        <v>6235.5</v>
      </c>
      <c r="F153" s="231">
        <v>6252.5</v>
      </c>
      <c r="G153" s="228">
        <v>-17</v>
      </c>
      <c r="H153" s="229">
        <v>-2.7000000000000001E-3</v>
      </c>
      <c r="I153" s="231">
        <v>6213</v>
      </c>
      <c r="J153" s="231">
        <v>6216</v>
      </c>
      <c r="K153" s="228">
        <v>-3</v>
      </c>
      <c r="L153" s="229">
        <v>-5.0000000000000001E-4</v>
      </c>
      <c r="M153" s="231">
        <v>6235.5</v>
      </c>
      <c r="N153" s="231">
        <v>6223</v>
      </c>
      <c r="O153" s="228">
        <v>12.5</v>
      </c>
      <c r="P153" s="229">
        <v>2E-3</v>
      </c>
      <c r="Q153" s="231">
        <v>6270</v>
      </c>
      <c r="R153" s="231">
        <v>6252.5</v>
      </c>
      <c r="S153" s="228">
        <v>17.5</v>
      </c>
      <c r="T153" s="229">
        <v>2.8E-3</v>
      </c>
      <c r="U153" s="231">
        <v>6294.5</v>
      </c>
      <c r="V153" s="231">
        <v>6307.5</v>
      </c>
      <c r="W153" s="228">
        <v>-13</v>
      </c>
      <c r="X153" s="229">
        <v>-2.0999999999999999E-3</v>
      </c>
      <c r="Y153" s="228">
        <v>22.5</v>
      </c>
      <c r="Z153" s="228">
        <v>36.5</v>
      </c>
      <c r="AA153" s="228">
        <v>-14</v>
      </c>
      <c r="AB153" s="229">
        <v>3.5999999999999999E-3</v>
      </c>
      <c r="AC153" s="228">
        <v>22.5</v>
      </c>
      <c r="AD153" s="228">
        <v>7</v>
      </c>
      <c r="AE153" s="228">
        <v>15.5</v>
      </c>
      <c r="AF153" s="229">
        <v>3.5999999999999999E-3</v>
      </c>
      <c r="AG153" s="228">
        <v>57</v>
      </c>
      <c r="AH153" s="228">
        <v>36.5</v>
      </c>
      <c r="AI153" s="228">
        <v>20.5</v>
      </c>
      <c r="AJ153" s="229">
        <v>9.1999999999999998E-3</v>
      </c>
      <c r="AK153" s="228">
        <v>81.5</v>
      </c>
      <c r="AL153" s="228">
        <v>91.5</v>
      </c>
      <c r="AM153" s="228">
        <v>-10</v>
      </c>
      <c r="AN153" s="229">
        <v>1.3100000000000001E-2</v>
      </c>
      <c r="AO153" s="231">
        <v>6246.05</v>
      </c>
      <c r="AP153" s="231">
        <v>6278.93</v>
      </c>
      <c r="AQ153" s="228">
        <v>0</v>
      </c>
      <c r="AR153" s="230">
        <v>764600</v>
      </c>
      <c r="AS153" s="230">
        <v>1191500</v>
      </c>
      <c r="AT153" s="230">
        <v>-426900</v>
      </c>
      <c r="AU153" s="229">
        <v>-0.35830000000000001</v>
      </c>
      <c r="AV153" s="230">
        <v>745500</v>
      </c>
      <c r="AW153" s="230">
        <v>451400</v>
      </c>
      <c r="AX153" s="230">
        <v>294100</v>
      </c>
      <c r="AY153" s="229">
        <v>0.65149999999999997</v>
      </c>
      <c r="AZ153" s="230">
        <v>18700</v>
      </c>
      <c r="BA153" s="230">
        <v>731800</v>
      </c>
      <c r="BB153" s="230">
        <v>-713100</v>
      </c>
      <c r="BC153" s="229">
        <v>-0.97440000000000004</v>
      </c>
      <c r="BD153" s="228">
        <v>400</v>
      </c>
      <c r="BE153" s="230">
        <v>8300</v>
      </c>
      <c r="BF153" s="230">
        <v>-7900</v>
      </c>
      <c r="BG153" s="229">
        <v>-0.95179999999999998</v>
      </c>
      <c r="BH153" s="230">
        <v>1242100</v>
      </c>
      <c r="BI153" s="230">
        <v>1820500</v>
      </c>
      <c r="BJ153" s="230">
        <v>-578400</v>
      </c>
      <c r="BK153" s="229">
        <v>-0.31769999999999998</v>
      </c>
      <c r="BL153" s="230">
        <v>577300</v>
      </c>
      <c r="BM153" s="230">
        <v>1145900</v>
      </c>
      <c r="BN153" s="230">
        <v>-568600</v>
      </c>
      <c r="BO153" s="229">
        <v>-0.49619999999999997</v>
      </c>
      <c r="BP153" s="230">
        <v>2584000</v>
      </c>
      <c r="BQ153" s="230">
        <v>4157900</v>
      </c>
      <c r="BR153" s="230">
        <v>-1573900</v>
      </c>
      <c r="BS153" s="229">
        <v>-0.3785</v>
      </c>
      <c r="BT153" s="230">
        <v>383241</v>
      </c>
      <c r="BU153" s="230">
        <v>508518</v>
      </c>
      <c r="BV153" s="230">
        <v>-125277</v>
      </c>
      <c r="BW153" s="229">
        <v>-0.24640000000000001</v>
      </c>
      <c r="BX153" s="230">
        <v>2173500</v>
      </c>
      <c r="BY153" s="230">
        <v>2087100</v>
      </c>
      <c r="BZ153" s="230">
        <v>86400</v>
      </c>
      <c r="CA153" s="229">
        <v>4.1399999999999999E-2</v>
      </c>
      <c r="CB153" s="230">
        <v>2152800</v>
      </c>
      <c r="CC153" s="230">
        <v>446100</v>
      </c>
      <c r="CD153" s="230">
        <v>1706700</v>
      </c>
      <c r="CE153" s="229">
        <v>3.8258000000000001</v>
      </c>
      <c r="CF153" s="230">
        <v>20300</v>
      </c>
      <c r="CG153" s="230">
        <v>2070200</v>
      </c>
      <c r="CH153" s="230">
        <v>-2049900</v>
      </c>
      <c r="CI153" s="229">
        <v>-0.99019999999999997</v>
      </c>
      <c r="CJ153" s="228">
        <v>400</v>
      </c>
      <c r="CK153" s="230">
        <v>16900</v>
      </c>
      <c r="CL153" s="230">
        <v>-16500</v>
      </c>
      <c r="CM153" s="229">
        <v>-0.97629999999999995</v>
      </c>
      <c r="CN153" s="230">
        <v>394600</v>
      </c>
      <c r="CO153" s="230">
        <v>253600</v>
      </c>
      <c r="CP153" s="230">
        <v>141000</v>
      </c>
      <c r="CQ153" s="229">
        <v>0.55600000000000005</v>
      </c>
      <c r="CR153" s="230">
        <v>295200</v>
      </c>
      <c r="CS153" s="230">
        <v>242500</v>
      </c>
      <c r="CT153" s="230">
        <v>52700</v>
      </c>
      <c r="CU153" s="229">
        <v>0.21729999999999999</v>
      </c>
      <c r="CV153" s="230">
        <v>2863300</v>
      </c>
      <c r="CW153" s="230">
        <v>2583200</v>
      </c>
      <c r="CX153" s="230">
        <v>280100</v>
      </c>
      <c r="CY153" s="229">
        <v>0.1084</v>
      </c>
      <c r="CZ153" s="228">
        <v>32.4</v>
      </c>
      <c r="DA153" s="228">
        <v>33.22</v>
      </c>
      <c r="DB153" s="228">
        <v>-0.82</v>
      </c>
      <c r="DC153" s="228">
        <v>-0.82</v>
      </c>
      <c r="DD153" s="228">
        <v>39.090000000000003</v>
      </c>
      <c r="DE153" s="228">
        <v>39.19</v>
      </c>
      <c r="DF153" s="228">
        <v>-6.69</v>
      </c>
      <c r="DG153" s="228">
        <v>-0.1</v>
      </c>
      <c r="DH153" s="228">
        <v>32.130000000000003</v>
      </c>
      <c r="DI153" s="228">
        <v>32.520000000000003</v>
      </c>
      <c r="DJ153" s="228">
        <v>-0.39</v>
      </c>
      <c r="DK153" s="228">
        <v>-0.39</v>
      </c>
      <c r="DL153" s="228">
        <v>32.979999999999997</v>
      </c>
      <c r="DM153" s="228">
        <v>34.17</v>
      </c>
      <c r="DN153" s="228">
        <v>-1.19</v>
      </c>
      <c r="DO153" s="228">
        <v>-1.19</v>
      </c>
      <c r="DP153" s="228">
        <v>0.75</v>
      </c>
      <c r="DQ153" s="228">
        <v>0.96</v>
      </c>
      <c r="DR153" s="228">
        <v>-0.21</v>
      </c>
      <c r="DS153" s="229">
        <v>-0.21870000000000001</v>
      </c>
      <c r="DT153" s="231">
        <v>7000</v>
      </c>
      <c r="DU153" s="231">
        <v>6200</v>
      </c>
      <c r="DV153" s="228">
        <v>0.46</v>
      </c>
      <c r="DW153" s="228">
        <v>0.63</v>
      </c>
      <c r="DX153" s="228">
        <v>-0.17</v>
      </c>
      <c r="DY153" s="229">
        <v>-0.26979999999999998</v>
      </c>
      <c r="DZ153" s="229">
        <v>9.4999999999999998E-3</v>
      </c>
      <c r="EA153" s="230">
        <v>2087100</v>
      </c>
      <c r="EB153" s="229">
        <v>5.4999999999999997E-3</v>
      </c>
      <c r="EC153" s="229">
        <v>9.4999999999999998E-3</v>
      </c>
      <c r="ED153" s="228">
        <v>32.880000000000003</v>
      </c>
      <c r="EE153" s="229">
        <v>5.3E-3</v>
      </c>
      <c r="EF153" s="230">
        <v>171219</v>
      </c>
      <c r="EG153" s="230">
        <v>251429</v>
      </c>
      <c r="EH153" s="229">
        <v>-0.31900000000000001</v>
      </c>
      <c r="EI153" s="229">
        <v>0.44679999999999997</v>
      </c>
      <c r="EJ153" s="231">
        <v>82482.27</v>
      </c>
      <c r="EK153" s="231">
        <v>35582.19</v>
      </c>
      <c r="EL153" s="231">
        <v>47763.68</v>
      </c>
      <c r="EM153" s="231">
        <v>26126</v>
      </c>
      <c r="EN153" s="231">
        <v>165828.14000000001</v>
      </c>
      <c r="EO153" s="231">
        <v>260609.46</v>
      </c>
      <c r="EP153" s="231">
        <v>-94781.32</v>
      </c>
      <c r="EQ153" s="229">
        <v>-0.36370000000000002</v>
      </c>
      <c r="ER153" s="231">
        <v>26063</v>
      </c>
      <c r="ES153" s="231">
        <v>17621</v>
      </c>
      <c r="ET153" s="231">
        <v>135536</v>
      </c>
      <c r="EU153" s="231">
        <v>15732422</v>
      </c>
      <c r="EV153" s="231">
        <v>179220</v>
      </c>
      <c r="EW153" s="231">
        <v>161769</v>
      </c>
      <c r="EX153" s="231">
        <v>17451</v>
      </c>
      <c r="EY153" s="229">
        <v>0.1079</v>
      </c>
      <c r="EZ153" s="229">
        <v>0.182</v>
      </c>
      <c r="FA153" s="227" t="s">
        <v>567</v>
      </c>
      <c r="FB153" s="161">
        <f>BX226-CB226</f>
        <v>0</v>
      </c>
    </row>
    <row r="154" spans="1:158" ht="17.25" thickBot="1" x14ac:dyDescent="0.3">
      <c r="A154" s="226">
        <v>46050</v>
      </c>
      <c r="B154" s="227" t="s">
        <v>193</v>
      </c>
      <c r="C154" s="227" t="s">
        <v>272</v>
      </c>
      <c r="D154" s="228">
        <v>1900</v>
      </c>
      <c r="E154" s="228">
        <v>292.64999999999998</v>
      </c>
      <c r="F154" s="228">
        <v>279.64999999999998</v>
      </c>
      <c r="G154" s="228">
        <v>13</v>
      </c>
      <c r="H154" s="229">
        <v>4.65E-2</v>
      </c>
      <c r="I154" s="228">
        <v>290.64999999999998</v>
      </c>
      <c r="J154" s="228">
        <v>277.7</v>
      </c>
      <c r="K154" s="228">
        <v>12.95</v>
      </c>
      <c r="L154" s="229">
        <v>4.6600000000000003E-2</v>
      </c>
      <c r="M154" s="228">
        <v>292.64999999999998</v>
      </c>
      <c r="N154" s="228">
        <v>278.25</v>
      </c>
      <c r="O154" s="228">
        <v>14.4</v>
      </c>
      <c r="P154" s="229">
        <v>5.1799999999999999E-2</v>
      </c>
      <c r="Q154" s="228">
        <v>294.2</v>
      </c>
      <c r="R154" s="228">
        <v>279.64999999999998</v>
      </c>
      <c r="S154" s="228">
        <v>14.55</v>
      </c>
      <c r="T154" s="229">
        <v>5.1999999999999998E-2</v>
      </c>
      <c r="U154" s="228">
        <v>295.7</v>
      </c>
      <c r="V154" s="228">
        <v>281.5</v>
      </c>
      <c r="W154" s="228">
        <v>14.2</v>
      </c>
      <c r="X154" s="229">
        <v>5.04E-2</v>
      </c>
      <c r="Y154" s="228">
        <v>2</v>
      </c>
      <c r="Z154" s="228">
        <v>1.95</v>
      </c>
      <c r="AA154" s="228">
        <v>0.05</v>
      </c>
      <c r="AB154" s="229">
        <v>6.8999999999999999E-3</v>
      </c>
      <c r="AC154" s="228">
        <v>2</v>
      </c>
      <c r="AD154" s="228">
        <v>0.55000000000000004</v>
      </c>
      <c r="AE154" s="228">
        <v>1.45</v>
      </c>
      <c r="AF154" s="229">
        <v>6.8999999999999999E-3</v>
      </c>
      <c r="AG154" s="228">
        <v>3.55</v>
      </c>
      <c r="AH154" s="228">
        <v>1.95</v>
      </c>
      <c r="AI154" s="228">
        <v>1.6</v>
      </c>
      <c r="AJ154" s="229">
        <v>1.2200000000000001E-2</v>
      </c>
      <c r="AK154" s="228">
        <v>5.05</v>
      </c>
      <c r="AL154" s="228">
        <v>3.8</v>
      </c>
      <c r="AM154" s="228">
        <v>1.25</v>
      </c>
      <c r="AN154" s="229">
        <v>1.7399999999999999E-2</v>
      </c>
      <c r="AO154" s="228">
        <v>289.95</v>
      </c>
      <c r="AP154" s="228">
        <v>290.79000000000002</v>
      </c>
      <c r="AQ154" s="228">
        <v>0</v>
      </c>
      <c r="AR154" s="230">
        <v>5789300</v>
      </c>
      <c r="AS154" s="230">
        <v>24380800</v>
      </c>
      <c r="AT154" s="230">
        <v>-18591500</v>
      </c>
      <c r="AU154" s="229">
        <v>-0.76249999999999996</v>
      </c>
      <c r="AV154" s="230">
        <v>5352300</v>
      </c>
      <c r="AW154" s="230">
        <v>12215100</v>
      </c>
      <c r="AX154" s="230">
        <v>-6862800</v>
      </c>
      <c r="AY154" s="229">
        <v>-0.56179999999999997</v>
      </c>
      <c r="AZ154" s="230">
        <v>431300</v>
      </c>
      <c r="BA154" s="230">
        <v>12063100</v>
      </c>
      <c r="BB154" s="230">
        <v>-11631800</v>
      </c>
      <c r="BC154" s="229">
        <v>-0.96419999999999995</v>
      </c>
      <c r="BD154" s="230">
        <v>5700</v>
      </c>
      <c r="BE154" s="230">
        <v>102600</v>
      </c>
      <c r="BF154" s="230">
        <v>-96900</v>
      </c>
      <c r="BG154" s="229">
        <v>-0.94440000000000002</v>
      </c>
      <c r="BH154" s="230">
        <v>26691200</v>
      </c>
      <c r="BI154" s="230">
        <v>19364800</v>
      </c>
      <c r="BJ154" s="230">
        <v>7326400</v>
      </c>
      <c r="BK154" s="229">
        <v>0.37830000000000003</v>
      </c>
      <c r="BL154" s="230">
        <v>6644300</v>
      </c>
      <c r="BM154" s="230">
        <v>31779400</v>
      </c>
      <c r="BN154" s="230">
        <v>-25135100</v>
      </c>
      <c r="BO154" s="229">
        <v>-0.79090000000000005</v>
      </c>
      <c r="BP154" s="230">
        <v>39124800</v>
      </c>
      <c r="BQ154" s="230">
        <v>75525000</v>
      </c>
      <c r="BR154" s="230">
        <v>-36400200</v>
      </c>
      <c r="BS154" s="229">
        <v>-0.48199999999999998</v>
      </c>
      <c r="BT154" s="230">
        <v>3246919</v>
      </c>
      <c r="BU154" s="230">
        <v>2606750</v>
      </c>
      <c r="BV154" s="230">
        <v>640169</v>
      </c>
      <c r="BW154" s="229">
        <v>0.24560000000000001</v>
      </c>
      <c r="BX154" s="230">
        <v>40471900</v>
      </c>
      <c r="BY154" s="230">
        <v>40052000</v>
      </c>
      <c r="BZ154" s="230">
        <v>419900</v>
      </c>
      <c r="CA154" s="229">
        <v>1.0500000000000001E-2</v>
      </c>
      <c r="CB154" s="230">
        <v>40160300</v>
      </c>
      <c r="CC154" s="230">
        <v>1611200</v>
      </c>
      <c r="CD154" s="230">
        <v>38549100</v>
      </c>
      <c r="CE154" s="229">
        <v>23.925699999999999</v>
      </c>
      <c r="CF154" s="230">
        <v>305900</v>
      </c>
      <c r="CG154" s="230">
        <v>39691000</v>
      </c>
      <c r="CH154" s="230">
        <v>-39385100</v>
      </c>
      <c r="CI154" s="229">
        <v>-0.99229999999999996</v>
      </c>
      <c r="CJ154" s="230">
        <v>5700</v>
      </c>
      <c r="CK154" s="230">
        <v>361000</v>
      </c>
      <c r="CL154" s="230">
        <v>-355300</v>
      </c>
      <c r="CM154" s="229">
        <v>-0.98419999999999996</v>
      </c>
      <c r="CN154" s="230">
        <v>9954100</v>
      </c>
      <c r="CO154" s="230">
        <v>6423900</v>
      </c>
      <c r="CP154" s="230">
        <v>3530200</v>
      </c>
      <c r="CQ154" s="229">
        <v>0.54949999999999999</v>
      </c>
      <c r="CR154" s="230">
        <v>10070000</v>
      </c>
      <c r="CS154" s="230">
        <v>8969900</v>
      </c>
      <c r="CT154" s="230">
        <v>1100100</v>
      </c>
      <c r="CU154" s="229">
        <v>0.1226</v>
      </c>
      <c r="CV154" s="230">
        <v>60496000</v>
      </c>
      <c r="CW154" s="230">
        <v>55445800</v>
      </c>
      <c r="CX154" s="230">
        <v>5050200</v>
      </c>
      <c r="CY154" s="229">
        <v>9.11E-2</v>
      </c>
      <c r="CZ154" s="228">
        <v>30.71</v>
      </c>
      <c r="DA154" s="228">
        <v>30.67</v>
      </c>
      <c r="DB154" s="228">
        <v>0.04</v>
      </c>
      <c r="DC154" s="228">
        <v>0.04</v>
      </c>
      <c r="DD154" s="228">
        <v>31.12</v>
      </c>
      <c r="DE154" s="228">
        <v>30.59</v>
      </c>
      <c r="DF154" s="228">
        <v>-0.41</v>
      </c>
      <c r="DG154" s="228">
        <v>0.53</v>
      </c>
      <c r="DH154" s="228">
        <v>29.87</v>
      </c>
      <c r="DI154" s="228">
        <v>29.97</v>
      </c>
      <c r="DJ154" s="228">
        <v>-0.1</v>
      </c>
      <c r="DK154" s="228">
        <v>-0.1</v>
      </c>
      <c r="DL154" s="228">
        <v>34.06</v>
      </c>
      <c r="DM154" s="228">
        <v>31.36</v>
      </c>
      <c r="DN154" s="228">
        <v>2.7</v>
      </c>
      <c r="DO154" s="228">
        <v>2.7</v>
      </c>
      <c r="DP154" s="228">
        <v>1.01</v>
      </c>
      <c r="DQ154" s="228">
        <v>1.4</v>
      </c>
      <c r="DR154" s="228">
        <v>-0.39</v>
      </c>
      <c r="DS154" s="229">
        <v>-0.27860000000000001</v>
      </c>
      <c r="DT154" s="228">
        <v>300</v>
      </c>
      <c r="DU154" s="228">
        <v>300</v>
      </c>
      <c r="DV154" s="228">
        <v>0.25</v>
      </c>
      <c r="DW154" s="228">
        <v>1.64</v>
      </c>
      <c r="DX154" s="228">
        <v>-1.39</v>
      </c>
      <c r="DY154" s="229">
        <v>-0.84760000000000002</v>
      </c>
      <c r="DZ154" s="229">
        <v>7.7000000000000002E-3</v>
      </c>
      <c r="EA154" s="230">
        <v>40052000</v>
      </c>
      <c r="EB154" s="229">
        <v>5.3E-3</v>
      </c>
      <c r="EC154" s="229">
        <v>7.7000000000000002E-3</v>
      </c>
      <c r="ED154" s="228">
        <v>0.84</v>
      </c>
      <c r="EE154" s="229">
        <v>2.8999999999999998E-3</v>
      </c>
      <c r="EF154" s="230">
        <v>1216914</v>
      </c>
      <c r="EG154" s="230">
        <v>1265488</v>
      </c>
      <c r="EH154" s="229">
        <v>-3.8399999999999997E-2</v>
      </c>
      <c r="EI154" s="229">
        <v>0.37480000000000002</v>
      </c>
      <c r="EJ154" s="231">
        <v>81037.27</v>
      </c>
      <c r="EK154" s="231">
        <v>18610.689999999999</v>
      </c>
      <c r="EL154" s="231">
        <v>16790.09</v>
      </c>
      <c r="EM154" s="231">
        <v>13333</v>
      </c>
      <c r="EN154" s="231">
        <v>116438.05</v>
      </c>
      <c r="EO154" s="231">
        <v>212954.4</v>
      </c>
      <c r="EP154" s="231">
        <v>-96516.35</v>
      </c>
      <c r="EQ154" s="229">
        <v>-0.45319999999999999</v>
      </c>
      <c r="ER154" s="231">
        <v>29230</v>
      </c>
      <c r="ES154" s="231">
        <v>28033</v>
      </c>
      <c r="ET154" s="231">
        <v>118446</v>
      </c>
      <c r="EU154" s="231">
        <v>108255733</v>
      </c>
      <c r="EV154" s="231">
        <v>175709</v>
      </c>
      <c r="EW154" s="231">
        <v>155618</v>
      </c>
      <c r="EX154" s="231">
        <v>20091</v>
      </c>
      <c r="EY154" s="229">
        <v>0.12909999999999999</v>
      </c>
      <c r="EZ154" s="229">
        <v>0.55879999999999996</v>
      </c>
      <c r="FA154" s="227" t="s">
        <v>555</v>
      </c>
      <c r="FB154" s="161">
        <f t="shared" si="3"/>
        <v>0</v>
      </c>
    </row>
    <row r="155" spans="1:158" ht="17.25" thickBot="1" x14ac:dyDescent="0.3">
      <c r="A155" s="226">
        <v>46050</v>
      </c>
      <c r="B155" s="227" t="s">
        <v>175</v>
      </c>
      <c r="C155" s="227" t="s">
        <v>273</v>
      </c>
      <c r="D155" s="228">
        <v>1300</v>
      </c>
      <c r="E155" s="228">
        <v>382.5</v>
      </c>
      <c r="F155" s="228">
        <v>362.5</v>
      </c>
      <c r="G155" s="228">
        <v>20</v>
      </c>
      <c r="H155" s="229">
        <v>5.5199999999999999E-2</v>
      </c>
      <c r="I155" s="228">
        <v>383.05</v>
      </c>
      <c r="J155" s="228">
        <v>361.65</v>
      </c>
      <c r="K155" s="228">
        <v>21.4</v>
      </c>
      <c r="L155" s="229">
        <v>5.9200000000000003E-2</v>
      </c>
      <c r="M155" s="228">
        <v>382.5</v>
      </c>
      <c r="N155" s="228">
        <v>361.7</v>
      </c>
      <c r="O155" s="228">
        <v>20.8</v>
      </c>
      <c r="P155" s="229">
        <v>5.7500000000000002E-2</v>
      </c>
      <c r="Q155" s="228">
        <v>381.6</v>
      </c>
      <c r="R155" s="228">
        <v>362.5</v>
      </c>
      <c r="S155" s="228">
        <v>19.100000000000001</v>
      </c>
      <c r="T155" s="229">
        <v>5.2699999999999997E-2</v>
      </c>
      <c r="U155" s="228">
        <v>384.2</v>
      </c>
      <c r="V155" s="228">
        <v>361.4</v>
      </c>
      <c r="W155" s="228">
        <v>22.8</v>
      </c>
      <c r="X155" s="229">
        <v>6.3100000000000003E-2</v>
      </c>
      <c r="Y155" s="228">
        <v>-0.55000000000000004</v>
      </c>
      <c r="Z155" s="228">
        <v>0.85</v>
      </c>
      <c r="AA155" s="228">
        <v>-1.4</v>
      </c>
      <c r="AB155" s="229">
        <v>-1.4E-3</v>
      </c>
      <c r="AC155" s="228">
        <v>-0.55000000000000004</v>
      </c>
      <c r="AD155" s="228">
        <v>0.05</v>
      </c>
      <c r="AE155" s="228">
        <v>-0.6</v>
      </c>
      <c r="AF155" s="229">
        <v>-1.4E-3</v>
      </c>
      <c r="AG155" s="228">
        <v>-1.45</v>
      </c>
      <c r="AH155" s="228">
        <v>0.85</v>
      </c>
      <c r="AI155" s="228">
        <v>-2.2999999999999998</v>
      </c>
      <c r="AJ155" s="229">
        <v>-3.8E-3</v>
      </c>
      <c r="AK155" s="228">
        <v>1.1499999999999999</v>
      </c>
      <c r="AL155" s="228">
        <v>-0.25</v>
      </c>
      <c r="AM155" s="228">
        <v>1.4</v>
      </c>
      <c r="AN155" s="229">
        <v>3.0000000000000001E-3</v>
      </c>
      <c r="AO155" s="228">
        <v>375.31</v>
      </c>
      <c r="AP155" s="228">
        <v>374.06</v>
      </c>
      <c r="AQ155" s="228">
        <v>0</v>
      </c>
      <c r="AR155" s="230">
        <v>16812900</v>
      </c>
      <c r="AS155" s="230">
        <v>52832000</v>
      </c>
      <c r="AT155" s="230">
        <v>-36019100</v>
      </c>
      <c r="AU155" s="229">
        <v>-0.68179999999999996</v>
      </c>
      <c r="AV155" s="230">
        <v>15609100</v>
      </c>
      <c r="AW155" s="230">
        <v>26388700</v>
      </c>
      <c r="AX155" s="230">
        <v>-10779600</v>
      </c>
      <c r="AY155" s="229">
        <v>-0.40849999999999997</v>
      </c>
      <c r="AZ155" s="230">
        <v>1142700</v>
      </c>
      <c r="BA155" s="230">
        <v>25308400</v>
      </c>
      <c r="BB155" s="230">
        <v>-24165700</v>
      </c>
      <c r="BC155" s="229">
        <v>-0.95479999999999998</v>
      </c>
      <c r="BD155" s="230">
        <v>61100</v>
      </c>
      <c r="BE155" s="230">
        <v>1134900</v>
      </c>
      <c r="BF155" s="230">
        <v>-1073800</v>
      </c>
      <c r="BG155" s="229">
        <v>-0.94620000000000004</v>
      </c>
      <c r="BH155" s="230">
        <v>37831300</v>
      </c>
      <c r="BI155" s="230">
        <v>26572000</v>
      </c>
      <c r="BJ155" s="230">
        <v>11259300</v>
      </c>
      <c r="BK155" s="229">
        <v>0.42370000000000002</v>
      </c>
      <c r="BL155" s="230">
        <v>13254800</v>
      </c>
      <c r="BM155" s="230">
        <v>22401600</v>
      </c>
      <c r="BN155" s="230">
        <v>-9146800</v>
      </c>
      <c r="BO155" s="229">
        <v>-0.4083</v>
      </c>
      <c r="BP155" s="230">
        <v>67899000</v>
      </c>
      <c r="BQ155" s="230">
        <v>101805600</v>
      </c>
      <c r="BR155" s="230">
        <v>-33906600</v>
      </c>
      <c r="BS155" s="229">
        <v>-0.33310000000000001</v>
      </c>
      <c r="BT155" s="230">
        <v>13632130</v>
      </c>
      <c r="BU155" s="230">
        <v>6167691</v>
      </c>
      <c r="BV155" s="230">
        <v>7464439</v>
      </c>
      <c r="BW155" s="229">
        <v>1.2101999999999999</v>
      </c>
      <c r="BX155" s="230">
        <v>62791300</v>
      </c>
      <c r="BY155" s="230">
        <v>63571300</v>
      </c>
      <c r="BZ155" s="230">
        <v>-780000</v>
      </c>
      <c r="CA155" s="229">
        <v>-1.23E-2</v>
      </c>
      <c r="CB155" s="230">
        <v>59655700</v>
      </c>
      <c r="CC155" s="230">
        <v>14511900</v>
      </c>
      <c r="CD155" s="230">
        <v>45143800</v>
      </c>
      <c r="CE155" s="229">
        <v>3.1107999999999998</v>
      </c>
      <c r="CF155" s="230">
        <v>3090100</v>
      </c>
      <c r="CG155" s="230">
        <v>60503300</v>
      </c>
      <c r="CH155" s="230">
        <v>-57413200</v>
      </c>
      <c r="CI155" s="229">
        <v>-0.94889999999999997</v>
      </c>
      <c r="CJ155" s="230">
        <v>45500</v>
      </c>
      <c r="CK155" s="230">
        <v>3068000</v>
      </c>
      <c r="CL155" s="230">
        <v>-3022500</v>
      </c>
      <c r="CM155" s="229">
        <v>-0.98519999999999996</v>
      </c>
      <c r="CN155" s="230">
        <v>16629600</v>
      </c>
      <c r="CO155" s="230">
        <v>13773500</v>
      </c>
      <c r="CP155" s="230">
        <v>2856100</v>
      </c>
      <c r="CQ155" s="229">
        <v>0.2074</v>
      </c>
      <c r="CR155" s="230">
        <v>16504800</v>
      </c>
      <c r="CS155" s="230">
        <v>14665300</v>
      </c>
      <c r="CT155" s="230">
        <v>1839500</v>
      </c>
      <c r="CU155" s="229">
        <v>0.12540000000000001</v>
      </c>
      <c r="CV155" s="230">
        <v>95925700</v>
      </c>
      <c r="CW155" s="230">
        <v>92010100</v>
      </c>
      <c r="CX155" s="230">
        <v>3915600</v>
      </c>
      <c r="CY155" s="229">
        <v>4.2599999999999999E-2</v>
      </c>
      <c r="CZ155" s="228">
        <v>34.44</v>
      </c>
      <c r="DA155" s="228">
        <v>33.78</v>
      </c>
      <c r="DB155" s="228">
        <v>0.66</v>
      </c>
      <c r="DC155" s="228">
        <v>0.66</v>
      </c>
      <c r="DD155" s="228">
        <v>41.13</v>
      </c>
      <c r="DE155" s="228">
        <v>40.590000000000003</v>
      </c>
      <c r="DF155" s="228">
        <v>-6.69</v>
      </c>
      <c r="DG155" s="228">
        <v>0.54</v>
      </c>
      <c r="DH155" s="228">
        <v>33.86</v>
      </c>
      <c r="DI155" s="228">
        <v>33.28</v>
      </c>
      <c r="DJ155" s="228">
        <v>0.57999999999999996</v>
      </c>
      <c r="DK155" s="228">
        <v>0.57999999999999996</v>
      </c>
      <c r="DL155" s="228">
        <v>36.119999999999997</v>
      </c>
      <c r="DM155" s="228">
        <v>34.46</v>
      </c>
      <c r="DN155" s="228">
        <v>1.66</v>
      </c>
      <c r="DO155" s="228">
        <v>1.66</v>
      </c>
      <c r="DP155" s="228">
        <v>0.99</v>
      </c>
      <c r="DQ155" s="228">
        <v>1.06</v>
      </c>
      <c r="DR155" s="228">
        <v>-7.0000000000000007E-2</v>
      </c>
      <c r="DS155" s="229">
        <v>-6.6000000000000003E-2</v>
      </c>
      <c r="DT155" s="228">
        <v>400</v>
      </c>
      <c r="DU155" s="228">
        <v>370</v>
      </c>
      <c r="DV155" s="228">
        <v>0.35</v>
      </c>
      <c r="DW155" s="228">
        <v>0.84</v>
      </c>
      <c r="DX155" s="228">
        <v>-0.49</v>
      </c>
      <c r="DY155" s="229">
        <v>-0.58330000000000004</v>
      </c>
      <c r="DZ155" s="229">
        <v>4.99E-2</v>
      </c>
      <c r="EA155" s="230">
        <v>63571300</v>
      </c>
      <c r="EB155" s="229">
        <v>-2.3999999999999998E-3</v>
      </c>
      <c r="EC155" s="229">
        <v>4.99E-2</v>
      </c>
      <c r="ED155" s="228">
        <v>-1.25</v>
      </c>
      <c r="EE155" s="229">
        <v>-3.3E-3</v>
      </c>
      <c r="EF155" s="230">
        <v>8430341</v>
      </c>
      <c r="EG155" s="230">
        <v>3373690</v>
      </c>
      <c r="EH155" s="229">
        <v>1.4987999999999999</v>
      </c>
      <c r="EI155" s="229">
        <v>0.61839999999999995</v>
      </c>
      <c r="EJ155" s="231">
        <v>149827.22</v>
      </c>
      <c r="EK155" s="231">
        <v>49252.42</v>
      </c>
      <c r="EL155" s="231">
        <v>63090.080000000002</v>
      </c>
      <c r="EM155" s="231">
        <v>33540</v>
      </c>
      <c r="EN155" s="231">
        <v>262169.71999999997</v>
      </c>
      <c r="EO155" s="231">
        <v>374567.73</v>
      </c>
      <c r="EP155" s="231">
        <v>-112398.01</v>
      </c>
      <c r="EQ155" s="229">
        <v>-0.30009999999999998</v>
      </c>
      <c r="ER155" s="231">
        <v>63585</v>
      </c>
      <c r="ES155" s="231">
        <v>60687</v>
      </c>
      <c r="ET155" s="231">
        <v>240150</v>
      </c>
      <c r="EU155" s="231">
        <v>217835555</v>
      </c>
      <c r="EV155" s="231">
        <v>364422</v>
      </c>
      <c r="EW155" s="231">
        <v>336319</v>
      </c>
      <c r="EX155" s="231">
        <v>28103</v>
      </c>
      <c r="EY155" s="229">
        <v>8.3599999999999994E-2</v>
      </c>
      <c r="EZ155" s="229">
        <v>0.44040000000000001</v>
      </c>
      <c r="FA155" s="227" t="s">
        <v>556</v>
      </c>
      <c r="FB155" s="161">
        <f t="shared" si="3"/>
        <v>0</v>
      </c>
    </row>
    <row r="156" spans="1:158" ht="17.25" thickBot="1" x14ac:dyDescent="0.3">
      <c r="A156" s="226">
        <v>46050</v>
      </c>
      <c r="B156" s="227" t="s">
        <v>184</v>
      </c>
      <c r="C156" s="227" t="s">
        <v>679</v>
      </c>
      <c r="D156" s="228">
        <v>950</v>
      </c>
      <c r="E156" s="228">
        <v>544.1</v>
      </c>
      <c r="F156" s="228">
        <v>521.6</v>
      </c>
      <c r="G156" s="228">
        <v>22.5</v>
      </c>
      <c r="H156" s="229">
        <v>4.3099999999999999E-2</v>
      </c>
      <c r="I156" s="228">
        <v>540.04999999999995</v>
      </c>
      <c r="J156" s="228">
        <v>518.54999999999995</v>
      </c>
      <c r="K156" s="228">
        <v>21.5</v>
      </c>
      <c r="L156" s="229">
        <v>4.1500000000000002E-2</v>
      </c>
      <c r="M156" s="228">
        <v>544.1</v>
      </c>
      <c r="N156" s="228">
        <v>517.79999999999995</v>
      </c>
      <c r="O156" s="228">
        <v>26.3</v>
      </c>
      <c r="P156" s="229">
        <v>5.0799999999999998E-2</v>
      </c>
      <c r="Q156" s="228">
        <v>546.70000000000005</v>
      </c>
      <c r="R156" s="228">
        <v>521.6</v>
      </c>
      <c r="S156" s="228">
        <v>25.1</v>
      </c>
      <c r="T156" s="229">
        <v>4.8099999999999997E-2</v>
      </c>
      <c r="U156" s="228">
        <v>0</v>
      </c>
      <c r="V156" s="228">
        <v>527.4</v>
      </c>
      <c r="W156" s="228">
        <v>0</v>
      </c>
      <c r="X156" s="229">
        <v>0</v>
      </c>
      <c r="Y156" s="228">
        <v>4.05</v>
      </c>
      <c r="Z156" s="228">
        <v>3.05</v>
      </c>
      <c r="AA156" s="228">
        <v>1</v>
      </c>
      <c r="AB156" s="229">
        <v>7.4999999999999997E-3</v>
      </c>
      <c r="AC156" s="228">
        <v>4.05</v>
      </c>
      <c r="AD156" s="228">
        <v>-0.75</v>
      </c>
      <c r="AE156" s="228">
        <v>4.8</v>
      </c>
      <c r="AF156" s="229">
        <v>7.4999999999999997E-3</v>
      </c>
      <c r="AG156" s="228">
        <v>6.65</v>
      </c>
      <c r="AH156" s="228">
        <v>3.05</v>
      </c>
      <c r="AI156" s="228">
        <v>3.6</v>
      </c>
      <c r="AJ156" s="229">
        <v>1.23E-2</v>
      </c>
      <c r="AK156" s="228">
        <v>0</v>
      </c>
      <c r="AL156" s="228">
        <v>8.85</v>
      </c>
      <c r="AM156" s="228">
        <v>0</v>
      </c>
      <c r="AN156" s="229">
        <v>0</v>
      </c>
      <c r="AO156" s="228">
        <v>533.82000000000005</v>
      </c>
      <c r="AP156" s="228">
        <v>533.52</v>
      </c>
      <c r="AQ156" s="228">
        <v>0</v>
      </c>
      <c r="AR156" s="230">
        <v>3526400</v>
      </c>
      <c r="AS156" s="230">
        <v>10765400</v>
      </c>
      <c r="AT156" s="230">
        <v>-7239000</v>
      </c>
      <c r="AU156" s="229">
        <v>-0.6724</v>
      </c>
      <c r="AV156" s="230">
        <v>3373450</v>
      </c>
      <c r="AW156" s="230">
        <v>4231300</v>
      </c>
      <c r="AX156" s="230">
        <v>-857850</v>
      </c>
      <c r="AY156" s="229">
        <v>-0.20269999999999999</v>
      </c>
      <c r="AZ156" s="230">
        <v>152950</v>
      </c>
      <c r="BA156" s="230">
        <v>6459050</v>
      </c>
      <c r="BB156" s="230">
        <v>-6306100</v>
      </c>
      <c r="BC156" s="229">
        <v>-0.97629999999999995</v>
      </c>
      <c r="BD156" s="228">
        <v>0</v>
      </c>
      <c r="BE156" s="230">
        <v>75050</v>
      </c>
      <c r="BF156" s="228">
        <v>0</v>
      </c>
      <c r="BG156" s="229">
        <v>0</v>
      </c>
      <c r="BH156" s="230">
        <v>2983000</v>
      </c>
      <c r="BI156" s="230">
        <v>5174650</v>
      </c>
      <c r="BJ156" s="230">
        <v>-2191650</v>
      </c>
      <c r="BK156" s="229">
        <v>-0.42349999999999999</v>
      </c>
      <c r="BL156" s="230">
        <v>1821150</v>
      </c>
      <c r="BM156" s="230">
        <v>4047950</v>
      </c>
      <c r="BN156" s="230">
        <v>-2226800</v>
      </c>
      <c r="BO156" s="229">
        <v>-0.55010000000000003</v>
      </c>
      <c r="BP156" s="230">
        <v>8330550</v>
      </c>
      <c r="BQ156" s="230">
        <v>19988000</v>
      </c>
      <c r="BR156" s="230">
        <v>-11657450</v>
      </c>
      <c r="BS156" s="229">
        <v>-0.58320000000000005</v>
      </c>
      <c r="BT156" s="230">
        <v>1529927</v>
      </c>
      <c r="BU156" s="230">
        <v>2425834</v>
      </c>
      <c r="BV156" s="230">
        <v>-895907</v>
      </c>
      <c r="BW156" s="229">
        <v>-0.36930000000000002</v>
      </c>
      <c r="BX156" s="230">
        <v>13724650</v>
      </c>
      <c r="BY156" s="230">
        <v>13124250</v>
      </c>
      <c r="BZ156" s="230">
        <v>600400</v>
      </c>
      <c r="CA156" s="229">
        <v>4.5699999999999998E-2</v>
      </c>
      <c r="CB156" s="230">
        <v>13474800</v>
      </c>
      <c r="CC156" s="230">
        <v>582350</v>
      </c>
      <c r="CD156" s="230">
        <v>12892450</v>
      </c>
      <c r="CE156" s="229">
        <v>22.1387</v>
      </c>
      <c r="CF156" s="230">
        <v>249850</v>
      </c>
      <c r="CG156" s="230">
        <v>12904800</v>
      </c>
      <c r="CH156" s="230">
        <v>-12654950</v>
      </c>
      <c r="CI156" s="229">
        <v>-0.98060000000000003</v>
      </c>
      <c r="CJ156" s="228">
        <v>0</v>
      </c>
      <c r="CK156" s="230">
        <v>219450</v>
      </c>
      <c r="CL156" s="230">
        <v>-219450</v>
      </c>
      <c r="CM156" s="229">
        <v>-1</v>
      </c>
      <c r="CN156" s="230">
        <v>1721400</v>
      </c>
      <c r="CO156" s="230">
        <v>1579850</v>
      </c>
      <c r="CP156" s="230">
        <v>141550</v>
      </c>
      <c r="CQ156" s="229">
        <v>8.9599999999999999E-2</v>
      </c>
      <c r="CR156" s="230">
        <v>1486750</v>
      </c>
      <c r="CS156" s="230">
        <v>1266350</v>
      </c>
      <c r="CT156" s="230">
        <v>220400</v>
      </c>
      <c r="CU156" s="229">
        <v>0.17399999999999999</v>
      </c>
      <c r="CV156" s="230">
        <v>16932800</v>
      </c>
      <c r="CW156" s="230">
        <v>15970450</v>
      </c>
      <c r="CX156" s="230">
        <v>962350</v>
      </c>
      <c r="CY156" s="229">
        <v>6.0299999999999999E-2</v>
      </c>
      <c r="CZ156" s="228">
        <v>49.8</v>
      </c>
      <c r="DA156" s="228">
        <v>54.01</v>
      </c>
      <c r="DB156" s="228">
        <v>-4.21</v>
      </c>
      <c r="DC156" s="228">
        <v>-4.21</v>
      </c>
      <c r="DD156" s="228">
        <v>63.87</v>
      </c>
      <c r="DE156" s="228">
        <v>63.77</v>
      </c>
      <c r="DF156" s="228">
        <v>-14.07</v>
      </c>
      <c r="DG156" s="228">
        <v>0.1</v>
      </c>
      <c r="DH156" s="228">
        <v>49.17</v>
      </c>
      <c r="DI156" s="228">
        <v>54.1</v>
      </c>
      <c r="DJ156" s="228">
        <v>-4.93</v>
      </c>
      <c r="DK156" s="228">
        <v>-4.93</v>
      </c>
      <c r="DL156" s="228">
        <v>50.84</v>
      </c>
      <c r="DM156" s="228">
        <v>53.89</v>
      </c>
      <c r="DN156" s="228">
        <v>-3.05</v>
      </c>
      <c r="DO156" s="228">
        <v>-3.05</v>
      </c>
      <c r="DP156" s="228">
        <v>0.86</v>
      </c>
      <c r="DQ156" s="228">
        <v>0.8</v>
      </c>
      <c r="DR156" s="228">
        <v>0.06</v>
      </c>
      <c r="DS156" s="229">
        <v>7.4999999999999997E-2</v>
      </c>
      <c r="DT156" s="228">
        <v>600</v>
      </c>
      <c r="DU156" s="228">
        <v>460</v>
      </c>
      <c r="DV156" s="228">
        <v>0.61</v>
      </c>
      <c r="DW156" s="228">
        <v>0.78</v>
      </c>
      <c r="DX156" s="228">
        <v>-0.17</v>
      </c>
      <c r="DY156" s="229">
        <v>-0.21790000000000001</v>
      </c>
      <c r="DZ156" s="229">
        <v>1.8200000000000001E-2</v>
      </c>
      <c r="EA156" s="230">
        <v>13124250</v>
      </c>
      <c r="EB156" s="229">
        <v>4.7999999999999996E-3</v>
      </c>
      <c r="EC156" s="229">
        <v>1.8200000000000001E-2</v>
      </c>
      <c r="ED156" s="228">
        <v>-0.3</v>
      </c>
      <c r="EE156" s="229">
        <v>-5.9999999999999995E-4</v>
      </c>
      <c r="EF156" s="230">
        <v>542144</v>
      </c>
      <c r="EG156" s="230">
        <v>494998</v>
      </c>
      <c r="EH156" s="229">
        <v>9.5200000000000007E-2</v>
      </c>
      <c r="EI156" s="229">
        <v>0.35439999999999999</v>
      </c>
      <c r="EJ156" s="231">
        <v>17339.93</v>
      </c>
      <c r="EK156" s="231">
        <v>9745.75</v>
      </c>
      <c r="EL156" s="231">
        <v>18824.060000000001</v>
      </c>
      <c r="EM156" s="231">
        <v>12619</v>
      </c>
      <c r="EN156" s="231">
        <v>45909.74</v>
      </c>
      <c r="EO156" s="231">
        <v>106219.95</v>
      </c>
      <c r="EP156" s="231">
        <v>-60310.21</v>
      </c>
      <c r="EQ156" s="229">
        <v>-0.56779999999999997</v>
      </c>
      <c r="ER156" s="231">
        <v>9769</v>
      </c>
      <c r="ES156" s="231">
        <v>7562</v>
      </c>
      <c r="ET156" s="231">
        <v>74682</v>
      </c>
      <c r="EU156" s="231">
        <v>24030912</v>
      </c>
      <c r="EV156" s="231">
        <v>92013</v>
      </c>
      <c r="EW156" s="231">
        <v>83888</v>
      </c>
      <c r="EX156" s="231">
        <v>8125</v>
      </c>
      <c r="EY156" s="229">
        <v>9.69E-2</v>
      </c>
      <c r="EZ156" s="229">
        <v>0.7046</v>
      </c>
      <c r="FA156" s="227" t="s">
        <v>555</v>
      </c>
      <c r="FB156" s="161">
        <f t="shared" si="3"/>
        <v>0</v>
      </c>
    </row>
    <row r="157" spans="1:158" ht="17.25" thickBot="1" x14ac:dyDescent="0.3">
      <c r="A157" s="226">
        <v>46050</v>
      </c>
      <c r="B157" s="227" t="s">
        <v>206</v>
      </c>
      <c r="C157" s="227" t="s">
        <v>645</v>
      </c>
      <c r="D157" s="228">
        <v>350</v>
      </c>
      <c r="E157" s="231">
        <v>1735.9</v>
      </c>
      <c r="F157" s="231">
        <v>1739</v>
      </c>
      <c r="G157" s="228">
        <v>-3.1</v>
      </c>
      <c r="H157" s="229">
        <v>-1.8E-3</v>
      </c>
      <c r="I157" s="231">
        <v>1726.2</v>
      </c>
      <c r="J157" s="231">
        <v>1728.3</v>
      </c>
      <c r="K157" s="228">
        <v>-2.1</v>
      </c>
      <c r="L157" s="229">
        <v>-1.1999999999999999E-3</v>
      </c>
      <c r="M157" s="231">
        <v>1735.9</v>
      </c>
      <c r="N157" s="231">
        <v>1727.4</v>
      </c>
      <c r="O157" s="228">
        <v>8.5</v>
      </c>
      <c r="P157" s="229">
        <v>4.8999999999999998E-3</v>
      </c>
      <c r="Q157" s="231">
        <v>1744.6</v>
      </c>
      <c r="R157" s="231">
        <v>1739</v>
      </c>
      <c r="S157" s="228">
        <v>5.6</v>
      </c>
      <c r="T157" s="229">
        <v>3.2000000000000002E-3</v>
      </c>
      <c r="U157" s="231">
        <v>1780</v>
      </c>
      <c r="V157" s="231">
        <v>1735.7</v>
      </c>
      <c r="W157" s="228">
        <v>44.3</v>
      </c>
      <c r="X157" s="229">
        <v>2.5499999999999998E-2</v>
      </c>
      <c r="Y157" s="228">
        <v>9.6999999999999993</v>
      </c>
      <c r="Z157" s="228">
        <v>10.7</v>
      </c>
      <c r="AA157" s="228">
        <v>-1</v>
      </c>
      <c r="AB157" s="229">
        <v>5.5999999999999999E-3</v>
      </c>
      <c r="AC157" s="228">
        <v>9.6999999999999993</v>
      </c>
      <c r="AD157" s="228">
        <v>-0.9</v>
      </c>
      <c r="AE157" s="228">
        <v>10.6</v>
      </c>
      <c r="AF157" s="229">
        <v>5.5999999999999999E-3</v>
      </c>
      <c r="AG157" s="228">
        <v>18.399999999999999</v>
      </c>
      <c r="AH157" s="228">
        <v>10.7</v>
      </c>
      <c r="AI157" s="228">
        <v>7.7</v>
      </c>
      <c r="AJ157" s="229">
        <v>1.0699999999999999E-2</v>
      </c>
      <c r="AK157" s="228">
        <v>53.8</v>
      </c>
      <c r="AL157" s="228">
        <v>7.4</v>
      </c>
      <c r="AM157" s="228">
        <v>46.4</v>
      </c>
      <c r="AN157" s="229">
        <v>3.1199999999999999E-2</v>
      </c>
      <c r="AO157" s="231">
        <v>1748.01</v>
      </c>
      <c r="AP157" s="231">
        <v>1760.82</v>
      </c>
      <c r="AQ157" s="228">
        <v>0</v>
      </c>
      <c r="AR157" s="230">
        <v>947100</v>
      </c>
      <c r="AS157" s="230">
        <v>1869700</v>
      </c>
      <c r="AT157" s="230">
        <v>-922600</v>
      </c>
      <c r="AU157" s="229">
        <v>-0.49340000000000001</v>
      </c>
      <c r="AV157" s="230">
        <v>929600</v>
      </c>
      <c r="AW157" s="230">
        <v>841400</v>
      </c>
      <c r="AX157" s="230">
        <v>88200</v>
      </c>
      <c r="AY157" s="229">
        <v>0.1048</v>
      </c>
      <c r="AZ157" s="230">
        <v>17150</v>
      </c>
      <c r="BA157" s="230">
        <v>1027600</v>
      </c>
      <c r="BB157" s="230">
        <v>-1010450</v>
      </c>
      <c r="BC157" s="229">
        <v>-0.98329999999999995</v>
      </c>
      <c r="BD157" s="228">
        <v>350</v>
      </c>
      <c r="BE157" s="228">
        <v>700</v>
      </c>
      <c r="BF157" s="228">
        <v>-350</v>
      </c>
      <c r="BG157" s="229">
        <v>-0.5</v>
      </c>
      <c r="BH157" s="230">
        <v>886200</v>
      </c>
      <c r="BI157" s="230">
        <v>565250</v>
      </c>
      <c r="BJ157" s="230">
        <v>320950</v>
      </c>
      <c r="BK157" s="229">
        <v>0.56779999999999997</v>
      </c>
      <c r="BL157" s="230">
        <v>782600</v>
      </c>
      <c r="BM157" s="230">
        <v>1217650</v>
      </c>
      <c r="BN157" s="230">
        <v>-435050</v>
      </c>
      <c r="BO157" s="229">
        <v>-0.35730000000000001</v>
      </c>
      <c r="BP157" s="230">
        <v>2615900</v>
      </c>
      <c r="BQ157" s="230">
        <v>3652600</v>
      </c>
      <c r="BR157" s="230">
        <v>-1036700</v>
      </c>
      <c r="BS157" s="229">
        <v>-0.2838</v>
      </c>
      <c r="BT157" s="230">
        <v>550720</v>
      </c>
      <c r="BU157" s="230">
        <v>668235</v>
      </c>
      <c r="BV157" s="230">
        <v>-117515</v>
      </c>
      <c r="BW157" s="229">
        <v>-0.1759</v>
      </c>
      <c r="BX157" s="230">
        <v>4128600</v>
      </c>
      <c r="BY157" s="230">
        <v>3916500</v>
      </c>
      <c r="BZ157" s="230">
        <v>212100</v>
      </c>
      <c r="CA157" s="229">
        <v>5.4199999999999998E-2</v>
      </c>
      <c r="CB157" s="230">
        <v>4120200</v>
      </c>
      <c r="CC157" s="230">
        <v>114800</v>
      </c>
      <c r="CD157" s="230">
        <v>4005400</v>
      </c>
      <c r="CE157" s="229">
        <v>34.8902</v>
      </c>
      <c r="CF157" s="230">
        <v>8050</v>
      </c>
      <c r="CG157" s="230">
        <v>3913700</v>
      </c>
      <c r="CH157" s="230">
        <v>-3905650</v>
      </c>
      <c r="CI157" s="229">
        <v>-0.99790000000000001</v>
      </c>
      <c r="CJ157" s="228">
        <v>350</v>
      </c>
      <c r="CK157" s="230">
        <v>2800</v>
      </c>
      <c r="CL157" s="230">
        <v>-2450</v>
      </c>
      <c r="CM157" s="229">
        <v>-0.875</v>
      </c>
      <c r="CN157" s="230">
        <v>546350</v>
      </c>
      <c r="CO157" s="230">
        <v>370300</v>
      </c>
      <c r="CP157" s="230">
        <v>176050</v>
      </c>
      <c r="CQ157" s="229">
        <v>0.47539999999999999</v>
      </c>
      <c r="CR157" s="230">
        <v>328650</v>
      </c>
      <c r="CS157" s="230">
        <v>198450</v>
      </c>
      <c r="CT157" s="230">
        <v>130200</v>
      </c>
      <c r="CU157" s="229">
        <v>0.65610000000000002</v>
      </c>
      <c r="CV157" s="230">
        <v>5003600</v>
      </c>
      <c r="CW157" s="230">
        <v>4485250</v>
      </c>
      <c r="CX157" s="230">
        <v>518350</v>
      </c>
      <c r="CY157" s="229">
        <v>0.11559999999999999</v>
      </c>
      <c r="CZ157" s="228">
        <v>36.479999999999997</v>
      </c>
      <c r="DA157" s="228">
        <v>35.35</v>
      </c>
      <c r="DB157" s="228">
        <v>1.1299999999999999</v>
      </c>
      <c r="DC157" s="228">
        <v>1.1299999999999999</v>
      </c>
      <c r="DD157" s="228">
        <v>39.479999999999997</v>
      </c>
      <c r="DE157" s="228">
        <v>39.57</v>
      </c>
      <c r="DF157" s="228">
        <v>-3</v>
      </c>
      <c r="DG157" s="228">
        <v>-0.09</v>
      </c>
      <c r="DH157" s="228">
        <v>36.47</v>
      </c>
      <c r="DI157" s="228">
        <v>34.61</v>
      </c>
      <c r="DJ157" s="228">
        <v>1.86</v>
      </c>
      <c r="DK157" s="228">
        <v>1.86</v>
      </c>
      <c r="DL157" s="228">
        <v>36.5</v>
      </c>
      <c r="DM157" s="228">
        <v>36.11</v>
      </c>
      <c r="DN157" s="228">
        <v>0.39</v>
      </c>
      <c r="DO157" s="228">
        <v>0.39</v>
      </c>
      <c r="DP157" s="228">
        <v>0.6</v>
      </c>
      <c r="DQ157" s="228">
        <v>0.54</v>
      </c>
      <c r="DR157" s="228">
        <v>0.06</v>
      </c>
      <c r="DS157" s="229">
        <v>0.1111</v>
      </c>
      <c r="DT157" s="231">
        <v>1900</v>
      </c>
      <c r="DU157" s="231">
        <v>1740</v>
      </c>
      <c r="DV157" s="228">
        <v>0.88</v>
      </c>
      <c r="DW157" s="228">
        <v>2.15</v>
      </c>
      <c r="DX157" s="228">
        <v>-1.27</v>
      </c>
      <c r="DY157" s="229">
        <v>-0.5907</v>
      </c>
      <c r="DZ157" s="229">
        <v>2E-3</v>
      </c>
      <c r="EA157" s="230">
        <v>3916500</v>
      </c>
      <c r="EB157" s="229">
        <v>5.0000000000000001E-3</v>
      </c>
      <c r="EC157" s="229">
        <v>2E-3</v>
      </c>
      <c r="ED157" s="228">
        <v>12.81</v>
      </c>
      <c r="EE157" s="229">
        <v>7.3000000000000001E-3</v>
      </c>
      <c r="EF157" s="230">
        <v>278713</v>
      </c>
      <c r="EG157" s="230">
        <v>351351</v>
      </c>
      <c r="EH157" s="229">
        <v>-0.20669999999999999</v>
      </c>
      <c r="EI157" s="229">
        <v>0.50609999999999999</v>
      </c>
      <c r="EJ157" s="231">
        <v>16621.07</v>
      </c>
      <c r="EK157" s="231">
        <v>13759.44</v>
      </c>
      <c r="EL157" s="231">
        <v>16557.669999999998</v>
      </c>
      <c r="EM157" s="231">
        <v>8502</v>
      </c>
      <c r="EN157" s="231">
        <v>46938.18</v>
      </c>
      <c r="EO157" s="231">
        <v>63169.85</v>
      </c>
      <c r="EP157" s="231">
        <v>-16231.67</v>
      </c>
      <c r="EQ157" s="229">
        <v>-0.25700000000000001</v>
      </c>
      <c r="ER157" s="231">
        <v>10545</v>
      </c>
      <c r="ES157" s="231">
        <v>5657</v>
      </c>
      <c r="ET157" s="231">
        <v>71669</v>
      </c>
      <c r="EU157" s="231">
        <v>19533471</v>
      </c>
      <c r="EV157" s="231">
        <v>87870</v>
      </c>
      <c r="EW157" s="231">
        <v>78848</v>
      </c>
      <c r="EX157" s="231">
        <v>9022</v>
      </c>
      <c r="EY157" s="229">
        <v>0.1144</v>
      </c>
      <c r="EZ157" s="229">
        <v>0.25619999999999998</v>
      </c>
      <c r="FA157" s="227" t="s">
        <v>567</v>
      </c>
      <c r="FB157" s="161">
        <f t="shared" si="3"/>
        <v>0</v>
      </c>
    </row>
    <row r="158" spans="1:158" ht="17.25" thickBot="1" x14ac:dyDescent="0.3">
      <c r="A158" s="226">
        <v>46050</v>
      </c>
      <c r="B158" s="227" t="s">
        <v>168</v>
      </c>
      <c r="C158" s="227" t="s">
        <v>274</v>
      </c>
      <c r="D158" s="228">
        <v>500</v>
      </c>
      <c r="E158" s="231">
        <v>1469.4</v>
      </c>
      <c r="F158" s="231">
        <v>1454.4</v>
      </c>
      <c r="G158" s="228">
        <v>15</v>
      </c>
      <c r="H158" s="229">
        <v>1.03E-2</v>
      </c>
      <c r="I158" s="231">
        <v>1460.7</v>
      </c>
      <c r="J158" s="231">
        <v>1447.2</v>
      </c>
      <c r="K158" s="228">
        <v>13.5</v>
      </c>
      <c r="L158" s="229">
        <v>9.2999999999999992E-3</v>
      </c>
      <c r="M158" s="231">
        <v>1469.4</v>
      </c>
      <c r="N158" s="231">
        <v>1444.5</v>
      </c>
      <c r="O158" s="228">
        <v>24.9</v>
      </c>
      <c r="P158" s="229">
        <v>1.72E-2</v>
      </c>
      <c r="Q158" s="231">
        <v>1477.3</v>
      </c>
      <c r="R158" s="231">
        <v>1454.4</v>
      </c>
      <c r="S158" s="228">
        <v>22.9</v>
      </c>
      <c r="T158" s="229">
        <v>1.5699999999999999E-2</v>
      </c>
      <c r="U158" s="231">
        <v>1484.7</v>
      </c>
      <c r="V158" s="231">
        <v>1463.3</v>
      </c>
      <c r="W158" s="228">
        <v>21.4</v>
      </c>
      <c r="X158" s="229">
        <v>1.46E-2</v>
      </c>
      <c r="Y158" s="228">
        <v>8.6999999999999993</v>
      </c>
      <c r="Z158" s="228">
        <v>7.2</v>
      </c>
      <c r="AA158" s="228">
        <v>1.5</v>
      </c>
      <c r="AB158" s="229">
        <v>6.0000000000000001E-3</v>
      </c>
      <c r="AC158" s="228">
        <v>8.6999999999999993</v>
      </c>
      <c r="AD158" s="228">
        <v>-2.7</v>
      </c>
      <c r="AE158" s="228">
        <v>11.4</v>
      </c>
      <c r="AF158" s="229">
        <v>6.0000000000000001E-3</v>
      </c>
      <c r="AG158" s="228">
        <v>16.600000000000001</v>
      </c>
      <c r="AH158" s="228">
        <v>7.2</v>
      </c>
      <c r="AI158" s="228">
        <v>9.4</v>
      </c>
      <c r="AJ158" s="229">
        <v>1.14E-2</v>
      </c>
      <c r="AK158" s="228">
        <v>24</v>
      </c>
      <c r="AL158" s="228">
        <v>16.100000000000001</v>
      </c>
      <c r="AM158" s="228">
        <v>7.9</v>
      </c>
      <c r="AN158" s="229">
        <v>1.6400000000000001E-2</v>
      </c>
      <c r="AO158" s="231">
        <v>1457.59</v>
      </c>
      <c r="AP158" s="231">
        <v>1466.03</v>
      </c>
      <c r="AQ158" s="228">
        <v>0</v>
      </c>
      <c r="AR158" s="230">
        <v>2722000</v>
      </c>
      <c r="AS158" s="230">
        <v>2939500</v>
      </c>
      <c r="AT158" s="230">
        <v>-217500</v>
      </c>
      <c r="AU158" s="229">
        <v>-7.3999999999999996E-2</v>
      </c>
      <c r="AV158" s="230">
        <v>2651000</v>
      </c>
      <c r="AW158" s="230">
        <v>1211000</v>
      </c>
      <c r="AX158" s="230">
        <v>1440000</v>
      </c>
      <c r="AY158" s="229">
        <v>1.1891</v>
      </c>
      <c r="AZ158" s="230">
        <v>67000</v>
      </c>
      <c r="BA158" s="230">
        <v>1710500</v>
      </c>
      <c r="BB158" s="230">
        <v>-1643500</v>
      </c>
      <c r="BC158" s="229">
        <v>-0.96079999999999999</v>
      </c>
      <c r="BD158" s="230">
        <v>4000</v>
      </c>
      <c r="BE158" s="230">
        <v>18000</v>
      </c>
      <c r="BF158" s="230">
        <v>-14000</v>
      </c>
      <c r="BG158" s="229">
        <v>-0.77780000000000005</v>
      </c>
      <c r="BH158" s="230">
        <v>2482000</v>
      </c>
      <c r="BI158" s="230">
        <v>1159000</v>
      </c>
      <c r="BJ158" s="230">
        <v>1323000</v>
      </c>
      <c r="BK158" s="229">
        <v>1.1415</v>
      </c>
      <c r="BL158" s="230">
        <v>1392500</v>
      </c>
      <c r="BM158" s="230">
        <v>1031500</v>
      </c>
      <c r="BN158" s="230">
        <v>361000</v>
      </c>
      <c r="BO158" s="229">
        <v>0.35</v>
      </c>
      <c r="BP158" s="230">
        <v>6596500</v>
      </c>
      <c r="BQ158" s="230">
        <v>5130000</v>
      </c>
      <c r="BR158" s="230">
        <v>1466500</v>
      </c>
      <c r="BS158" s="229">
        <v>0.28589999999999999</v>
      </c>
      <c r="BT158" s="230">
        <v>841311</v>
      </c>
      <c r="BU158" s="230">
        <v>416697</v>
      </c>
      <c r="BV158" s="230">
        <v>424614</v>
      </c>
      <c r="BW158" s="229">
        <v>1.0189999999999999</v>
      </c>
      <c r="BX158" s="230">
        <v>8715000</v>
      </c>
      <c r="BY158" s="230">
        <v>8301000</v>
      </c>
      <c r="BZ158" s="230">
        <v>414000</v>
      </c>
      <c r="CA158" s="229">
        <v>4.99E-2</v>
      </c>
      <c r="CB158" s="230">
        <v>8670000</v>
      </c>
      <c r="CC158" s="230">
        <v>148000</v>
      </c>
      <c r="CD158" s="230">
        <v>8522000</v>
      </c>
      <c r="CE158" s="229">
        <v>57.581099999999999</v>
      </c>
      <c r="CF158" s="230">
        <v>43500</v>
      </c>
      <c r="CG158" s="230">
        <v>8270500</v>
      </c>
      <c r="CH158" s="230">
        <v>-8227000</v>
      </c>
      <c r="CI158" s="229">
        <v>-0.99470000000000003</v>
      </c>
      <c r="CJ158" s="230">
        <v>1500</v>
      </c>
      <c r="CK158" s="230">
        <v>30500</v>
      </c>
      <c r="CL158" s="230">
        <v>-29000</v>
      </c>
      <c r="CM158" s="229">
        <v>-0.95079999999999998</v>
      </c>
      <c r="CN158" s="230">
        <v>703500</v>
      </c>
      <c r="CO158" s="230">
        <v>415000</v>
      </c>
      <c r="CP158" s="230">
        <v>288500</v>
      </c>
      <c r="CQ158" s="229">
        <v>0.69520000000000004</v>
      </c>
      <c r="CR158" s="230">
        <v>600000</v>
      </c>
      <c r="CS158" s="230">
        <v>491500</v>
      </c>
      <c r="CT158" s="230">
        <v>108500</v>
      </c>
      <c r="CU158" s="229">
        <v>0.2208</v>
      </c>
      <c r="CV158" s="230">
        <v>10018500</v>
      </c>
      <c r="CW158" s="230">
        <v>9207500</v>
      </c>
      <c r="CX158" s="230">
        <v>811000</v>
      </c>
      <c r="CY158" s="229">
        <v>8.8099999999999998E-2</v>
      </c>
      <c r="CZ158" s="228">
        <v>24.8</v>
      </c>
      <c r="DA158" s="228">
        <v>24.79</v>
      </c>
      <c r="DB158" s="228">
        <v>0.01</v>
      </c>
      <c r="DC158" s="228">
        <v>0.01</v>
      </c>
      <c r="DD158" s="228">
        <v>21.26</v>
      </c>
      <c r="DE158" s="228">
        <v>21.28</v>
      </c>
      <c r="DF158" s="228">
        <v>3.54</v>
      </c>
      <c r="DG158" s="228">
        <v>-0.02</v>
      </c>
      <c r="DH158" s="228">
        <v>24.4</v>
      </c>
      <c r="DI158" s="228">
        <v>24.2</v>
      </c>
      <c r="DJ158" s="228">
        <v>0.2</v>
      </c>
      <c r="DK158" s="228">
        <v>0.2</v>
      </c>
      <c r="DL158" s="228">
        <v>25.53</v>
      </c>
      <c r="DM158" s="228">
        <v>25.3</v>
      </c>
      <c r="DN158" s="228">
        <v>0.23</v>
      </c>
      <c r="DO158" s="228">
        <v>0.23</v>
      </c>
      <c r="DP158" s="228">
        <v>0.85</v>
      </c>
      <c r="DQ158" s="228">
        <v>1.18</v>
      </c>
      <c r="DR158" s="228">
        <v>-0.33</v>
      </c>
      <c r="DS158" s="229">
        <v>-0.2797</v>
      </c>
      <c r="DT158" s="231">
        <v>1500</v>
      </c>
      <c r="DU158" s="231">
        <v>1400</v>
      </c>
      <c r="DV158" s="228">
        <v>0.56000000000000005</v>
      </c>
      <c r="DW158" s="228">
        <v>0.89</v>
      </c>
      <c r="DX158" s="228">
        <v>-0.33</v>
      </c>
      <c r="DY158" s="229">
        <v>-0.37080000000000002</v>
      </c>
      <c r="DZ158" s="229">
        <v>5.1999999999999998E-3</v>
      </c>
      <c r="EA158" s="230">
        <v>8301000</v>
      </c>
      <c r="EB158" s="229">
        <v>5.4000000000000003E-3</v>
      </c>
      <c r="EC158" s="229">
        <v>5.1999999999999998E-3</v>
      </c>
      <c r="ED158" s="228">
        <v>8.44</v>
      </c>
      <c r="EE158" s="229">
        <v>5.7999999999999996E-3</v>
      </c>
      <c r="EF158" s="230">
        <v>392417</v>
      </c>
      <c r="EG158" s="230">
        <v>225433</v>
      </c>
      <c r="EH158" s="229">
        <v>0.74070000000000003</v>
      </c>
      <c r="EI158" s="229">
        <v>0.46639999999999998</v>
      </c>
      <c r="EJ158" s="231">
        <v>37614.730000000003</v>
      </c>
      <c r="EK158" s="231">
        <v>20057.82</v>
      </c>
      <c r="EL158" s="231">
        <v>39681.99</v>
      </c>
      <c r="EM158" s="231">
        <v>11297</v>
      </c>
      <c r="EN158" s="231">
        <v>97354.54</v>
      </c>
      <c r="EO158" s="231">
        <v>75082.87</v>
      </c>
      <c r="EP158" s="231">
        <v>22271.67</v>
      </c>
      <c r="EQ158" s="229">
        <v>0.29659999999999997</v>
      </c>
      <c r="ER158" s="231">
        <v>10494</v>
      </c>
      <c r="ES158" s="231">
        <v>8497</v>
      </c>
      <c r="ET158" s="231">
        <v>128062</v>
      </c>
      <c r="EU158" s="231">
        <v>31214205</v>
      </c>
      <c r="EV158" s="231">
        <v>147053</v>
      </c>
      <c r="EW158" s="231">
        <v>133968</v>
      </c>
      <c r="EX158" s="231">
        <v>13085</v>
      </c>
      <c r="EY158" s="229">
        <v>9.7699999999999995E-2</v>
      </c>
      <c r="EZ158" s="229">
        <v>0.32100000000000001</v>
      </c>
      <c r="FA158" s="227" t="s">
        <v>555</v>
      </c>
      <c r="FB158" s="161">
        <f t="shared" si="3"/>
        <v>0</v>
      </c>
    </row>
    <row r="159" spans="1:158" ht="17.25" thickBot="1" x14ac:dyDescent="0.3">
      <c r="A159" s="226">
        <v>46050</v>
      </c>
      <c r="B159" s="227" t="s">
        <v>498</v>
      </c>
      <c r="C159" s="227" t="s">
        <v>483</v>
      </c>
      <c r="D159" s="228">
        <v>175</v>
      </c>
      <c r="E159" s="231">
        <v>3217.5</v>
      </c>
      <c r="F159" s="231">
        <v>3159.1</v>
      </c>
      <c r="G159" s="228">
        <v>58.4</v>
      </c>
      <c r="H159" s="229">
        <v>1.8499999999999999E-2</v>
      </c>
      <c r="I159" s="231">
        <v>3220.8</v>
      </c>
      <c r="J159" s="231">
        <v>3157.2</v>
      </c>
      <c r="K159" s="228">
        <v>63.6</v>
      </c>
      <c r="L159" s="229">
        <v>2.01E-2</v>
      </c>
      <c r="M159" s="231">
        <v>3217.5</v>
      </c>
      <c r="N159" s="231">
        <v>3150.8</v>
      </c>
      <c r="O159" s="228">
        <v>66.7</v>
      </c>
      <c r="P159" s="229">
        <v>2.12E-2</v>
      </c>
      <c r="Q159" s="231">
        <v>3209.2</v>
      </c>
      <c r="R159" s="231">
        <v>3159.1</v>
      </c>
      <c r="S159" s="228">
        <v>50.1</v>
      </c>
      <c r="T159" s="229">
        <v>1.5900000000000001E-2</v>
      </c>
      <c r="U159" s="231">
        <v>3215.2</v>
      </c>
      <c r="V159" s="231">
        <v>3161.2</v>
      </c>
      <c r="W159" s="228">
        <v>54</v>
      </c>
      <c r="X159" s="229">
        <v>1.7100000000000001E-2</v>
      </c>
      <c r="Y159" s="228">
        <v>-3.3</v>
      </c>
      <c r="Z159" s="228">
        <v>1.9</v>
      </c>
      <c r="AA159" s="228">
        <v>-5.2</v>
      </c>
      <c r="AB159" s="229">
        <v>-1E-3</v>
      </c>
      <c r="AC159" s="228">
        <v>-3.3</v>
      </c>
      <c r="AD159" s="228">
        <v>-6.4</v>
      </c>
      <c r="AE159" s="228">
        <v>3.1</v>
      </c>
      <c r="AF159" s="229">
        <v>-1E-3</v>
      </c>
      <c r="AG159" s="228">
        <v>-11.6</v>
      </c>
      <c r="AH159" s="228">
        <v>1.9</v>
      </c>
      <c r="AI159" s="228">
        <v>-13.5</v>
      </c>
      <c r="AJ159" s="229">
        <v>-3.5999999999999999E-3</v>
      </c>
      <c r="AK159" s="228">
        <v>-5.6</v>
      </c>
      <c r="AL159" s="228">
        <v>4</v>
      </c>
      <c r="AM159" s="228">
        <v>-9.6</v>
      </c>
      <c r="AN159" s="229">
        <v>-1.6999999999999999E-3</v>
      </c>
      <c r="AO159" s="231">
        <v>3201.49</v>
      </c>
      <c r="AP159" s="231">
        <v>3199.05</v>
      </c>
      <c r="AQ159" s="228">
        <v>0</v>
      </c>
      <c r="AR159" s="230">
        <v>289275</v>
      </c>
      <c r="AS159" s="230">
        <v>1108100</v>
      </c>
      <c r="AT159" s="230">
        <v>-818825</v>
      </c>
      <c r="AU159" s="229">
        <v>-0.7389</v>
      </c>
      <c r="AV159" s="230">
        <v>252525</v>
      </c>
      <c r="AW159" s="230">
        <v>482300</v>
      </c>
      <c r="AX159" s="230">
        <v>-229775</v>
      </c>
      <c r="AY159" s="229">
        <v>-0.47639999999999999</v>
      </c>
      <c r="AZ159" s="230">
        <v>29400</v>
      </c>
      <c r="BA159" s="230">
        <v>563150</v>
      </c>
      <c r="BB159" s="230">
        <v>-533750</v>
      </c>
      <c r="BC159" s="229">
        <v>-0.94779999999999998</v>
      </c>
      <c r="BD159" s="230">
        <v>7350</v>
      </c>
      <c r="BE159" s="230">
        <v>62650</v>
      </c>
      <c r="BF159" s="230">
        <v>-55300</v>
      </c>
      <c r="BG159" s="229">
        <v>-0.88270000000000004</v>
      </c>
      <c r="BH159" s="230">
        <v>410550</v>
      </c>
      <c r="BI159" s="230">
        <v>434525</v>
      </c>
      <c r="BJ159" s="230">
        <v>-23975</v>
      </c>
      <c r="BK159" s="229">
        <v>-5.5199999999999999E-2</v>
      </c>
      <c r="BL159" s="230">
        <v>157150</v>
      </c>
      <c r="BM159" s="230">
        <v>210350</v>
      </c>
      <c r="BN159" s="230">
        <v>-53200</v>
      </c>
      <c r="BO159" s="229">
        <v>-0.25290000000000001</v>
      </c>
      <c r="BP159" s="230">
        <v>856975</v>
      </c>
      <c r="BQ159" s="230">
        <v>1752975</v>
      </c>
      <c r="BR159" s="230">
        <v>-896000</v>
      </c>
      <c r="BS159" s="229">
        <v>-0.5111</v>
      </c>
      <c r="BT159" s="230">
        <v>89769</v>
      </c>
      <c r="BU159" s="230">
        <v>220333</v>
      </c>
      <c r="BV159" s="230">
        <v>-130564</v>
      </c>
      <c r="BW159" s="229">
        <v>-0.59260000000000002</v>
      </c>
      <c r="BX159" s="230">
        <v>2755725</v>
      </c>
      <c r="BY159" s="230">
        <v>2705150</v>
      </c>
      <c r="BZ159" s="230">
        <v>50575</v>
      </c>
      <c r="CA159" s="229">
        <v>1.8700000000000001E-2</v>
      </c>
      <c r="CB159" s="230">
        <v>2643550</v>
      </c>
      <c r="CC159" s="230">
        <v>107800</v>
      </c>
      <c r="CD159" s="230">
        <v>2535750</v>
      </c>
      <c r="CE159" s="229">
        <v>23.5227</v>
      </c>
      <c r="CF159" s="230">
        <v>105175</v>
      </c>
      <c r="CG159" s="230">
        <v>2593500</v>
      </c>
      <c r="CH159" s="230">
        <v>-2488325</v>
      </c>
      <c r="CI159" s="229">
        <v>-0.95940000000000003</v>
      </c>
      <c r="CJ159" s="230">
        <v>7000</v>
      </c>
      <c r="CK159" s="230">
        <v>111650</v>
      </c>
      <c r="CL159" s="230">
        <v>-104650</v>
      </c>
      <c r="CM159" s="229">
        <v>-0.93730000000000002</v>
      </c>
      <c r="CN159" s="230">
        <v>259350</v>
      </c>
      <c r="CO159" s="230">
        <v>142800</v>
      </c>
      <c r="CP159" s="230">
        <v>116550</v>
      </c>
      <c r="CQ159" s="229">
        <v>0.81620000000000004</v>
      </c>
      <c r="CR159" s="230">
        <v>229775</v>
      </c>
      <c r="CS159" s="230">
        <v>158375</v>
      </c>
      <c r="CT159" s="230">
        <v>71400</v>
      </c>
      <c r="CU159" s="229">
        <v>0.45079999999999998</v>
      </c>
      <c r="CV159" s="230">
        <v>3244850</v>
      </c>
      <c r="CW159" s="230">
        <v>3006325</v>
      </c>
      <c r="CX159" s="230">
        <v>238525</v>
      </c>
      <c r="CY159" s="229">
        <v>7.9299999999999995E-2</v>
      </c>
      <c r="CZ159" s="228">
        <v>32.04</v>
      </c>
      <c r="DA159" s="228">
        <v>32.92</v>
      </c>
      <c r="DB159" s="228">
        <v>-0.88</v>
      </c>
      <c r="DC159" s="228">
        <v>-0.88</v>
      </c>
      <c r="DD159" s="228">
        <v>28.47</v>
      </c>
      <c r="DE159" s="228">
        <v>28.43</v>
      </c>
      <c r="DF159" s="228">
        <v>3.57</v>
      </c>
      <c r="DG159" s="228">
        <v>0.04</v>
      </c>
      <c r="DH159" s="228">
        <v>31.92</v>
      </c>
      <c r="DI159" s="228">
        <v>32.409999999999997</v>
      </c>
      <c r="DJ159" s="228">
        <v>-0.49</v>
      </c>
      <c r="DK159" s="228">
        <v>-0.49</v>
      </c>
      <c r="DL159" s="228">
        <v>32.33</v>
      </c>
      <c r="DM159" s="228">
        <v>33.53</v>
      </c>
      <c r="DN159" s="228">
        <v>-1.2</v>
      </c>
      <c r="DO159" s="228">
        <v>-1.2</v>
      </c>
      <c r="DP159" s="228">
        <v>0.89</v>
      </c>
      <c r="DQ159" s="228">
        <v>1.1100000000000001</v>
      </c>
      <c r="DR159" s="228">
        <v>-0.22</v>
      </c>
      <c r="DS159" s="229">
        <v>-0.19819999999999999</v>
      </c>
      <c r="DT159" s="231">
        <v>3500</v>
      </c>
      <c r="DU159" s="231">
        <v>3200</v>
      </c>
      <c r="DV159" s="228">
        <v>0.38</v>
      </c>
      <c r="DW159" s="228">
        <v>0.48</v>
      </c>
      <c r="DX159" s="228">
        <v>-0.1</v>
      </c>
      <c r="DY159" s="229">
        <v>-0.20830000000000001</v>
      </c>
      <c r="DZ159" s="229">
        <v>4.07E-2</v>
      </c>
      <c r="EA159" s="230">
        <v>2705150</v>
      </c>
      <c r="EB159" s="229">
        <v>-2.5999999999999999E-3</v>
      </c>
      <c r="EC159" s="229">
        <v>4.07E-2</v>
      </c>
      <c r="ED159" s="228">
        <v>-2.44</v>
      </c>
      <c r="EE159" s="229">
        <v>-8.0000000000000004E-4</v>
      </c>
      <c r="EF159" s="230">
        <v>39950</v>
      </c>
      <c r="EG159" s="230">
        <v>123441</v>
      </c>
      <c r="EH159" s="229">
        <v>-0.6764</v>
      </c>
      <c r="EI159" s="229">
        <v>0.44500000000000001</v>
      </c>
      <c r="EJ159" s="231">
        <v>13956.27</v>
      </c>
      <c r="EK159" s="231">
        <v>4993.9399999999996</v>
      </c>
      <c r="EL159" s="231">
        <v>9261.58</v>
      </c>
      <c r="EM159" s="231">
        <v>12350</v>
      </c>
      <c r="EN159" s="231">
        <v>28211.79</v>
      </c>
      <c r="EO159" s="231">
        <v>56451.35</v>
      </c>
      <c r="EP159" s="231">
        <v>-28239.56</v>
      </c>
      <c r="EQ159" s="229">
        <v>-0.50019999999999998</v>
      </c>
      <c r="ER159" s="231">
        <v>8718</v>
      </c>
      <c r="ES159" s="231">
        <v>7312</v>
      </c>
      <c r="ET159" s="231">
        <v>88657</v>
      </c>
      <c r="EU159" s="231">
        <v>10712372</v>
      </c>
      <c r="EV159" s="231">
        <v>104687</v>
      </c>
      <c r="EW159" s="231">
        <v>95328</v>
      </c>
      <c r="EX159" s="231">
        <v>9359</v>
      </c>
      <c r="EY159" s="229">
        <v>9.8199999999999996E-2</v>
      </c>
      <c r="EZ159" s="229">
        <v>0.3029</v>
      </c>
      <c r="FA159" s="227" t="s">
        <v>555</v>
      </c>
      <c r="FB159" s="161">
        <f t="shared" si="3"/>
        <v>0</v>
      </c>
    </row>
    <row r="160" spans="1:158" ht="17.25" thickBot="1" x14ac:dyDescent="0.3">
      <c r="A160" s="226">
        <v>46050</v>
      </c>
      <c r="B160" s="227" t="s">
        <v>172</v>
      </c>
      <c r="C160" s="227" t="s">
        <v>275</v>
      </c>
      <c r="D160" s="228">
        <v>8000</v>
      </c>
      <c r="E160" s="228">
        <v>125.3</v>
      </c>
      <c r="F160" s="228">
        <v>123.55</v>
      </c>
      <c r="G160" s="228">
        <v>1.75</v>
      </c>
      <c r="H160" s="229">
        <v>1.4200000000000001E-2</v>
      </c>
      <c r="I160" s="228">
        <v>124.5</v>
      </c>
      <c r="J160" s="228">
        <v>122.95</v>
      </c>
      <c r="K160" s="228">
        <v>1.55</v>
      </c>
      <c r="L160" s="229">
        <v>1.26E-2</v>
      </c>
      <c r="M160" s="228">
        <v>125.3</v>
      </c>
      <c r="N160" s="228">
        <v>122.7</v>
      </c>
      <c r="O160" s="228">
        <v>2.6</v>
      </c>
      <c r="P160" s="229">
        <v>2.12E-2</v>
      </c>
      <c r="Q160" s="228">
        <v>126.13</v>
      </c>
      <c r="R160" s="228">
        <v>123.55</v>
      </c>
      <c r="S160" s="228">
        <v>2.58</v>
      </c>
      <c r="T160" s="229">
        <v>2.0899999999999998E-2</v>
      </c>
      <c r="U160" s="228">
        <v>126.96</v>
      </c>
      <c r="V160" s="228">
        <v>124.43</v>
      </c>
      <c r="W160" s="228">
        <v>2.5299999999999998</v>
      </c>
      <c r="X160" s="229">
        <v>2.0299999999999999E-2</v>
      </c>
      <c r="Y160" s="228">
        <v>0.8</v>
      </c>
      <c r="Z160" s="228">
        <v>0.6</v>
      </c>
      <c r="AA160" s="228">
        <v>0.2</v>
      </c>
      <c r="AB160" s="229">
        <v>6.4000000000000003E-3</v>
      </c>
      <c r="AC160" s="228">
        <v>0.8</v>
      </c>
      <c r="AD160" s="228">
        <v>-0.25</v>
      </c>
      <c r="AE160" s="228">
        <v>1.05</v>
      </c>
      <c r="AF160" s="229">
        <v>6.4000000000000003E-3</v>
      </c>
      <c r="AG160" s="228">
        <v>1.63</v>
      </c>
      <c r="AH160" s="228">
        <v>0.6</v>
      </c>
      <c r="AI160" s="228">
        <v>1.03</v>
      </c>
      <c r="AJ160" s="229">
        <v>1.3100000000000001E-2</v>
      </c>
      <c r="AK160" s="228">
        <v>2.46</v>
      </c>
      <c r="AL160" s="228">
        <v>1.48</v>
      </c>
      <c r="AM160" s="228">
        <v>0.98</v>
      </c>
      <c r="AN160" s="229">
        <v>1.9800000000000002E-2</v>
      </c>
      <c r="AO160" s="228">
        <v>123.93</v>
      </c>
      <c r="AP160" s="228">
        <v>124.83</v>
      </c>
      <c r="AQ160" s="228">
        <v>0</v>
      </c>
      <c r="AR160" s="230">
        <v>42848000</v>
      </c>
      <c r="AS160" s="230">
        <v>199488000</v>
      </c>
      <c r="AT160" s="230">
        <v>-156640000</v>
      </c>
      <c r="AU160" s="229">
        <v>-0.78520000000000001</v>
      </c>
      <c r="AV160" s="230">
        <v>40376000</v>
      </c>
      <c r="AW160" s="230">
        <v>87296000</v>
      </c>
      <c r="AX160" s="230">
        <v>-46920000</v>
      </c>
      <c r="AY160" s="229">
        <v>-0.53749999999999998</v>
      </c>
      <c r="AZ160" s="230">
        <v>2208000</v>
      </c>
      <c r="BA160" s="230">
        <v>109984000</v>
      </c>
      <c r="BB160" s="230">
        <v>-107776000</v>
      </c>
      <c r="BC160" s="229">
        <v>-0.97989999999999999</v>
      </c>
      <c r="BD160" s="230">
        <v>264000</v>
      </c>
      <c r="BE160" s="230">
        <v>2208000</v>
      </c>
      <c r="BF160" s="230">
        <v>-1944000</v>
      </c>
      <c r="BG160" s="229">
        <v>-0.88039999999999996</v>
      </c>
      <c r="BH160" s="230">
        <v>86408000</v>
      </c>
      <c r="BI160" s="230">
        <v>144288000</v>
      </c>
      <c r="BJ160" s="230">
        <v>-57880000</v>
      </c>
      <c r="BK160" s="229">
        <v>-0.40110000000000001</v>
      </c>
      <c r="BL160" s="230">
        <v>33816000</v>
      </c>
      <c r="BM160" s="230">
        <v>85152000</v>
      </c>
      <c r="BN160" s="230">
        <v>-51336000</v>
      </c>
      <c r="BO160" s="229">
        <v>-0.60289999999999999</v>
      </c>
      <c r="BP160" s="230">
        <v>163072000</v>
      </c>
      <c r="BQ160" s="230">
        <v>428928000</v>
      </c>
      <c r="BR160" s="230">
        <v>-265856000</v>
      </c>
      <c r="BS160" s="229">
        <v>-0.61980000000000002</v>
      </c>
      <c r="BT160" s="230">
        <v>15035567</v>
      </c>
      <c r="BU160" s="230">
        <v>17033098</v>
      </c>
      <c r="BV160" s="230">
        <v>-1997531</v>
      </c>
      <c r="BW160" s="229">
        <v>-0.1173</v>
      </c>
      <c r="BX160" s="230">
        <v>233936000</v>
      </c>
      <c r="BY160" s="230">
        <v>232600000</v>
      </c>
      <c r="BZ160" s="230">
        <v>1336000</v>
      </c>
      <c r="CA160" s="229">
        <v>5.7000000000000002E-3</v>
      </c>
      <c r="CB160" s="230">
        <v>227000000</v>
      </c>
      <c r="CC160" s="230">
        <v>8456000</v>
      </c>
      <c r="CD160" s="230">
        <v>218544000</v>
      </c>
      <c r="CE160" s="229">
        <v>25.844799999999999</v>
      </c>
      <c r="CF160" s="230">
        <v>6728000</v>
      </c>
      <c r="CG160" s="230">
        <v>226152000</v>
      </c>
      <c r="CH160" s="230">
        <v>-219424000</v>
      </c>
      <c r="CI160" s="229">
        <v>-0.97030000000000005</v>
      </c>
      <c r="CJ160" s="230">
        <v>208000</v>
      </c>
      <c r="CK160" s="230">
        <v>6448000</v>
      </c>
      <c r="CL160" s="230">
        <v>-6240000</v>
      </c>
      <c r="CM160" s="229">
        <v>-0.9677</v>
      </c>
      <c r="CN160" s="230">
        <v>72336000</v>
      </c>
      <c r="CO160" s="230">
        <v>68248000</v>
      </c>
      <c r="CP160" s="230">
        <v>4088000</v>
      </c>
      <c r="CQ160" s="229">
        <v>5.9900000000000002E-2</v>
      </c>
      <c r="CR160" s="230">
        <v>47160000</v>
      </c>
      <c r="CS160" s="230">
        <v>40672000</v>
      </c>
      <c r="CT160" s="230">
        <v>6488000</v>
      </c>
      <c r="CU160" s="229">
        <v>0.1595</v>
      </c>
      <c r="CV160" s="230">
        <v>353432000</v>
      </c>
      <c r="CW160" s="230">
        <v>341520000</v>
      </c>
      <c r="CX160" s="230">
        <v>11912000</v>
      </c>
      <c r="CY160" s="229">
        <v>3.49E-2</v>
      </c>
      <c r="CZ160" s="228">
        <v>32.35</v>
      </c>
      <c r="DA160" s="228">
        <v>32.49</v>
      </c>
      <c r="DB160" s="228">
        <v>-0.14000000000000001</v>
      </c>
      <c r="DC160" s="228">
        <v>-0.14000000000000001</v>
      </c>
      <c r="DD160" s="228">
        <v>35.57</v>
      </c>
      <c r="DE160" s="228">
        <v>35.61</v>
      </c>
      <c r="DF160" s="228">
        <v>-3.22</v>
      </c>
      <c r="DG160" s="228">
        <v>-0.04</v>
      </c>
      <c r="DH160" s="228">
        <v>31.76</v>
      </c>
      <c r="DI160" s="228">
        <v>31.94</v>
      </c>
      <c r="DJ160" s="228">
        <v>-0.18</v>
      </c>
      <c r="DK160" s="228">
        <v>-0.18</v>
      </c>
      <c r="DL160" s="228">
        <v>33.840000000000003</v>
      </c>
      <c r="DM160" s="228">
        <v>33.54</v>
      </c>
      <c r="DN160" s="228">
        <v>0.3</v>
      </c>
      <c r="DO160" s="228">
        <v>0.3</v>
      </c>
      <c r="DP160" s="228">
        <v>0.65</v>
      </c>
      <c r="DQ160" s="228">
        <v>0.6</v>
      </c>
      <c r="DR160" s="228">
        <v>0.05</v>
      </c>
      <c r="DS160" s="229">
        <v>8.3299999999999999E-2</v>
      </c>
      <c r="DT160" s="228">
        <v>130</v>
      </c>
      <c r="DU160" s="228">
        <v>120</v>
      </c>
      <c r="DV160" s="228">
        <v>0.39</v>
      </c>
      <c r="DW160" s="228">
        <v>0.59</v>
      </c>
      <c r="DX160" s="228">
        <v>-0.2</v>
      </c>
      <c r="DY160" s="229">
        <v>-0.33900000000000002</v>
      </c>
      <c r="DZ160" s="229">
        <v>2.9600000000000001E-2</v>
      </c>
      <c r="EA160" s="230">
        <v>232600000</v>
      </c>
      <c r="EB160" s="229">
        <v>6.6E-3</v>
      </c>
      <c r="EC160" s="229">
        <v>2.9600000000000001E-2</v>
      </c>
      <c r="ED160" s="228">
        <v>0.9</v>
      </c>
      <c r="EE160" s="229">
        <v>7.3000000000000001E-3</v>
      </c>
      <c r="EF160" s="230">
        <v>5152240</v>
      </c>
      <c r="EG160" s="230">
        <v>6683268</v>
      </c>
      <c r="EH160" s="229">
        <v>-0.2291</v>
      </c>
      <c r="EI160" s="229">
        <v>0.3427</v>
      </c>
      <c r="EJ160" s="231">
        <v>114157.62</v>
      </c>
      <c r="EK160" s="231">
        <v>40852.839999999997</v>
      </c>
      <c r="EL160" s="231">
        <v>53125.07</v>
      </c>
      <c r="EM160" s="231">
        <v>19202</v>
      </c>
      <c r="EN160" s="231">
        <v>208135.53</v>
      </c>
      <c r="EO160" s="231">
        <v>532334.85</v>
      </c>
      <c r="EP160" s="231">
        <v>-324199.32</v>
      </c>
      <c r="EQ160" s="229">
        <v>-0.60899999999999999</v>
      </c>
      <c r="ER160" s="231">
        <v>95540</v>
      </c>
      <c r="ES160" s="231">
        <v>57091</v>
      </c>
      <c r="ET160" s="231">
        <v>293181</v>
      </c>
      <c r="EU160" s="231">
        <v>515822637</v>
      </c>
      <c r="EV160" s="231">
        <v>445812</v>
      </c>
      <c r="EW160" s="231">
        <v>426896</v>
      </c>
      <c r="EX160" s="231">
        <v>18916</v>
      </c>
      <c r="EY160" s="229">
        <v>4.4299999999999999E-2</v>
      </c>
      <c r="EZ160" s="229">
        <v>0.68520000000000003</v>
      </c>
      <c r="FA160" s="227" t="s">
        <v>555</v>
      </c>
      <c r="FB160" s="161">
        <f t="shared" si="3"/>
        <v>0</v>
      </c>
    </row>
    <row r="161" spans="1:158" ht="17.25" thickBot="1" x14ac:dyDescent="0.3">
      <c r="A161" s="226">
        <v>46050</v>
      </c>
      <c r="B161" s="227" t="s">
        <v>175</v>
      </c>
      <c r="C161" s="227" t="s">
        <v>669</v>
      </c>
      <c r="D161" s="228">
        <v>650</v>
      </c>
      <c r="E161" s="228">
        <v>849</v>
      </c>
      <c r="F161" s="228">
        <v>832.1</v>
      </c>
      <c r="G161" s="228">
        <v>16.899999999999999</v>
      </c>
      <c r="H161" s="229">
        <v>2.0299999999999999E-2</v>
      </c>
      <c r="I161" s="228">
        <v>845.55</v>
      </c>
      <c r="J161" s="228">
        <v>825.4</v>
      </c>
      <c r="K161" s="228">
        <v>20.149999999999999</v>
      </c>
      <c r="L161" s="229">
        <v>2.4400000000000002E-2</v>
      </c>
      <c r="M161" s="228">
        <v>849</v>
      </c>
      <c r="N161" s="228">
        <v>826.15</v>
      </c>
      <c r="O161" s="228">
        <v>22.85</v>
      </c>
      <c r="P161" s="229">
        <v>2.7699999999999999E-2</v>
      </c>
      <c r="Q161" s="228">
        <v>853.5</v>
      </c>
      <c r="R161" s="228">
        <v>832.1</v>
      </c>
      <c r="S161" s="228">
        <v>21.4</v>
      </c>
      <c r="T161" s="229">
        <v>2.5700000000000001E-2</v>
      </c>
      <c r="U161" s="228">
        <v>853</v>
      </c>
      <c r="V161" s="228">
        <v>839.45</v>
      </c>
      <c r="W161" s="228">
        <v>13.55</v>
      </c>
      <c r="X161" s="229">
        <v>1.61E-2</v>
      </c>
      <c r="Y161" s="228">
        <v>3.45</v>
      </c>
      <c r="Z161" s="228">
        <v>6.7</v>
      </c>
      <c r="AA161" s="228">
        <v>-3.25</v>
      </c>
      <c r="AB161" s="229">
        <v>4.1000000000000003E-3</v>
      </c>
      <c r="AC161" s="228">
        <v>3.45</v>
      </c>
      <c r="AD161" s="228">
        <v>0.75</v>
      </c>
      <c r="AE161" s="228">
        <v>2.7</v>
      </c>
      <c r="AF161" s="229">
        <v>4.1000000000000003E-3</v>
      </c>
      <c r="AG161" s="228">
        <v>7.95</v>
      </c>
      <c r="AH161" s="228">
        <v>6.7</v>
      </c>
      <c r="AI161" s="228">
        <v>1.25</v>
      </c>
      <c r="AJ161" s="229">
        <v>9.4000000000000004E-3</v>
      </c>
      <c r="AK161" s="228">
        <v>7.45</v>
      </c>
      <c r="AL161" s="228">
        <v>14.05</v>
      </c>
      <c r="AM161" s="228">
        <v>-6.6</v>
      </c>
      <c r="AN161" s="229">
        <v>8.8000000000000005E-3</v>
      </c>
      <c r="AO161" s="228">
        <v>839.92</v>
      </c>
      <c r="AP161" s="228">
        <v>843.16</v>
      </c>
      <c r="AQ161" s="228">
        <v>0</v>
      </c>
      <c r="AR161" s="230">
        <v>1999400</v>
      </c>
      <c r="AS161" s="230">
        <v>9695400</v>
      </c>
      <c r="AT161" s="230">
        <v>-7696000</v>
      </c>
      <c r="AU161" s="229">
        <v>-0.79379999999999995</v>
      </c>
      <c r="AV161" s="230">
        <v>1918800</v>
      </c>
      <c r="AW161" s="230">
        <v>3575000</v>
      </c>
      <c r="AX161" s="230">
        <v>-1656200</v>
      </c>
      <c r="AY161" s="229">
        <v>-0.46329999999999999</v>
      </c>
      <c r="AZ161" s="230">
        <v>73450</v>
      </c>
      <c r="BA161" s="230">
        <v>6032650</v>
      </c>
      <c r="BB161" s="230">
        <v>-5959200</v>
      </c>
      <c r="BC161" s="229">
        <v>-0.98780000000000001</v>
      </c>
      <c r="BD161" s="230">
        <v>7150</v>
      </c>
      <c r="BE161" s="230">
        <v>87750</v>
      </c>
      <c r="BF161" s="230">
        <v>-80600</v>
      </c>
      <c r="BG161" s="229">
        <v>-0.91849999999999998</v>
      </c>
      <c r="BH161" s="230">
        <v>4187300</v>
      </c>
      <c r="BI161" s="230">
        <v>7218250</v>
      </c>
      <c r="BJ161" s="230">
        <v>-3030950</v>
      </c>
      <c r="BK161" s="229">
        <v>-0.4199</v>
      </c>
      <c r="BL161" s="230">
        <v>2341950</v>
      </c>
      <c r="BM161" s="230">
        <v>4930250</v>
      </c>
      <c r="BN161" s="230">
        <v>-2588300</v>
      </c>
      <c r="BO161" s="229">
        <v>-0.52500000000000002</v>
      </c>
      <c r="BP161" s="230">
        <v>8528650</v>
      </c>
      <c r="BQ161" s="230">
        <v>21843900</v>
      </c>
      <c r="BR161" s="230">
        <v>-13315250</v>
      </c>
      <c r="BS161" s="229">
        <v>-0.60960000000000003</v>
      </c>
      <c r="BT161" s="230">
        <v>935488</v>
      </c>
      <c r="BU161" s="230">
        <v>1523040</v>
      </c>
      <c r="BV161" s="230">
        <v>-587552</v>
      </c>
      <c r="BW161" s="229">
        <v>-0.38579999999999998</v>
      </c>
      <c r="BX161" s="230">
        <v>15336100</v>
      </c>
      <c r="BY161" s="230">
        <v>15292550</v>
      </c>
      <c r="BZ161" s="230">
        <v>43550</v>
      </c>
      <c r="CA161" s="229">
        <v>2.8E-3</v>
      </c>
      <c r="CB161" s="230">
        <v>15198950</v>
      </c>
      <c r="CC161" s="230">
        <v>428350</v>
      </c>
      <c r="CD161" s="230">
        <v>14770600</v>
      </c>
      <c r="CE161" s="229">
        <v>34.482500000000002</v>
      </c>
      <c r="CF161" s="230">
        <v>130650</v>
      </c>
      <c r="CG161" s="230">
        <v>15171000</v>
      </c>
      <c r="CH161" s="230">
        <v>-15040350</v>
      </c>
      <c r="CI161" s="229">
        <v>-0.99139999999999995</v>
      </c>
      <c r="CJ161" s="230">
        <v>6500</v>
      </c>
      <c r="CK161" s="230">
        <v>121550</v>
      </c>
      <c r="CL161" s="230">
        <v>-115050</v>
      </c>
      <c r="CM161" s="229">
        <v>-0.94650000000000001</v>
      </c>
      <c r="CN161" s="230">
        <v>2568150</v>
      </c>
      <c r="CO161" s="230">
        <v>2159300</v>
      </c>
      <c r="CP161" s="230">
        <v>408850</v>
      </c>
      <c r="CQ161" s="229">
        <v>0.1893</v>
      </c>
      <c r="CR161" s="230">
        <v>2128100</v>
      </c>
      <c r="CS161" s="230">
        <v>2009800</v>
      </c>
      <c r="CT161" s="230">
        <v>118300</v>
      </c>
      <c r="CU161" s="229">
        <v>5.8900000000000001E-2</v>
      </c>
      <c r="CV161" s="230">
        <v>20032350</v>
      </c>
      <c r="CW161" s="230">
        <v>19461650</v>
      </c>
      <c r="CX161" s="230">
        <v>570700</v>
      </c>
      <c r="CY161" s="229">
        <v>2.93E-2</v>
      </c>
      <c r="CZ161" s="228">
        <v>35.5</v>
      </c>
      <c r="DA161" s="228">
        <v>38.72</v>
      </c>
      <c r="DB161" s="228">
        <v>-3.22</v>
      </c>
      <c r="DC161" s="228">
        <v>-3.22</v>
      </c>
      <c r="DD161" s="228">
        <v>46.61</v>
      </c>
      <c r="DE161" s="228">
        <v>46.64</v>
      </c>
      <c r="DF161" s="228">
        <v>-11.11</v>
      </c>
      <c r="DG161" s="228">
        <v>-0.03</v>
      </c>
      <c r="DH161" s="228">
        <v>34.520000000000003</v>
      </c>
      <c r="DI161" s="228">
        <v>37.979999999999997</v>
      </c>
      <c r="DJ161" s="228">
        <v>-3.46</v>
      </c>
      <c r="DK161" s="228">
        <v>-3.46</v>
      </c>
      <c r="DL161" s="228">
        <v>37.25</v>
      </c>
      <c r="DM161" s="228">
        <v>39.85</v>
      </c>
      <c r="DN161" s="228">
        <v>-2.6</v>
      </c>
      <c r="DO161" s="228">
        <v>-2.6</v>
      </c>
      <c r="DP161" s="228">
        <v>0.83</v>
      </c>
      <c r="DQ161" s="228">
        <v>0.93</v>
      </c>
      <c r="DR161" s="228">
        <v>-0.1</v>
      </c>
      <c r="DS161" s="229">
        <v>-0.1075</v>
      </c>
      <c r="DT161" s="231">
        <v>1000</v>
      </c>
      <c r="DU161" s="228">
        <v>800</v>
      </c>
      <c r="DV161" s="228">
        <v>0.56000000000000005</v>
      </c>
      <c r="DW161" s="228">
        <v>0.68</v>
      </c>
      <c r="DX161" s="228">
        <v>-0.12</v>
      </c>
      <c r="DY161" s="229">
        <v>-0.17649999999999999</v>
      </c>
      <c r="DZ161" s="229">
        <v>8.8999999999999999E-3</v>
      </c>
      <c r="EA161" s="230">
        <v>15292550</v>
      </c>
      <c r="EB161" s="229">
        <v>5.3E-3</v>
      </c>
      <c r="EC161" s="229">
        <v>8.8999999999999999E-3</v>
      </c>
      <c r="ED161" s="228">
        <v>3.24</v>
      </c>
      <c r="EE161" s="229">
        <v>3.8999999999999998E-3</v>
      </c>
      <c r="EF161" s="230">
        <v>358011</v>
      </c>
      <c r="EG161" s="230">
        <v>565861</v>
      </c>
      <c r="EH161" s="229">
        <v>-0.36730000000000002</v>
      </c>
      <c r="EI161" s="229">
        <v>0.38269999999999998</v>
      </c>
      <c r="EJ161" s="231">
        <v>37668.949999999997</v>
      </c>
      <c r="EK161" s="231">
        <v>19319.509999999998</v>
      </c>
      <c r="EL161" s="231">
        <v>16796.66</v>
      </c>
      <c r="EM161" s="231">
        <v>22233</v>
      </c>
      <c r="EN161" s="231">
        <v>73785.119999999995</v>
      </c>
      <c r="EO161" s="231">
        <v>184816.1</v>
      </c>
      <c r="EP161" s="231">
        <v>-111030.98</v>
      </c>
      <c r="EQ161" s="229">
        <v>-0.6008</v>
      </c>
      <c r="ER161" s="231">
        <v>23466</v>
      </c>
      <c r="ES161" s="231">
        <v>17437</v>
      </c>
      <c r="ET161" s="231">
        <v>130210</v>
      </c>
      <c r="EU161" s="231">
        <v>28118603</v>
      </c>
      <c r="EV161" s="231">
        <v>171113</v>
      </c>
      <c r="EW161" s="231">
        <v>163461</v>
      </c>
      <c r="EX161" s="231">
        <v>7652</v>
      </c>
      <c r="EY161" s="229">
        <v>4.6800000000000001E-2</v>
      </c>
      <c r="EZ161" s="229">
        <v>0.71240000000000003</v>
      </c>
      <c r="FA161" s="227" t="s">
        <v>555</v>
      </c>
      <c r="FB161" s="161">
        <f t="shared" si="3"/>
        <v>0</v>
      </c>
    </row>
    <row r="162" spans="1:158" ht="17.25" thickBot="1" x14ac:dyDescent="0.3">
      <c r="A162" s="226">
        <v>46050</v>
      </c>
      <c r="B162" s="227" t="s">
        <v>615</v>
      </c>
      <c r="C162" s="227" t="s">
        <v>573</v>
      </c>
      <c r="D162" s="228">
        <v>350</v>
      </c>
      <c r="E162" s="231">
        <v>1658</v>
      </c>
      <c r="F162" s="231">
        <v>1630.8</v>
      </c>
      <c r="G162" s="228">
        <v>27.2</v>
      </c>
      <c r="H162" s="229">
        <v>1.67E-2</v>
      </c>
      <c r="I162" s="231">
        <v>1653.1</v>
      </c>
      <c r="J162" s="231">
        <v>1629.8</v>
      </c>
      <c r="K162" s="228">
        <v>23.3</v>
      </c>
      <c r="L162" s="229">
        <v>1.43E-2</v>
      </c>
      <c r="M162" s="231">
        <v>1658</v>
      </c>
      <c r="N162" s="231">
        <v>1625.8</v>
      </c>
      <c r="O162" s="228">
        <v>32.200000000000003</v>
      </c>
      <c r="P162" s="229">
        <v>1.9800000000000002E-2</v>
      </c>
      <c r="Q162" s="231">
        <v>1667.3</v>
      </c>
      <c r="R162" s="231">
        <v>1630.8</v>
      </c>
      <c r="S162" s="228">
        <v>36.5</v>
      </c>
      <c r="T162" s="229">
        <v>2.24E-2</v>
      </c>
      <c r="U162" s="228">
        <v>0</v>
      </c>
      <c r="V162" s="231">
        <v>1637.2</v>
      </c>
      <c r="W162" s="228">
        <v>0</v>
      </c>
      <c r="X162" s="229">
        <v>0</v>
      </c>
      <c r="Y162" s="228">
        <v>4.9000000000000004</v>
      </c>
      <c r="Z162" s="228">
        <v>1</v>
      </c>
      <c r="AA162" s="228">
        <v>3.9</v>
      </c>
      <c r="AB162" s="229">
        <v>3.0000000000000001E-3</v>
      </c>
      <c r="AC162" s="228">
        <v>4.9000000000000004</v>
      </c>
      <c r="AD162" s="228">
        <v>-4</v>
      </c>
      <c r="AE162" s="228">
        <v>8.9</v>
      </c>
      <c r="AF162" s="229">
        <v>3.0000000000000001E-3</v>
      </c>
      <c r="AG162" s="228">
        <v>14.2</v>
      </c>
      <c r="AH162" s="228">
        <v>1</v>
      </c>
      <c r="AI162" s="228">
        <v>13.2</v>
      </c>
      <c r="AJ162" s="229">
        <v>8.6E-3</v>
      </c>
      <c r="AK162" s="228">
        <v>0</v>
      </c>
      <c r="AL162" s="228">
        <v>7.4</v>
      </c>
      <c r="AM162" s="228">
        <v>0</v>
      </c>
      <c r="AN162" s="229">
        <v>0</v>
      </c>
      <c r="AO162" s="231">
        <v>1641.66</v>
      </c>
      <c r="AP162" s="231">
        <v>1647.65</v>
      </c>
      <c r="AQ162" s="228">
        <v>0</v>
      </c>
      <c r="AR162" s="230">
        <v>1286250</v>
      </c>
      <c r="AS162" s="230">
        <v>5529300</v>
      </c>
      <c r="AT162" s="230">
        <v>-4243050</v>
      </c>
      <c r="AU162" s="229">
        <v>-0.76739999999999997</v>
      </c>
      <c r="AV162" s="230">
        <v>1274350</v>
      </c>
      <c r="AW162" s="230">
        <v>2305450</v>
      </c>
      <c r="AX162" s="230">
        <v>-1031100</v>
      </c>
      <c r="AY162" s="229">
        <v>-0.44719999999999999</v>
      </c>
      <c r="AZ162" s="230">
        <v>11900</v>
      </c>
      <c r="BA162" s="230">
        <v>3198650</v>
      </c>
      <c r="BB162" s="230">
        <v>-3186750</v>
      </c>
      <c r="BC162" s="229">
        <v>-0.99629999999999996</v>
      </c>
      <c r="BD162" s="228">
        <v>0</v>
      </c>
      <c r="BE162" s="230">
        <v>25200</v>
      </c>
      <c r="BF162" s="228">
        <v>0</v>
      </c>
      <c r="BG162" s="229">
        <v>0</v>
      </c>
      <c r="BH162" s="230">
        <v>1064350</v>
      </c>
      <c r="BI162" s="230">
        <v>1879500</v>
      </c>
      <c r="BJ162" s="230">
        <v>-815150</v>
      </c>
      <c r="BK162" s="229">
        <v>-0.43369999999999997</v>
      </c>
      <c r="BL162" s="230">
        <v>730800</v>
      </c>
      <c r="BM162" s="230">
        <v>2535400</v>
      </c>
      <c r="BN162" s="230">
        <v>-1804600</v>
      </c>
      <c r="BO162" s="229">
        <v>-0.71179999999999999</v>
      </c>
      <c r="BP162" s="230">
        <v>3081400</v>
      </c>
      <c r="BQ162" s="230">
        <v>9944200</v>
      </c>
      <c r="BR162" s="230">
        <v>-6862800</v>
      </c>
      <c r="BS162" s="229">
        <v>-0.69010000000000005</v>
      </c>
      <c r="BT162" s="230">
        <v>1631444</v>
      </c>
      <c r="BU162" s="230">
        <v>1796275</v>
      </c>
      <c r="BV162" s="230">
        <v>-164831</v>
      </c>
      <c r="BW162" s="229">
        <v>-9.1800000000000007E-2</v>
      </c>
      <c r="BX162" s="230">
        <v>6771100</v>
      </c>
      <c r="BY162" s="230">
        <v>6780900</v>
      </c>
      <c r="BZ162" s="230">
        <v>-9800</v>
      </c>
      <c r="CA162" s="229">
        <v>-1.4E-3</v>
      </c>
      <c r="CB162" s="230">
        <v>6717550</v>
      </c>
      <c r="CC162" s="230">
        <v>383950</v>
      </c>
      <c r="CD162" s="230">
        <v>6333600</v>
      </c>
      <c r="CE162" s="229">
        <v>16.495899999999999</v>
      </c>
      <c r="CF162" s="230">
        <v>53550</v>
      </c>
      <c r="CG162" s="230">
        <v>6731900</v>
      </c>
      <c r="CH162" s="230">
        <v>-6678350</v>
      </c>
      <c r="CI162" s="229">
        <v>-0.99199999999999999</v>
      </c>
      <c r="CJ162" s="228">
        <v>0</v>
      </c>
      <c r="CK162" s="230">
        <v>49000</v>
      </c>
      <c r="CL162" s="230">
        <v>-49000</v>
      </c>
      <c r="CM162" s="229">
        <v>-1</v>
      </c>
      <c r="CN162" s="230">
        <v>694400</v>
      </c>
      <c r="CO162" s="230">
        <v>558950</v>
      </c>
      <c r="CP162" s="230">
        <v>135450</v>
      </c>
      <c r="CQ162" s="229">
        <v>0.24229999999999999</v>
      </c>
      <c r="CR162" s="230">
        <v>706650</v>
      </c>
      <c r="CS162" s="230">
        <v>648200</v>
      </c>
      <c r="CT162" s="230">
        <v>58450</v>
      </c>
      <c r="CU162" s="229">
        <v>9.0200000000000002E-2</v>
      </c>
      <c r="CV162" s="230">
        <v>8172150</v>
      </c>
      <c r="CW162" s="230">
        <v>7988050</v>
      </c>
      <c r="CX162" s="230">
        <v>184100</v>
      </c>
      <c r="CY162" s="229">
        <v>2.3E-2</v>
      </c>
      <c r="CZ162" s="228">
        <v>42.47</v>
      </c>
      <c r="DA162" s="228">
        <v>43.06</v>
      </c>
      <c r="DB162" s="228">
        <v>-0.59</v>
      </c>
      <c r="DC162" s="228">
        <v>-0.59</v>
      </c>
      <c r="DD162" s="228">
        <v>45.64</v>
      </c>
      <c r="DE162" s="228">
        <v>45.71</v>
      </c>
      <c r="DF162" s="228">
        <v>-3.17</v>
      </c>
      <c r="DG162" s="228">
        <v>-7.0000000000000007E-2</v>
      </c>
      <c r="DH162" s="228">
        <v>41.9</v>
      </c>
      <c r="DI162" s="228">
        <v>42.84</v>
      </c>
      <c r="DJ162" s="228">
        <v>-0.94</v>
      </c>
      <c r="DK162" s="228">
        <v>-0.94</v>
      </c>
      <c r="DL162" s="228">
        <v>43.3</v>
      </c>
      <c r="DM162" s="228">
        <v>43.23</v>
      </c>
      <c r="DN162" s="228">
        <v>7.0000000000000007E-2</v>
      </c>
      <c r="DO162" s="228">
        <v>7.0000000000000007E-2</v>
      </c>
      <c r="DP162" s="228">
        <v>1.02</v>
      </c>
      <c r="DQ162" s="228">
        <v>1.1599999999999999</v>
      </c>
      <c r="DR162" s="228">
        <v>-0.14000000000000001</v>
      </c>
      <c r="DS162" s="229">
        <v>-0.1207</v>
      </c>
      <c r="DT162" s="231">
        <v>1700</v>
      </c>
      <c r="DU162" s="231">
        <v>1740</v>
      </c>
      <c r="DV162" s="228">
        <v>0.69</v>
      </c>
      <c r="DW162" s="228">
        <v>1.35</v>
      </c>
      <c r="DX162" s="228">
        <v>-0.66</v>
      </c>
      <c r="DY162" s="229">
        <v>-0.4889</v>
      </c>
      <c r="DZ162" s="229">
        <v>7.9000000000000008E-3</v>
      </c>
      <c r="EA162" s="230">
        <v>6780900</v>
      </c>
      <c r="EB162" s="229">
        <v>5.5999999999999999E-3</v>
      </c>
      <c r="EC162" s="229">
        <v>7.9000000000000008E-3</v>
      </c>
      <c r="ED162" s="228">
        <v>5.99</v>
      </c>
      <c r="EE162" s="229">
        <v>3.5999999999999999E-3</v>
      </c>
      <c r="EF162" s="230">
        <v>880339</v>
      </c>
      <c r="EG162" s="230">
        <v>896683</v>
      </c>
      <c r="EH162" s="229">
        <v>-1.8200000000000001E-2</v>
      </c>
      <c r="EI162" s="229">
        <v>0.53959999999999997</v>
      </c>
      <c r="EJ162" s="231">
        <v>18704.849999999999</v>
      </c>
      <c r="EK162" s="231">
        <v>11961.85</v>
      </c>
      <c r="EL162" s="231">
        <v>21116.52</v>
      </c>
      <c r="EM162" s="231">
        <v>17877</v>
      </c>
      <c r="EN162" s="231">
        <v>51783.22</v>
      </c>
      <c r="EO162" s="231">
        <v>164719.49</v>
      </c>
      <c r="EP162" s="231">
        <v>-112936.27</v>
      </c>
      <c r="EQ162" s="229">
        <v>-0.68559999999999999</v>
      </c>
      <c r="ER162" s="231">
        <v>11975</v>
      </c>
      <c r="ES162" s="231">
        <v>11660</v>
      </c>
      <c r="ET162" s="231">
        <v>112270</v>
      </c>
      <c r="EU162" s="231">
        <v>60642005</v>
      </c>
      <c r="EV162" s="231">
        <v>135905</v>
      </c>
      <c r="EW162" s="231">
        <v>130991</v>
      </c>
      <c r="EX162" s="231">
        <v>4914</v>
      </c>
      <c r="EY162" s="229">
        <v>3.7499999999999999E-2</v>
      </c>
      <c r="EZ162" s="229">
        <v>0.1348</v>
      </c>
      <c r="FA162" s="227" t="s">
        <v>556</v>
      </c>
      <c r="FB162" s="161">
        <f t="shared" ref="FB162:FB194" si="4">BX227-CB227</f>
        <v>0</v>
      </c>
    </row>
    <row r="163" spans="1:158" ht="17.25" thickBot="1" x14ac:dyDescent="0.3">
      <c r="A163" s="226">
        <v>46050</v>
      </c>
      <c r="B163" s="227" t="s">
        <v>184</v>
      </c>
      <c r="C163" s="227" t="s">
        <v>519</v>
      </c>
      <c r="D163" s="228">
        <v>125</v>
      </c>
      <c r="E163" s="231">
        <v>6952.5</v>
      </c>
      <c r="F163" s="231">
        <v>6803.5</v>
      </c>
      <c r="G163" s="228">
        <v>149</v>
      </c>
      <c r="H163" s="229">
        <v>2.1899999999999999E-2</v>
      </c>
      <c r="I163" s="231">
        <v>6928</v>
      </c>
      <c r="J163" s="231">
        <v>6766</v>
      </c>
      <c r="K163" s="228">
        <v>162</v>
      </c>
      <c r="L163" s="229">
        <v>2.3900000000000001E-2</v>
      </c>
      <c r="M163" s="231">
        <v>6952.5</v>
      </c>
      <c r="N163" s="231">
        <v>6750</v>
      </c>
      <c r="O163" s="228">
        <v>202.5</v>
      </c>
      <c r="P163" s="229">
        <v>0.03</v>
      </c>
      <c r="Q163" s="231">
        <v>6991.5</v>
      </c>
      <c r="R163" s="231">
        <v>6803.5</v>
      </c>
      <c r="S163" s="228">
        <v>188</v>
      </c>
      <c r="T163" s="229">
        <v>2.76E-2</v>
      </c>
      <c r="U163" s="231">
        <v>7025</v>
      </c>
      <c r="V163" s="231">
        <v>6855</v>
      </c>
      <c r="W163" s="228">
        <v>170</v>
      </c>
      <c r="X163" s="229">
        <v>2.4799999999999999E-2</v>
      </c>
      <c r="Y163" s="228">
        <v>24.5</v>
      </c>
      <c r="Z163" s="228">
        <v>37.5</v>
      </c>
      <c r="AA163" s="228">
        <v>-13</v>
      </c>
      <c r="AB163" s="229">
        <v>3.5000000000000001E-3</v>
      </c>
      <c r="AC163" s="228">
        <v>24.5</v>
      </c>
      <c r="AD163" s="228">
        <v>-16</v>
      </c>
      <c r="AE163" s="228">
        <v>40.5</v>
      </c>
      <c r="AF163" s="229">
        <v>3.5000000000000001E-3</v>
      </c>
      <c r="AG163" s="228">
        <v>63.5</v>
      </c>
      <c r="AH163" s="228">
        <v>37.5</v>
      </c>
      <c r="AI163" s="228">
        <v>26</v>
      </c>
      <c r="AJ163" s="229">
        <v>9.1999999999999998E-3</v>
      </c>
      <c r="AK163" s="228">
        <v>97</v>
      </c>
      <c r="AL163" s="228">
        <v>89</v>
      </c>
      <c r="AM163" s="228">
        <v>8</v>
      </c>
      <c r="AN163" s="229">
        <v>1.4E-2</v>
      </c>
      <c r="AO163" s="231">
        <v>6898.25</v>
      </c>
      <c r="AP163" s="231">
        <v>6935.25</v>
      </c>
      <c r="AQ163" s="228">
        <v>0</v>
      </c>
      <c r="AR163" s="230">
        <v>514625</v>
      </c>
      <c r="AS163" s="230">
        <v>1829500</v>
      </c>
      <c r="AT163" s="230">
        <v>-1314875</v>
      </c>
      <c r="AU163" s="229">
        <v>-0.71870000000000001</v>
      </c>
      <c r="AV163" s="230">
        <v>494125</v>
      </c>
      <c r="AW163" s="230">
        <v>840375</v>
      </c>
      <c r="AX163" s="230">
        <v>-346250</v>
      </c>
      <c r="AY163" s="229">
        <v>-0.41199999999999998</v>
      </c>
      <c r="AZ163" s="230">
        <v>19875</v>
      </c>
      <c r="BA163" s="230">
        <v>968750</v>
      </c>
      <c r="BB163" s="230">
        <v>-948875</v>
      </c>
      <c r="BC163" s="229">
        <v>-0.97950000000000004</v>
      </c>
      <c r="BD163" s="228">
        <v>625</v>
      </c>
      <c r="BE163" s="230">
        <v>20375</v>
      </c>
      <c r="BF163" s="230">
        <v>-19750</v>
      </c>
      <c r="BG163" s="229">
        <v>-0.96930000000000005</v>
      </c>
      <c r="BH163" s="230">
        <v>905875</v>
      </c>
      <c r="BI163" s="230">
        <v>2085375</v>
      </c>
      <c r="BJ163" s="230">
        <v>-1179500</v>
      </c>
      <c r="BK163" s="229">
        <v>-0.56559999999999999</v>
      </c>
      <c r="BL163" s="230">
        <v>385375</v>
      </c>
      <c r="BM163" s="230">
        <v>1159875</v>
      </c>
      <c r="BN163" s="230">
        <v>-774500</v>
      </c>
      <c r="BO163" s="229">
        <v>-0.66769999999999996</v>
      </c>
      <c r="BP163" s="230">
        <v>1805875</v>
      </c>
      <c r="BQ163" s="230">
        <v>5074750</v>
      </c>
      <c r="BR163" s="230">
        <v>-3268875</v>
      </c>
      <c r="BS163" s="229">
        <v>-0.64410000000000001</v>
      </c>
      <c r="BT163" s="230">
        <v>375499</v>
      </c>
      <c r="BU163" s="230">
        <v>489518</v>
      </c>
      <c r="BV163" s="230">
        <v>-114019</v>
      </c>
      <c r="BW163" s="229">
        <v>-0.2329</v>
      </c>
      <c r="BX163" s="230">
        <v>3412375</v>
      </c>
      <c r="BY163" s="230">
        <v>3505875</v>
      </c>
      <c r="BZ163" s="230">
        <v>-93500</v>
      </c>
      <c r="CA163" s="229">
        <v>-2.6700000000000002E-2</v>
      </c>
      <c r="CB163" s="230">
        <v>3364875</v>
      </c>
      <c r="CC163" s="230">
        <v>305875</v>
      </c>
      <c r="CD163" s="230">
        <v>3059000</v>
      </c>
      <c r="CE163" s="229">
        <v>10.0008</v>
      </c>
      <c r="CF163" s="230">
        <v>47000</v>
      </c>
      <c r="CG163" s="230">
        <v>3462250</v>
      </c>
      <c r="CH163" s="230">
        <v>-3415250</v>
      </c>
      <c r="CI163" s="229">
        <v>-0.98640000000000005</v>
      </c>
      <c r="CJ163" s="228">
        <v>500</v>
      </c>
      <c r="CK163" s="230">
        <v>43625</v>
      </c>
      <c r="CL163" s="230">
        <v>-43125</v>
      </c>
      <c r="CM163" s="229">
        <v>-0.98850000000000005</v>
      </c>
      <c r="CN163" s="230">
        <v>821125</v>
      </c>
      <c r="CO163" s="230">
        <v>729250</v>
      </c>
      <c r="CP163" s="230">
        <v>91875</v>
      </c>
      <c r="CQ163" s="229">
        <v>0.126</v>
      </c>
      <c r="CR163" s="230">
        <v>443250</v>
      </c>
      <c r="CS163" s="230">
        <v>417750</v>
      </c>
      <c r="CT163" s="230">
        <v>25500</v>
      </c>
      <c r="CU163" s="229">
        <v>6.0999999999999999E-2</v>
      </c>
      <c r="CV163" s="230">
        <v>4676750</v>
      </c>
      <c r="CW163" s="230">
        <v>4652875</v>
      </c>
      <c r="CX163" s="230">
        <v>23875</v>
      </c>
      <c r="CY163" s="229">
        <v>5.1000000000000004E-3</v>
      </c>
      <c r="CZ163" s="228">
        <v>28.43</v>
      </c>
      <c r="DA163" s="228">
        <v>31.85</v>
      </c>
      <c r="DB163" s="228">
        <v>-3.42</v>
      </c>
      <c r="DC163" s="228">
        <v>-3.42</v>
      </c>
      <c r="DD163" s="228">
        <v>39.08</v>
      </c>
      <c r="DE163" s="228">
        <v>39.049999999999997</v>
      </c>
      <c r="DF163" s="228">
        <v>-10.65</v>
      </c>
      <c r="DG163" s="228">
        <v>0.03</v>
      </c>
      <c r="DH163" s="228">
        <v>27.89</v>
      </c>
      <c r="DI163" s="228">
        <v>31.91</v>
      </c>
      <c r="DJ163" s="228">
        <v>-4.0199999999999996</v>
      </c>
      <c r="DK163" s="228">
        <v>-4.0199999999999996</v>
      </c>
      <c r="DL163" s="228">
        <v>29.7</v>
      </c>
      <c r="DM163" s="228">
        <v>31.75</v>
      </c>
      <c r="DN163" s="228">
        <v>-2.0499999999999998</v>
      </c>
      <c r="DO163" s="228">
        <v>-2.0499999999999998</v>
      </c>
      <c r="DP163" s="228">
        <v>0.54</v>
      </c>
      <c r="DQ163" s="228">
        <v>0.56999999999999995</v>
      </c>
      <c r="DR163" s="228">
        <v>-0.03</v>
      </c>
      <c r="DS163" s="229">
        <v>-5.2600000000000001E-2</v>
      </c>
      <c r="DT163" s="231">
        <v>8000</v>
      </c>
      <c r="DU163" s="231">
        <v>6700</v>
      </c>
      <c r="DV163" s="228">
        <v>0.43</v>
      </c>
      <c r="DW163" s="228">
        <v>0.56000000000000005</v>
      </c>
      <c r="DX163" s="228">
        <v>-0.13</v>
      </c>
      <c r="DY163" s="229">
        <v>-0.2321</v>
      </c>
      <c r="DZ163" s="229">
        <v>1.3899999999999999E-2</v>
      </c>
      <c r="EA163" s="230">
        <v>3505875</v>
      </c>
      <c r="EB163" s="229">
        <v>5.5999999999999999E-3</v>
      </c>
      <c r="EC163" s="229">
        <v>1.3899999999999999E-2</v>
      </c>
      <c r="ED163" s="228">
        <v>37</v>
      </c>
      <c r="EE163" s="229">
        <v>5.4000000000000003E-3</v>
      </c>
      <c r="EF163" s="230">
        <v>221868</v>
      </c>
      <c r="EG163" s="230">
        <v>256112</v>
      </c>
      <c r="EH163" s="229">
        <v>-0.13370000000000001</v>
      </c>
      <c r="EI163" s="229">
        <v>0.59089999999999998</v>
      </c>
      <c r="EJ163" s="231">
        <v>66479.62</v>
      </c>
      <c r="EK163" s="231">
        <v>25718.959999999999</v>
      </c>
      <c r="EL163" s="231">
        <v>35508.1</v>
      </c>
      <c r="EM163" s="231">
        <v>22193</v>
      </c>
      <c r="EN163" s="231">
        <v>127706.68</v>
      </c>
      <c r="EO163" s="231">
        <v>354208.16</v>
      </c>
      <c r="EP163" s="231">
        <v>-226501.48</v>
      </c>
      <c r="EQ163" s="229">
        <v>-0.63949999999999996</v>
      </c>
      <c r="ER163" s="231">
        <v>61195</v>
      </c>
      <c r="ES163" s="231">
        <v>30258</v>
      </c>
      <c r="ET163" s="231">
        <v>237264</v>
      </c>
      <c r="EU163" s="231">
        <v>8688405</v>
      </c>
      <c r="EV163" s="231">
        <v>328717</v>
      </c>
      <c r="EW163" s="231">
        <v>321334</v>
      </c>
      <c r="EX163" s="231">
        <v>7383</v>
      </c>
      <c r="EY163" s="229">
        <v>2.3E-2</v>
      </c>
      <c r="EZ163" s="229">
        <v>0.5383</v>
      </c>
      <c r="FA163" s="227" t="s">
        <v>556</v>
      </c>
      <c r="FB163" s="161">
        <f t="shared" si="4"/>
        <v>0</v>
      </c>
    </row>
    <row r="164" spans="1:158" ht="17.25" thickBot="1" x14ac:dyDescent="0.3">
      <c r="A164" s="226">
        <v>46050</v>
      </c>
      <c r="B164" s="227" t="s">
        <v>161</v>
      </c>
      <c r="C164" s="227" t="s">
        <v>276</v>
      </c>
      <c r="D164" s="228">
        <v>1900</v>
      </c>
      <c r="E164" s="228">
        <v>257.89999999999998</v>
      </c>
      <c r="F164" s="228">
        <v>252.65</v>
      </c>
      <c r="G164" s="228">
        <v>5.25</v>
      </c>
      <c r="H164" s="229">
        <v>2.0799999999999999E-2</v>
      </c>
      <c r="I164" s="228">
        <v>259.8</v>
      </c>
      <c r="J164" s="228">
        <v>254.35</v>
      </c>
      <c r="K164" s="228">
        <v>5.45</v>
      </c>
      <c r="L164" s="229">
        <v>2.1399999999999999E-2</v>
      </c>
      <c r="M164" s="228">
        <v>257.89999999999998</v>
      </c>
      <c r="N164" s="228">
        <v>254.6</v>
      </c>
      <c r="O164" s="228">
        <v>3.3</v>
      </c>
      <c r="P164" s="229">
        <v>1.2999999999999999E-2</v>
      </c>
      <c r="Q164" s="228">
        <v>259.5</v>
      </c>
      <c r="R164" s="228">
        <v>252.65</v>
      </c>
      <c r="S164" s="228">
        <v>6.85</v>
      </c>
      <c r="T164" s="229">
        <v>2.7099999999999999E-2</v>
      </c>
      <c r="U164" s="228">
        <v>260.5</v>
      </c>
      <c r="V164" s="228">
        <v>254.5</v>
      </c>
      <c r="W164" s="228">
        <v>6</v>
      </c>
      <c r="X164" s="229">
        <v>2.3599999999999999E-2</v>
      </c>
      <c r="Y164" s="228">
        <v>-1.9</v>
      </c>
      <c r="Z164" s="228">
        <v>-1.7</v>
      </c>
      <c r="AA164" s="228">
        <v>-0.2</v>
      </c>
      <c r="AB164" s="229">
        <v>-7.3000000000000001E-3</v>
      </c>
      <c r="AC164" s="228">
        <v>-1.9</v>
      </c>
      <c r="AD164" s="228">
        <v>0.25</v>
      </c>
      <c r="AE164" s="228">
        <v>-2.15</v>
      </c>
      <c r="AF164" s="229">
        <v>-7.3000000000000001E-3</v>
      </c>
      <c r="AG164" s="228">
        <v>-0.3</v>
      </c>
      <c r="AH164" s="228">
        <v>-1.7</v>
      </c>
      <c r="AI164" s="228">
        <v>1.4</v>
      </c>
      <c r="AJ164" s="229">
        <v>-1.1999999999999999E-3</v>
      </c>
      <c r="AK164" s="228">
        <v>0.7</v>
      </c>
      <c r="AL164" s="228">
        <v>0.15</v>
      </c>
      <c r="AM164" s="228">
        <v>0.55000000000000004</v>
      </c>
      <c r="AN164" s="229">
        <v>2.7000000000000001E-3</v>
      </c>
      <c r="AO164" s="228">
        <v>256.70999999999998</v>
      </c>
      <c r="AP164" s="228">
        <v>258.02999999999997</v>
      </c>
      <c r="AQ164" s="228">
        <v>0</v>
      </c>
      <c r="AR164" s="230">
        <v>12914300</v>
      </c>
      <c r="AS164" s="230">
        <v>74510400</v>
      </c>
      <c r="AT164" s="230">
        <v>-61596100</v>
      </c>
      <c r="AU164" s="229">
        <v>-0.82669999999999999</v>
      </c>
      <c r="AV164" s="230">
        <v>12317700</v>
      </c>
      <c r="AW164" s="230">
        <v>32978300</v>
      </c>
      <c r="AX164" s="230">
        <v>-20660600</v>
      </c>
      <c r="AY164" s="229">
        <v>-0.62649999999999995</v>
      </c>
      <c r="AZ164" s="230">
        <v>558600</v>
      </c>
      <c r="BA164" s="230">
        <v>40908900</v>
      </c>
      <c r="BB164" s="230">
        <v>-40350300</v>
      </c>
      <c r="BC164" s="229">
        <v>-0.98629999999999995</v>
      </c>
      <c r="BD164" s="230">
        <v>38000</v>
      </c>
      <c r="BE164" s="230">
        <v>623200</v>
      </c>
      <c r="BF164" s="230">
        <v>-585200</v>
      </c>
      <c r="BG164" s="229">
        <v>-0.93899999999999995</v>
      </c>
      <c r="BH164" s="230">
        <v>24363700</v>
      </c>
      <c r="BI164" s="230">
        <v>20673900</v>
      </c>
      <c r="BJ164" s="230">
        <v>3689800</v>
      </c>
      <c r="BK164" s="229">
        <v>0.17849999999999999</v>
      </c>
      <c r="BL164" s="230">
        <v>9121900</v>
      </c>
      <c r="BM164" s="230">
        <v>20056400</v>
      </c>
      <c r="BN164" s="230">
        <v>-10934500</v>
      </c>
      <c r="BO164" s="229">
        <v>-0.54520000000000002</v>
      </c>
      <c r="BP164" s="230">
        <v>46399900</v>
      </c>
      <c r="BQ164" s="230">
        <v>115240700</v>
      </c>
      <c r="BR164" s="230">
        <v>-68840800</v>
      </c>
      <c r="BS164" s="229">
        <v>-0.59740000000000004</v>
      </c>
      <c r="BT164" s="230">
        <v>16744218</v>
      </c>
      <c r="BU164" s="230">
        <v>17759553</v>
      </c>
      <c r="BV164" s="230">
        <v>-1015335</v>
      </c>
      <c r="BW164" s="229">
        <v>-5.7200000000000001E-2</v>
      </c>
      <c r="BX164" s="230">
        <v>99064100</v>
      </c>
      <c r="BY164" s="230">
        <v>96550400</v>
      </c>
      <c r="BZ164" s="230">
        <v>2513700</v>
      </c>
      <c r="CA164" s="229">
        <v>2.5999999999999999E-2</v>
      </c>
      <c r="CB164" s="230">
        <v>96972200</v>
      </c>
      <c r="CC164" s="230">
        <v>8804600</v>
      </c>
      <c r="CD164" s="230">
        <v>88167600</v>
      </c>
      <c r="CE164" s="229">
        <v>10.0138</v>
      </c>
      <c r="CF164" s="230">
        <v>2055800</v>
      </c>
      <c r="CG164" s="230">
        <v>94583900</v>
      </c>
      <c r="CH164" s="230">
        <v>-92528100</v>
      </c>
      <c r="CI164" s="229">
        <v>-0.97829999999999995</v>
      </c>
      <c r="CJ164" s="230">
        <v>36100</v>
      </c>
      <c r="CK164" s="230">
        <v>1966500</v>
      </c>
      <c r="CL164" s="230">
        <v>-1930400</v>
      </c>
      <c r="CM164" s="229">
        <v>-0.98160000000000003</v>
      </c>
      <c r="CN164" s="230">
        <v>16283000</v>
      </c>
      <c r="CO164" s="230">
        <v>12310100</v>
      </c>
      <c r="CP164" s="230">
        <v>3972900</v>
      </c>
      <c r="CQ164" s="229">
        <v>0.32269999999999999</v>
      </c>
      <c r="CR164" s="230">
        <v>18061400</v>
      </c>
      <c r="CS164" s="230">
        <v>16322900</v>
      </c>
      <c r="CT164" s="230">
        <v>1738500</v>
      </c>
      <c r="CU164" s="229">
        <v>0.1065</v>
      </c>
      <c r="CV164" s="230">
        <v>133408500</v>
      </c>
      <c r="CW164" s="230">
        <v>125183400</v>
      </c>
      <c r="CX164" s="230">
        <v>8225100</v>
      </c>
      <c r="CY164" s="229">
        <v>6.5699999999999995E-2</v>
      </c>
      <c r="CZ164" s="228">
        <v>29.55</v>
      </c>
      <c r="DA164" s="228">
        <v>28.72</v>
      </c>
      <c r="DB164" s="228">
        <v>0.83</v>
      </c>
      <c r="DC164" s="228">
        <v>0.83</v>
      </c>
      <c r="DD164" s="228">
        <v>27.17</v>
      </c>
      <c r="DE164" s="228">
        <v>27.08</v>
      </c>
      <c r="DF164" s="228">
        <v>2.38</v>
      </c>
      <c r="DG164" s="228">
        <v>0.09</v>
      </c>
      <c r="DH164" s="228">
        <v>29.1</v>
      </c>
      <c r="DI164" s="228">
        <v>28.05</v>
      </c>
      <c r="DJ164" s="228">
        <v>1.05</v>
      </c>
      <c r="DK164" s="228">
        <v>1.05</v>
      </c>
      <c r="DL164" s="228">
        <v>30.76</v>
      </c>
      <c r="DM164" s="228">
        <v>29.41</v>
      </c>
      <c r="DN164" s="228">
        <v>1.35</v>
      </c>
      <c r="DO164" s="228">
        <v>1.35</v>
      </c>
      <c r="DP164" s="228">
        <v>1.1100000000000001</v>
      </c>
      <c r="DQ164" s="228">
        <v>1.33</v>
      </c>
      <c r="DR164" s="228">
        <v>-0.22</v>
      </c>
      <c r="DS164" s="229">
        <v>-0.16539999999999999</v>
      </c>
      <c r="DT164" s="228">
        <v>260</v>
      </c>
      <c r="DU164" s="228">
        <v>240</v>
      </c>
      <c r="DV164" s="228">
        <v>0.37</v>
      </c>
      <c r="DW164" s="228">
        <v>0.97</v>
      </c>
      <c r="DX164" s="228">
        <v>-0.6</v>
      </c>
      <c r="DY164" s="229">
        <v>-0.61860000000000004</v>
      </c>
      <c r="DZ164" s="229">
        <v>2.1100000000000001E-2</v>
      </c>
      <c r="EA164" s="230">
        <v>96550400</v>
      </c>
      <c r="EB164" s="229">
        <v>6.1999999999999998E-3</v>
      </c>
      <c r="EC164" s="229">
        <v>2.1100000000000001E-2</v>
      </c>
      <c r="ED164" s="228">
        <v>1.32</v>
      </c>
      <c r="EE164" s="229">
        <v>5.1000000000000004E-3</v>
      </c>
      <c r="EF164" s="230">
        <v>11648039</v>
      </c>
      <c r="EG164" s="230">
        <v>11320056</v>
      </c>
      <c r="EH164" s="229">
        <v>2.9000000000000001E-2</v>
      </c>
      <c r="EI164" s="229">
        <v>0.6956</v>
      </c>
      <c r="EJ164" s="231">
        <v>67008.88</v>
      </c>
      <c r="EK164" s="231">
        <v>22882.79</v>
      </c>
      <c r="EL164" s="231">
        <v>33161.08</v>
      </c>
      <c r="EM164" s="231">
        <v>29900</v>
      </c>
      <c r="EN164" s="231">
        <v>123052.75</v>
      </c>
      <c r="EO164" s="231">
        <v>295956.01</v>
      </c>
      <c r="EP164" s="231">
        <v>-172903.26</v>
      </c>
      <c r="EQ164" s="229">
        <v>-0.58420000000000005</v>
      </c>
      <c r="ER164" s="231">
        <v>44059</v>
      </c>
      <c r="ES164" s="231">
        <v>46401</v>
      </c>
      <c r="ET164" s="231">
        <v>255520</v>
      </c>
      <c r="EU164" s="231">
        <v>678857930</v>
      </c>
      <c r="EV164" s="231">
        <v>345980</v>
      </c>
      <c r="EW164" s="231">
        <v>319030</v>
      </c>
      <c r="EX164" s="231">
        <v>26950</v>
      </c>
      <c r="EY164" s="229">
        <v>8.4500000000000006E-2</v>
      </c>
      <c r="EZ164" s="229">
        <v>0.19650000000000001</v>
      </c>
      <c r="FA164" s="227" t="s">
        <v>555</v>
      </c>
      <c r="FB164" s="161">
        <f t="shared" si="4"/>
        <v>0</v>
      </c>
    </row>
    <row r="165" spans="1:158" ht="17.25" thickBot="1" x14ac:dyDescent="0.3">
      <c r="A165" s="226">
        <v>46050</v>
      </c>
      <c r="B165" s="227" t="s">
        <v>184</v>
      </c>
      <c r="C165" s="227" t="s">
        <v>686</v>
      </c>
      <c r="D165" s="228">
        <v>50</v>
      </c>
      <c r="E165" s="231">
        <v>17803</v>
      </c>
      <c r="F165" s="231">
        <v>16812</v>
      </c>
      <c r="G165" s="228">
        <v>991</v>
      </c>
      <c r="H165" s="229">
        <v>5.8900000000000001E-2</v>
      </c>
      <c r="I165" s="231">
        <v>17683</v>
      </c>
      <c r="J165" s="231">
        <v>16709</v>
      </c>
      <c r="K165" s="228">
        <v>974</v>
      </c>
      <c r="L165" s="229">
        <v>5.8299999999999998E-2</v>
      </c>
      <c r="M165" s="231">
        <v>17803</v>
      </c>
      <c r="N165" s="231">
        <v>16716</v>
      </c>
      <c r="O165" s="231">
        <v>1087</v>
      </c>
      <c r="P165" s="229">
        <v>6.5000000000000002E-2</v>
      </c>
      <c r="Q165" s="231">
        <v>17881</v>
      </c>
      <c r="R165" s="231">
        <v>16812</v>
      </c>
      <c r="S165" s="231">
        <v>1069</v>
      </c>
      <c r="T165" s="229">
        <v>6.3600000000000004E-2</v>
      </c>
      <c r="U165" s="231">
        <v>17753</v>
      </c>
      <c r="V165" s="231">
        <v>16967</v>
      </c>
      <c r="W165" s="228">
        <v>786</v>
      </c>
      <c r="X165" s="229">
        <v>4.6300000000000001E-2</v>
      </c>
      <c r="Y165" s="228">
        <v>120</v>
      </c>
      <c r="Z165" s="228">
        <v>103</v>
      </c>
      <c r="AA165" s="228">
        <v>17</v>
      </c>
      <c r="AB165" s="229">
        <v>6.7999999999999996E-3</v>
      </c>
      <c r="AC165" s="228">
        <v>120</v>
      </c>
      <c r="AD165" s="228">
        <v>7</v>
      </c>
      <c r="AE165" s="228">
        <v>113</v>
      </c>
      <c r="AF165" s="229">
        <v>6.7999999999999996E-3</v>
      </c>
      <c r="AG165" s="228">
        <v>198</v>
      </c>
      <c r="AH165" s="228">
        <v>103</v>
      </c>
      <c r="AI165" s="228">
        <v>95</v>
      </c>
      <c r="AJ165" s="229">
        <v>1.12E-2</v>
      </c>
      <c r="AK165" s="228">
        <v>70</v>
      </c>
      <c r="AL165" s="228">
        <v>258</v>
      </c>
      <c r="AM165" s="228">
        <v>-188</v>
      </c>
      <c r="AN165" s="229">
        <v>4.0000000000000001E-3</v>
      </c>
      <c r="AO165" s="231">
        <v>17501.11</v>
      </c>
      <c r="AP165" s="231">
        <v>17560</v>
      </c>
      <c r="AQ165" s="228">
        <v>0</v>
      </c>
      <c r="AR165" s="230">
        <v>128400</v>
      </c>
      <c r="AS165" s="230">
        <v>243750</v>
      </c>
      <c r="AT165" s="230">
        <v>-115350</v>
      </c>
      <c r="AU165" s="229">
        <v>-0.47320000000000001</v>
      </c>
      <c r="AV165" s="230">
        <v>122600</v>
      </c>
      <c r="AW165" s="230">
        <v>118150</v>
      </c>
      <c r="AX165" s="230">
        <v>4450</v>
      </c>
      <c r="AY165" s="229">
        <v>3.7699999999999997E-2</v>
      </c>
      <c r="AZ165" s="230">
        <v>5700</v>
      </c>
      <c r="BA165" s="230">
        <v>122650</v>
      </c>
      <c r="BB165" s="230">
        <v>-116950</v>
      </c>
      <c r="BC165" s="229">
        <v>-0.95350000000000001</v>
      </c>
      <c r="BD165" s="228">
        <v>100</v>
      </c>
      <c r="BE165" s="230">
        <v>2950</v>
      </c>
      <c r="BF165" s="230">
        <v>-2850</v>
      </c>
      <c r="BG165" s="229">
        <v>-0.96609999999999996</v>
      </c>
      <c r="BH165" s="230">
        <v>210150</v>
      </c>
      <c r="BI165" s="230">
        <v>212600</v>
      </c>
      <c r="BJ165" s="230">
        <v>-2450</v>
      </c>
      <c r="BK165" s="229">
        <v>-1.15E-2</v>
      </c>
      <c r="BL165" s="230">
        <v>55650</v>
      </c>
      <c r="BM165" s="230">
        <v>314850</v>
      </c>
      <c r="BN165" s="230">
        <v>-259200</v>
      </c>
      <c r="BO165" s="229">
        <v>-0.82320000000000004</v>
      </c>
      <c r="BP165" s="230">
        <v>394200</v>
      </c>
      <c r="BQ165" s="230">
        <v>771200</v>
      </c>
      <c r="BR165" s="230">
        <v>-377000</v>
      </c>
      <c r="BS165" s="229">
        <v>-0.48880000000000001</v>
      </c>
      <c r="BT165" s="230">
        <v>155069</v>
      </c>
      <c r="BU165" s="230">
        <v>103170</v>
      </c>
      <c r="BV165" s="230">
        <v>51899</v>
      </c>
      <c r="BW165" s="229">
        <v>0.503</v>
      </c>
      <c r="BX165" s="230">
        <v>295100</v>
      </c>
      <c r="BY165" s="230">
        <v>269600</v>
      </c>
      <c r="BZ165" s="230">
        <v>25500</v>
      </c>
      <c r="CA165" s="229">
        <v>9.4600000000000004E-2</v>
      </c>
      <c r="CB165" s="230">
        <v>288750</v>
      </c>
      <c r="CC165" s="230">
        <v>40050</v>
      </c>
      <c r="CD165" s="230">
        <v>248700</v>
      </c>
      <c r="CE165" s="229">
        <v>6.2096999999999998</v>
      </c>
      <c r="CF165" s="230">
        <v>6300</v>
      </c>
      <c r="CG165" s="230">
        <v>264050</v>
      </c>
      <c r="CH165" s="230">
        <v>-257750</v>
      </c>
      <c r="CI165" s="229">
        <v>-0.97609999999999997</v>
      </c>
      <c r="CJ165" s="228">
        <v>50</v>
      </c>
      <c r="CK165" s="230">
        <v>5550</v>
      </c>
      <c r="CL165" s="230">
        <v>-5500</v>
      </c>
      <c r="CM165" s="229">
        <v>-0.99099999999999999</v>
      </c>
      <c r="CN165" s="230">
        <v>60200</v>
      </c>
      <c r="CO165" s="230">
        <v>41150</v>
      </c>
      <c r="CP165" s="230">
        <v>19050</v>
      </c>
      <c r="CQ165" s="229">
        <v>0.46289999999999998</v>
      </c>
      <c r="CR165" s="230">
        <v>35400</v>
      </c>
      <c r="CS165" s="230">
        <v>26100</v>
      </c>
      <c r="CT165" s="230">
        <v>9300</v>
      </c>
      <c r="CU165" s="229">
        <v>0.35630000000000001</v>
      </c>
      <c r="CV165" s="230">
        <v>390700</v>
      </c>
      <c r="CW165" s="230">
        <v>336850</v>
      </c>
      <c r="CX165" s="230">
        <v>53850</v>
      </c>
      <c r="CY165" s="229">
        <v>0.15989999999999999</v>
      </c>
      <c r="CZ165" s="228">
        <v>44.33</v>
      </c>
      <c r="DA165" s="228">
        <v>47.23</v>
      </c>
      <c r="DB165" s="228">
        <v>-2.9</v>
      </c>
      <c r="DC165" s="228">
        <v>-2.9</v>
      </c>
      <c r="DD165" s="228">
        <v>57.47</v>
      </c>
      <c r="DE165" s="228">
        <v>57.1</v>
      </c>
      <c r="DF165" s="228">
        <v>-13.14</v>
      </c>
      <c r="DG165" s="228">
        <v>0.37</v>
      </c>
      <c r="DH165" s="228">
        <v>43.81</v>
      </c>
      <c r="DI165" s="228">
        <v>47.25</v>
      </c>
      <c r="DJ165" s="228">
        <v>-3.44</v>
      </c>
      <c r="DK165" s="228">
        <v>-3.44</v>
      </c>
      <c r="DL165" s="228">
        <v>46.29</v>
      </c>
      <c r="DM165" s="228">
        <v>47.21</v>
      </c>
      <c r="DN165" s="228">
        <v>-0.92</v>
      </c>
      <c r="DO165" s="228">
        <v>-0.92</v>
      </c>
      <c r="DP165" s="228">
        <v>0.59</v>
      </c>
      <c r="DQ165" s="228">
        <v>0.63</v>
      </c>
      <c r="DR165" s="228">
        <v>-0.04</v>
      </c>
      <c r="DS165" s="229">
        <v>-6.3500000000000001E-2</v>
      </c>
      <c r="DT165" s="231">
        <v>18000</v>
      </c>
      <c r="DU165" s="231">
        <v>16000</v>
      </c>
      <c r="DV165" s="228">
        <v>0.26</v>
      </c>
      <c r="DW165" s="228">
        <v>1.48</v>
      </c>
      <c r="DX165" s="228">
        <v>-1.22</v>
      </c>
      <c r="DY165" s="229">
        <v>-0.82430000000000003</v>
      </c>
      <c r="DZ165" s="229">
        <v>2.1499999999999998E-2</v>
      </c>
      <c r="EA165" s="230">
        <v>269600</v>
      </c>
      <c r="EB165" s="229">
        <v>4.4000000000000003E-3</v>
      </c>
      <c r="EC165" s="229">
        <v>2.1499999999999998E-2</v>
      </c>
      <c r="ED165" s="228">
        <v>58.89</v>
      </c>
      <c r="EE165" s="229">
        <v>3.3999999999999998E-3</v>
      </c>
      <c r="EF165" s="230">
        <v>62643</v>
      </c>
      <c r="EG165" s="230">
        <v>32006</v>
      </c>
      <c r="EH165" s="229">
        <v>0.95720000000000005</v>
      </c>
      <c r="EI165" s="229">
        <v>0.40400000000000003</v>
      </c>
      <c r="EJ165" s="231">
        <v>40080.43</v>
      </c>
      <c r="EK165" s="231">
        <v>9476.89</v>
      </c>
      <c r="EL165" s="231">
        <v>22474.89</v>
      </c>
      <c r="EM165" s="231">
        <v>5597</v>
      </c>
      <c r="EN165" s="231">
        <v>72032.210000000006</v>
      </c>
      <c r="EO165" s="231">
        <v>128043.71</v>
      </c>
      <c r="EP165" s="231">
        <v>-56011.5</v>
      </c>
      <c r="EQ165" s="229">
        <v>-0.43740000000000001</v>
      </c>
      <c r="ER165" s="231">
        <v>11127</v>
      </c>
      <c r="ES165" s="231">
        <v>5860</v>
      </c>
      <c r="ET165" s="231">
        <v>52542</v>
      </c>
      <c r="EU165" s="231">
        <v>1917916</v>
      </c>
      <c r="EV165" s="231">
        <v>69528</v>
      </c>
      <c r="EW165" s="231">
        <v>57171</v>
      </c>
      <c r="EX165" s="231">
        <v>12357</v>
      </c>
      <c r="EY165" s="229">
        <v>0.21609999999999999</v>
      </c>
      <c r="EZ165" s="229">
        <v>0.20369999999999999</v>
      </c>
      <c r="FA165" s="227" t="s">
        <v>555</v>
      </c>
      <c r="FB165" s="161">
        <f t="shared" si="4"/>
        <v>0</v>
      </c>
    </row>
    <row r="166" spans="1:158" ht="17.25" thickBot="1" x14ac:dyDescent="0.3">
      <c r="A166" s="226">
        <v>46050</v>
      </c>
      <c r="B166" s="227" t="s">
        <v>170</v>
      </c>
      <c r="C166" s="227" t="s">
        <v>677</v>
      </c>
      <c r="D166" s="228">
        <v>2625</v>
      </c>
      <c r="E166" s="228">
        <v>154.24</v>
      </c>
      <c r="F166" s="228">
        <v>152.69999999999999</v>
      </c>
      <c r="G166" s="228">
        <v>1.54</v>
      </c>
      <c r="H166" s="229">
        <v>1.01E-2</v>
      </c>
      <c r="I166" s="228">
        <v>153.96</v>
      </c>
      <c r="J166" s="228">
        <v>152.44999999999999</v>
      </c>
      <c r="K166" s="228">
        <v>1.51</v>
      </c>
      <c r="L166" s="229">
        <v>9.9000000000000008E-3</v>
      </c>
      <c r="M166" s="228">
        <v>154.24</v>
      </c>
      <c r="N166" s="228">
        <v>151.87</v>
      </c>
      <c r="O166" s="228">
        <v>2.37</v>
      </c>
      <c r="P166" s="229">
        <v>1.5599999999999999E-2</v>
      </c>
      <c r="Q166" s="228">
        <v>155.02000000000001</v>
      </c>
      <c r="R166" s="228">
        <v>152.69999999999999</v>
      </c>
      <c r="S166" s="228">
        <v>2.3199999999999998</v>
      </c>
      <c r="T166" s="229">
        <v>1.52E-2</v>
      </c>
      <c r="U166" s="228">
        <v>152.97999999999999</v>
      </c>
      <c r="V166" s="228">
        <v>153.52000000000001</v>
      </c>
      <c r="W166" s="228">
        <v>-0.54</v>
      </c>
      <c r="X166" s="229">
        <v>-3.5000000000000001E-3</v>
      </c>
      <c r="Y166" s="228">
        <v>0.28000000000000003</v>
      </c>
      <c r="Z166" s="228">
        <v>0.25</v>
      </c>
      <c r="AA166" s="228">
        <v>0.03</v>
      </c>
      <c r="AB166" s="229">
        <v>1.8E-3</v>
      </c>
      <c r="AC166" s="228">
        <v>0.28000000000000003</v>
      </c>
      <c r="AD166" s="228">
        <v>-0.57999999999999996</v>
      </c>
      <c r="AE166" s="228">
        <v>0.86</v>
      </c>
      <c r="AF166" s="229">
        <v>1.8E-3</v>
      </c>
      <c r="AG166" s="228">
        <v>1.06</v>
      </c>
      <c r="AH166" s="228">
        <v>0.25</v>
      </c>
      <c r="AI166" s="228">
        <v>0.81</v>
      </c>
      <c r="AJ166" s="229">
        <v>6.8999999999999999E-3</v>
      </c>
      <c r="AK166" s="228">
        <v>-0.98</v>
      </c>
      <c r="AL166" s="228">
        <v>1.07</v>
      </c>
      <c r="AM166" s="228">
        <v>-2.0499999999999998</v>
      </c>
      <c r="AN166" s="229">
        <v>-6.4000000000000003E-3</v>
      </c>
      <c r="AO166" s="228">
        <v>153.30000000000001</v>
      </c>
      <c r="AP166" s="228">
        <v>153.65</v>
      </c>
      <c r="AQ166" s="228">
        <v>0</v>
      </c>
      <c r="AR166" s="230">
        <v>9048375</v>
      </c>
      <c r="AS166" s="230">
        <v>24525375</v>
      </c>
      <c r="AT166" s="230">
        <v>-15477000</v>
      </c>
      <c r="AU166" s="229">
        <v>-0.63109999999999999</v>
      </c>
      <c r="AV166" s="230">
        <v>8263500</v>
      </c>
      <c r="AW166" s="230">
        <v>11518500</v>
      </c>
      <c r="AX166" s="230">
        <v>-3255000</v>
      </c>
      <c r="AY166" s="229">
        <v>-0.28260000000000002</v>
      </c>
      <c r="AZ166" s="230">
        <v>777000</v>
      </c>
      <c r="BA166" s="230">
        <v>12390000</v>
      </c>
      <c r="BB166" s="230">
        <v>-11613000</v>
      </c>
      <c r="BC166" s="229">
        <v>-0.93730000000000002</v>
      </c>
      <c r="BD166" s="230">
        <v>7875</v>
      </c>
      <c r="BE166" s="230">
        <v>616875</v>
      </c>
      <c r="BF166" s="230">
        <v>-609000</v>
      </c>
      <c r="BG166" s="229">
        <v>-0.98719999999999997</v>
      </c>
      <c r="BH166" s="230">
        <v>12542250</v>
      </c>
      <c r="BI166" s="230">
        <v>6720000</v>
      </c>
      <c r="BJ166" s="230">
        <v>5822250</v>
      </c>
      <c r="BK166" s="229">
        <v>0.86639999999999995</v>
      </c>
      <c r="BL166" s="230">
        <v>9636375</v>
      </c>
      <c r="BM166" s="230">
        <v>5796000</v>
      </c>
      <c r="BN166" s="230">
        <v>3840375</v>
      </c>
      <c r="BO166" s="229">
        <v>0.66259999999999997</v>
      </c>
      <c r="BP166" s="230">
        <v>31227000</v>
      </c>
      <c r="BQ166" s="230">
        <v>37041375</v>
      </c>
      <c r="BR166" s="230">
        <v>-5814375</v>
      </c>
      <c r="BS166" s="229">
        <v>-0.157</v>
      </c>
      <c r="BT166" s="230">
        <v>3649953</v>
      </c>
      <c r="BU166" s="230">
        <v>4778957</v>
      </c>
      <c r="BV166" s="230">
        <v>-1129004</v>
      </c>
      <c r="BW166" s="229">
        <v>-0.23619999999999999</v>
      </c>
      <c r="BX166" s="230">
        <v>23294250</v>
      </c>
      <c r="BY166" s="230">
        <v>22383375</v>
      </c>
      <c r="BZ166" s="230">
        <v>910875</v>
      </c>
      <c r="CA166" s="229">
        <v>4.07E-2</v>
      </c>
      <c r="CB166" s="230">
        <v>21819000</v>
      </c>
      <c r="CC166" s="230">
        <v>1401750</v>
      </c>
      <c r="CD166" s="230">
        <v>20417250</v>
      </c>
      <c r="CE166" s="229">
        <v>14.5655</v>
      </c>
      <c r="CF166" s="230">
        <v>1467375</v>
      </c>
      <c r="CG166" s="230">
        <v>21031500</v>
      </c>
      <c r="CH166" s="230">
        <v>-19564125</v>
      </c>
      <c r="CI166" s="229">
        <v>-0.93020000000000003</v>
      </c>
      <c r="CJ166" s="230">
        <v>7875</v>
      </c>
      <c r="CK166" s="230">
        <v>1351875</v>
      </c>
      <c r="CL166" s="230">
        <v>-1344000</v>
      </c>
      <c r="CM166" s="229">
        <v>-0.99419999999999997</v>
      </c>
      <c r="CN166" s="230">
        <v>6533625</v>
      </c>
      <c r="CO166" s="230">
        <v>2522625</v>
      </c>
      <c r="CP166" s="230">
        <v>4011000</v>
      </c>
      <c r="CQ166" s="229">
        <v>1.59</v>
      </c>
      <c r="CR166" s="230">
        <v>7021875</v>
      </c>
      <c r="CS166" s="230">
        <v>3003000</v>
      </c>
      <c r="CT166" s="230">
        <v>4018875</v>
      </c>
      <c r="CU166" s="229">
        <v>1.3383</v>
      </c>
      <c r="CV166" s="230">
        <v>36849750</v>
      </c>
      <c r="CW166" s="230">
        <v>27909000</v>
      </c>
      <c r="CX166" s="230">
        <v>8940750</v>
      </c>
      <c r="CY166" s="229">
        <v>0.32040000000000002</v>
      </c>
      <c r="CZ166" s="228">
        <v>42.59</v>
      </c>
      <c r="DA166" s="228">
        <v>43.4</v>
      </c>
      <c r="DB166" s="228">
        <v>-0.81</v>
      </c>
      <c r="DC166" s="228">
        <v>-0.81</v>
      </c>
      <c r="DD166" s="228">
        <v>43.26</v>
      </c>
      <c r="DE166" s="228">
        <v>43.35</v>
      </c>
      <c r="DF166" s="228">
        <v>-0.67</v>
      </c>
      <c r="DG166" s="228">
        <v>-0.09</v>
      </c>
      <c r="DH166" s="228">
        <v>42.88</v>
      </c>
      <c r="DI166" s="228">
        <v>44.34</v>
      </c>
      <c r="DJ166" s="228">
        <v>-1.46</v>
      </c>
      <c r="DK166" s="228">
        <v>-1.46</v>
      </c>
      <c r="DL166" s="228">
        <v>42.22</v>
      </c>
      <c r="DM166" s="228">
        <v>42.13</v>
      </c>
      <c r="DN166" s="228">
        <v>0.09</v>
      </c>
      <c r="DO166" s="228">
        <v>0.09</v>
      </c>
      <c r="DP166" s="228">
        <v>1.07</v>
      </c>
      <c r="DQ166" s="228">
        <v>1.19</v>
      </c>
      <c r="DR166" s="228">
        <v>-0.12</v>
      </c>
      <c r="DS166" s="229">
        <v>-0.1008</v>
      </c>
      <c r="DT166" s="228">
        <v>160</v>
      </c>
      <c r="DU166" s="228">
        <v>155</v>
      </c>
      <c r="DV166" s="228">
        <v>0.77</v>
      </c>
      <c r="DW166" s="228">
        <v>0.86</v>
      </c>
      <c r="DX166" s="228">
        <v>-0.09</v>
      </c>
      <c r="DY166" s="229">
        <v>-0.1047</v>
      </c>
      <c r="DZ166" s="229">
        <v>6.3299999999999995E-2</v>
      </c>
      <c r="EA166" s="230">
        <v>22383375</v>
      </c>
      <c r="EB166" s="229">
        <v>5.1000000000000004E-3</v>
      </c>
      <c r="EC166" s="229">
        <v>6.3299999999999995E-2</v>
      </c>
      <c r="ED166" s="228">
        <v>0.35</v>
      </c>
      <c r="EE166" s="229">
        <v>2.3E-3</v>
      </c>
      <c r="EF166" s="230">
        <v>1257519</v>
      </c>
      <c r="EG166" s="230">
        <v>2151828</v>
      </c>
      <c r="EH166" s="229">
        <v>-0.41560000000000002</v>
      </c>
      <c r="EI166" s="229">
        <v>0.34449999999999997</v>
      </c>
      <c r="EJ166" s="231">
        <v>20867.689999999999</v>
      </c>
      <c r="EK166" s="231">
        <v>14675.42</v>
      </c>
      <c r="EL166" s="231">
        <v>13873.85</v>
      </c>
      <c r="EM166" s="231">
        <v>8682</v>
      </c>
      <c r="EN166" s="231">
        <v>49416.959999999999</v>
      </c>
      <c r="EO166" s="231">
        <v>58332.79</v>
      </c>
      <c r="EP166" s="231">
        <v>-8915.83</v>
      </c>
      <c r="EQ166" s="229">
        <v>-0.15279999999999999</v>
      </c>
      <c r="ER166" s="231">
        <v>10648</v>
      </c>
      <c r="ES166" s="231">
        <v>10776</v>
      </c>
      <c r="ET166" s="231">
        <v>35940</v>
      </c>
      <c r="EU166" s="231">
        <v>107697729</v>
      </c>
      <c r="EV166" s="231">
        <v>57364</v>
      </c>
      <c r="EW166" s="231">
        <v>43198</v>
      </c>
      <c r="EX166" s="231">
        <v>14166</v>
      </c>
      <c r="EY166" s="229">
        <v>0.32790000000000002</v>
      </c>
      <c r="EZ166" s="229">
        <v>0.3422</v>
      </c>
      <c r="FA166" s="227" t="s">
        <v>555</v>
      </c>
      <c r="FB166" s="161">
        <f t="shared" si="4"/>
        <v>0</v>
      </c>
    </row>
    <row r="167" spans="1:158" ht="17.25" thickBot="1" x14ac:dyDescent="0.3">
      <c r="A167" s="226">
        <v>46050</v>
      </c>
      <c r="B167" s="227" t="s">
        <v>184</v>
      </c>
      <c r="C167" s="227" t="s">
        <v>689</v>
      </c>
      <c r="D167" s="228">
        <v>575</v>
      </c>
      <c r="E167" s="228">
        <v>719.2</v>
      </c>
      <c r="F167" s="228">
        <v>710.7</v>
      </c>
      <c r="G167" s="228">
        <v>8.5</v>
      </c>
      <c r="H167" s="229">
        <v>1.2E-2</v>
      </c>
      <c r="I167" s="228">
        <v>715.05</v>
      </c>
      <c r="J167" s="228">
        <v>707.6</v>
      </c>
      <c r="K167" s="228">
        <v>7.45</v>
      </c>
      <c r="L167" s="229">
        <v>1.0500000000000001E-2</v>
      </c>
      <c r="M167" s="228">
        <v>719.2</v>
      </c>
      <c r="N167" s="228">
        <v>706.8</v>
      </c>
      <c r="O167" s="228">
        <v>12.4</v>
      </c>
      <c r="P167" s="229">
        <v>1.7500000000000002E-2</v>
      </c>
      <c r="Q167" s="228">
        <v>720.15</v>
      </c>
      <c r="R167" s="228">
        <v>710.7</v>
      </c>
      <c r="S167" s="228">
        <v>9.4499999999999993</v>
      </c>
      <c r="T167" s="229">
        <v>1.3299999999999999E-2</v>
      </c>
      <c r="U167" s="228">
        <v>710</v>
      </c>
      <c r="V167" s="228">
        <v>711.85</v>
      </c>
      <c r="W167" s="228">
        <v>-1.85</v>
      </c>
      <c r="X167" s="229">
        <v>-2.5999999999999999E-3</v>
      </c>
      <c r="Y167" s="228">
        <v>4.1500000000000004</v>
      </c>
      <c r="Z167" s="228">
        <v>3.1</v>
      </c>
      <c r="AA167" s="228">
        <v>1.05</v>
      </c>
      <c r="AB167" s="229">
        <v>5.7999999999999996E-3</v>
      </c>
      <c r="AC167" s="228">
        <v>4.1500000000000004</v>
      </c>
      <c r="AD167" s="228">
        <v>-0.8</v>
      </c>
      <c r="AE167" s="228">
        <v>4.95</v>
      </c>
      <c r="AF167" s="229">
        <v>5.7999999999999996E-3</v>
      </c>
      <c r="AG167" s="228">
        <v>5.0999999999999996</v>
      </c>
      <c r="AH167" s="228">
        <v>3.1</v>
      </c>
      <c r="AI167" s="228">
        <v>2</v>
      </c>
      <c r="AJ167" s="229">
        <v>7.1000000000000004E-3</v>
      </c>
      <c r="AK167" s="228">
        <v>-5.05</v>
      </c>
      <c r="AL167" s="228">
        <v>4.25</v>
      </c>
      <c r="AM167" s="228">
        <v>-9.3000000000000007</v>
      </c>
      <c r="AN167" s="229">
        <v>-7.1000000000000004E-3</v>
      </c>
      <c r="AO167" s="228">
        <v>712.28</v>
      </c>
      <c r="AP167" s="228">
        <v>712.11</v>
      </c>
      <c r="AQ167" s="228">
        <v>0</v>
      </c>
      <c r="AR167" s="230">
        <v>1733050</v>
      </c>
      <c r="AS167" s="230">
        <v>6765450</v>
      </c>
      <c r="AT167" s="230">
        <v>-5032400</v>
      </c>
      <c r="AU167" s="229">
        <v>-0.74380000000000002</v>
      </c>
      <c r="AV167" s="230">
        <v>1669225</v>
      </c>
      <c r="AW167" s="230">
        <v>2734700</v>
      </c>
      <c r="AX167" s="230">
        <v>-1065475</v>
      </c>
      <c r="AY167" s="229">
        <v>-0.3896</v>
      </c>
      <c r="AZ167" s="230">
        <v>60950</v>
      </c>
      <c r="BA167" s="230">
        <v>3981875</v>
      </c>
      <c r="BB167" s="230">
        <v>-3920925</v>
      </c>
      <c r="BC167" s="229">
        <v>-0.98470000000000002</v>
      </c>
      <c r="BD167" s="230">
        <v>2875</v>
      </c>
      <c r="BE167" s="230">
        <v>48875</v>
      </c>
      <c r="BF167" s="230">
        <v>-46000</v>
      </c>
      <c r="BG167" s="229">
        <v>-0.94120000000000004</v>
      </c>
      <c r="BH167" s="230">
        <v>1357575</v>
      </c>
      <c r="BI167" s="230">
        <v>9507050</v>
      </c>
      <c r="BJ167" s="230">
        <v>-8149475</v>
      </c>
      <c r="BK167" s="229">
        <v>-0.85719999999999996</v>
      </c>
      <c r="BL167" s="230">
        <v>465750</v>
      </c>
      <c r="BM167" s="230">
        <v>3571900</v>
      </c>
      <c r="BN167" s="230">
        <v>-3106150</v>
      </c>
      <c r="BO167" s="229">
        <v>-0.86960000000000004</v>
      </c>
      <c r="BP167" s="230">
        <v>3556375</v>
      </c>
      <c r="BQ167" s="230">
        <v>19844400</v>
      </c>
      <c r="BR167" s="230">
        <v>-16288025</v>
      </c>
      <c r="BS167" s="229">
        <v>-0.82079999999999997</v>
      </c>
      <c r="BT167" s="230">
        <v>1492524</v>
      </c>
      <c r="BU167" s="230">
        <v>4371219</v>
      </c>
      <c r="BV167" s="230">
        <v>-2878695</v>
      </c>
      <c r="BW167" s="229">
        <v>-0.65859999999999996</v>
      </c>
      <c r="BX167" s="230">
        <v>5445250</v>
      </c>
      <c r="BY167" s="230">
        <v>5464225</v>
      </c>
      <c r="BZ167" s="230">
        <v>-18975</v>
      </c>
      <c r="CA167" s="229">
        <v>-3.5000000000000001E-3</v>
      </c>
      <c r="CB167" s="230">
        <v>5250325</v>
      </c>
      <c r="CC167" s="230">
        <v>232875</v>
      </c>
      <c r="CD167" s="230">
        <v>5017450</v>
      </c>
      <c r="CE167" s="229">
        <v>21.5457</v>
      </c>
      <c r="CF167" s="230">
        <v>192050</v>
      </c>
      <c r="CG167" s="230">
        <v>5285975</v>
      </c>
      <c r="CH167" s="230">
        <v>-5093925</v>
      </c>
      <c r="CI167" s="229">
        <v>-0.9637</v>
      </c>
      <c r="CJ167" s="230">
        <v>2875</v>
      </c>
      <c r="CK167" s="230">
        <v>178250</v>
      </c>
      <c r="CL167" s="230">
        <v>-175375</v>
      </c>
      <c r="CM167" s="229">
        <v>-0.9839</v>
      </c>
      <c r="CN167" s="230">
        <v>1293750</v>
      </c>
      <c r="CO167" s="230">
        <v>1227050</v>
      </c>
      <c r="CP167" s="230">
        <v>66700</v>
      </c>
      <c r="CQ167" s="229">
        <v>5.4399999999999997E-2</v>
      </c>
      <c r="CR167" s="230">
        <v>775675</v>
      </c>
      <c r="CS167" s="230">
        <v>696325</v>
      </c>
      <c r="CT167" s="230">
        <v>79350</v>
      </c>
      <c r="CU167" s="229">
        <v>0.114</v>
      </c>
      <c r="CV167" s="230">
        <v>7514675</v>
      </c>
      <c r="CW167" s="230">
        <v>7387600</v>
      </c>
      <c r="CX167" s="230">
        <v>127075</v>
      </c>
      <c r="CY167" s="229">
        <v>1.72E-2</v>
      </c>
      <c r="CZ167" s="228">
        <v>45.19</v>
      </c>
      <c r="DA167" s="228">
        <v>46.07</v>
      </c>
      <c r="DB167" s="228">
        <v>-0.88</v>
      </c>
      <c r="DC167" s="228">
        <v>-0.88</v>
      </c>
      <c r="DD167" s="228">
        <v>47.25</v>
      </c>
      <c r="DE167" s="228">
        <v>47.34</v>
      </c>
      <c r="DF167" s="228">
        <v>-2.06</v>
      </c>
      <c r="DG167" s="228">
        <v>-0.09</v>
      </c>
      <c r="DH167" s="228">
        <v>44.43</v>
      </c>
      <c r="DI167" s="228">
        <v>45.92</v>
      </c>
      <c r="DJ167" s="228">
        <v>-1.49</v>
      </c>
      <c r="DK167" s="228">
        <v>-1.49</v>
      </c>
      <c r="DL167" s="228">
        <v>47.38</v>
      </c>
      <c r="DM167" s="228">
        <v>46.42</v>
      </c>
      <c r="DN167" s="228">
        <v>0.96</v>
      </c>
      <c r="DO167" s="228">
        <v>0.96</v>
      </c>
      <c r="DP167" s="228">
        <v>0.6</v>
      </c>
      <c r="DQ167" s="228">
        <v>0.56999999999999995</v>
      </c>
      <c r="DR167" s="228">
        <v>0.03</v>
      </c>
      <c r="DS167" s="229">
        <v>5.2600000000000001E-2</v>
      </c>
      <c r="DT167" s="228">
        <v>750</v>
      </c>
      <c r="DU167" s="228">
        <v>700</v>
      </c>
      <c r="DV167" s="228">
        <v>0.34</v>
      </c>
      <c r="DW167" s="228">
        <v>0.38</v>
      </c>
      <c r="DX167" s="228">
        <v>-0.04</v>
      </c>
      <c r="DY167" s="229">
        <v>-0.1053</v>
      </c>
      <c r="DZ167" s="229">
        <v>3.5799999999999998E-2</v>
      </c>
      <c r="EA167" s="230">
        <v>5464225</v>
      </c>
      <c r="EB167" s="229">
        <v>1.2999999999999999E-3</v>
      </c>
      <c r="EC167" s="229">
        <v>3.5799999999999998E-2</v>
      </c>
      <c r="ED167" s="228">
        <v>-0.17</v>
      </c>
      <c r="EE167" s="229">
        <v>-2.0000000000000001E-4</v>
      </c>
      <c r="EF167" s="230">
        <v>565933</v>
      </c>
      <c r="EG167" s="230">
        <v>1063815</v>
      </c>
      <c r="EH167" s="229">
        <v>-0.46800000000000003</v>
      </c>
      <c r="EI167" s="229">
        <v>0.37919999999999998</v>
      </c>
      <c r="EJ167" s="231">
        <v>10510.16</v>
      </c>
      <c r="EK167" s="231">
        <v>3265.08</v>
      </c>
      <c r="EL167" s="231">
        <v>12344.01</v>
      </c>
      <c r="EM167" s="231">
        <v>13465</v>
      </c>
      <c r="EN167" s="231">
        <v>26119.25</v>
      </c>
      <c r="EO167" s="231">
        <v>145008.41</v>
      </c>
      <c r="EP167" s="231">
        <v>-118889.16</v>
      </c>
      <c r="EQ167" s="229">
        <v>-0.81989999999999996</v>
      </c>
      <c r="ER167" s="231">
        <v>9853</v>
      </c>
      <c r="ES167" s="231">
        <v>5387</v>
      </c>
      <c r="ET167" s="231">
        <v>39164</v>
      </c>
      <c r="EU167" s="231">
        <v>23923093</v>
      </c>
      <c r="EV167" s="231">
        <v>54403</v>
      </c>
      <c r="EW167" s="231">
        <v>53026</v>
      </c>
      <c r="EX167" s="231">
        <v>1377</v>
      </c>
      <c r="EY167" s="229">
        <v>2.5999999999999999E-2</v>
      </c>
      <c r="EZ167" s="229">
        <v>0.31409999999999999</v>
      </c>
      <c r="FA167" s="227" t="s">
        <v>556</v>
      </c>
      <c r="FB167" s="161">
        <f t="shared" si="4"/>
        <v>0</v>
      </c>
    </row>
    <row r="168" spans="1:158" ht="17.25" thickBot="1" x14ac:dyDescent="0.3">
      <c r="A168" s="226">
        <v>46050</v>
      </c>
      <c r="B168" s="227" t="s">
        <v>206</v>
      </c>
      <c r="C168" s="227" t="s">
        <v>605</v>
      </c>
      <c r="D168" s="228">
        <v>450</v>
      </c>
      <c r="E168" s="231">
        <v>1430.4</v>
      </c>
      <c r="F168" s="231">
        <v>1400</v>
      </c>
      <c r="G168" s="228">
        <v>30.4</v>
      </c>
      <c r="H168" s="229">
        <v>2.1700000000000001E-2</v>
      </c>
      <c r="I168" s="231">
        <v>1422</v>
      </c>
      <c r="J168" s="231">
        <v>1392</v>
      </c>
      <c r="K168" s="228">
        <v>30</v>
      </c>
      <c r="L168" s="229">
        <v>2.1600000000000001E-2</v>
      </c>
      <c r="M168" s="231">
        <v>1430.4</v>
      </c>
      <c r="N168" s="231">
        <v>1392.2</v>
      </c>
      <c r="O168" s="228">
        <v>38.200000000000003</v>
      </c>
      <c r="P168" s="229">
        <v>2.7400000000000001E-2</v>
      </c>
      <c r="Q168" s="231">
        <v>1442</v>
      </c>
      <c r="R168" s="231">
        <v>1400</v>
      </c>
      <c r="S168" s="228">
        <v>42</v>
      </c>
      <c r="T168" s="229">
        <v>0.03</v>
      </c>
      <c r="U168" s="231">
        <v>1457.4</v>
      </c>
      <c r="V168" s="231">
        <v>1409.1</v>
      </c>
      <c r="W168" s="228">
        <v>48.3</v>
      </c>
      <c r="X168" s="229">
        <v>3.4299999999999997E-2</v>
      </c>
      <c r="Y168" s="228">
        <v>8.4</v>
      </c>
      <c r="Z168" s="228">
        <v>8</v>
      </c>
      <c r="AA168" s="228">
        <v>0.4</v>
      </c>
      <c r="AB168" s="229">
        <v>5.8999999999999999E-3</v>
      </c>
      <c r="AC168" s="228">
        <v>8.4</v>
      </c>
      <c r="AD168" s="228">
        <v>0.2</v>
      </c>
      <c r="AE168" s="228">
        <v>8.1999999999999993</v>
      </c>
      <c r="AF168" s="229">
        <v>5.8999999999999999E-3</v>
      </c>
      <c r="AG168" s="228">
        <v>20</v>
      </c>
      <c r="AH168" s="228">
        <v>8</v>
      </c>
      <c r="AI168" s="228">
        <v>12</v>
      </c>
      <c r="AJ168" s="229">
        <v>1.41E-2</v>
      </c>
      <c r="AK168" s="228">
        <v>35.4</v>
      </c>
      <c r="AL168" s="228">
        <v>17.100000000000001</v>
      </c>
      <c r="AM168" s="228">
        <v>18.3</v>
      </c>
      <c r="AN168" s="229">
        <v>2.4899999999999999E-2</v>
      </c>
      <c r="AO168" s="231">
        <v>1427.85</v>
      </c>
      <c r="AP168" s="231">
        <v>1437.82</v>
      </c>
      <c r="AQ168" s="228">
        <v>0</v>
      </c>
      <c r="AR168" s="230">
        <v>1069650</v>
      </c>
      <c r="AS168" s="230">
        <v>3547350</v>
      </c>
      <c r="AT168" s="230">
        <v>-2477700</v>
      </c>
      <c r="AU168" s="229">
        <v>-0.69850000000000001</v>
      </c>
      <c r="AV168" s="230">
        <v>1046250</v>
      </c>
      <c r="AW168" s="230">
        <v>1429200</v>
      </c>
      <c r="AX168" s="230">
        <v>-382950</v>
      </c>
      <c r="AY168" s="229">
        <v>-0.26790000000000003</v>
      </c>
      <c r="AZ168" s="230">
        <v>22950</v>
      </c>
      <c r="BA168" s="230">
        <v>2106450</v>
      </c>
      <c r="BB168" s="230">
        <v>-2083500</v>
      </c>
      <c r="BC168" s="229">
        <v>-0.98909999999999998</v>
      </c>
      <c r="BD168" s="228">
        <v>450</v>
      </c>
      <c r="BE168" s="230">
        <v>11700</v>
      </c>
      <c r="BF168" s="230">
        <v>-11250</v>
      </c>
      <c r="BG168" s="229">
        <v>-0.96150000000000002</v>
      </c>
      <c r="BH168" s="230">
        <v>896400</v>
      </c>
      <c r="BI168" s="230">
        <v>1859400</v>
      </c>
      <c r="BJ168" s="230">
        <v>-963000</v>
      </c>
      <c r="BK168" s="229">
        <v>-0.51790000000000003</v>
      </c>
      <c r="BL168" s="230">
        <v>440100</v>
      </c>
      <c r="BM168" s="230">
        <v>2459700</v>
      </c>
      <c r="BN168" s="230">
        <v>-2019600</v>
      </c>
      <c r="BO168" s="229">
        <v>-0.82110000000000005</v>
      </c>
      <c r="BP168" s="230">
        <v>2406150</v>
      </c>
      <c r="BQ168" s="230">
        <v>7866450</v>
      </c>
      <c r="BR168" s="230">
        <v>-5460300</v>
      </c>
      <c r="BS168" s="229">
        <v>-0.69410000000000005</v>
      </c>
      <c r="BT168" s="230">
        <v>779888</v>
      </c>
      <c r="BU168" s="230">
        <v>2087378</v>
      </c>
      <c r="BV168" s="230">
        <v>-1307490</v>
      </c>
      <c r="BW168" s="229">
        <v>-0.62639999999999996</v>
      </c>
      <c r="BX168" s="230">
        <v>4170150</v>
      </c>
      <c r="BY168" s="230">
        <v>4220100</v>
      </c>
      <c r="BZ168" s="230">
        <v>-49950</v>
      </c>
      <c r="CA168" s="229">
        <v>-1.18E-2</v>
      </c>
      <c r="CB168" s="230">
        <v>4129650</v>
      </c>
      <c r="CC168" s="230">
        <v>155700</v>
      </c>
      <c r="CD168" s="230">
        <v>3973950</v>
      </c>
      <c r="CE168" s="229">
        <v>25.523099999999999</v>
      </c>
      <c r="CF168" s="230">
        <v>40050</v>
      </c>
      <c r="CG168" s="230">
        <v>4186800</v>
      </c>
      <c r="CH168" s="230">
        <v>-4146750</v>
      </c>
      <c r="CI168" s="229">
        <v>-0.99039999999999995</v>
      </c>
      <c r="CJ168" s="228">
        <v>450</v>
      </c>
      <c r="CK168" s="230">
        <v>33300</v>
      </c>
      <c r="CL168" s="230">
        <v>-32850</v>
      </c>
      <c r="CM168" s="229">
        <v>-0.98650000000000004</v>
      </c>
      <c r="CN168" s="230">
        <v>452700</v>
      </c>
      <c r="CO168" s="230">
        <v>285750</v>
      </c>
      <c r="CP168" s="230">
        <v>166950</v>
      </c>
      <c r="CQ168" s="229">
        <v>0.58430000000000004</v>
      </c>
      <c r="CR168" s="230">
        <v>358200</v>
      </c>
      <c r="CS168" s="230">
        <v>320400</v>
      </c>
      <c r="CT168" s="230">
        <v>37800</v>
      </c>
      <c r="CU168" s="229">
        <v>0.11799999999999999</v>
      </c>
      <c r="CV168" s="230">
        <v>4981050</v>
      </c>
      <c r="CW168" s="230">
        <v>4826250</v>
      </c>
      <c r="CX168" s="230">
        <v>154800</v>
      </c>
      <c r="CY168" s="229">
        <v>3.2099999999999997E-2</v>
      </c>
      <c r="CZ168" s="228">
        <v>39.049999999999997</v>
      </c>
      <c r="DA168" s="228">
        <v>45.03</v>
      </c>
      <c r="DB168" s="228">
        <v>-5.98</v>
      </c>
      <c r="DC168" s="228">
        <v>-5.98</v>
      </c>
      <c r="DD168" s="228">
        <v>43.79</v>
      </c>
      <c r="DE168" s="228">
        <v>43.81</v>
      </c>
      <c r="DF168" s="228">
        <v>-4.74</v>
      </c>
      <c r="DG168" s="228">
        <v>-0.02</v>
      </c>
      <c r="DH168" s="228">
        <v>38.35</v>
      </c>
      <c r="DI168" s="228">
        <v>39.74</v>
      </c>
      <c r="DJ168" s="228">
        <v>-1.39</v>
      </c>
      <c r="DK168" s="228">
        <v>-1.39</v>
      </c>
      <c r="DL168" s="228">
        <v>40.46</v>
      </c>
      <c r="DM168" s="228">
        <v>47.98</v>
      </c>
      <c r="DN168" s="228">
        <v>-7.52</v>
      </c>
      <c r="DO168" s="228">
        <v>-7.52</v>
      </c>
      <c r="DP168" s="228">
        <v>0.79</v>
      </c>
      <c r="DQ168" s="228">
        <v>1.1200000000000001</v>
      </c>
      <c r="DR168" s="228">
        <v>-0.33</v>
      </c>
      <c r="DS168" s="229">
        <v>-0.29459999999999997</v>
      </c>
      <c r="DT168" s="231">
        <v>1500</v>
      </c>
      <c r="DU168" s="231">
        <v>1360</v>
      </c>
      <c r="DV168" s="228">
        <v>0.49</v>
      </c>
      <c r="DW168" s="228">
        <v>1.32</v>
      </c>
      <c r="DX168" s="228">
        <v>-0.83</v>
      </c>
      <c r="DY168" s="229">
        <v>-0.62880000000000003</v>
      </c>
      <c r="DZ168" s="229">
        <v>9.7000000000000003E-3</v>
      </c>
      <c r="EA168" s="230">
        <v>4220100</v>
      </c>
      <c r="EB168" s="229">
        <v>8.0999999999999996E-3</v>
      </c>
      <c r="EC168" s="229">
        <v>9.7000000000000003E-3</v>
      </c>
      <c r="ED168" s="228">
        <v>9.9700000000000006</v>
      </c>
      <c r="EE168" s="229">
        <v>7.0000000000000001E-3</v>
      </c>
      <c r="EF168" s="230">
        <v>374872</v>
      </c>
      <c r="EG168" s="230">
        <v>1153502</v>
      </c>
      <c r="EH168" s="229">
        <v>-0.67500000000000004</v>
      </c>
      <c r="EI168" s="229">
        <v>0.48070000000000002</v>
      </c>
      <c r="EJ168" s="231">
        <v>13710.44</v>
      </c>
      <c r="EK168" s="231">
        <v>6050.09</v>
      </c>
      <c r="EL168" s="231">
        <v>15275.46</v>
      </c>
      <c r="EM168" s="231">
        <v>8544</v>
      </c>
      <c r="EN168" s="231">
        <v>35035.99</v>
      </c>
      <c r="EO168" s="231">
        <v>110681.43</v>
      </c>
      <c r="EP168" s="231">
        <v>-75645.440000000002</v>
      </c>
      <c r="EQ168" s="229">
        <v>-0.6835</v>
      </c>
      <c r="ER168" s="231">
        <v>6996</v>
      </c>
      <c r="ES168" s="231">
        <v>5011</v>
      </c>
      <c r="ET168" s="231">
        <v>59655</v>
      </c>
      <c r="EU168" s="231">
        <v>22697169</v>
      </c>
      <c r="EV168" s="231">
        <v>71662</v>
      </c>
      <c r="EW168" s="231">
        <v>67995</v>
      </c>
      <c r="EX168" s="231">
        <v>3667</v>
      </c>
      <c r="EY168" s="229">
        <v>5.3900000000000003E-2</v>
      </c>
      <c r="EZ168" s="229">
        <v>0.2195</v>
      </c>
      <c r="FA168" s="227" t="s">
        <v>556</v>
      </c>
      <c r="FB168" s="161">
        <f t="shared" si="4"/>
        <v>0</v>
      </c>
    </row>
    <row r="169" spans="1:158" ht="17.25" thickBot="1" x14ac:dyDescent="0.3">
      <c r="A169" s="226">
        <v>46050</v>
      </c>
      <c r="B169" s="227" t="s">
        <v>172</v>
      </c>
      <c r="C169" s="227" t="s">
        <v>279</v>
      </c>
      <c r="D169" s="228">
        <v>3175</v>
      </c>
      <c r="E169" s="228">
        <v>298.89999999999998</v>
      </c>
      <c r="F169" s="228">
        <v>297.2</v>
      </c>
      <c r="G169" s="228">
        <v>1.7</v>
      </c>
      <c r="H169" s="229">
        <v>5.7000000000000002E-3</v>
      </c>
      <c r="I169" s="228">
        <v>297.35000000000002</v>
      </c>
      <c r="J169" s="228">
        <v>295.35000000000002</v>
      </c>
      <c r="K169" s="228">
        <v>2</v>
      </c>
      <c r="L169" s="229">
        <v>6.7999999999999996E-3</v>
      </c>
      <c r="M169" s="228">
        <v>298.89999999999998</v>
      </c>
      <c r="N169" s="228">
        <v>295.89999999999998</v>
      </c>
      <c r="O169" s="228">
        <v>3</v>
      </c>
      <c r="P169" s="229">
        <v>1.01E-2</v>
      </c>
      <c r="Q169" s="228">
        <v>300.5</v>
      </c>
      <c r="R169" s="228">
        <v>297.2</v>
      </c>
      <c r="S169" s="228">
        <v>3.3</v>
      </c>
      <c r="T169" s="229">
        <v>1.11E-2</v>
      </c>
      <c r="U169" s="228">
        <v>301.7</v>
      </c>
      <c r="V169" s="228">
        <v>300.39999999999998</v>
      </c>
      <c r="W169" s="228">
        <v>1.3</v>
      </c>
      <c r="X169" s="229">
        <v>4.3E-3</v>
      </c>
      <c r="Y169" s="228">
        <v>1.55</v>
      </c>
      <c r="Z169" s="228">
        <v>1.85</v>
      </c>
      <c r="AA169" s="228">
        <v>-0.3</v>
      </c>
      <c r="AB169" s="229">
        <v>5.1999999999999998E-3</v>
      </c>
      <c r="AC169" s="228">
        <v>1.55</v>
      </c>
      <c r="AD169" s="228">
        <v>0.55000000000000004</v>
      </c>
      <c r="AE169" s="228">
        <v>1</v>
      </c>
      <c r="AF169" s="229">
        <v>5.1999999999999998E-3</v>
      </c>
      <c r="AG169" s="228">
        <v>3.15</v>
      </c>
      <c r="AH169" s="228">
        <v>1.85</v>
      </c>
      <c r="AI169" s="228">
        <v>1.3</v>
      </c>
      <c r="AJ169" s="229">
        <v>1.06E-2</v>
      </c>
      <c r="AK169" s="228">
        <v>4.3499999999999996</v>
      </c>
      <c r="AL169" s="228">
        <v>5.05</v>
      </c>
      <c r="AM169" s="228">
        <v>-0.7</v>
      </c>
      <c r="AN169" s="229">
        <v>1.46E-2</v>
      </c>
      <c r="AO169" s="228">
        <v>297.77999999999997</v>
      </c>
      <c r="AP169" s="228">
        <v>299.61</v>
      </c>
      <c r="AQ169" s="228">
        <v>0</v>
      </c>
      <c r="AR169" s="230">
        <v>6858000</v>
      </c>
      <c r="AS169" s="230">
        <v>57905650</v>
      </c>
      <c r="AT169" s="230">
        <v>-51047650</v>
      </c>
      <c r="AU169" s="229">
        <v>-0.88160000000000005</v>
      </c>
      <c r="AV169" s="230">
        <v>6632575</v>
      </c>
      <c r="AW169" s="230">
        <v>24193500</v>
      </c>
      <c r="AX169" s="230">
        <v>-17560925</v>
      </c>
      <c r="AY169" s="229">
        <v>-0.72589999999999999</v>
      </c>
      <c r="AZ169" s="230">
        <v>152400</v>
      </c>
      <c r="BA169" s="230">
        <v>33505775</v>
      </c>
      <c r="BB169" s="230">
        <v>-33353375</v>
      </c>
      <c r="BC169" s="229">
        <v>-0.99550000000000005</v>
      </c>
      <c r="BD169" s="230">
        <v>73025</v>
      </c>
      <c r="BE169" s="230">
        <v>206375</v>
      </c>
      <c r="BF169" s="230">
        <v>-133350</v>
      </c>
      <c r="BG169" s="229">
        <v>-0.6462</v>
      </c>
      <c r="BH169" s="230">
        <v>14792325</v>
      </c>
      <c r="BI169" s="230">
        <v>26489025</v>
      </c>
      <c r="BJ169" s="230">
        <v>-11696700</v>
      </c>
      <c r="BK169" s="229">
        <v>-0.44159999999999999</v>
      </c>
      <c r="BL169" s="230">
        <v>6819900</v>
      </c>
      <c r="BM169" s="230">
        <v>21224875</v>
      </c>
      <c r="BN169" s="230">
        <v>-14404975</v>
      </c>
      <c r="BO169" s="229">
        <v>-0.67869999999999997</v>
      </c>
      <c r="BP169" s="230">
        <v>28470225</v>
      </c>
      <c r="BQ169" s="230">
        <v>105619550</v>
      </c>
      <c r="BR169" s="230">
        <v>-77149325</v>
      </c>
      <c r="BS169" s="229">
        <v>-0.73040000000000005</v>
      </c>
      <c r="BT169" s="230">
        <v>3551175</v>
      </c>
      <c r="BU169" s="230">
        <v>5256935</v>
      </c>
      <c r="BV169" s="230">
        <v>-1705760</v>
      </c>
      <c r="BW169" s="229">
        <v>-0.32450000000000001</v>
      </c>
      <c r="BX169" s="230">
        <v>77863700</v>
      </c>
      <c r="BY169" s="230">
        <v>78349475</v>
      </c>
      <c r="BZ169" s="230">
        <v>-485775</v>
      </c>
      <c r="CA169" s="229">
        <v>-6.1999999999999998E-3</v>
      </c>
      <c r="CB169" s="230">
        <v>77412850</v>
      </c>
      <c r="CC169" s="230">
        <v>3492500</v>
      </c>
      <c r="CD169" s="230">
        <v>73920350</v>
      </c>
      <c r="CE169" s="229">
        <v>21.165500000000002</v>
      </c>
      <c r="CF169" s="230">
        <v>390525</v>
      </c>
      <c r="CG169" s="230">
        <v>77990700</v>
      </c>
      <c r="CH169" s="230">
        <v>-77600175</v>
      </c>
      <c r="CI169" s="229">
        <v>-0.995</v>
      </c>
      <c r="CJ169" s="230">
        <v>60325</v>
      </c>
      <c r="CK169" s="230">
        <v>358775</v>
      </c>
      <c r="CL169" s="230">
        <v>-298450</v>
      </c>
      <c r="CM169" s="229">
        <v>-0.83189999999999997</v>
      </c>
      <c r="CN169" s="230">
        <v>20456525</v>
      </c>
      <c r="CO169" s="230">
        <v>16856075</v>
      </c>
      <c r="CP169" s="230">
        <v>3600450</v>
      </c>
      <c r="CQ169" s="229">
        <v>0.21360000000000001</v>
      </c>
      <c r="CR169" s="230">
        <v>13560425</v>
      </c>
      <c r="CS169" s="230">
        <v>12487275</v>
      </c>
      <c r="CT169" s="230">
        <v>1073150</v>
      </c>
      <c r="CU169" s="229">
        <v>8.5900000000000004E-2</v>
      </c>
      <c r="CV169" s="230">
        <v>111880650</v>
      </c>
      <c r="CW169" s="230">
        <v>107692825</v>
      </c>
      <c r="CX169" s="230">
        <v>4187825</v>
      </c>
      <c r="CY169" s="229">
        <v>3.8899999999999997E-2</v>
      </c>
      <c r="CZ169" s="228">
        <v>24.11</v>
      </c>
      <c r="DA169" s="228">
        <v>24.66</v>
      </c>
      <c r="DB169" s="228">
        <v>-0.55000000000000004</v>
      </c>
      <c r="DC169" s="228">
        <v>-0.55000000000000004</v>
      </c>
      <c r="DD169" s="228">
        <v>44.24</v>
      </c>
      <c r="DE169" s="228">
        <v>44.34</v>
      </c>
      <c r="DF169" s="228">
        <v>-20.13</v>
      </c>
      <c r="DG169" s="228">
        <v>-0.1</v>
      </c>
      <c r="DH169" s="228">
        <v>23.76</v>
      </c>
      <c r="DI169" s="228">
        <v>23.75</v>
      </c>
      <c r="DJ169" s="228">
        <v>0.01</v>
      </c>
      <c r="DK169" s="228">
        <v>0.01</v>
      </c>
      <c r="DL169" s="228">
        <v>24.85</v>
      </c>
      <c r="DM169" s="228">
        <v>25.99</v>
      </c>
      <c r="DN169" s="228">
        <v>-1.1399999999999999</v>
      </c>
      <c r="DO169" s="228">
        <v>-1.1399999999999999</v>
      </c>
      <c r="DP169" s="228">
        <v>0.66</v>
      </c>
      <c r="DQ169" s="228">
        <v>0.74</v>
      </c>
      <c r="DR169" s="228">
        <v>-0.08</v>
      </c>
      <c r="DS169" s="229">
        <v>-0.1081</v>
      </c>
      <c r="DT169" s="228">
        <v>300</v>
      </c>
      <c r="DU169" s="228">
        <v>280</v>
      </c>
      <c r="DV169" s="228">
        <v>0.46</v>
      </c>
      <c r="DW169" s="228">
        <v>0.8</v>
      </c>
      <c r="DX169" s="228">
        <v>-0.34</v>
      </c>
      <c r="DY169" s="229">
        <v>-0.42499999999999999</v>
      </c>
      <c r="DZ169" s="229">
        <v>5.7999999999999996E-3</v>
      </c>
      <c r="EA169" s="230">
        <v>78349475</v>
      </c>
      <c r="EB169" s="229">
        <v>5.4000000000000003E-3</v>
      </c>
      <c r="EC169" s="229">
        <v>5.7999999999999996E-3</v>
      </c>
      <c r="ED169" s="228">
        <v>1.83</v>
      </c>
      <c r="EE169" s="229">
        <v>6.1000000000000004E-3</v>
      </c>
      <c r="EF169" s="230">
        <v>1656672</v>
      </c>
      <c r="EG169" s="230">
        <v>1667966</v>
      </c>
      <c r="EH169" s="229">
        <v>-6.7999999999999996E-3</v>
      </c>
      <c r="EI169" s="229">
        <v>0.46650000000000003</v>
      </c>
      <c r="EJ169" s="231">
        <v>46059.08</v>
      </c>
      <c r="EK169" s="231">
        <v>19853.28</v>
      </c>
      <c r="EL169" s="231">
        <v>20427.330000000002</v>
      </c>
      <c r="EM169" s="231">
        <v>17568</v>
      </c>
      <c r="EN169" s="231">
        <v>86339.69</v>
      </c>
      <c r="EO169" s="231">
        <v>314005.78999999998</v>
      </c>
      <c r="EP169" s="231">
        <v>-227666.1</v>
      </c>
      <c r="EQ169" s="229">
        <v>-0.72499999999999998</v>
      </c>
      <c r="ER169" s="231">
        <v>63373</v>
      </c>
      <c r="ES169" s="231">
        <v>39010</v>
      </c>
      <c r="ET169" s="231">
        <v>232743</v>
      </c>
      <c r="EU169" s="231">
        <v>91953095</v>
      </c>
      <c r="EV169" s="231">
        <v>335125</v>
      </c>
      <c r="EW169" s="231">
        <v>321170</v>
      </c>
      <c r="EX169" s="231">
        <v>13955</v>
      </c>
      <c r="EY169" s="229">
        <v>4.3499999999999997E-2</v>
      </c>
      <c r="EZ169" s="229">
        <v>1.2166999999999999</v>
      </c>
      <c r="FA169" s="227" t="s">
        <v>556</v>
      </c>
      <c r="FB169" s="161">
        <f t="shared" si="4"/>
        <v>0</v>
      </c>
    </row>
    <row r="170" spans="1:158" ht="17.25" thickBot="1" x14ac:dyDescent="0.3">
      <c r="A170" s="226">
        <v>46050</v>
      </c>
      <c r="B170" s="227" t="s">
        <v>175</v>
      </c>
      <c r="C170" s="227" t="s">
        <v>280</v>
      </c>
      <c r="D170" s="228">
        <v>1400</v>
      </c>
      <c r="E170" s="228">
        <v>375.95</v>
      </c>
      <c r="F170" s="228">
        <v>361.75</v>
      </c>
      <c r="G170" s="228">
        <v>14.2</v>
      </c>
      <c r="H170" s="229">
        <v>3.9300000000000002E-2</v>
      </c>
      <c r="I170" s="228">
        <v>377.5</v>
      </c>
      <c r="J170" s="228">
        <v>363.95</v>
      </c>
      <c r="K170" s="228">
        <v>13.55</v>
      </c>
      <c r="L170" s="229">
        <v>3.7199999999999997E-2</v>
      </c>
      <c r="M170" s="228">
        <v>375.95</v>
      </c>
      <c r="N170" s="228">
        <v>363.55</v>
      </c>
      <c r="O170" s="228">
        <v>12.4</v>
      </c>
      <c r="P170" s="229">
        <v>3.4099999999999998E-2</v>
      </c>
      <c r="Q170" s="228">
        <v>376.8</v>
      </c>
      <c r="R170" s="228">
        <v>361.75</v>
      </c>
      <c r="S170" s="228">
        <v>15.05</v>
      </c>
      <c r="T170" s="229">
        <v>4.1599999999999998E-2</v>
      </c>
      <c r="U170" s="228">
        <v>378.85</v>
      </c>
      <c r="V170" s="228">
        <v>363.65</v>
      </c>
      <c r="W170" s="228">
        <v>15.2</v>
      </c>
      <c r="X170" s="229">
        <v>4.1799999999999997E-2</v>
      </c>
      <c r="Y170" s="228">
        <v>-1.55</v>
      </c>
      <c r="Z170" s="228">
        <v>-2.2000000000000002</v>
      </c>
      <c r="AA170" s="228">
        <v>0.65</v>
      </c>
      <c r="AB170" s="229">
        <v>-4.1000000000000003E-3</v>
      </c>
      <c r="AC170" s="228">
        <v>-1.55</v>
      </c>
      <c r="AD170" s="228">
        <v>-0.4</v>
      </c>
      <c r="AE170" s="228">
        <v>-1.1499999999999999</v>
      </c>
      <c r="AF170" s="229">
        <v>-4.1000000000000003E-3</v>
      </c>
      <c r="AG170" s="228">
        <v>-0.7</v>
      </c>
      <c r="AH170" s="228">
        <v>-2.2000000000000002</v>
      </c>
      <c r="AI170" s="228">
        <v>1.5</v>
      </c>
      <c r="AJ170" s="229">
        <v>-1.9E-3</v>
      </c>
      <c r="AK170" s="228">
        <v>1.35</v>
      </c>
      <c r="AL170" s="228">
        <v>-0.3</v>
      </c>
      <c r="AM170" s="228">
        <v>1.65</v>
      </c>
      <c r="AN170" s="229">
        <v>3.5999999999999999E-3</v>
      </c>
      <c r="AO170" s="228">
        <v>370.31</v>
      </c>
      <c r="AP170" s="228">
        <v>371.12</v>
      </c>
      <c r="AQ170" s="228">
        <v>0</v>
      </c>
      <c r="AR170" s="230">
        <v>15712200</v>
      </c>
      <c r="AS170" s="230">
        <v>58259600</v>
      </c>
      <c r="AT170" s="230">
        <v>-42547400</v>
      </c>
      <c r="AU170" s="229">
        <v>-0.73029999999999995</v>
      </c>
      <c r="AV170" s="230">
        <v>14743400</v>
      </c>
      <c r="AW170" s="230">
        <v>26909400</v>
      </c>
      <c r="AX170" s="230">
        <v>-12166000</v>
      </c>
      <c r="AY170" s="229">
        <v>-0.4521</v>
      </c>
      <c r="AZ170" s="230">
        <v>890400</v>
      </c>
      <c r="BA170" s="230">
        <v>29950200</v>
      </c>
      <c r="BB170" s="230">
        <v>-29059800</v>
      </c>
      <c r="BC170" s="229">
        <v>-0.97030000000000005</v>
      </c>
      <c r="BD170" s="230">
        <v>78400</v>
      </c>
      <c r="BE170" s="230">
        <v>1400000</v>
      </c>
      <c r="BF170" s="230">
        <v>-1321600</v>
      </c>
      <c r="BG170" s="229">
        <v>-0.94399999999999995</v>
      </c>
      <c r="BH170" s="230">
        <v>41003200</v>
      </c>
      <c r="BI170" s="230">
        <v>32292400</v>
      </c>
      <c r="BJ170" s="230">
        <v>8710800</v>
      </c>
      <c r="BK170" s="229">
        <v>0.2697</v>
      </c>
      <c r="BL170" s="230">
        <v>16053800</v>
      </c>
      <c r="BM170" s="230">
        <v>34834800</v>
      </c>
      <c r="BN170" s="230">
        <v>-18781000</v>
      </c>
      <c r="BO170" s="229">
        <v>-0.53910000000000002</v>
      </c>
      <c r="BP170" s="230">
        <v>72769200</v>
      </c>
      <c r="BQ170" s="230">
        <v>125386800</v>
      </c>
      <c r="BR170" s="230">
        <v>-52617600</v>
      </c>
      <c r="BS170" s="229">
        <v>-0.41959999999999997</v>
      </c>
      <c r="BT170" s="230">
        <v>7792436</v>
      </c>
      <c r="BU170" s="230">
        <v>8404441</v>
      </c>
      <c r="BV170" s="230">
        <v>-612005</v>
      </c>
      <c r="BW170" s="229">
        <v>-7.2800000000000004E-2</v>
      </c>
      <c r="BX170" s="230">
        <v>77891800</v>
      </c>
      <c r="BY170" s="230">
        <v>77285600</v>
      </c>
      <c r="BZ170" s="230">
        <v>606200</v>
      </c>
      <c r="CA170" s="229">
        <v>7.7999999999999996E-3</v>
      </c>
      <c r="CB170" s="230">
        <v>74179000</v>
      </c>
      <c r="CC170" s="230">
        <v>5784800</v>
      </c>
      <c r="CD170" s="230">
        <v>68394200</v>
      </c>
      <c r="CE170" s="229">
        <v>11.8231</v>
      </c>
      <c r="CF170" s="230">
        <v>3666600</v>
      </c>
      <c r="CG170" s="230">
        <v>73556000</v>
      </c>
      <c r="CH170" s="230">
        <v>-69889400</v>
      </c>
      <c r="CI170" s="229">
        <v>-0.95020000000000004</v>
      </c>
      <c r="CJ170" s="230">
        <v>46200</v>
      </c>
      <c r="CK170" s="230">
        <v>3729600</v>
      </c>
      <c r="CL170" s="230">
        <v>-3683400</v>
      </c>
      <c r="CM170" s="229">
        <v>-0.98760000000000003</v>
      </c>
      <c r="CN170" s="230">
        <v>21655200</v>
      </c>
      <c r="CO170" s="230">
        <v>18387600</v>
      </c>
      <c r="CP170" s="230">
        <v>3267600</v>
      </c>
      <c r="CQ170" s="229">
        <v>0.1777</v>
      </c>
      <c r="CR170" s="230">
        <v>18676000</v>
      </c>
      <c r="CS170" s="230">
        <v>18344200</v>
      </c>
      <c r="CT170" s="230">
        <v>331800</v>
      </c>
      <c r="CU170" s="229">
        <v>1.8100000000000002E-2</v>
      </c>
      <c r="CV170" s="230">
        <v>118223000</v>
      </c>
      <c r="CW170" s="230">
        <v>114017400</v>
      </c>
      <c r="CX170" s="230">
        <v>4205600</v>
      </c>
      <c r="CY170" s="229">
        <v>3.6900000000000002E-2</v>
      </c>
      <c r="CZ170" s="228">
        <v>36.99</v>
      </c>
      <c r="DA170" s="228">
        <v>36.6</v>
      </c>
      <c r="DB170" s="228">
        <v>0.39</v>
      </c>
      <c r="DC170" s="228">
        <v>0.39</v>
      </c>
      <c r="DD170" s="228">
        <v>41.43</v>
      </c>
      <c r="DE170" s="228">
        <v>41.21</v>
      </c>
      <c r="DF170" s="228">
        <v>-4.4400000000000004</v>
      </c>
      <c r="DG170" s="228">
        <v>0.22</v>
      </c>
      <c r="DH170" s="228">
        <v>36.4</v>
      </c>
      <c r="DI170" s="228">
        <v>36.020000000000003</v>
      </c>
      <c r="DJ170" s="228">
        <v>0.38</v>
      </c>
      <c r="DK170" s="228">
        <v>0.38</v>
      </c>
      <c r="DL170" s="228">
        <v>38.479999999999997</v>
      </c>
      <c r="DM170" s="228">
        <v>37.19</v>
      </c>
      <c r="DN170" s="228">
        <v>1.29</v>
      </c>
      <c r="DO170" s="228">
        <v>1.29</v>
      </c>
      <c r="DP170" s="228">
        <v>0.86</v>
      </c>
      <c r="DQ170" s="228">
        <v>1</v>
      </c>
      <c r="DR170" s="228">
        <v>-0.14000000000000001</v>
      </c>
      <c r="DS170" s="229">
        <v>-0.14000000000000001</v>
      </c>
      <c r="DT170" s="228">
        <v>400</v>
      </c>
      <c r="DU170" s="228">
        <v>350</v>
      </c>
      <c r="DV170" s="228">
        <v>0.39</v>
      </c>
      <c r="DW170" s="228">
        <v>1.08</v>
      </c>
      <c r="DX170" s="228">
        <v>-0.69</v>
      </c>
      <c r="DY170" s="229">
        <v>-0.63890000000000002</v>
      </c>
      <c r="DZ170" s="229">
        <v>4.7699999999999999E-2</v>
      </c>
      <c r="EA170" s="230">
        <v>77285600</v>
      </c>
      <c r="EB170" s="229">
        <v>2.3E-3</v>
      </c>
      <c r="EC170" s="229">
        <v>4.7699999999999999E-2</v>
      </c>
      <c r="ED170" s="228">
        <v>0.81</v>
      </c>
      <c r="EE170" s="229">
        <v>2.2000000000000001E-3</v>
      </c>
      <c r="EF170" s="230">
        <v>3655319</v>
      </c>
      <c r="EG170" s="230">
        <v>4173368</v>
      </c>
      <c r="EH170" s="229">
        <v>-0.1241</v>
      </c>
      <c r="EI170" s="229">
        <v>0.46910000000000002</v>
      </c>
      <c r="EJ170" s="231">
        <v>160953.12</v>
      </c>
      <c r="EK170" s="231">
        <v>59044.959999999999</v>
      </c>
      <c r="EL170" s="231">
        <v>58192.639999999999</v>
      </c>
      <c r="EM170" s="231">
        <v>37914</v>
      </c>
      <c r="EN170" s="231">
        <v>278190.71999999997</v>
      </c>
      <c r="EO170" s="231">
        <v>460715.27</v>
      </c>
      <c r="EP170" s="231">
        <v>-182524.55</v>
      </c>
      <c r="EQ170" s="229">
        <v>-0.3962</v>
      </c>
      <c r="ER170" s="231">
        <v>83227</v>
      </c>
      <c r="ES170" s="231">
        <v>67461</v>
      </c>
      <c r="ET170" s="231">
        <v>292867</v>
      </c>
      <c r="EU170" s="231">
        <v>187084550</v>
      </c>
      <c r="EV170" s="231">
        <v>443555</v>
      </c>
      <c r="EW170" s="231">
        <v>415683</v>
      </c>
      <c r="EX170" s="231">
        <v>27872</v>
      </c>
      <c r="EY170" s="229">
        <v>6.7100000000000007E-2</v>
      </c>
      <c r="EZ170" s="229">
        <v>0.63190000000000002</v>
      </c>
      <c r="FA170" s="227" t="s">
        <v>555</v>
      </c>
      <c r="FB170" s="161">
        <f t="shared" si="4"/>
        <v>0</v>
      </c>
    </row>
    <row r="171" spans="1:158" ht="17.25" thickBot="1" x14ac:dyDescent="0.3">
      <c r="A171" s="226">
        <v>46050</v>
      </c>
      <c r="B171" s="227" t="s">
        <v>193</v>
      </c>
      <c r="C171" s="227" t="s">
        <v>281</v>
      </c>
      <c r="D171" s="228">
        <v>500</v>
      </c>
      <c r="E171" s="231">
        <v>1402.7</v>
      </c>
      <c r="F171" s="231">
        <v>1390.5</v>
      </c>
      <c r="G171" s="228">
        <v>12.2</v>
      </c>
      <c r="H171" s="229">
        <v>8.8000000000000005E-3</v>
      </c>
      <c r="I171" s="231">
        <v>1396.7</v>
      </c>
      <c r="J171" s="231">
        <v>1380.5</v>
      </c>
      <c r="K171" s="228">
        <v>16.2</v>
      </c>
      <c r="L171" s="229">
        <v>1.17E-2</v>
      </c>
      <c r="M171" s="231">
        <v>1402.7</v>
      </c>
      <c r="N171" s="231">
        <v>1380.5</v>
      </c>
      <c r="O171" s="228">
        <v>22.2</v>
      </c>
      <c r="P171" s="229">
        <v>1.61E-2</v>
      </c>
      <c r="Q171" s="231">
        <v>1412</v>
      </c>
      <c r="R171" s="231">
        <v>1390.5</v>
      </c>
      <c r="S171" s="228">
        <v>21.5</v>
      </c>
      <c r="T171" s="229">
        <v>1.55E-2</v>
      </c>
      <c r="U171" s="231">
        <v>1421</v>
      </c>
      <c r="V171" s="231">
        <v>1399.3</v>
      </c>
      <c r="W171" s="228">
        <v>21.7</v>
      </c>
      <c r="X171" s="229">
        <v>1.55E-2</v>
      </c>
      <c r="Y171" s="228">
        <v>6</v>
      </c>
      <c r="Z171" s="228">
        <v>10</v>
      </c>
      <c r="AA171" s="228">
        <v>-4</v>
      </c>
      <c r="AB171" s="229">
        <v>4.3E-3</v>
      </c>
      <c r="AC171" s="228">
        <v>6</v>
      </c>
      <c r="AD171" s="228">
        <v>0</v>
      </c>
      <c r="AE171" s="228">
        <v>6</v>
      </c>
      <c r="AF171" s="229">
        <v>4.3E-3</v>
      </c>
      <c r="AG171" s="228">
        <v>15.3</v>
      </c>
      <c r="AH171" s="228">
        <v>10</v>
      </c>
      <c r="AI171" s="228">
        <v>5.3</v>
      </c>
      <c r="AJ171" s="229">
        <v>1.0999999999999999E-2</v>
      </c>
      <c r="AK171" s="228">
        <v>24.3</v>
      </c>
      <c r="AL171" s="228">
        <v>18.8</v>
      </c>
      <c r="AM171" s="228">
        <v>5.5</v>
      </c>
      <c r="AN171" s="229">
        <v>1.7399999999999999E-2</v>
      </c>
      <c r="AO171" s="231">
        <v>1404.03</v>
      </c>
      <c r="AP171" s="231">
        <v>1414.12</v>
      </c>
      <c r="AQ171" s="228">
        <v>0</v>
      </c>
      <c r="AR171" s="230">
        <v>12229000</v>
      </c>
      <c r="AS171" s="230">
        <v>73226000</v>
      </c>
      <c r="AT171" s="230">
        <v>-60997000</v>
      </c>
      <c r="AU171" s="229">
        <v>-0.83299999999999996</v>
      </c>
      <c r="AV171" s="230">
        <v>11393000</v>
      </c>
      <c r="AW171" s="230">
        <v>30843000</v>
      </c>
      <c r="AX171" s="230">
        <v>-19450000</v>
      </c>
      <c r="AY171" s="229">
        <v>-0.63060000000000005</v>
      </c>
      <c r="AZ171" s="230">
        <v>569500</v>
      </c>
      <c r="BA171" s="230">
        <v>41046500</v>
      </c>
      <c r="BB171" s="230">
        <v>-40477000</v>
      </c>
      <c r="BC171" s="229">
        <v>-0.98609999999999998</v>
      </c>
      <c r="BD171" s="230">
        <v>266500</v>
      </c>
      <c r="BE171" s="230">
        <v>1336500</v>
      </c>
      <c r="BF171" s="230">
        <v>-1070000</v>
      </c>
      <c r="BG171" s="229">
        <v>-0.80059999999999998</v>
      </c>
      <c r="BH171" s="230">
        <v>53386500</v>
      </c>
      <c r="BI171" s="230">
        <v>96671000</v>
      </c>
      <c r="BJ171" s="230">
        <v>-43284500</v>
      </c>
      <c r="BK171" s="229">
        <v>-0.44779999999999998</v>
      </c>
      <c r="BL171" s="230">
        <v>24954500</v>
      </c>
      <c r="BM171" s="230">
        <v>57258000</v>
      </c>
      <c r="BN171" s="230">
        <v>-32303500</v>
      </c>
      <c r="BO171" s="229">
        <v>-0.56420000000000003</v>
      </c>
      <c r="BP171" s="230">
        <v>90570000</v>
      </c>
      <c r="BQ171" s="230">
        <v>227155000</v>
      </c>
      <c r="BR171" s="230">
        <v>-136585000</v>
      </c>
      <c r="BS171" s="229">
        <v>-0.60129999999999995</v>
      </c>
      <c r="BT171" s="230">
        <v>11907511</v>
      </c>
      <c r="BU171" s="230">
        <v>29839245</v>
      </c>
      <c r="BV171" s="230">
        <v>-17931734</v>
      </c>
      <c r="BW171" s="229">
        <v>-0.60089999999999999</v>
      </c>
      <c r="BX171" s="230">
        <v>117875000</v>
      </c>
      <c r="BY171" s="230">
        <v>119994500</v>
      </c>
      <c r="BZ171" s="230">
        <v>-2119500</v>
      </c>
      <c r="CA171" s="229">
        <v>-1.77E-2</v>
      </c>
      <c r="CB171" s="230">
        <v>106515500</v>
      </c>
      <c r="CC171" s="230">
        <v>14218500</v>
      </c>
      <c r="CD171" s="230">
        <v>92297000</v>
      </c>
      <c r="CE171" s="229">
        <v>6.4912999999999998</v>
      </c>
      <c r="CF171" s="230">
        <v>11181000</v>
      </c>
      <c r="CG171" s="230">
        <v>108839000</v>
      </c>
      <c r="CH171" s="230">
        <v>-97658000</v>
      </c>
      <c r="CI171" s="229">
        <v>-0.89729999999999999</v>
      </c>
      <c r="CJ171" s="230">
        <v>178500</v>
      </c>
      <c r="CK171" s="230">
        <v>11155500</v>
      </c>
      <c r="CL171" s="230">
        <v>-10977000</v>
      </c>
      <c r="CM171" s="229">
        <v>-0.98399999999999999</v>
      </c>
      <c r="CN171" s="230">
        <v>41126500</v>
      </c>
      <c r="CO171" s="230">
        <v>36354500</v>
      </c>
      <c r="CP171" s="230">
        <v>4772000</v>
      </c>
      <c r="CQ171" s="229">
        <v>0.1313</v>
      </c>
      <c r="CR171" s="230">
        <v>26673000</v>
      </c>
      <c r="CS171" s="230">
        <v>24785500</v>
      </c>
      <c r="CT171" s="230">
        <v>1887500</v>
      </c>
      <c r="CU171" s="229">
        <v>7.6200000000000004E-2</v>
      </c>
      <c r="CV171" s="230">
        <v>185674500</v>
      </c>
      <c r="CW171" s="230">
        <v>181134500</v>
      </c>
      <c r="CX171" s="230">
        <v>4540000</v>
      </c>
      <c r="CY171" s="229">
        <v>2.5100000000000001E-2</v>
      </c>
      <c r="CZ171" s="228">
        <v>23.59</v>
      </c>
      <c r="DA171" s="228">
        <v>24.69</v>
      </c>
      <c r="DB171" s="228">
        <v>-1.1000000000000001</v>
      </c>
      <c r="DC171" s="228">
        <v>-1.1000000000000001</v>
      </c>
      <c r="DD171" s="228">
        <v>23.9</v>
      </c>
      <c r="DE171" s="228">
        <v>23.91</v>
      </c>
      <c r="DF171" s="228">
        <v>-0.31</v>
      </c>
      <c r="DG171" s="228">
        <v>-0.01</v>
      </c>
      <c r="DH171" s="228">
        <v>23.29</v>
      </c>
      <c r="DI171" s="228">
        <v>24.58</v>
      </c>
      <c r="DJ171" s="228">
        <v>-1.29</v>
      </c>
      <c r="DK171" s="228">
        <v>-1.29</v>
      </c>
      <c r="DL171" s="228">
        <v>24.22</v>
      </c>
      <c r="DM171" s="228">
        <v>24.86</v>
      </c>
      <c r="DN171" s="228">
        <v>-0.64</v>
      </c>
      <c r="DO171" s="228">
        <v>-0.64</v>
      </c>
      <c r="DP171" s="228">
        <v>0.65</v>
      </c>
      <c r="DQ171" s="228">
        <v>0.68</v>
      </c>
      <c r="DR171" s="228">
        <v>-0.03</v>
      </c>
      <c r="DS171" s="229">
        <v>-4.41E-2</v>
      </c>
      <c r="DT171" s="231">
        <v>1500</v>
      </c>
      <c r="DU171" s="231">
        <v>1400</v>
      </c>
      <c r="DV171" s="228">
        <v>0.47</v>
      </c>
      <c r="DW171" s="228">
        <v>0.59</v>
      </c>
      <c r="DX171" s="228">
        <v>-0.12</v>
      </c>
      <c r="DY171" s="229">
        <v>-0.2034</v>
      </c>
      <c r="DZ171" s="229">
        <v>9.64E-2</v>
      </c>
      <c r="EA171" s="230">
        <v>119994500</v>
      </c>
      <c r="EB171" s="229">
        <v>6.6E-3</v>
      </c>
      <c r="EC171" s="229">
        <v>9.64E-2</v>
      </c>
      <c r="ED171" s="228">
        <v>10.09</v>
      </c>
      <c r="EE171" s="229">
        <v>7.1999999999999998E-3</v>
      </c>
      <c r="EF171" s="230">
        <v>6889529</v>
      </c>
      <c r="EG171" s="230">
        <v>19936250</v>
      </c>
      <c r="EH171" s="229">
        <v>-0.65439999999999998</v>
      </c>
      <c r="EI171" s="229">
        <v>0.5786</v>
      </c>
      <c r="EJ171" s="231">
        <v>792147.88</v>
      </c>
      <c r="EK171" s="231">
        <v>346654.83</v>
      </c>
      <c r="EL171" s="231">
        <v>171800.01</v>
      </c>
      <c r="EM171" s="231">
        <v>126261</v>
      </c>
      <c r="EN171" s="231">
        <v>1310602.72</v>
      </c>
      <c r="EO171" s="231">
        <v>3236990.43</v>
      </c>
      <c r="EP171" s="231">
        <v>-1926387.71</v>
      </c>
      <c r="EQ171" s="229">
        <v>-0.59509999999999996</v>
      </c>
      <c r="ER171" s="231">
        <v>610260</v>
      </c>
      <c r="ES171" s="231">
        <v>376521</v>
      </c>
      <c r="ET171" s="231">
        <v>1654505</v>
      </c>
      <c r="EU171" s="231">
        <v>664266681</v>
      </c>
      <c r="EV171" s="231">
        <v>2641287</v>
      </c>
      <c r="EW171" s="231">
        <v>2559799</v>
      </c>
      <c r="EX171" s="231">
        <v>81488</v>
      </c>
      <c r="EY171" s="229">
        <v>3.1800000000000002E-2</v>
      </c>
      <c r="EZ171" s="229">
        <v>0.27950000000000003</v>
      </c>
      <c r="FA171" s="227" t="s">
        <v>556</v>
      </c>
      <c r="FB171" s="161">
        <f t="shared" si="4"/>
        <v>0</v>
      </c>
    </row>
    <row r="172" spans="1:158" ht="17.25" thickBot="1" x14ac:dyDescent="0.3">
      <c r="A172" s="226">
        <v>46050</v>
      </c>
      <c r="B172" s="227" t="s">
        <v>215</v>
      </c>
      <c r="C172" s="227" t="s">
        <v>674</v>
      </c>
      <c r="D172" s="228">
        <v>1525</v>
      </c>
      <c r="E172" s="228">
        <v>336.15</v>
      </c>
      <c r="F172" s="228">
        <v>315.64999999999998</v>
      </c>
      <c r="G172" s="228">
        <v>20.5</v>
      </c>
      <c r="H172" s="229">
        <v>6.4899999999999999E-2</v>
      </c>
      <c r="I172" s="228">
        <v>342.5</v>
      </c>
      <c r="J172" s="228">
        <v>323.89999999999998</v>
      </c>
      <c r="K172" s="228">
        <v>18.600000000000001</v>
      </c>
      <c r="L172" s="229">
        <v>5.74E-2</v>
      </c>
      <c r="M172" s="228">
        <v>336.15</v>
      </c>
      <c r="N172" s="228">
        <v>322.95</v>
      </c>
      <c r="O172" s="228">
        <v>13.2</v>
      </c>
      <c r="P172" s="229">
        <v>4.0899999999999999E-2</v>
      </c>
      <c r="Q172" s="228">
        <v>327.25</v>
      </c>
      <c r="R172" s="228">
        <v>315.64999999999998</v>
      </c>
      <c r="S172" s="228">
        <v>11.6</v>
      </c>
      <c r="T172" s="229">
        <v>3.6700000000000003E-2</v>
      </c>
      <c r="U172" s="228">
        <v>320.14999999999998</v>
      </c>
      <c r="V172" s="228">
        <v>308.95</v>
      </c>
      <c r="W172" s="228">
        <v>11.2</v>
      </c>
      <c r="X172" s="229">
        <v>3.6299999999999999E-2</v>
      </c>
      <c r="Y172" s="228">
        <v>-6.35</v>
      </c>
      <c r="Z172" s="228">
        <v>-8.25</v>
      </c>
      <c r="AA172" s="228">
        <v>1.9</v>
      </c>
      <c r="AB172" s="229">
        <v>-1.8499999999999999E-2</v>
      </c>
      <c r="AC172" s="228">
        <v>-6.35</v>
      </c>
      <c r="AD172" s="228">
        <v>-0.95</v>
      </c>
      <c r="AE172" s="228">
        <v>-5.4</v>
      </c>
      <c r="AF172" s="229">
        <v>-1.8499999999999999E-2</v>
      </c>
      <c r="AG172" s="228">
        <v>-15.25</v>
      </c>
      <c r="AH172" s="228">
        <v>-8.25</v>
      </c>
      <c r="AI172" s="228">
        <v>-7</v>
      </c>
      <c r="AJ172" s="229">
        <v>-4.4499999999999998E-2</v>
      </c>
      <c r="AK172" s="228">
        <v>-22.35</v>
      </c>
      <c r="AL172" s="228">
        <v>-14.95</v>
      </c>
      <c r="AM172" s="228">
        <v>-7.4</v>
      </c>
      <c r="AN172" s="229">
        <v>-6.5299999999999997E-2</v>
      </c>
      <c r="AO172" s="228">
        <v>328.4</v>
      </c>
      <c r="AP172" s="228">
        <v>318.20999999999998</v>
      </c>
      <c r="AQ172" s="228">
        <v>0</v>
      </c>
      <c r="AR172" s="230">
        <v>16518800</v>
      </c>
      <c r="AS172" s="230">
        <v>26149175</v>
      </c>
      <c r="AT172" s="230">
        <v>-9630375</v>
      </c>
      <c r="AU172" s="229">
        <v>-0.36830000000000002</v>
      </c>
      <c r="AV172" s="230">
        <v>14240450</v>
      </c>
      <c r="AW172" s="230">
        <v>10877825</v>
      </c>
      <c r="AX172" s="230">
        <v>3362625</v>
      </c>
      <c r="AY172" s="229">
        <v>0.30909999999999999</v>
      </c>
      <c r="AZ172" s="230">
        <v>1999275</v>
      </c>
      <c r="BA172" s="230">
        <v>14144375</v>
      </c>
      <c r="BB172" s="230">
        <v>-12145100</v>
      </c>
      <c r="BC172" s="229">
        <v>-0.85870000000000002</v>
      </c>
      <c r="BD172" s="230">
        <v>279075</v>
      </c>
      <c r="BE172" s="230">
        <v>1126975</v>
      </c>
      <c r="BF172" s="230">
        <v>-847900</v>
      </c>
      <c r="BG172" s="229">
        <v>-0.75239999999999996</v>
      </c>
      <c r="BH172" s="230">
        <v>63996625</v>
      </c>
      <c r="BI172" s="230">
        <v>40729700</v>
      </c>
      <c r="BJ172" s="230">
        <v>23266925</v>
      </c>
      <c r="BK172" s="229">
        <v>0.57130000000000003</v>
      </c>
      <c r="BL172" s="230">
        <v>14701000</v>
      </c>
      <c r="BM172" s="230">
        <v>12297600</v>
      </c>
      <c r="BN172" s="230">
        <v>2403400</v>
      </c>
      <c r="BO172" s="229">
        <v>0.19539999999999999</v>
      </c>
      <c r="BP172" s="230">
        <v>95216425</v>
      </c>
      <c r="BQ172" s="230">
        <v>79176475</v>
      </c>
      <c r="BR172" s="230">
        <v>16039950</v>
      </c>
      <c r="BS172" s="229">
        <v>0.2026</v>
      </c>
      <c r="BT172" s="230">
        <v>13656073</v>
      </c>
      <c r="BU172" s="230">
        <v>7620905</v>
      </c>
      <c r="BV172" s="230">
        <v>6035168</v>
      </c>
      <c r="BW172" s="229">
        <v>0.79190000000000005</v>
      </c>
      <c r="BX172" s="230">
        <v>47686750</v>
      </c>
      <c r="BY172" s="230">
        <v>46507925</v>
      </c>
      <c r="BZ172" s="230">
        <v>1178825</v>
      </c>
      <c r="CA172" s="229">
        <v>2.53E-2</v>
      </c>
      <c r="CB172" s="230">
        <v>44650475</v>
      </c>
      <c r="CC172" s="230">
        <v>2990525</v>
      </c>
      <c r="CD172" s="230">
        <v>41659950</v>
      </c>
      <c r="CE172" s="229">
        <v>13.9306</v>
      </c>
      <c r="CF172" s="230">
        <v>2850225</v>
      </c>
      <c r="CG172" s="230">
        <v>43810200</v>
      </c>
      <c r="CH172" s="230">
        <v>-40959975</v>
      </c>
      <c r="CI172" s="229">
        <v>-0.93489999999999995</v>
      </c>
      <c r="CJ172" s="230">
        <v>186050</v>
      </c>
      <c r="CK172" s="230">
        <v>2697725</v>
      </c>
      <c r="CL172" s="230">
        <v>-2511675</v>
      </c>
      <c r="CM172" s="229">
        <v>-0.93100000000000005</v>
      </c>
      <c r="CN172" s="230">
        <v>20136100</v>
      </c>
      <c r="CO172" s="230">
        <v>15811200</v>
      </c>
      <c r="CP172" s="230">
        <v>4324900</v>
      </c>
      <c r="CQ172" s="229">
        <v>0.27350000000000002</v>
      </c>
      <c r="CR172" s="230">
        <v>11166050</v>
      </c>
      <c r="CS172" s="230">
        <v>7625000</v>
      </c>
      <c r="CT172" s="230">
        <v>3541050</v>
      </c>
      <c r="CU172" s="229">
        <v>0.46439999999999998</v>
      </c>
      <c r="CV172" s="230">
        <v>78988900</v>
      </c>
      <c r="CW172" s="230">
        <v>69944125</v>
      </c>
      <c r="CX172" s="230">
        <v>9044775</v>
      </c>
      <c r="CY172" s="229">
        <v>0.1293</v>
      </c>
      <c r="CZ172" s="228">
        <v>56.44</v>
      </c>
      <c r="DA172" s="228">
        <v>58.6</v>
      </c>
      <c r="DB172" s="228">
        <v>-2.16</v>
      </c>
      <c r="DC172" s="228">
        <v>-2.16</v>
      </c>
      <c r="DD172" s="228">
        <v>56.01</v>
      </c>
      <c r="DE172" s="228">
        <v>55.5</v>
      </c>
      <c r="DF172" s="228">
        <v>0.43</v>
      </c>
      <c r="DG172" s="228">
        <v>0.51</v>
      </c>
      <c r="DH172" s="228">
        <v>56.52</v>
      </c>
      <c r="DI172" s="228">
        <v>58.9</v>
      </c>
      <c r="DJ172" s="228">
        <v>-2.38</v>
      </c>
      <c r="DK172" s="228">
        <v>-2.38</v>
      </c>
      <c r="DL172" s="228">
        <v>56.08</v>
      </c>
      <c r="DM172" s="228">
        <v>57.62</v>
      </c>
      <c r="DN172" s="228">
        <v>-1.54</v>
      </c>
      <c r="DO172" s="228">
        <v>-1.54</v>
      </c>
      <c r="DP172" s="228">
        <v>0.55000000000000004</v>
      </c>
      <c r="DQ172" s="228">
        <v>0.48</v>
      </c>
      <c r="DR172" s="228">
        <v>7.0000000000000007E-2</v>
      </c>
      <c r="DS172" s="229">
        <v>0.14580000000000001</v>
      </c>
      <c r="DT172" s="228">
        <v>350</v>
      </c>
      <c r="DU172" s="228">
        <v>330</v>
      </c>
      <c r="DV172" s="228">
        <v>0.23</v>
      </c>
      <c r="DW172" s="228">
        <v>0.3</v>
      </c>
      <c r="DX172" s="228">
        <v>-7.0000000000000007E-2</v>
      </c>
      <c r="DY172" s="229">
        <v>-0.23330000000000001</v>
      </c>
      <c r="DZ172" s="229">
        <v>6.3700000000000007E-2</v>
      </c>
      <c r="EA172" s="230">
        <v>46507925</v>
      </c>
      <c r="EB172" s="229">
        <v>-2.6499999999999999E-2</v>
      </c>
      <c r="EC172" s="229">
        <v>6.3700000000000007E-2</v>
      </c>
      <c r="ED172" s="228">
        <v>-10.19</v>
      </c>
      <c r="EE172" s="229">
        <v>-3.1E-2</v>
      </c>
      <c r="EF172" s="230">
        <v>3405095</v>
      </c>
      <c r="EG172" s="230">
        <v>1873950</v>
      </c>
      <c r="EH172" s="229">
        <v>0.81710000000000005</v>
      </c>
      <c r="EI172" s="229">
        <v>0.24929999999999999</v>
      </c>
      <c r="EJ172" s="231">
        <v>233065.16</v>
      </c>
      <c r="EK172" s="231">
        <v>47667.28</v>
      </c>
      <c r="EL172" s="231">
        <v>53996.4</v>
      </c>
      <c r="EM172" s="231">
        <v>25634</v>
      </c>
      <c r="EN172" s="231">
        <v>334728.84000000003</v>
      </c>
      <c r="EO172" s="231">
        <v>266144.99</v>
      </c>
      <c r="EP172" s="231">
        <v>68583.850000000006</v>
      </c>
      <c r="EQ172" s="229">
        <v>0.25769999999999998</v>
      </c>
      <c r="ER172" s="231">
        <v>72325</v>
      </c>
      <c r="ES172" s="231">
        <v>35199</v>
      </c>
      <c r="ET172" s="231">
        <v>160016</v>
      </c>
      <c r="EU172" s="231">
        <v>84941460</v>
      </c>
      <c r="EV172" s="231">
        <v>267539</v>
      </c>
      <c r="EW172" s="231">
        <v>226407</v>
      </c>
      <c r="EX172" s="231">
        <v>41132</v>
      </c>
      <c r="EY172" s="229">
        <v>0.1817</v>
      </c>
      <c r="EZ172" s="229">
        <v>0.92989999999999995</v>
      </c>
      <c r="FA172" s="227" t="s">
        <v>555</v>
      </c>
      <c r="FB172" s="161">
        <f t="shared" si="4"/>
        <v>0</v>
      </c>
    </row>
    <row r="173" spans="1:158" ht="17.25" thickBot="1" x14ac:dyDescent="0.3">
      <c r="A173" s="226">
        <v>46050</v>
      </c>
      <c r="B173" s="227" t="s">
        <v>227</v>
      </c>
      <c r="C173" s="227" t="s">
        <v>282</v>
      </c>
      <c r="D173" s="228">
        <v>4700</v>
      </c>
      <c r="E173" s="228">
        <v>156.82</v>
      </c>
      <c r="F173" s="228">
        <v>156.80000000000001</v>
      </c>
      <c r="G173" s="228">
        <v>0.02</v>
      </c>
      <c r="H173" s="229">
        <v>1E-4</v>
      </c>
      <c r="I173" s="228">
        <v>155.74</v>
      </c>
      <c r="J173" s="228">
        <v>155.56</v>
      </c>
      <c r="K173" s="228">
        <v>0.18</v>
      </c>
      <c r="L173" s="229">
        <v>1.1999999999999999E-3</v>
      </c>
      <c r="M173" s="228">
        <v>156.82</v>
      </c>
      <c r="N173" s="228">
        <v>156.01</v>
      </c>
      <c r="O173" s="228">
        <v>0.81</v>
      </c>
      <c r="P173" s="229">
        <v>5.1999999999999998E-3</v>
      </c>
      <c r="Q173" s="228">
        <v>157.54</v>
      </c>
      <c r="R173" s="228">
        <v>156.80000000000001</v>
      </c>
      <c r="S173" s="228">
        <v>0.74</v>
      </c>
      <c r="T173" s="229">
        <v>4.7000000000000002E-3</v>
      </c>
      <c r="U173" s="228">
        <v>158.66999999999999</v>
      </c>
      <c r="V173" s="228">
        <v>157.75</v>
      </c>
      <c r="W173" s="228">
        <v>0.92</v>
      </c>
      <c r="X173" s="229">
        <v>5.7999999999999996E-3</v>
      </c>
      <c r="Y173" s="228">
        <v>1.08</v>
      </c>
      <c r="Z173" s="228">
        <v>1.24</v>
      </c>
      <c r="AA173" s="228">
        <v>-0.16</v>
      </c>
      <c r="AB173" s="229">
        <v>6.8999999999999999E-3</v>
      </c>
      <c r="AC173" s="228">
        <v>1.08</v>
      </c>
      <c r="AD173" s="228">
        <v>0.45</v>
      </c>
      <c r="AE173" s="228">
        <v>0.63</v>
      </c>
      <c r="AF173" s="229">
        <v>6.8999999999999999E-3</v>
      </c>
      <c r="AG173" s="228">
        <v>1.8</v>
      </c>
      <c r="AH173" s="228">
        <v>1.24</v>
      </c>
      <c r="AI173" s="228">
        <v>0.56000000000000005</v>
      </c>
      <c r="AJ173" s="229">
        <v>1.1599999999999999E-2</v>
      </c>
      <c r="AK173" s="228">
        <v>2.93</v>
      </c>
      <c r="AL173" s="228">
        <v>2.19</v>
      </c>
      <c r="AM173" s="228">
        <v>0.74</v>
      </c>
      <c r="AN173" s="229">
        <v>1.8800000000000001E-2</v>
      </c>
      <c r="AO173" s="228">
        <v>156.49</v>
      </c>
      <c r="AP173" s="228">
        <v>157.13</v>
      </c>
      <c r="AQ173" s="228">
        <v>0</v>
      </c>
      <c r="AR173" s="230">
        <v>35602500</v>
      </c>
      <c r="AS173" s="230">
        <v>131670500</v>
      </c>
      <c r="AT173" s="230">
        <v>-96068000</v>
      </c>
      <c r="AU173" s="229">
        <v>-0.72960000000000003</v>
      </c>
      <c r="AV173" s="230">
        <v>33186700</v>
      </c>
      <c r="AW173" s="230">
        <v>55958200</v>
      </c>
      <c r="AX173" s="230">
        <v>-22771500</v>
      </c>
      <c r="AY173" s="229">
        <v>-0.40689999999999998</v>
      </c>
      <c r="AZ173" s="230">
        <v>2166700</v>
      </c>
      <c r="BA173" s="230">
        <v>73672500</v>
      </c>
      <c r="BB173" s="230">
        <v>-71505800</v>
      </c>
      <c r="BC173" s="229">
        <v>-0.97060000000000002</v>
      </c>
      <c r="BD173" s="230">
        <v>249100</v>
      </c>
      <c r="BE173" s="230">
        <v>2039800</v>
      </c>
      <c r="BF173" s="230">
        <v>-1790700</v>
      </c>
      <c r="BG173" s="229">
        <v>-0.87790000000000001</v>
      </c>
      <c r="BH173" s="230">
        <v>52719900</v>
      </c>
      <c r="BI173" s="230">
        <v>59027300</v>
      </c>
      <c r="BJ173" s="230">
        <v>-6307400</v>
      </c>
      <c r="BK173" s="229">
        <v>-0.1069</v>
      </c>
      <c r="BL173" s="230">
        <v>15265600</v>
      </c>
      <c r="BM173" s="230">
        <v>31142200</v>
      </c>
      <c r="BN173" s="230">
        <v>-15876600</v>
      </c>
      <c r="BO173" s="229">
        <v>-0.50980000000000003</v>
      </c>
      <c r="BP173" s="230">
        <v>103588000</v>
      </c>
      <c r="BQ173" s="230">
        <v>221840000</v>
      </c>
      <c r="BR173" s="230">
        <v>-118252000</v>
      </c>
      <c r="BS173" s="229">
        <v>-0.53310000000000002</v>
      </c>
      <c r="BT173" s="230">
        <v>34047346</v>
      </c>
      <c r="BU173" s="230">
        <v>42284670</v>
      </c>
      <c r="BV173" s="230">
        <v>-8237324</v>
      </c>
      <c r="BW173" s="229">
        <v>-0.1948</v>
      </c>
      <c r="BX173" s="230">
        <v>197526900</v>
      </c>
      <c r="BY173" s="230">
        <v>192220600</v>
      </c>
      <c r="BZ173" s="230">
        <v>5306300</v>
      </c>
      <c r="CA173" s="229">
        <v>2.76E-2</v>
      </c>
      <c r="CB173" s="230">
        <v>194504800</v>
      </c>
      <c r="CC173" s="230">
        <v>14828500</v>
      </c>
      <c r="CD173" s="230">
        <v>179676300</v>
      </c>
      <c r="CE173" s="229">
        <v>12.117000000000001</v>
      </c>
      <c r="CF173" s="230">
        <v>2815300</v>
      </c>
      <c r="CG173" s="230">
        <v>189889400</v>
      </c>
      <c r="CH173" s="230">
        <v>-187074100</v>
      </c>
      <c r="CI173" s="229">
        <v>-0.98519999999999996</v>
      </c>
      <c r="CJ173" s="230">
        <v>206800</v>
      </c>
      <c r="CK173" s="230">
        <v>2331200</v>
      </c>
      <c r="CL173" s="230">
        <v>-2124400</v>
      </c>
      <c r="CM173" s="229">
        <v>-0.9113</v>
      </c>
      <c r="CN173" s="230">
        <v>25572700</v>
      </c>
      <c r="CO173" s="230">
        <v>19721200</v>
      </c>
      <c r="CP173" s="230">
        <v>5851500</v>
      </c>
      <c r="CQ173" s="229">
        <v>0.29670000000000002</v>
      </c>
      <c r="CR173" s="230">
        <v>16210300</v>
      </c>
      <c r="CS173" s="230">
        <v>12906200</v>
      </c>
      <c r="CT173" s="230">
        <v>3304100</v>
      </c>
      <c r="CU173" s="229">
        <v>0.25600000000000001</v>
      </c>
      <c r="CV173" s="230">
        <v>239309900</v>
      </c>
      <c r="CW173" s="230">
        <v>224848000</v>
      </c>
      <c r="CX173" s="230">
        <v>14461900</v>
      </c>
      <c r="CY173" s="229">
        <v>6.4299999999999996E-2</v>
      </c>
      <c r="CZ173" s="228">
        <v>44.26</v>
      </c>
      <c r="DA173" s="228">
        <v>44.67</v>
      </c>
      <c r="DB173" s="228">
        <v>-0.41</v>
      </c>
      <c r="DC173" s="228">
        <v>-0.41</v>
      </c>
      <c r="DD173" s="228">
        <v>43.67</v>
      </c>
      <c r="DE173" s="228">
        <v>43.78</v>
      </c>
      <c r="DF173" s="228">
        <v>0.59</v>
      </c>
      <c r="DG173" s="228">
        <v>-0.11</v>
      </c>
      <c r="DH173" s="228">
        <v>44.43</v>
      </c>
      <c r="DI173" s="228">
        <v>43.85</v>
      </c>
      <c r="DJ173" s="228">
        <v>0.57999999999999996</v>
      </c>
      <c r="DK173" s="228">
        <v>0.57999999999999996</v>
      </c>
      <c r="DL173" s="228">
        <v>43.67</v>
      </c>
      <c r="DM173" s="228">
        <v>46.28</v>
      </c>
      <c r="DN173" s="228">
        <v>-2.61</v>
      </c>
      <c r="DO173" s="228">
        <v>-2.61</v>
      </c>
      <c r="DP173" s="228">
        <v>0.63</v>
      </c>
      <c r="DQ173" s="228">
        <v>0.65</v>
      </c>
      <c r="DR173" s="228">
        <v>-0.02</v>
      </c>
      <c r="DS173" s="229">
        <v>-3.0800000000000001E-2</v>
      </c>
      <c r="DT173" s="228">
        <v>160</v>
      </c>
      <c r="DU173" s="228">
        <v>140</v>
      </c>
      <c r="DV173" s="228">
        <v>0.28999999999999998</v>
      </c>
      <c r="DW173" s="228">
        <v>0.53</v>
      </c>
      <c r="DX173" s="228">
        <v>-0.24</v>
      </c>
      <c r="DY173" s="229">
        <v>-0.45279999999999998</v>
      </c>
      <c r="DZ173" s="229">
        <v>1.5299999999999999E-2</v>
      </c>
      <c r="EA173" s="230">
        <v>192220600</v>
      </c>
      <c r="EB173" s="229">
        <v>4.5999999999999999E-3</v>
      </c>
      <c r="EC173" s="229">
        <v>1.5299999999999999E-2</v>
      </c>
      <c r="ED173" s="228">
        <v>0.64</v>
      </c>
      <c r="EE173" s="229">
        <v>4.1000000000000003E-3</v>
      </c>
      <c r="EF173" s="230">
        <v>14833037</v>
      </c>
      <c r="EG173" s="230">
        <v>19728318</v>
      </c>
      <c r="EH173" s="229">
        <v>-0.24809999999999999</v>
      </c>
      <c r="EI173" s="229">
        <v>0.43569999999999998</v>
      </c>
      <c r="EJ173" s="231">
        <v>88326.6</v>
      </c>
      <c r="EK173" s="231">
        <v>23440.9</v>
      </c>
      <c r="EL173" s="231">
        <v>55732.6</v>
      </c>
      <c r="EM173" s="231">
        <v>29256</v>
      </c>
      <c r="EN173" s="231">
        <v>167500.1</v>
      </c>
      <c r="EO173" s="231">
        <v>342345.41</v>
      </c>
      <c r="EP173" s="231">
        <v>-174845.31</v>
      </c>
      <c r="EQ173" s="229">
        <v>-0.51070000000000004</v>
      </c>
      <c r="ER173" s="231">
        <v>40851</v>
      </c>
      <c r="ES173" s="231">
        <v>23608</v>
      </c>
      <c r="ET173" s="231">
        <v>309786</v>
      </c>
      <c r="EU173" s="231">
        <v>216861410</v>
      </c>
      <c r="EV173" s="231">
        <v>374244</v>
      </c>
      <c r="EW173" s="231">
        <v>351208</v>
      </c>
      <c r="EX173" s="231">
        <v>23036</v>
      </c>
      <c r="EY173" s="229">
        <v>6.5600000000000006E-2</v>
      </c>
      <c r="EZ173" s="229">
        <v>1.1034999999999999</v>
      </c>
      <c r="FA173" s="227" t="s">
        <v>555</v>
      </c>
      <c r="FB173" s="161">
        <f t="shared" si="4"/>
        <v>0</v>
      </c>
    </row>
    <row r="174" spans="1:158" ht="17.25" thickBot="1" x14ac:dyDescent="0.3">
      <c r="A174" s="226">
        <v>46050</v>
      </c>
      <c r="B174" s="227" t="s">
        <v>175</v>
      </c>
      <c r="C174" s="227" t="s">
        <v>685</v>
      </c>
      <c r="D174" s="228">
        <v>4300</v>
      </c>
      <c r="E174" s="228">
        <v>142.86000000000001</v>
      </c>
      <c r="F174" s="228">
        <v>139.16999999999999</v>
      </c>
      <c r="G174" s="228">
        <v>3.69</v>
      </c>
      <c r="H174" s="229">
        <v>2.6499999999999999E-2</v>
      </c>
      <c r="I174" s="228">
        <v>141.83000000000001</v>
      </c>
      <c r="J174" s="228">
        <v>138.76</v>
      </c>
      <c r="K174" s="228">
        <v>3.07</v>
      </c>
      <c r="L174" s="229">
        <v>2.2100000000000002E-2</v>
      </c>
      <c r="M174" s="228">
        <v>142.86000000000001</v>
      </c>
      <c r="N174" s="228">
        <v>138.43</v>
      </c>
      <c r="O174" s="228">
        <v>4.43</v>
      </c>
      <c r="P174" s="229">
        <v>3.2000000000000001E-2</v>
      </c>
      <c r="Q174" s="228">
        <v>143.77000000000001</v>
      </c>
      <c r="R174" s="228">
        <v>139.16999999999999</v>
      </c>
      <c r="S174" s="228">
        <v>4.5999999999999996</v>
      </c>
      <c r="T174" s="229">
        <v>3.3099999999999997E-2</v>
      </c>
      <c r="U174" s="228">
        <v>144.86000000000001</v>
      </c>
      <c r="V174" s="228">
        <v>140.44999999999999</v>
      </c>
      <c r="W174" s="228">
        <v>4.41</v>
      </c>
      <c r="X174" s="229">
        <v>3.1399999999999997E-2</v>
      </c>
      <c r="Y174" s="228">
        <v>1.03</v>
      </c>
      <c r="Z174" s="228">
        <v>0.41</v>
      </c>
      <c r="AA174" s="228">
        <v>0.62</v>
      </c>
      <c r="AB174" s="229">
        <v>7.3000000000000001E-3</v>
      </c>
      <c r="AC174" s="228">
        <v>1.03</v>
      </c>
      <c r="AD174" s="228">
        <v>-0.33</v>
      </c>
      <c r="AE174" s="228">
        <v>1.36</v>
      </c>
      <c r="AF174" s="229">
        <v>7.3000000000000001E-3</v>
      </c>
      <c r="AG174" s="228">
        <v>1.94</v>
      </c>
      <c r="AH174" s="228">
        <v>0.41</v>
      </c>
      <c r="AI174" s="228">
        <v>1.53</v>
      </c>
      <c r="AJ174" s="229">
        <v>1.37E-2</v>
      </c>
      <c r="AK174" s="228">
        <v>3.03</v>
      </c>
      <c r="AL174" s="228">
        <v>1.69</v>
      </c>
      <c r="AM174" s="228">
        <v>1.34</v>
      </c>
      <c r="AN174" s="229">
        <v>2.1399999999999999E-2</v>
      </c>
      <c r="AO174" s="228">
        <v>142.96</v>
      </c>
      <c r="AP174" s="228">
        <v>143.77000000000001</v>
      </c>
      <c r="AQ174" s="228">
        <v>0</v>
      </c>
      <c r="AR174" s="230">
        <v>37014400</v>
      </c>
      <c r="AS174" s="230">
        <v>171574300</v>
      </c>
      <c r="AT174" s="230">
        <v>-134559900</v>
      </c>
      <c r="AU174" s="229">
        <v>-0.7843</v>
      </c>
      <c r="AV174" s="230">
        <v>32052200</v>
      </c>
      <c r="AW174" s="230">
        <v>95842700</v>
      </c>
      <c r="AX174" s="230">
        <v>-63790500</v>
      </c>
      <c r="AY174" s="229">
        <v>-0.66559999999999997</v>
      </c>
      <c r="AZ174" s="230">
        <v>4553700</v>
      </c>
      <c r="BA174" s="230">
        <v>75594000</v>
      </c>
      <c r="BB174" s="230">
        <v>-71040300</v>
      </c>
      <c r="BC174" s="229">
        <v>-0.93979999999999997</v>
      </c>
      <c r="BD174" s="230">
        <v>408500</v>
      </c>
      <c r="BE174" s="230">
        <v>137600</v>
      </c>
      <c r="BF174" s="230">
        <v>270900</v>
      </c>
      <c r="BG174" s="229">
        <v>1.9688000000000001</v>
      </c>
      <c r="BH174" s="230">
        <v>43709500</v>
      </c>
      <c r="BI174" s="230">
        <v>12710800</v>
      </c>
      <c r="BJ174" s="230">
        <v>30998700</v>
      </c>
      <c r="BK174" s="229">
        <v>2.4388000000000001</v>
      </c>
      <c r="BL174" s="230">
        <v>30220400</v>
      </c>
      <c r="BM174" s="230">
        <v>9730900</v>
      </c>
      <c r="BN174" s="230">
        <v>20489500</v>
      </c>
      <c r="BO174" s="229">
        <v>2.1055999999999999</v>
      </c>
      <c r="BP174" s="230">
        <v>110944300</v>
      </c>
      <c r="BQ174" s="230">
        <v>194016000</v>
      </c>
      <c r="BR174" s="230">
        <v>-83071700</v>
      </c>
      <c r="BS174" s="229">
        <v>-0.42820000000000003</v>
      </c>
      <c r="BT174" s="230">
        <v>22683778</v>
      </c>
      <c r="BU174" s="230">
        <v>27345172</v>
      </c>
      <c r="BV174" s="230">
        <v>-4661394</v>
      </c>
      <c r="BW174" s="229">
        <v>-0.17050000000000001</v>
      </c>
      <c r="BX174" s="230">
        <v>96229700</v>
      </c>
      <c r="BY174" s="230">
        <v>80414300</v>
      </c>
      <c r="BZ174" s="230">
        <v>15815400</v>
      </c>
      <c r="CA174" s="229">
        <v>0.19670000000000001</v>
      </c>
      <c r="CB174" s="230">
        <v>92458600</v>
      </c>
      <c r="CC174" s="230">
        <v>12508700</v>
      </c>
      <c r="CD174" s="230">
        <v>79949900</v>
      </c>
      <c r="CE174" s="229">
        <v>6.3914999999999997</v>
      </c>
      <c r="CF174" s="230">
        <v>3414200</v>
      </c>
      <c r="CG174" s="230">
        <v>79984300</v>
      </c>
      <c r="CH174" s="230">
        <v>-76570100</v>
      </c>
      <c r="CI174" s="229">
        <v>-0.95730000000000004</v>
      </c>
      <c r="CJ174" s="230">
        <v>356900</v>
      </c>
      <c r="CK174" s="230">
        <v>430000</v>
      </c>
      <c r="CL174" s="230">
        <v>-73100</v>
      </c>
      <c r="CM174" s="229">
        <v>-0.17</v>
      </c>
      <c r="CN174" s="230">
        <v>19143600</v>
      </c>
      <c r="CO174" s="230">
        <v>464400</v>
      </c>
      <c r="CP174" s="230">
        <v>18679200</v>
      </c>
      <c r="CQ174" s="229">
        <v>40.222200000000001</v>
      </c>
      <c r="CR174" s="230">
        <v>14856500</v>
      </c>
      <c r="CS174" s="230">
        <v>60200</v>
      </c>
      <c r="CT174" s="230">
        <v>14796300</v>
      </c>
      <c r="CU174" s="229">
        <v>245.78569999999999</v>
      </c>
      <c r="CV174" s="230">
        <v>130229800</v>
      </c>
      <c r="CW174" s="230">
        <v>80938900</v>
      </c>
      <c r="CX174" s="230">
        <v>49290900</v>
      </c>
      <c r="CY174" s="229">
        <v>0.60899999999999999</v>
      </c>
      <c r="CZ174" s="228">
        <v>37.28</v>
      </c>
      <c r="DA174" s="228">
        <v>42.32</v>
      </c>
      <c r="DB174" s="228">
        <v>-5.04</v>
      </c>
      <c r="DC174" s="228">
        <v>-5.04</v>
      </c>
      <c r="DD174" s="228">
        <v>54.86</v>
      </c>
      <c r="DE174" s="228">
        <v>54.88</v>
      </c>
      <c r="DF174" s="228">
        <v>-17.579999999999998</v>
      </c>
      <c r="DG174" s="228">
        <v>-0.02</v>
      </c>
      <c r="DH174" s="228">
        <v>38.44</v>
      </c>
      <c r="DI174" s="228">
        <v>41.3</v>
      </c>
      <c r="DJ174" s="228">
        <v>-2.86</v>
      </c>
      <c r="DK174" s="228">
        <v>-2.86</v>
      </c>
      <c r="DL174" s="228">
        <v>35.6</v>
      </c>
      <c r="DM174" s="228">
        <v>54.9</v>
      </c>
      <c r="DN174" s="228">
        <v>-19.3</v>
      </c>
      <c r="DO174" s="228">
        <v>-19.3</v>
      </c>
      <c r="DP174" s="228">
        <v>0.78</v>
      </c>
      <c r="DQ174" s="228">
        <v>0.13</v>
      </c>
      <c r="DR174" s="228">
        <v>0.65</v>
      </c>
      <c r="DS174" s="229">
        <v>5</v>
      </c>
      <c r="DT174" s="228">
        <v>140</v>
      </c>
      <c r="DU174" s="228">
        <v>135</v>
      </c>
      <c r="DV174" s="228">
        <v>0.69</v>
      </c>
      <c r="DW174" s="228">
        <v>0.77</v>
      </c>
      <c r="DX174" s="228">
        <v>-0.08</v>
      </c>
      <c r="DY174" s="229">
        <v>-0.10390000000000001</v>
      </c>
      <c r="DZ174" s="229">
        <v>3.9199999999999999E-2</v>
      </c>
      <c r="EA174" s="230">
        <v>80414300</v>
      </c>
      <c r="EB174" s="229">
        <v>6.4000000000000003E-3</v>
      </c>
      <c r="EC174" s="229">
        <v>3.9199999999999999E-2</v>
      </c>
      <c r="ED174" s="228">
        <v>0.81</v>
      </c>
      <c r="EE174" s="229">
        <v>5.7000000000000002E-3</v>
      </c>
      <c r="EF174" s="230">
        <v>11548904</v>
      </c>
      <c r="EG174" s="230">
        <v>14945284</v>
      </c>
      <c r="EH174" s="229">
        <v>-0.2273</v>
      </c>
      <c r="EI174" s="229">
        <v>0.5091</v>
      </c>
      <c r="EJ174" s="231">
        <v>66981.789999999994</v>
      </c>
      <c r="EK174" s="231">
        <v>42373.69</v>
      </c>
      <c r="EL174" s="231">
        <v>52959.49</v>
      </c>
      <c r="EM174" s="231">
        <v>11589</v>
      </c>
      <c r="EN174" s="231">
        <v>162314.97</v>
      </c>
      <c r="EO174" s="231">
        <v>271046.51</v>
      </c>
      <c r="EP174" s="231">
        <v>-108731.54</v>
      </c>
      <c r="EQ174" s="229">
        <v>-0.4012</v>
      </c>
      <c r="ER174" s="231">
        <v>28536</v>
      </c>
      <c r="ES174" s="231">
        <v>20358</v>
      </c>
      <c r="ET174" s="231">
        <v>137512</v>
      </c>
      <c r="EU174" s="231">
        <v>122326971</v>
      </c>
      <c r="EV174" s="231">
        <v>186406</v>
      </c>
      <c r="EW174" s="231">
        <v>112730</v>
      </c>
      <c r="EX174" s="231">
        <v>73676</v>
      </c>
      <c r="EY174" s="229">
        <v>0.65359999999999996</v>
      </c>
      <c r="EZ174" s="229">
        <v>1.0646</v>
      </c>
      <c r="FA174" s="227" t="s">
        <v>555</v>
      </c>
      <c r="FB174" s="161">
        <f t="shared" si="4"/>
        <v>0</v>
      </c>
    </row>
    <row r="175" spans="1:158" ht="17.25" thickBot="1" x14ac:dyDescent="0.3">
      <c r="A175" s="226">
        <v>46050</v>
      </c>
      <c r="B175" s="227" t="s">
        <v>175</v>
      </c>
      <c r="C175" s="227" t="s">
        <v>536</v>
      </c>
      <c r="D175" s="228">
        <v>800</v>
      </c>
      <c r="E175" s="228">
        <v>783.65</v>
      </c>
      <c r="F175" s="228">
        <v>774.7</v>
      </c>
      <c r="G175" s="228">
        <v>8.9499999999999993</v>
      </c>
      <c r="H175" s="229">
        <v>1.1599999999999999E-2</v>
      </c>
      <c r="I175" s="228">
        <v>782.4</v>
      </c>
      <c r="J175" s="228">
        <v>771</v>
      </c>
      <c r="K175" s="228">
        <v>11.4</v>
      </c>
      <c r="L175" s="229">
        <v>1.4800000000000001E-2</v>
      </c>
      <c r="M175" s="228">
        <v>783.65</v>
      </c>
      <c r="N175" s="228">
        <v>771.4</v>
      </c>
      <c r="O175" s="228">
        <v>12.25</v>
      </c>
      <c r="P175" s="229">
        <v>1.5900000000000001E-2</v>
      </c>
      <c r="Q175" s="228">
        <v>779.95</v>
      </c>
      <c r="R175" s="228">
        <v>774.7</v>
      </c>
      <c r="S175" s="228">
        <v>5.25</v>
      </c>
      <c r="T175" s="229">
        <v>6.7999999999999996E-3</v>
      </c>
      <c r="U175" s="228">
        <v>780.55</v>
      </c>
      <c r="V175" s="228">
        <v>774.15</v>
      </c>
      <c r="W175" s="228">
        <v>6.4</v>
      </c>
      <c r="X175" s="229">
        <v>8.3000000000000001E-3</v>
      </c>
      <c r="Y175" s="228">
        <v>1.25</v>
      </c>
      <c r="Z175" s="228">
        <v>3.7</v>
      </c>
      <c r="AA175" s="228">
        <v>-2.4500000000000002</v>
      </c>
      <c r="AB175" s="229">
        <v>1.6000000000000001E-3</v>
      </c>
      <c r="AC175" s="228">
        <v>1.25</v>
      </c>
      <c r="AD175" s="228">
        <v>0.4</v>
      </c>
      <c r="AE175" s="228">
        <v>0.85</v>
      </c>
      <c r="AF175" s="229">
        <v>1.6000000000000001E-3</v>
      </c>
      <c r="AG175" s="228">
        <v>-2.4500000000000002</v>
      </c>
      <c r="AH175" s="228">
        <v>3.7</v>
      </c>
      <c r="AI175" s="228">
        <v>-6.15</v>
      </c>
      <c r="AJ175" s="229">
        <v>-3.0999999999999999E-3</v>
      </c>
      <c r="AK175" s="228">
        <v>-1.85</v>
      </c>
      <c r="AL175" s="228">
        <v>3.15</v>
      </c>
      <c r="AM175" s="228">
        <v>-5</v>
      </c>
      <c r="AN175" s="229">
        <v>-2.3999999999999998E-3</v>
      </c>
      <c r="AO175" s="228">
        <v>785.02</v>
      </c>
      <c r="AP175" s="228">
        <v>782.18</v>
      </c>
      <c r="AQ175" s="228">
        <v>0</v>
      </c>
      <c r="AR175" s="230">
        <v>7788000</v>
      </c>
      <c r="AS175" s="230">
        <v>14286400</v>
      </c>
      <c r="AT175" s="230">
        <v>-6498400</v>
      </c>
      <c r="AU175" s="229">
        <v>-0.45490000000000003</v>
      </c>
      <c r="AV175" s="230">
        <v>7336000</v>
      </c>
      <c r="AW175" s="230">
        <v>6076000</v>
      </c>
      <c r="AX175" s="230">
        <v>1260000</v>
      </c>
      <c r="AY175" s="229">
        <v>0.2074</v>
      </c>
      <c r="AZ175" s="230">
        <v>419200</v>
      </c>
      <c r="BA175" s="230">
        <v>8082400</v>
      </c>
      <c r="BB175" s="230">
        <v>-7663200</v>
      </c>
      <c r="BC175" s="229">
        <v>-0.94810000000000005</v>
      </c>
      <c r="BD175" s="230">
        <v>32800</v>
      </c>
      <c r="BE175" s="230">
        <v>128000</v>
      </c>
      <c r="BF175" s="230">
        <v>-95200</v>
      </c>
      <c r="BG175" s="229">
        <v>-0.74380000000000002</v>
      </c>
      <c r="BH175" s="230">
        <v>12660800</v>
      </c>
      <c r="BI175" s="230">
        <v>4690400</v>
      </c>
      <c r="BJ175" s="230">
        <v>7970400</v>
      </c>
      <c r="BK175" s="229">
        <v>1.6993</v>
      </c>
      <c r="BL175" s="230">
        <v>5708000</v>
      </c>
      <c r="BM175" s="230">
        <v>5018400</v>
      </c>
      <c r="BN175" s="230">
        <v>689600</v>
      </c>
      <c r="BO175" s="229">
        <v>0.13739999999999999</v>
      </c>
      <c r="BP175" s="230">
        <v>26156800</v>
      </c>
      <c r="BQ175" s="230">
        <v>23995200</v>
      </c>
      <c r="BR175" s="230">
        <v>2161600</v>
      </c>
      <c r="BS175" s="229">
        <v>9.01E-2</v>
      </c>
      <c r="BT175" s="230">
        <v>1530944</v>
      </c>
      <c r="BU175" s="230">
        <v>969246</v>
      </c>
      <c r="BV175" s="230">
        <v>561698</v>
      </c>
      <c r="BW175" s="229">
        <v>0.57950000000000002</v>
      </c>
      <c r="BX175" s="230">
        <v>16292000</v>
      </c>
      <c r="BY175" s="230">
        <v>15699200</v>
      </c>
      <c r="BZ175" s="230">
        <v>592800</v>
      </c>
      <c r="CA175" s="229">
        <v>3.78E-2</v>
      </c>
      <c r="CB175" s="230">
        <v>15860000</v>
      </c>
      <c r="CC175" s="230">
        <v>1314400</v>
      </c>
      <c r="CD175" s="230">
        <v>14545600</v>
      </c>
      <c r="CE175" s="229">
        <v>11.0663</v>
      </c>
      <c r="CF175" s="230">
        <v>409600</v>
      </c>
      <c r="CG175" s="230">
        <v>15369600</v>
      </c>
      <c r="CH175" s="230">
        <v>-14960000</v>
      </c>
      <c r="CI175" s="229">
        <v>-0.97330000000000005</v>
      </c>
      <c r="CJ175" s="230">
        <v>22400</v>
      </c>
      <c r="CK175" s="230">
        <v>329600</v>
      </c>
      <c r="CL175" s="230">
        <v>-307200</v>
      </c>
      <c r="CM175" s="229">
        <v>-0.93200000000000005</v>
      </c>
      <c r="CN175" s="230">
        <v>4928000</v>
      </c>
      <c r="CO175" s="230">
        <v>2583200</v>
      </c>
      <c r="CP175" s="230">
        <v>2344800</v>
      </c>
      <c r="CQ175" s="229">
        <v>0.90769999999999995</v>
      </c>
      <c r="CR175" s="230">
        <v>3174400</v>
      </c>
      <c r="CS175" s="230">
        <v>1963200</v>
      </c>
      <c r="CT175" s="230">
        <v>1211200</v>
      </c>
      <c r="CU175" s="229">
        <v>0.61699999999999999</v>
      </c>
      <c r="CV175" s="230">
        <v>24394400</v>
      </c>
      <c r="CW175" s="230">
        <v>20245600</v>
      </c>
      <c r="CX175" s="230">
        <v>4148800</v>
      </c>
      <c r="CY175" s="229">
        <v>0.2049</v>
      </c>
      <c r="CZ175" s="228">
        <v>34.67</v>
      </c>
      <c r="DA175" s="228">
        <v>32.11</v>
      </c>
      <c r="DB175" s="228">
        <v>2.56</v>
      </c>
      <c r="DC175" s="228">
        <v>2.56</v>
      </c>
      <c r="DD175" s="228">
        <v>29.58</v>
      </c>
      <c r="DE175" s="228">
        <v>29.59</v>
      </c>
      <c r="DF175" s="228">
        <v>5.09</v>
      </c>
      <c r="DG175" s="228">
        <v>-0.01</v>
      </c>
      <c r="DH175" s="228">
        <v>34.590000000000003</v>
      </c>
      <c r="DI175" s="228">
        <v>32.35</v>
      </c>
      <c r="DJ175" s="228">
        <v>2.2400000000000002</v>
      </c>
      <c r="DK175" s="228">
        <v>2.2400000000000002</v>
      </c>
      <c r="DL175" s="228">
        <v>34.840000000000003</v>
      </c>
      <c r="DM175" s="228">
        <v>31.76</v>
      </c>
      <c r="DN175" s="228">
        <v>3.08</v>
      </c>
      <c r="DO175" s="228">
        <v>3.08</v>
      </c>
      <c r="DP175" s="228">
        <v>0.64</v>
      </c>
      <c r="DQ175" s="228">
        <v>0.76</v>
      </c>
      <c r="DR175" s="228">
        <v>-0.12</v>
      </c>
      <c r="DS175" s="229">
        <v>-0.15790000000000001</v>
      </c>
      <c r="DT175" s="228">
        <v>800</v>
      </c>
      <c r="DU175" s="228">
        <v>800</v>
      </c>
      <c r="DV175" s="228">
        <v>0.45</v>
      </c>
      <c r="DW175" s="228">
        <v>1.07</v>
      </c>
      <c r="DX175" s="228">
        <v>-0.62</v>
      </c>
      <c r="DY175" s="229">
        <v>-0.57940000000000003</v>
      </c>
      <c r="DZ175" s="229">
        <v>2.6499999999999999E-2</v>
      </c>
      <c r="EA175" s="230">
        <v>15699200</v>
      </c>
      <c r="EB175" s="229">
        <v>-4.7000000000000002E-3</v>
      </c>
      <c r="EC175" s="229">
        <v>2.6499999999999999E-2</v>
      </c>
      <c r="ED175" s="228">
        <v>-2.84</v>
      </c>
      <c r="EE175" s="229">
        <v>-3.5999999999999999E-3</v>
      </c>
      <c r="EF175" s="230">
        <v>642696</v>
      </c>
      <c r="EG175" s="230">
        <v>331673</v>
      </c>
      <c r="EH175" s="229">
        <v>0.93769999999999998</v>
      </c>
      <c r="EI175" s="229">
        <v>0.41980000000000001</v>
      </c>
      <c r="EJ175" s="231">
        <v>107059.84</v>
      </c>
      <c r="EK175" s="231">
        <v>44318.73</v>
      </c>
      <c r="EL175" s="231">
        <v>61124.4</v>
      </c>
      <c r="EM175" s="231">
        <v>19782</v>
      </c>
      <c r="EN175" s="231">
        <v>212502.97</v>
      </c>
      <c r="EO175" s="231">
        <v>188921.67</v>
      </c>
      <c r="EP175" s="231">
        <v>23581.3</v>
      </c>
      <c r="EQ175" s="229">
        <v>0.12479999999999999</v>
      </c>
      <c r="ER175" s="231">
        <v>42350</v>
      </c>
      <c r="ES175" s="231">
        <v>24558</v>
      </c>
      <c r="ET175" s="231">
        <v>127656</v>
      </c>
      <c r="EU175" s="231">
        <v>44836888</v>
      </c>
      <c r="EV175" s="231">
        <v>194564</v>
      </c>
      <c r="EW175" s="231">
        <v>159646</v>
      </c>
      <c r="EX175" s="231">
        <v>34918</v>
      </c>
      <c r="EY175" s="229">
        <v>0.21870000000000001</v>
      </c>
      <c r="EZ175" s="229">
        <v>0.54410000000000003</v>
      </c>
      <c r="FA175" s="227" t="s">
        <v>555</v>
      </c>
      <c r="FB175" s="161">
        <f t="shared" si="4"/>
        <v>0</v>
      </c>
    </row>
    <row r="176" spans="1:158" ht="17.25" thickBot="1" x14ac:dyDescent="0.3">
      <c r="A176" s="226">
        <v>46050</v>
      </c>
      <c r="B176" s="227" t="s">
        <v>175</v>
      </c>
      <c r="C176" s="227" t="s">
        <v>462</v>
      </c>
      <c r="D176" s="228">
        <v>375</v>
      </c>
      <c r="E176" s="231">
        <v>2060.6999999999998</v>
      </c>
      <c r="F176" s="231">
        <v>2052.6</v>
      </c>
      <c r="G176" s="228">
        <v>8.1</v>
      </c>
      <c r="H176" s="229">
        <v>3.8999999999999998E-3</v>
      </c>
      <c r="I176" s="231">
        <v>2053.1999999999998</v>
      </c>
      <c r="J176" s="231">
        <v>2038.2</v>
      </c>
      <c r="K176" s="228">
        <v>15</v>
      </c>
      <c r="L176" s="229">
        <v>7.4000000000000003E-3</v>
      </c>
      <c r="M176" s="231">
        <v>2060.6999999999998</v>
      </c>
      <c r="N176" s="231">
        <v>2041.3</v>
      </c>
      <c r="O176" s="228">
        <v>19.399999999999999</v>
      </c>
      <c r="P176" s="229">
        <v>9.4999999999999998E-3</v>
      </c>
      <c r="Q176" s="231">
        <v>2073.1999999999998</v>
      </c>
      <c r="R176" s="231">
        <v>2052.6</v>
      </c>
      <c r="S176" s="228">
        <v>20.6</v>
      </c>
      <c r="T176" s="229">
        <v>0.01</v>
      </c>
      <c r="U176" s="231">
        <v>2084.6999999999998</v>
      </c>
      <c r="V176" s="231">
        <v>2065.8000000000002</v>
      </c>
      <c r="W176" s="228">
        <v>18.899999999999999</v>
      </c>
      <c r="X176" s="229">
        <v>9.1000000000000004E-3</v>
      </c>
      <c r="Y176" s="228">
        <v>7.5</v>
      </c>
      <c r="Z176" s="228">
        <v>14.4</v>
      </c>
      <c r="AA176" s="228">
        <v>-6.9</v>
      </c>
      <c r="AB176" s="229">
        <v>3.7000000000000002E-3</v>
      </c>
      <c r="AC176" s="228">
        <v>7.5</v>
      </c>
      <c r="AD176" s="228">
        <v>3.1</v>
      </c>
      <c r="AE176" s="228">
        <v>4.4000000000000004</v>
      </c>
      <c r="AF176" s="229">
        <v>3.7000000000000002E-3</v>
      </c>
      <c r="AG176" s="228">
        <v>20</v>
      </c>
      <c r="AH176" s="228">
        <v>14.4</v>
      </c>
      <c r="AI176" s="228">
        <v>5.6</v>
      </c>
      <c r="AJ176" s="229">
        <v>9.7000000000000003E-3</v>
      </c>
      <c r="AK176" s="228">
        <v>31.5</v>
      </c>
      <c r="AL176" s="228">
        <v>27.6</v>
      </c>
      <c r="AM176" s="228">
        <v>3.9</v>
      </c>
      <c r="AN176" s="229">
        <v>1.5299999999999999E-2</v>
      </c>
      <c r="AO176" s="231">
        <v>2063.42</v>
      </c>
      <c r="AP176" s="231">
        <v>2076.66</v>
      </c>
      <c r="AQ176" s="228">
        <v>0</v>
      </c>
      <c r="AR176" s="230">
        <v>3136500</v>
      </c>
      <c r="AS176" s="230">
        <v>5162625</v>
      </c>
      <c r="AT176" s="230">
        <v>-2026125</v>
      </c>
      <c r="AU176" s="229">
        <v>-0.39250000000000002</v>
      </c>
      <c r="AV176" s="230">
        <v>3017250</v>
      </c>
      <c r="AW176" s="230">
        <v>2101125</v>
      </c>
      <c r="AX176" s="230">
        <v>916125</v>
      </c>
      <c r="AY176" s="229">
        <v>0.436</v>
      </c>
      <c r="AZ176" s="230">
        <v>102750</v>
      </c>
      <c r="BA176" s="230">
        <v>3015750</v>
      </c>
      <c r="BB176" s="230">
        <v>-2913000</v>
      </c>
      <c r="BC176" s="229">
        <v>-0.96589999999999998</v>
      </c>
      <c r="BD176" s="230">
        <v>16500</v>
      </c>
      <c r="BE176" s="230">
        <v>45750</v>
      </c>
      <c r="BF176" s="230">
        <v>-29250</v>
      </c>
      <c r="BG176" s="229">
        <v>-0.63929999999999998</v>
      </c>
      <c r="BH176" s="230">
        <v>9775125</v>
      </c>
      <c r="BI176" s="230">
        <v>2241375</v>
      </c>
      <c r="BJ176" s="230">
        <v>7533750</v>
      </c>
      <c r="BK176" s="229">
        <v>3.3612000000000002</v>
      </c>
      <c r="BL176" s="230">
        <v>5038875</v>
      </c>
      <c r="BM176" s="230">
        <v>1168875</v>
      </c>
      <c r="BN176" s="230">
        <v>3870000</v>
      </c>
      <c r="BO176" s="229">
        <v>3.3109000000000002</v>
      </c>
      <c r="BP176" s="230">
        <v>17950500</v>
      </c>
      <c r="BQ176" s="230">
        <v>8572875</v>
      </c>
      <c r="BR176" s="230">
        <v>9377625</v>
      </c>
      <c r="BS176" s="229">
        <v>1.0939000000000001</v>
      </c>
      <c r="BT176" s="230">
        <v>1492010</v>
      </c>
      <c r="BU176" s="230">
        <v>1412781</v>
      </c>
      <c r="BV176" s="230">
        <v>79229</v>
      </c>
      <c r="BW176" s="229">
        <v>5.6099999999999997E-2</v>
      </c>
      <c r="BX176" s="230">
        <v>9895125</v>
      </c>
      <c r="BY176" s="230">
        <v>9742875</v>
      </c>
      <c r="BZ176" s="230">
        <v>152250</v>
      </c>
      <c r="CA176" s="229">
        <v>1.5599999999999999E-2</v>
      </c>
      <c r="CB176" s="230">
        <v>9744750</v>
      </c>
      <c r="CC176" s="230">
        <v>1288875</v>
      </c>
      <c r="CD176" s="230">
        <v>8455875</v>
      </c>
      <c r="CE176" s="229">
        <v>6.5606999999999998</v>
      </c>
      <c r="CF176" s="230">
        <v>142500</v>
      </c>
      <c r="CG176" s="230">
        <v>9619500</v>
      </c>
      <c r="CH176" s="230">
        <v>-9477000</v>
      </c>
      <c r="CI176" s="229">
        <v>-0.98519999999999996</v>
      </c>
      <c r="CJ176" s="230">
        <v>7875</v>
      </c>
      <c r="CK176" s="230">
        <v>123375</v>
      </c>
      <c r="CL176" s="230">
        <v>-115500</v>
      </c>
      <c r="CM176" s="229">
        <v>-0.93620000000000003</v>
      </c>
      <c r="CN176" s="230">
        <v>1689750</v>
      </c>
      <c r="CO176" s="230">
        <v>623250</v>
      </c>
      <c r="CP176" s="230">
        <v>1066500</v>
      </c>
      <c r="CQ176" s="229">
        <v>1.7112000000000001</v>
      </c>
      <c r="CR176" s="230">
        <v>1469250</v>
      </c>
      <c r="CS176" s="230">
        <v>552000</v>
      </c>
      <c r="CT176" s="230">
        <v>917250</v>
      </c>
      <c r="CU176" s="229">
        <v>1.6617</v>
      </c>
      <c r="CV176" s="230">
        <v>13054125</v>
      </c>
      <c r="CW176" s="230">
        <v>10918125</v>
      </c>
      <c r="CX176" s="230">
        <v>2136000</v>
      </c>
      <c r="CY176" s="229">
        <v>0.1956</v>
      </c>
      <c r="CZ176" s="228">
        <v>25.11</v>
      </c>
      <c r="DA176" s="228">
        <v>25.31</v>
      </c>
      <c r="DB176" s="228">
        <v>-0.2</v>
      </c>
      <c r="DC176" s="228">
        <v>-0.2</v>
      </c>
      <c r="DD176" s="228">
        <v>23.62</v>
      </c>
      <c r="DE176" s="228">
        <v>23.66</v>
      </c>
      <c r="DF176" s="228">
        <v>1.49</v>
      </c>
      <c r="DG176" s="228">
        <v>-0.04</v>
      </c>
      <c r="DH176" s="228">
        <v>24.84</v>
      </c>
      <c r="DI176" s="228">
        <v>24.98</v>
      </c>
      <c r="DJ176" s="228">
        <v>-0.14000000000000001</v>
      </c>
      <c r="DK176" s="228">
        <v>-0.14000000000000001</v>
      </c>
      <c r="DL176" s="228">
        <v>25.64</v>
      </c>
      <c r="DM176" s="228">
        <v>26.07</v>
      </c>
      <c r="DN176" s="228">
        <v>-0.43</v>
      </c>
      <c r="DO176" s="228">
        <v>-0.43</v>
      </c>
      <c r="DP176" s="228">
        <v>0.87</v>
      </c>
      <c r="DQ176" s="228">
        <v>0.89</v>
      </c>
      <c r="DR176" s="228">
        <v>-0.02</v>
      </c>
      <c r="DS176" s="229">
        <v>-2.2499999999999999E-2</v>
      </c>
      <c r="DT176" s="231">
        <v>2100</v>
      </c>
      <c r="DU176" s="231">
        <v>2060</v>
      </c>
      <c r="DV176" s="228">
        <v>0.52</v>
      </c>
      <c r="DW176" s="228">
        <v>0.52</v>
      </c>
      <c r="DX176" s="228">
        <v>0</v>
      </c>
      <c r="DY176" s="229">
        <v>0</v>
      </c>
      <c r="DZ176" s="229">
        <v>1.52E-2</v>
      </c>
      <c r="EA176" s="230">
        <v>9742875</v>
      </c>
      <c r="EB176" s="229">
        <v>6.1000000000000004E-3</v>
      </c>
      <c r="EC176" s="229">
        <v>1.52E-2</v>
      </c>
      <c r="ED176" s="228">
        <v>13.24</v>
      </c>
      <c r="EE176" s="229">
        <v>6.4000000000000003E-3</v>
      </c>
      <c r="EF176" s="230">
        <v>733562</v>
      </c>
      <c r="EG176" s="230">
        <v>892119</v>
      </c>
      <c r="EH176" s="229">
        <v>-0.1777</v>
      </c>
      <c r="EI176" s="229">
        <v>0.49170000000000003</v>
      </c>
      <c r="EJ176" s="231">
        <v>211687.08</v>
      </c>
      <c r="EK176" s="231">
        <v>102571.74</v>
      </c>
      <c r="EL176" s="231">
        <v>64737.14</v>
      </c>
      <c r="EM176" s="231">
        <v>18237</v>
      </c>
      <c r="EN176" s="231">
        <v>378995.96</v>
      </c>
      <c r="EO176" s="231">
        <v>175800.95</v>
      </c>
      <c r="EP176" s="231">
        <v>203195.01</v>
      </c>
      <c r="EQ176" s="229">
        <v>1.1557999999999999</v>
      </c>
      <c r="ER176" s="231">
        <v>36401</v>
      </c>
      <c r="ES176" s="231">
        <v>29038</v>
      </c>
      <c r="ET176" s="231">
        <v>203929</v>
      </c>
      <c r="EU176" s="231">
        <v>44756800</v>
      </c>
      <c r="EV176" s="231">
        <v>269367</v>
      </c>
      <c r="EW176" s="231">
        <v>224022</v>
      </c>
      <c r="EX176" s="231">
        <v>45345</v>
      </c>
      <c r="EY176" s="229">
        <v>0.2024</v>
      </c>
      <c r="EZ176" s="229">
        <v>0.29170000000000001</v>
      </c>
      <c r="FA176" s="227" t="s">
        <v>555</v>
      </c>
      <c r="FB176" s="161">
        <f t="shared" si="4"/>
        <v>0</v>
      </c>
    </row>
    <row r="177" spans="1:158" ht="17.25" thickBot="1" x14ac:dyDescent="0.3">
      <c r="A177" s="226">
        <v>46050</v>
      </c>
      <c r="B177" s="227" t="s">
        <v>172</v>
      </c>
      <c r="C177" s="227" t="s">
        <v>283</v>
      </c>
      <c r="D177" s="228">
        <v>750</v>
      </c>
      <c r="E177" s="231">
        <v>1067.3</v>
      </c>
      <c r="F177" s="231">
        <v>1058.4000000000001</v>
      </c>
      <c r="G177" s="228">
        <v>8.9</v>
      </c>
      <c r="H177" s="229">
        <v>8.3999999999999995E-3</v>
      </c>
      <c r="I177" s="231">
        <v>1063.5</v>
      </c>
      <c r="J177" s="231">
        <v>1053.1500000000001</v>
      </c>
      <c r="K177" s="228">
        <v>10.35</v>
      </c>
      <c r="L177" s="229">
        <v>9.7999999999999997E-3</v>
      </c>
      <c r="M177" s="231">
        <v>1067.3</v>
      </c>
      <c r="N177" s="231">
        <v>1051.05</v>
      </c>
      <c r="O177" s="228">
        <v>16.25</v>
      </c>
      <c r="P177" s="229">
        <v>1.55E-2</v>
      </c>
      <c r="Q177" s="231">
        <v>1074.05</v>
      </c>
      <c r="R177" s="231">
        <v>1058.4000000000001</v>
      </c>
      <c r="S177" s="228">
        <v>15.65</v>
      </c>
      <c r="T177" s="229">
        <v>1.4800000000000001E-2</v>
      </c>
      <c r="U177" s="231">
        <v>1080.55</v>
      </c>
      <c r="V177" s="231">
        <v>1065.2</v>
      </c>
      <c r="W177" s="228">
        <v>15.35</v>
      </c>
      <c r="X177" s="229">
        <v>1.44E-2</v>
      </c>
      <c r="Y177" s="228">
        <v>3.8</v>
      </c>
      <c r="Z177" s="228">
        <v>5.25</v>
      </c>
      <c r="AA177" s="228">
        <v>-1.45</v>
      </c>
      <c r="AB177" s="229">
        <v>3.5999999999999999E-3</v>
      </c>
      <c r="AC177" s="228">
        <v>3.8</v>
      </c>
      <c r="AD177" s="228">
        <v>-2.1</v>
      </c>
      <c r="AE177" s="228">
        <v>5.9</v>
      </c>
      <c r="AF177" s="229">
        <v>3.5999999999999999E-3</v>
      </c>
      <c r="AG177" s="228">
        <v>10.55</v>
      </c>
      <c r="AH177" s="228">
        <v>5.25</v>
      </c>
      <c r="AI177" s="228">
        <v>5.3</v>
      </c>
      <c r="AJ177" s="229">
        <v>9.9000000000000008E-3</v>
      </c>
      <c r="AK177" s="228">
        <v>17.05</v>
      </c>
      <c r="AL177" s="228">
        <v>12.05</v>
      </c>
      <c r="AM177" s="228">
        <v>5</v>
      </c>
      <c r="AN177" s="229">
        <v>1.6E-2</v>
      </c>
      <c r="AO177" s="231">
        <v>1060.6099999999999</v>
      </c>
      <c r="AP177" s="231">
        <v>1068.0899999999999</v>
      </c>
      <c r="AQ177" s="228">
        <v>0</v>
      </c>
      <c r="AR177" s="230">
        <v>15054750</v>
      </c>
      <c r="AS177" s="230">
        <v>39948000</v>
      </c>
      <c r="AT177" s="230">
        <v>-24893250</v>
      </c>
      <c r="AU177" s="229">
        <v>-0.62309999999999999</v>
      </c>
      <c r="AV177" s="230">
        <v>14150250</v>
      </c>
      <c r="AW177" s="230">
        <v>17928000</v>
      </c>
      <c r="AX177" s="230">
        <v>-3777750</v>
      </c>
      <c r="AY177" s="229">
        <v>-0.2107</v>
      </c>
      <c r="AZ177" s="230">
        <v>654750</v>
      </c>
      <c r="BA177" s="230">
        <v>21450750</v>
      </c>
      <c r="BB177" s="230">
        <v>-20796000</v>
      </c>
      <c r="BC177" s="229">
        <v>-0.96950000000000003</v>
      </c>
      <c r="BD177" s="230">
        <v>249750</v>
      </c>
      <c r="BE177" s="230">
        <v>569250</v>
      </c>
      <c r="BF177" s="230">
        <v>-319500</v>
      </c>
      <c r="BG177" s="229">
        <v>-0.56130000000000002</v>
      </c>
      <c r="BH177" s="230">
        <v>44938500</v>
      </c>
      <c r="BI177" s="230">
        <v>70049250</v>
      </c>
      <c r="BJ177" s="230">
        <v>-25110750</v>
      </c>
      <c r="BK177" s="229">
        <v>-0.35849999999999999</v>
      </c>
      <c r="BL177" s="230">
        <v>31179750</v>
      </c>
      <c r="BM177" s="230">
        <v>51594000</v>
      </c>
      <c r="BN177" s="230">
        <v>-20414250</v>
      </c>
      <c r="BO177" s="229">
        <v>-0.3957</v>
      </c>
      <c r="BP177" s="230">
        <v>91173000</v>
      </c>
      <c r="BQ177" s="230">
        <v>161591250</v>
      </c>
      <c r="BR177" s="230">
        <v>-70418250</v>
      </c>
      <c r="BS177" s="229">
        <v>-0.43580000000000002</v>
      </c>
      <c r="BT177" s="230">
        <v>12987443</v>
      </c>
      <c r="BU177" s="230">
        <v>15235180</v>
      </c>
      <c r="BV177" s="230">
        <v>-2247737</v>
      </c>
      <c r="BW177" s="229">
        <v>-0.14749999999999999</v>
      </c>
      <c r="BX177" s="230">
        <v>69930750</v>
      </c>
      <c r="BY177" s="230">
        <v>70955250</v>
      </c>
      <c r="BZ177" s="230">
        <v>-1024500</v>
      </c>
      <c r="CA177" s="229">
        <v>-1.44E-2</v>
      </c>
      <c r="CB177" s="230">
        <v>67217250</v>
      </c>
      <c r="CC177" s="230">
        <v>13164000</v>
      </c>
      <c r="CD177" s="230">
        <v>54053250</v>
      </c>
      <c r="CE177" s="229">
        <v>4.1060999999999996</v>
      </c>
      <c r="CF177" s="230">
        <v>2537250</v>
      </c>
      <c r="CG177" s="230">
        <v>68415750</v>
      </c>
      <c r="CH177" s="230">
        <v>-65878500</v>
      </c>
      <c r="CI177" s="229">
        <v>-0.96289999999999998</v>
      </c>
      <c r="CJ177" s="230">
        <v>176250</v>
      </c>
      <c r="CK177" s="230">
        <v>2539500</v>
      </c>
      <c r="CL177" s="230">
        <v>-2363250</v>
      </c>
      <c r="CM177" s="229">
        <v>-0.93059999999999998</v>
      </c>
      <c r="CN177" s="230">
        <v>16641000</v>
      </c>
      <c r="CO177" s="230">
        <v>12966000</v>
      </c>
      <c r="CP177" s="230">
        <v>3675000</v>
      </c>
      <c r="CQ177" s="229">
        <v>0.28339999999999999</v>
      </c>
      <c r="CR177" s="230">
        <v>19053750</v>
      </c>
      <c r="CS177" s="230">
        <v>15747000</v>
      </c>
      <c r="CT177" s="230">
        <v>3306750</v>
      </c>
      <c r="CU177" s="229">
        <v>0.21</v>
      </c>
      <c r="CV177" s="230">
        <v>105625500</v>
      </c>
      <c r="CW177" s="230">
        <v>99668250</v>
      </c>
      <c r="CX177" s="230">
        <v>5957250</v>
      </c>
      <c r="CY177" s="229">
        <v>5.9799999999999999E-2</v>
      </c>
      <c r="CZ177" s="228">
        <v>26.03</v>
      </c>
      <c r="DA177" s="228">
        <v>26.83</v>
      </c>
      <c r="DB177" s="228">
        <v>-0.8</v>
      </c>
      <c r="DC177" s="228">
        <v>-0.8</v>
      </c>
      <c r="DD177" s="228">
        <v>24.25</v>
      </c>
      <c r="DE177" s="228">
        <v>24.27</v>
      </c>
      <c r="DF177" s="228">
        <v>1.78</v>
      </c>
      <c r="DG177" s="228">
        <v>-0.02</v>
      </c>
      <c r="DH177" s="228">
        <v>25.56</v>
      </c>
      <c r="DI177" s="228">
        <v>26.3</v>
      </c>
      <c r="DJ177" s="228">
        <v>-0.74</v>
      </c>
      <c r="DK177" s="228">
        <v>-0.74</v>
      </c>
      <c r="DL177" s="228">
        <v>26.71</v>
      </c>
      <c r="DM177" s="228">
        <v>27.41</v>
      </c>
      <c r="DN177" s="228">
        <v>-0.7</v>
      </c>
      <c r="DO177" s="228">
        <v>-0.7</v>
      </c>
      <c r="DP177" s="228">
        <v>1.1399999999999999</v>
      </c>
      <c r="DQ177" s="228">
        <v>1.21</v>
      </c>
      <c r="DR177" s="228">
        <v>-7.0000000000000007E-2</v>
      </c>
      <c r="DS177" s="229">
        <v>-5.79E-2</v>
      </c>
      <c r="DT177" s="231">
        <v>1100</v>
      </c>
      <c r="DU177" s="231">
        <v>1020</v>
      </c>
      <c r="DV177" s="228">
        <v>0.69</v>
      </c>
      <c r="DW177" s="228">
        <v>0.74</v>
      </c>
      <c r="DX177" s="228">
        <v>-0.05</v>
      </c>
      <c r="DY177" s="229">
        <v>-6.7599999999999993E-2</v>
      </c>
      <c r="DZ177" s="229">
        <v>3.8800000000000001E-2</v>
      </c>
      <c r="EA177" s="230">
        <v>70955250</v>
      </c>
      <c r="EB177" s="229">
        <v>6.3E-3</v>
      </c>
      <c r="EC177" s="229">
        <v>3.8800000000000001E-2</v>
      </c>
      <c r="ED177" s="228">
        <v>7.48</v>
      </c>
      <c r="EE177" s="229">
        <v>7.1000000000000004E-3</v>
      </c>
      <c r="EF177" s="230">
        <v>8036236</v>
      </c>
      <c r="EG177" s="230">
        <v>7902062</v>
      </c>
      <c r="EH177" s="229">
        <v>1.7000000000000001E-2</v>
      </c>
      <c r="EI177" s="229">
        <v>0.61880000000000002</v>
      </c>
      <c r="EJ177" s="231">
        <v>496590.09</v>
      </c>
      <c r="EK177" s="231">
        <v>325790.25</v>
      </c>
      <c r="EL177" s="231">
        <v>159761.04</v>
      </c>
      <c r="EM177" s="231">
        <v>64570</v>
      </c>
      <c r="EN177" s="231">
        <v>982141.38</v>
      </c>
      <c r="EO177" s="231">
        <v>1698136.98</v>
      </c>
      <c r="EP177" s="231">
        <v>-715995.6</v>
      </c>
      <c r="EQ177" s="229">
        <v>-0.42159999999999997</v>
      </c>
      <c r="ER177" s="231">
        <v>178772</v>
      </c>
      <c r="ES177" s="231">
        <v>191920</v>
      </c>
      <c r="ET177" s="231">
        <v>746566</v>
      </c>
      <c r="EU177" s="231">
        <v>436949195</v>
      </c>
      <c r="EV177" s="231">
        <v>1117258</v>
      </c>
      <c r="EW177" s="231">
        <v>1047904</v>
      </c>
      <c r="EX177" s="231">
        <v>69354</v>
      </c>
      <c r="EY177" s="229">
        <v>6.6199999999999995E-2</v>
      </c>
      <c r="EZ177" s="229">
        <v>0.2417</v>
      </c>
      <c r="FA177" s="227" t="s">
        <v>556</v>
      </c>
      <c r="FB177" s="161">
        <f t="shared" si="4"/>
        <v>0</v>
      </c>
    </row>
    <row r="178" spans="1:158" ht="17.25" thickBot="1" x14ac:dyDescent="0.3">
      <c r="A178" s="226">
        <v>46050</v>
      </c>
      <c r="B178" s="227" t="s">
        <v>157</v>
      </c>
      <c r="C178" s="227" t="s">
        <v>284</v>
      </c>
      <c r="D178" s="228">
        <v>25</v>
      </c>
      <c r="E178" s="231">
        <v>27500</v>
      </c>
      <c r="F178" s="231">
        <v>27300</v>
      </c>
      <c r="G178" s="228">
        <v>200</v>
      </c>
      <c r="H178" s="229">
        <v>7.3000000000000001E-3</v>
      </c>
      <c r="I178" s="231">
        <v>27480</v>
      </c>
      <c r="J178" s="231">
        <v>27220</v>
      </c>
      <c r="K178" s="228">
        <v>260</v>
      </c>
      <c r="L178" s="229">
        <v>9.5999999999999992E-3</v>
      </c>
      <c r="M178" s="231">
        <v>27500</v>
      </c>
      <c r="N178" s="231">
        <v>27210</v>
      </c>
      <c r="O178" s="228">
        <v>290</v>
      </c>
      <c r="P178" s="229">
        <v>1.0699999999999999E-2</v>
      </c>
      <c r="Q178" s="231">
        <v>27600</v>
      </c>
      <c r="R178" s="231">
        <v>27300</v>
      </c>
      <c r="S178" s="228">
        <v>300</v>
      </c>
      <c r="T178" s="229">
        <v>1.0999999999999999E-2</v>
      </c>
      <c r="U178" s="228">
        <v>0</v>
      </c>
      <c r="V178" s="231">
        <v>27550</v>
      </c>
      <c r="W178" s="228">
        <v>0</v>
      </c>
      <c r="X178" s="229">
        <v>0</v>
      </c>
      <c r="Y178" s="228">
        <v>20</v>
      </c>
      <c r="Z178" s="228">
        <v>80</v>
      </c>
      <c r="AA178" s="228">
        <v>-60</v>
      </c>
      <c r="AB178" s="229">
        <v>6.9999999999999999E-4</v>
      </c>
      <c r="AC178" s="228">
        <v>20</v>
      </c>
      <c r="AD178" s="228">
        <v>-10</v>
      </c>
      <c r="AE178" s="228">
        <v>30</v>
      </c>
      <c r="AF178" s="229">
        <v>6.9999999999999999E-4</v>
      </c>
      <c r="AG178" s="228">
        <v>120</v>
      </c>
      <c r="AH178" s="228">
        <v>80</v>
      </c>
      <c r="AI178" s="228">
        <v>40</v>
      </c>
      <c r="AJ178" s="229">
        <v>4.4000000000000003E-3</v>
      </c>
      <c r="AK178" s="228">
        <v>0</v>
      </c>
      <c r="AL178" s="228">
        <v>330</v>
      </c>
      <c r="AM178" s="228">
        <v>0</v>
      </c>
      <c r="AN178" s="229">
        <v>0</v>
      </c>
      <c r="AO178" s="231">
        <v>27340.46</v>
      </c>
      <c r="AP178" s="231">
        <v>27444.44</v>
      </c>
      <c r="AQ178" s="228">
        <v>0</v>
      </c>
      <c r="AR178" s="230">
        <v>54275</v>
      </c>
      <c r="AS178" s="230">
        <v>152575</v>
      </c>
      <c r="AT178" s="230">
        <v>-98300</v>
      </c>
      <c r="AU178" s="229">
        <v>-0.64429999999999998</v>
      </c>
      <c r="AV178" s="230">
        <v>53825</v>
      </c>
      <c r="AW178" s="230">
        <v>61325</v>
      </c>
      <c r="AX178" s="230">
        <v>-7500</v>
      </c>
      <c r="AY178" s="229">
        <v>-0.12230000000000001</v>
      </c>
      <c r="AZ178" s="228">
        <v>450</v>
      </c>
      <c r="BA178" s="230">
        <v>90175</v>
      </c>
      <c r="BB178" s="230">
        <v>-89725</v>
      </c>
      <c r="BC178" s="229">
        <v>-0.995</v>
      </c>
      <c r="BD178" s="228">
        <v>0</v>
      </c>
      <c r="BE178" s="230">
        <v>1075</v>
      </c>
      <c r="BF178" s="228">
        <v>0</v>
      </c>
      <c r="BG178" s="229">
        <v>0</v>
      </c>
      <c r="BH178" s="230">
        <v>15675</v>
      </c>
      <c r="BI178" s="230">
        <v>111150</v>
      </c>
      <c r="BJ178" s="230">
        <v>-95475</v>
      </c>
      <c r="BK178" s="229">
        <v>-0.85899999999999999</v>
      </c>
      <c r="BL178" s="230">
        <v>14800</v>
      </c>
      <c r="BM178" s="230">
        <v>86600</v>
      </c>
      <c r="BN178" s="230">
        <v>-71800</v>
      </c>
      <c r="BO178" s="229">
        <v>-0.82909999999999995</v>
      </c>
      <c r="BP178" s="230">
        <v>84750</v>
      </c>
      <c r="BQ178" s="230">
        <v>350325</v>
      </c>
      <c r="BR178" s="230">
        <v>-265575</v>
      </c>
      <c r="BS178" s="229">
        <v>-0.7581</v>
      </c>
      <c r="BT178" s="230">
        <v>18624</v>
      </c>
      <c r="BU178" s="230">
        <v>32702</v>
      </c>
      <c r="BV178" s="230">
        <v>-14078</v>
      </c>
      <c r="BW178" s="229">
        <v>-0.43049999999999999</v>
      </c>
      <c r="BX178" s="230">
        <v>269650</v>
      </c>
      <c r="BY178" s="230">
        <v>251000</v>
      </c>
      <c r="BZ178" s="230">
        <v>18650</v>
      </c>
      <c r="CA178" s="229">
        <v>7.4300000000000005E-2</v>
      </c>
      <c r="CB178" s="230">
        <v>268075</v>
      </c>
      <c r="CC178" s="230">
        <v>12725</v>
      </c>
      <c r="CD178" s="230">
        <v>255350</v>
      </c>
      <c r="CE178" s="229">
        <v>20.066800000000001</v>
      </c>
      <c r="CF178" s="230">
        <v>1575</v>
      </c>
      <c r="CG178" s="230">
        <v>249575</v>
      </c>
      <c r="CH178" s="230">
        <v>-248000</v>
      </c>
      <c r="CI178" s="229">
        <v>-0.99370000000000003</v>
      </c>
      <c r="CJ178" s="228">
        <v>0</v>
      </c>
      <c r="CK178" s="230">
        <v>1425</v>
      </c>
      <c r="CL178" s="230">
        <v>-1425</v>
      </c>
      <c r="CM178" s="229">
        <v>-1</v>
      </c>
      <c r="CN178" s="230">
        <v>16075</v>
      </c>
      <c r="CO178" s="230">
        <v>12600</v>
      </c>
      <c r="CP178" s="230">
        <v>3475</v>
      </c>
      <c r="CQ178" s="229">
        <v>0.27579999999999999</v>
      </c>
      <c r="CR178" s="230">
        <v>14525</v>
      </c>
      <c r="CS178" s="230">
        <v>12025</v>
      </c>
      <c r="CT178" s="230">
        <v>2500</v>
      </c>
      <c r="CU178" s="229">
        <v>0.2079</v>
      </c>
      <c r="CV178" s="230">
        <v>300250</v>
      </c>
      <c r="CW178" s="230">
        <v>275625</v>
      </c>
      <c r="CX178" s="230">
        <v>24625</v>
      </c>
      <c r="CY178" s="229">
        <v>8.9300000000000004E-2</v>
      </c>
      <c r="CZ178" s="228">
        <v>26.56</v>
      </c>
      <c r="DA178" s="228">
        <v>27.72</v>
      </c>
      <c r="DB178" s="228">
        <v>-1.1599999999999999</v>
      </c>
      <c r="DC178" s="228">
        <v>-1.1599999999999999</v>
      </c>
      <c r="DD178" s="228">
        <v>24.07</v>
      </c>
      <c r="DE178" s="228">
        <v>24.11</v>
      </c>
      <c r="DF178" s="228">
        <v>2.4900000000000002</v>
      </c>
      <c r="DG178" s="228">
        <v>-0.04</v>
      </c>
      <c r="DH178" s="228">
        <v>25.94</v>
      </c>
      <c r="DI178" s="228">
        <v>27.61</v>
      </c>
      <c r="DJ178" s="228">
        <v>-1.67</v>
      </c>
      <c r="DK178" s="228">
        <v>-1.67</v>
      </c>
      <c r="DL178" s="228">
        <v>27.22</v>
      </c>
      <c r="DM178" s="228">
        <v>27.84</v>
      </c>
      <c r="DN178" s="228">
        <v>-0.62</v>
      </c>
      <c r="DO178" s="228">
        <v>-0.62</v>
      </c>
      <c r="DP178" s="228">
        <v>0.9</v>
      </c>
      <c r="DQ178" s="228">
        <v>0.95</v>
      </c>
      <c r="DR178" s="228">
        <v>-0.05</v>
      </c>
      <c r="DS178" s="229">
        <v>-5.2600000000000001E-2</v>
      </c>
      <c r="DT178" s="231">
        <v>27500</v>
      </c>
      <c r="DU178" s="231">
        <v>27500</v>
      </c>
      <c r="DV178" s="228">
        <v>0.94</v>
      </c>
      <c r="DW178" s="228">
        <v>0.78</v>
      </c>
      <c r="DX178" s="228">
        <v>0.16</v>
      </c>
      <c r="DY178" s="229">
        <v>0.2051</v>
      </c>
      <c r="DZ178" s="229">
        <v>5.7999999999999996E-3</v>
      </c>
      <c r="EA178" s="230">
        <v>251000</v>
      </c>
      <c r="EB178" s="229">
        <v>3.5999999999999999E-3</v>
      </c>
      <c r="EC178" s="229">
        <v>5.7999999999999996E-3</v>
      </c>
      <c r="ED178" s="228">
        <v>103.98</v>
      </c>
      <c r="EE178" s="229">
        <v>3.8E-3</v>
      </c>
      <c r="EF178" s="230">
        <v>11631</v>
      </c>
      <c r="EG178" s="230">
        <v>12762</v>
      </c>
      <c r="EH178" s="229">
        <v>-8.8599999999999998E-2</v>
      </c>
      <c r="EI178" s="229">
        <v>0.62450000000000006</v>
      </c>
      <c r="EJ178" s="231">
        <v>4503.92</v>
      </c>
      <c r="EK178" s="231">
        <v>4028.4</v>
      </c>
      <c r="EL178" s="231">
        <v>14839.5</v>
      </c>
      <c r="EM178" s="231">
        <v>8045</v>
      </c>
      <c r="EN178" s="231">
        <v>23371.82</v>
      </c>
      <c r="EO178" s="231">
        <v>96866.81</v>
      </c>
      <c r="EP178" s="231">
        <v>-73494.990000000005</v>
      </c>
      <c r="EQ178" s="229">
        <v>-0.75870000000000004</v>
      </c>
      <c r="ER178" s="231">
        <v>4592</v>
      </c>
      <c r="ES178" s="231">
        <v>3900</v>
      </c>
      <c r="ET178" s="231">
        <v>74155</v>
      </c>
      <c r="EU178" s="231">
        <v>1568093</v>
      </c>
      <c r="EV178" s="231">
        <v>82648</v>
      </c>
      <c r="EW178" s="231">
        <v>75360</v>
      </c>
      <c r="EX178" s="231">
        <v>7288</v>
      </c>
      <c r="EY178" s="229">
        <v>9.6699999999999994E-2</v>
      </c>
      <c r="EZ178" s="229">
        <v>0.1915</v>
      </c>
      <c r="FA178" s="227" t="s">
        <v>555</v>
      </c>
      <c r="FB178" s="161">
        <f t="shared" si="4"/>
        <v>0</v>
      </c>
    </row>
    <row r="179" spans="1:158" ht="17.25" thickBot="1" x14ac:dyDescent="0.3">
      <c r="A179" s="226">
        <v>46050</v>
      </c>
      <c r="B179" s="227" t="s">
        <v>175</v>
      </c>
      <c r="C179" s="227" t="s">
        <v>562</v>
      </c>
      <c r="D179" s="228">
        <v>825</v>
      </c>
      <c r="E179" s="231">
        <v>1022.55</v>
      </c>
      <c r="F179" s="231">
        <v>1006.3</v>
      </c>
      <c r="G179" s="228">
        <v>16.25</v>
      </c>
      <c r="H179" s="229">
        <v>1.61E-2</v>
      </c>
      <c r="I179" s="231">
        <v>1018.8</v>
      </c>
      <c r="J179" s="231">
        <v>1001.05</v>
      </c>
      <c r="K179" s="228">
        <v>17.75</v>
      </c>
      <c r="L179" s="229">
        <v>1.77E-2</v>
      </c>
      <c r="M179" s="231">
        <v>1022.55</v>
      </c>
      <c r="N179" s="231">
        <v>1001.1</v>
      </c>
      <c r="O179" s="228">
        <v>21.45</v>
      </c>
      <c r="P179" s="229">
        <v>2.1399999999999999E-2</v>
      </c>
      <c r="Q179" s="231">
        <v>1029.55</v>
      </c>
      <c r="R179" s="231">
        <v>1006.3</v>
      </c>
      <c r="S179" s="228">
        <v>23.25</v>
      </c>
      <c r="T179" s="229">
        <v>2.3099999999999999E-2</v>
      </c>
      <c r="U179" s="231">
        <v>1034.25</v>
      </c>
      <c r="V179" s="231">
        <v>1012.75</v>
      </c>
      <c r="W179" s="228">
        <v>21.5</v>
      </c>
      <c r="X179" s="229">
        <v>2.12E-2</v>
      </c>
      <c r="Y179" s="228">
        <v>3.75</v>
      </c>
      <c r="Z179" s="228">
        <v>5.25</v>
      </c>
      <c r="AA179" s="228">
        <v>-1.5</v>
      </c>
      <c r="AB179" s="229">
        <v>3.7000000000000002E-3</v>
      </c>
      <c r="AC179" s="228">
        <v>3.75</v>
      </c>
      <c r="AD179" s="228">
        <v>0.05</v>
      </c>
      <c r="AE179" s="228">
        <v>3.7</v>
      </c>
      <c r="AF179" s="229">
        <v>3.7000000000000002E-3</v>
      </c>
      <c r="AG179" s="228">
        <v>10.75</v>
      </c>
      <c r="AH179" s="228">
        <v>5.25</v>
      </c>
      <c r="AI179" s="228">
        <v>5.5</v>
      </c>
      <c r="AJ179" s="229">
        <v>1.06E-2</v>
      </c>
      <c r="AK179" s="228">
        <v>15.45</v>
      </c>
      <c r="AL179" s="228">
        <v>11.7</v>
      </c>
      <c r="AM179" s="228">
        <v>3.75</v>
      </c>
      <c r="AN179" s="229">
        <v>1.52E-2</v>
      </c>
      <c r="AO179" s="231">
        <v>1015.34</v>
      </c>
      <c r="AP179" s="231">
        <v>1020.6</v>
      </c>
      <c r="AQ179" s="228">
        <v>0</v>
      </c>
      <c r="AR179" s="230">
        <v>6620625</v>
      </c>
      <c r="AS179" s="230">
        <v>26706075</v>
      </c>
      <c r="AT179" s="230">
        <v>-20085450</v>
      </c>
      <c r="AU179" s="229">
        <v>-0.75209999999999999</v>
      </c>
      <c r="AV179" s="230">
        <v>6397050</v>
      </c>
      <c r="AW179" s="230">
        <v>10659825</v>
      </c>
      <c r="AX179" s="230">
        <v>-4262775</v>
      </c>
      <c r="AY179" s="229">
        <v>-0.39989999999999998</v>
      </c>
      <c r="AZ179" s="230">
        <v>190575</v>
      </c>
      <c r="BA179" s="230">
        <v>15741000</v>
      </c>
      <c r="BB179" s="230">
        <v>-15550425</v>
      </c>
      <c r="BC179" s="229">
        <v>-0.9879</v>
      </c>
      <c r="BD179" s="230">
        <v>33000</v>
      </c>
      <c r="BE179" s="230">
        <v>305250</v>
      </c>
      <c r="BF179" s="230">
        <v>-272250</v>
      </c>
      <c r="BG179" s="229">
        <v>-0.89190000000000003</v>
      </c>
      <c r="BH179" s="230">
        <v>13428525</v>
      </c>
      <c r="BI179" s="230">
        <v>30336900</v>
      </c>
      <c r="BJ179" s="230">
        <v>-16908375</v>
      </c>
      <c r="BK179" s="229">
        <v>-0.55740000000000001</v>
      </c>
      <c r="BL179" s="230">
        <v>8471100</v>
      </c>
      <c r="BM179" s="230">
        <v>21652125</v>
      </c>
      <c r="BN179" s="230">
        <v>-13181025</v>
      </c>
      <c r="BO179" s="229">
        <v>-0.60880000000000001</v>
      </c>
      <c r="BP179" s="230">
        <v>28520250</v>
      </c>
      <c r="BQ179" s="230">
        <v>78695100</v>
      </c>
      <c r="BR179" s="230">
        <v>-50174850</v>
      </c>
      <c r="BS179" s="229">
        <v>-0.63759999999999994</v>
      </c>
      <c r="BT179" s="230">
        <v>5732451</v>
      </c>
      <c r="BU179" s="230">
        <v>8168682</v>
      </c>
      <c r="BV179" s="230">
        <v>-2436231</v>
      </c>
      <c r="BW179" s="229">
        <v>-0.29820000000000002</v>
      </c>
      <c r="BX179" s="230">
        <v>43670550</v>
      </c>
      <c r="BY179" s="230">
        <v>44526075</v>
      </c>
      <c r="BZ179" s="230">
        <v>-855525</v>
      </c>
      <c r="CA179" s="229">
        <v>-1.9199999999999998E-2</v>
      </c>
      <c r="CB179" s="230">
        <v>43032000</v>
      </c>
      <c r="CC179" s="230">
        <v>900075</v>
      </c>
      <c r="CD179" s="230">
        <v>42131925</v>
      </c>
      <c r="CE179" s="229">
        <v>46.8093</v>
      </c>
      <c r="CF179" s="230">
        <v>611325</v>
      </c>
      <c r="CG179" s="230">
        <v>43938675</v>
      </c>
      <c r="CH179" s="230">
        <v>-43327350</v>
      </c>
      <c r="CI179" s="229">
        <v>-0.98609999999999998</v>
      </c>
      <c r="CJ179" s="230">
        <v>27225</v>
      </c>
      <c r="CK179" s="230">
        <v>587400</v>
      </c>
      <c r="CL179" s="230">
        <v>-560175</v>
      </c>
      <c r="CM179" s="229">
        <v>-0.95369999999999999</v>
      </c>
      <c r="CN179" s="230">
        <v>7842450</v>
      </c>
      <c r="CO179" s="230">
        <v>6369000</v>
      </c>
      <c r="CP179" s="230">
        <v>1473450</v>
      </c>
      <c r="CQ179" s="229">
        <v>0.23130000000000001</v>
      </c>
      <c r="CR179" s="230">
        <v>4695900</v>
      </c>
      <c r="CS179" s="230">
        <v>3894825</v>
      </c>
      <c r="CT179" s="230">
        <v>801075</v>
      </c>
      <c r="CU179" s="229">
        <v>0.20569999999999999</v>
      </c>
      <c r="CV179" s="230">
        <v>56208900</v>
      </c>
      <c r="CW179" s="230">
        <v>54789900</v>
      </c>
      <c r="CX179" s="230">
        <v>1419000</v>
      </c>
      <c r="CY179" s="229">
        <v>2.5899999999999999E-2</v>
      </c>
      <c r="CZ179" s="228">
        <v>32.07</v>
      </c>
      <c r="DA179" s="228">
        <v>34.409999999999997</v>
      </c>
      <c r="DB179" s="228">
        <v>-2.34</v>
      </c>
      <c r="DC179" s="228">
        <v>-2.34</v>
      </c>
      <c r="DD179" s="228">
        <v>38.229999999999997</v>
      </c>
      <c r="DE179" s="228">
        <v>38.25</v>
      </c>
      <c r="DF179" s="228">
        <v>-6.16</v>
      </c>
      <c r="DG179" s="228">
        <v>-0.02</v>
      </c>
      <c r="DH179" s="228">
        <v>31.47</v>
      </c>
      <c r="DI179" s="228">
        <v>33.979999999999997</v>
      </c>
      <c r="DJ179" s="228">
        <v>-2.5099999999999998</v>
      </c>
      <c r="DK179" s="228">
        <v>-2.5099999999999998</v>
      </c>
      <c r="DL179" s="228">
        <v>33.020000000000003</v>
      </c>
      <c r="DM179" s="228">
        <v>35.19</v>
      </c>
      <c r="DN179" s="228">
        <v>-2.17</v>
      </c>
      <c r="DO179" s="228">
        <v>-2.17</v>
      </c>
      <c r="DP179" s="228">
        <v>0.6</v>
      </c>
      <c r="DQ179" s="228">
        <v>0.61</v>
      </c>
      <c r="DR179" s="228">
        <v>-0.01</v>
      </c>
      <c r="DS179" s="229">
        <v>-1.6400000000000001E-2</v>
      </c>
      <c r="DT179" s="231">
        <v>1000</v>
      </c>
      <c r="DU179" s="231">
        <v>1000</v>
      </c>
      <c r="DV179" s="228">
        <v>0.63</v>
      </c>
      <c r="DW179" s="228">
        <v>0.71</v>
      </c>
      <c r="DX179" s="228">
        <v>-0.08</v>
      </c>
      <c r="DY179" s="229">
        <v>-0.11269999999999999</v>
      </c>
      <c r="DZ179" s="229">
        <v>1.46E-2</v>
      </c>
      <c r="EA179" s="230">
        <v>44526075</v>
      </c>
      <c r="EB179" s="229">
        <v>6.7999999999999996E-3</v>
      </c>
      <c r="EC179" s="229">
        <v>1.46E-2</v>
      </c>
      <c r="ED179" s="228">
        <v>5.26</v>
      </c>
      <c r="EE179" s="229">
        <v>5.1999999999999998E-3</v>
      </c>
      <c r="EF179" s="230">
        <v>3360988</v>
      </c>
      <c r="EG179" s="230">
        <v>4294633</v>
      </c>
      <c r="EH179" s="229">
        <v>-0.21740000000000001</v>
      </c>
      <c r="EI179" s="229">
        <v>0.58630000000000004</v>
      </c>
      <c r="EJ179" s="231">
        <v>143449.26999999999</v>
      </c>
      <c r="EK179" s="231">
        <v>84125.17</v>
      </c>
      <c r="EL179" s="231">
        <v>67237.42</v>
      </c>
      <c r="EM179" s="231">
        <v>39142</v>
      </c>
      <c r="EN179" s="231">
        <v>294811.86</v>
      </c>
      <c r="EO179" s="231">
        <v>795294.8</v>
      </c>
      <c r="EP179" s="231">
        <v>-500482.94</v>
      </c>
      <c r="EQ179" s="229">
        <v>-0.62929999999999997</v>
      </c>
      <c r="ER179" s="231">
        <v>81723</v>
      </c>
      <c r="ES179" s="231">
        <v>45063</v>
      </c>
      <c r="ET179" s="231">
        <v>446599</v>
      </c>
      <c r="EU179" s="231">
        <v>210513975</v>
      </c>
      <c r="EV179" s="231">
        <v>573385</v>
      </c>
      <c r="EW179" s="231">
        <v>551452</v>
      </c>
      <c r="EX179" s="231">
        <v>21933</v>
      </c>
      <c r="EY179" s="229">
        <v>3.9800000000000002E-2</v>
      </c>
      <c r="EZ179" s="229">
        <v>0.26700000000000002</v>
      </c>
      <c r="FA179" s="227" t="s">
        <v>556</v>
      </c>
      <c r="FB179" s="161">
        <f t="shared" si="4"/>
        <v>0</v>
      </c>
    </row>
    <row r="180" spans="1:158" ht="17.25" thickBot="1" x14ac:dyDescent="0.3">
      <c r="A180" s="226">
        <v>46050</v>
      </c>
      <c r="B180" s="227" t="s">
        <v>184</v>
      </c>
      <c r="C180" s="227" t="s">
        <v>285</v>
      </c>
      <c r="D180" s="228">
        <v>175</v>
      </c>
      <c r="E180" s="231">
        <v>2996.2</v>
      </c>
      <c r="F180" s="231">
        <v>2908</v>
      </c>
      <c r="G180" s="228">
        <v>88.2</v>
      </c>
      <c r="H180" s="229">
        <v>3.0300000000000001E-2</v>
      </c>
      <c r="I180" s="231">
        <v>2980.8</v>
      </c>
      <c r="J180" s="231">
        <v>2894</v>
      </c>
      <c r="K180" s="228">
        <v>86.8</v>
      </c>
      <c r="L180" s="229">
        <v>0.03</v>
      </c>
      <c r="M180" s="231">
        <v>2996.2</v>
      </c>
      <c r="N180" s="231">
        <v>2887.4</v>
      </c>
      <c r="O180" s="228">
        <v>108.8</v>
      </c>
      <c r="P180" s="229">
        <v>3.7699999999999997E-2</v>
      </c>
      <c r="Q180" s="231">
        <v>3010.1</v>
      </c>
      <c r="R180" s="231">
        <v>2908</v>
      </c>
      <c r="S180" s="228">
        <v>102.1</v>
      </c>
      <c r="T180" s="229">
        <v>3.5099999999999999E-2</v>
      </c>
      <c r="U180" s="231">
        <v>3025</v>
      </c>
      <c r="V180" s="231">
        <v>2923.7</v>
      </c>
      <c r="W180" s="228">
        <v>101.3</v>
      </c>
      <c r="X180" s="229">
        <v>3.4599999999999999E-2</v>
      </c>
      <c r="Y180" s="228">
        <v>15.4</v>
      </c>
      <c r="Z180" s="228">
        <v>14</v>
      </c>
      <c r="AA180" s="228">
        <v>1.4</v>
      </c>
      <c r="AB180" s="229">
        <v>5.1999999999999998E-3</v>
      </c>
      <c r="AC180" s="228">
        <v>15.4</v>
      </c>
      <c r="AD180" s="228">
        <v>-6.6</v>
      </c>
      <c r="AE180" s="228">
        <v>22</v>
      </c>
      <c r="AF180" s="229">
        <v>5.1999999999999998E-3</v>
      </c>
      <c r="AG180" s="228">
        <v>29.3</v>
      </c>
      <c r="AH180" s="228">
        <v>14</v>
      </c>
      <c r="AI180" s="228">
        <v>15.3</v>
      </c>
      <c r="AJ180" s="229">
        <v>9.7999999999999997E-3</v>
      </c>
      <c r="AK180" s="228">
        <v>44.2</v>
      </c>
      <c r="AL180" s="228">
        <v>29.7</v>
      </c>
      <c r="AM180" s="228">
        <v>14.5</v>
      </c>
      <c r="AN180" s="229">
        <v>1.4800000000000001E-2</v>
      </c>
      <c r="AO180" s="231">
        <v>2967.77</v>
      </c>
      <c r="AP180" s="231">
        <v>2974.81</v>
      </c>
      <c r="AQ180" s="228">
        <v>0</v>
      </c>
      <c r="AR180" s="230">
        <v>588700</v>
      </c>
      <c r="AS180" s="230">
        <v>1634325</v>
      </c>
      <c r="AT180" s="230">
        <v>-1045625</v>
      </c>
      <c r="AU180" s="229">
        <v>-0.63980000000000004</v>
      </c>
      <c r="AV180" s="230">
        <v>570500</v>
      </c>
      <c r="AW180" s="230">
        <v>790300</v>
      </c>
      <c r="AX180" s="230">
        <v>-219800</v>
      </c>
      <c r="AY180" s="229">
        <v>-0.27810000000000001</v>
      </c>
      <c r="AZ180" s="230">
        <v>18025</v>
      </c>
      <c r="BA180" s="230">
        <v>812000</v>
      </c>
      <c r="BB180" s="230">
        <v>-793975</v>
      </c>
      <c r="BC180" s="229">
        <v>-0.9778</v>
      </c>
      <c r="BD180" s="228">
        <v>175</v>
      </c>
      <c r="BE180" s="230">
        <v>32025</v>
      </c>
      <c r="BF180" s="230">
        <v>-31850</v>
      </c>
      <c r="BG180" s="229">
        <v>-0.99450000000000005</v>
      </c>
      <c r="BH180" s="230">
        <v>1667750</v>
      </c>
      <c r="BI180" s="230">
        <v>865900</v>
      </c>
      <c r="BJ180" s="230">
        <v>801850</v>
      </c>
      <c r="BK180" s="229">
        <v>0.92600000000000005</v>
      </c>
      <c r="BL180" s="230">
        <v>464800</v>
      </c>
      <c r="BM180" s="230">
        <v>508375</v>
      </c>
      <c r="BN180" s="230">
        <v>-43575</v>
      </c>
      <c r="BO180" s="229">
        <v>-8.5699999999999998E-2</v>
      </c>
      <c r="BP180" s="230">
        <v>2721250</v>
      </c>
      <c r="BQ180" s="230">
        <v>3008600</v>
      </c>
      <c r="BR180" s="230">
        <v>-287350</v>
      </c>
      <c r="BS180" s="229">
        <v>-9.5500000000000002E-2</v>
      </c>
      <c r="BT180" s="230">
        <v>258730</v>
      </c>
      <c r="BU180" s="230">
        <v>235539</v>
      </c>
      <c r="BV180" s="230">
        <v>23191</v>
      </c>
      <c r="BW180" s="229">
        <v>9.8500000000000004E-2</v>
      </c>
      <c r="BX180" s="230">
        <v>2381225</v>
      </c>
      <c r="BY180" s="230">
        <v>2389800</v>
      </c>
      <c r="BZ180" s="230">
        <v>-8575</v>
      </c>
      <c r="CA180" s="229">
        <v>-3.5999999999999999E-3</v>
      </c>
      <c r="CB180" s="230">
        <v>2331875</v>
      </c>
      <c r="CC180" s="230">
        <v>207375</v>
      </c>
      <c r="CD180" s="230">
        <v>2124500</v>
      </c>
      <c r="CE180" s="229">
        <v>10.2447</v>
      </c>
      <c r="CF180" s="230">
        <v>49175</v>
      </c>
      <c r="CG180" s="230">
        <v>2343425</v>
      </c>
      <c r="CH180" s="230">
        <v>-2294250</v>
      </c>
      <c r="CI180" s="229">
        <v>-0.97899999999999998</v>
      </c>
      <c r="CJ180" s="228">
        <v>175</v>
      </c>
      <c r="CK180" s="230">
        <v>46375</v>
      </c>
      <c r="CL180" s="230">
        <v>-46200</v>
      </c>
      <c r="CM180" s="229">
        <v>-0.99619999999999997</v>
      </c>
      <c r="CN180" s="230">
        <v>393050</v>
      </c>
      <c r="CO180" s="230">
        <v>273350</v>
      </c>
      <c r="CP180" s="230">
        <v>119700</v>
      </c>
      <c r="CQ180" s="229">
        <v>0.43790000000000001</v>
      </c>
      <c r="CR180" s="230">
        <v>264425</v>
      </c>
      <c r="CS180" s="230">
        <v>189000</v>
      </c>
      <c r="CT180" s="230">
        <v>75425</v>
      </c>
      <c r="CU180" s="229">
        <v>0.39910000000000001</v>
      </c>
      <c r="CV180" s="230">
        <v>3038700</v>
      </c>
      <c r="CW180" s="230">
        <v>2852150</v>
      </c>
      <c r="CX180" s="230">
        <v>186550</v>
      </c>
      <c r="CY180" s="229">
        <v>6.54E-2</v>
      </c>
      <c r="CZ180" s="228">
        <v>33.659999999999997</v>
      </c>
      <c r="DA180" s="228">
        <v>33.07</v>
      </c>
      <c r="DB180" s="228">
        <v>0.59</v>
      </c>
      <c r="DC180" s="228">
        <v>0.59</v>
      </c>
      <c r="DD180" s="228">
        <v>37</v>
      </c>
      <c r="DE180" s="228">
        <v>36.880000000000003</v>
      </c>
      <c r="DF180" s="228">
        <v>-3.34</v>
      </c>
      <c r="DG180" s="228">
        <v>0.12</v>
      </c>
      <c r="DH180" s="228">
        <v>32.96</v>
      </c>
      <c r="DI180" s="228">
        <v>33</v>
      </c>
      <c r="DJ180" s="228">
        <v>-0.04</v>
      </c>
      <c r="DK180" s="228">
        <v>-0.04</v>
      </c>
      <c r="DL180" s="228">
        <v>36.159999999999997</v>
      </c>
      <c r="DM180" s="228">
        <v>33.17</v>
      </c>
      <c r="DN180" s="228">
        <v>2.99</v>
      </c>
      <c r="DO180" s="228">
        <v>2.99</v>
      </c>
      <c r="DP180" s="228">
        <v>0.67</v>
      </c>
      <c r="DQ180" s="228">
        <v>0.69</v>
      </c>
      <c r="DR180" s="228">
        <v>-0.02</v>
      </c>
      <c r="DS180" s="229">
        <v>-2.9000000000000001E-2</v>
      </c>
      <c r="DT180" s="231">
        <v>3200</v>
      </c>
      <c r="DU180" s="231">
        <v>3000</v>
      </c>
      <c r="DV180" s="228">
        <v>0.28000000000000003</v>
      </c>
      <c r="DW180" s="228">
        <v>0.59</v>
      </c>
      <c r="DX180" s="228">
        <v>-0.31</v>
      </c>
      <c r="DY180" s="229">
        <v>-0.52539999999999998</v>
      </c>
      <c r="DZ180" s="229">
        <v>2.07E-2</v>
      </c>
      <c r="EA180" s="230">
        <v>2389800</v>
      </c>
      <c r="EB180" s="229">
        <v>4.5999999999999999E-3</v>
      </c>
      <c r="EC180" s="229">
        <v>2.07E-2</v>
      </c>
      <c r="ED180" s="228">
        <v>7.04</v>
      </c>
      <c r="EE180" s="229">
        <v>2.3999999999999998E-3</v>
      </c>
      <c r="EF180" s="230">
        <v>113275</v>
      </c>
      <c r="EG180" s="230">
        <v>100284</v>
      </c>
      <c r="EH180" s="229">
        <v>0.1295</v>
      </c>
      <c r="EI180" s="229">
        <v>0.43780000000000002</v>
      </c>
      <c r="EJ180" s="231">
        <v>52349.41</v>
      </c>
      <c r="EK180" s="231">
        <v>13221.16</v>
      </c>
      <c r="EL180" s="231">
        <v>17472.61</v>
      </c>
      <c r="EM180" s="231">
        <v>11297</v>
      </c>
      <c r="EN180" s="231">
        <v>83043.179999999993</v>
      </c>
      <c r="EO180" s="231">
        <v>88801.83</v>
      </c>
      <c r="EP180" s="231">
        <v>-5758.65</v>
      </c>
      <c r="EQ180" s="229">
        <v>-6.4799999999999996E-2</v>
      </c>
      <c r="ER180" s="231">
        <v>12281</v>
      </c>
      <c r="ES180" s="231">
        <v>7489</v>
      </c>
      <c r="ET180" s="231">
        <v>71353</v>
      </c>
      <c r="EU180" s="231">
        <v>13354588</v>
      </c>
      <c r="EV180" s="231">
        <v>91123</v>
      </c>
      <c r="EW180" s="231">
        <v>83471</v>
      </c>
      <c r="EX180" s="231">
        <v>7652</v>
      </c>
      <c r="EY180" s="229">
        <v>9.1700000000000004E-2</v>
      </c>
      <c r="EZ180" s="229">
        <v>0.22750000000000001</v>
      </c>
      <c r="FA180" s="227" t="s">
        <v>556</v>
      </c>
      <c r="FB180" s="161">
        <f t="shared" si="4"/>
        <v>0</v>
      </c>
    </row>
    <row r="181" spans="1:158" ht="17.25" thickBot="1" x14ac:dyDescent="0.3">
      <c r="A181" s="226">
        <v>46050</v>
      </c>
      <c r="B181" s="227" t="s">
        <v>498</v>
      </c>
      <c r="C181" s="227" t="s">
        <v>646</v>
      </c>
      <c r="D181" s="228">
        <v>50</v>
      </c>
      <c r="E181" s="231">
        <v>13975</v>
      </c>
      <c r="F181" s="231">
        <v>12813</v>
      </c>
      <c r="G181" s="231">
        <v>1162</v>
      </c>
      <c r="H181" s="229">
        <v>9.0700000000000003E-2</v>
      </c>
      <c r="I181" s="231">
        <v>13916</v>
      </c>
      <c r="J181" s="231">
        <v>12766</v>
      </c>
      <c r="K181" s="231">
        <v>1150</v>
      </c>
      <c r="L181" s="229">
        <v>9.01E-2</v>
      </c>
      <c r="M181" s="231">
        <v>13975</v>
      </c>
      <c r="N181" s="231">
        <v>12745</v>
      </c>
      <c r="O181" s="231">
        <v>1230</v>
      </c>
      <c r="P181" s="229">
        <v>9.6500000000000002E-2</v>
      </c>
      <c r="Q181" s="231">
        <v>14070</v>
      </c>
      <c r="R181" s="231">
        <v>12813</v>
      </c>
      <c r="S181" s="231">
        <v>1257</v>
      </c>
      <c r="T181" s="229">
        <v>9.8100000000000007E-2</v>
      </c>
      <c r="U181" s="231">
        <v>14184</v>
      </c>
      <c r="V181" s="231">
        <v>12970</v>
      </c>
      <c r="W181" s="231">
        <v>1214</v>
      </c>
      <c r="X181" s="229">
        <v>9.3600000000000003E-2</v>
      </c>
      <c r="Y181" s="228">
        <v>59</v>
      </c>
      <c r="Z181" s="228">
        <v>47</v>
      </c>
      <c r="AA181" s="228">
        <v>12</v>
      </c>
      <c r="AB181" s="229">
        <v>4.1999999999999997E-3</v>
      </c>
      <c r="AC181" s="228">
        <v>59</v>
      </c>
      <c r="AD181" s="228">
        <v>-21</v>
      </c>
      <c r="AE181" s="228">
        <v>80</v>
      </c>
      <c r="AF181" s="229">
        <v>4.1999999999999997E-3</v>
      </c>
      <c r="AG181" s="228">
        <v>154</v>
      </c>
      <c r="AH181" s="228">
        <v>47</v>
      </c>
      <c r="AI181" s="228">
        <v>107</v>
      </c>
      <c r="AJ181" s="229">
        <v>1.11E-2</v>
      </c>
      <c r="AK181" s="228">
        <v>268</v>
      </c>
      <c r="AL181" s="228">
        <v>204</v>
      </c>
      <c r="AM181" s="228">
        <v>64</v>
      </c>
      <c r="AN181" s="229">
        <v>1.9300000000000001E-2</v>
      </c>
      <c r="AO181" s="231">
        <v>13611.67</v>
      </c>
      <c r="AP181" s="231">
        <v>13628.7</v>
      </c>
      <c r="AQ181" s="228">
        <v>0</v>
      </c>
      <c r="AR181" s="230">
        <v>385050</v>
      </c>
      <c r="AS181" s="230">
        <v>781900</v>
      </c>
      <c r="AT181" s="230">
        <v>-396850</v>
      </c>
      <c r="AU181" s="229">
        <v>-0.50749999999999995</v>
      </c>
      <c r="AV181" s="230">
        <v>353150</v>
      </c>
      <c r="AW181" s="230">
        <v>388450</v>
      </c>
      <c r="AX181" s="230">
        <v>-35300</v>
      </c>
      <c r="AY181" s="229">
        <v>-9.0899999999999995E-2</v>
      </c>
      <c r="AZ181" s="230">
        <v>28950</v>
      </c>
      <c r="BA181" s="230">
        <v>380100</v>
      </c>
      <c r="BB181" s="230">
        <v>-351150</v>
      </c>
      <c r="BC181" s="229">
        <v>-0.92379999999999995</v>
      </c>
      <c r="BD181" s="230">
        <v>2950</v>
      </c>
      <c r="BE181" s="230">
        <v>13350</v>
      </c>
      <c r="BF181" s="230">
        <v>-10400</v>
      </c>
      <c r="BG181" s="229">
        <v>-0.77900000000000003</v>
      </c>
      <c r="BH181" s="230">
        <v>1368000</v>
      </c>
      <c r="BI181" s="230">
        <v>392700</v>
      </c>
      <c r="BJ181" s="230">
        <v>975300</v>
      </c>
      <c r="BK181" s="229">
        <v>2.4836</v>
      </c>
      <c r="BL181" s="230">
        <v>239600</v>
      </c>
      <c r="BM181" s="230">
        <v>226150</v>
      </c>
      <c r="BN181" s="230">
        <v>13450</v>
      </c>
      <c r="BO181" s="229">
        <v>5.9499999999999997E-2</v>
      </c>
      <c r="BP181" s="230">
        <v>1992650</v>
      </c>
      <c r="BQ181" s="230">
        <v>1400750</v>
      </c>
      <c r="BR181" s="230">
        <v>591900</v>
      </c>
      <c r="BS181" s="229">
        <v>0.42259999999999998</v>
      </c>
      <c r="BT181" s="230">
        <v>314335</v>
      </c>
      <c r="BU181" s="230">
        <v>107551</v>
      </c>
      <c r="BV181" s="230">
        <v>206784</v>
      </c>
      <c r="BW181" s="229">
        <v>1.9227000000000001</v>
      </c>
      <c r="BX181" s="230">
        <v>913450</v>
      </c>
      <c r="BY181" s="230">
        <v>910450</v>
      </c>
      <c r="BZ181" s="230">
        <v>3000</v>
      </c>
      <c r="CA181" s="229">
        <v>3.3E-3</v>
      </c>
      <c r="CB181" s="230">
        <v>860150</v>
      </c>
      <c r="CC181" s="230">
        <v>98200</v>
      </c>
      <c r="CD181" s="230">
        <v>761950</v>
      </c>
      <c r="CE181" s="229">
        <v>7.7591999999999999</v>
      </c>
      <c r="CF181" s="230">
        <v>51950</v>
      </c>
      <c r="CG181" s="230">
        <v>866400</v>
      </c>
      <c r="CH181" s="230">
        <v>-814450</v>
      </c>
      <c r="CI181" s="229">
        <v>-0.94</v>
      </c>
      <c r="CJ181" s="230">
        <v>1350</v>
      </c>
      <c r="CK181" s="230">
        <v>44050</v>
      </c>
      <c r="CL181" s="230">
        <v>-42700</v>
      </c>
      <c r="CM181" s="229">
        <v>-0.96940000000000004</v>
      </c>
      <c r="CN181" s="230">
        <v>185950</v>
      </c>
      <c r="CO181" s="230">
        <v>67400</v>
      </c>
      <c r="CP181" s="230">
        <v>118550</v>
      </c>
      <c r="CQ181" s="229">
        <v>1.7588999999999999</v>
      </c>
      <c r="CR181" s="230">
        <v>137950</v>
      </c>
      <c r="CS181" s="230">
        <v>82400</v>
      </c>
      <c r="CT181" s="230">
        <v>55550</v>
      </c>
      <c r="CU181" s="229">
        <v>0.67420000000000002</v>
      </c>
      <c r="CV181" s="230">
        <v>1237350</v>
      </c>
      <c r="CW181" s="230">
        <v>1060250</v>
      </c>
      <c r="CX181" s="230">
        <v>177100</v>
      </c>
      <c r="CY181" s="229">
        <v>0.16700000000000001</v>
      </c>
      <c r="CZ181" s="228">
        <v>41.85</v>
      </c>
      <c r="DA181" s="228">
        <v>37.54</v>
      </c>
      <c r="DB181" s="228">
        <v>4.3099999999999996</v>
      </c>
      <c r="DC181" s="228">
        <v>4.3099999999999996</v>
      </c>
      <c r="DD181" s="228">
        <v>40.86</v>
      </c>
      <c r="DE181" s="228">
        <v>39.24</v>
      </c>
      <c r="DF181" s="228">
        <v>0.99</v>
      </c>
      <c r="DG181" s="228">
        <v>1.62</v>
      </c>
      <c r="DH181" s="228">
        <v>41.66</v>
      </c>
      <c r="DI181" s="228">
        <v>37.659999999999997</v>
      </c>
      <c r="DJ181" s="228">
        <v>4</v>
      </c>
      <c r="DK181" s="228">
        <v>4</v>
      </c>
      <c r="DL181" s="228">
        <v>42.93</v>
      </c>
      <c r="DM181" s="228">
        <v>37.44</v>
      </c>
      <c r="DN181" s="228">
        <v>5.49</v>
      </c>
      <c r="DO181" s="228">
        <v>5.49</v>
      </c>
      <c r="DP181" s="228">
        <v>0.74</v>
      </c>
      <c r="DQ181" s="228">
        <v>1.22</v>
      </c>
      <c r="DR181" s="228">
        <v>-0.48</v>
      </c>
      <c r="DS181" s="229">
        <v>-0.39340000000000003</v>
      </c>
      <c r="DT181" s="231">
        <v>14000</v>
      </c>
      <c r="DU181" s="231">
        <v>12500</v>
      </c>
      <c r="DV181" s="228">
        <v>0.18</v>
      </c>
      <c r="DW181" s="228">
        <v>0.57999999999999996</v>
      </c>
      <c r="DX181" s="228">
        <v>-0.4</v>
      </c>
      <c r="DY181" s="229">
        <v>-0.68969999999999998</v>
      </c>
      <c r="DZ181" s="229">
        <v>5.8400000000000001E-2</v>
      </c>
      <c r="EA181" s="230">
        <v>910450</v>
      </c>
      <c r="EB181" s="229">
        <v>6.7999999999999996E-3</v>
      </c>
      <c r="EC181" s="229">
        <v>5.8400000000000001E-2</v>
      </c>
      <c r="ED181" s="228">
        <v>17.03</v>
      </c>
      <c r="EE181" s="229">
        <v>1.2999999999999999E-3</v>
      </c>
      <c r="EF181" s="230">
        <v>104699</v>
      </c>
      <c r="EG181" s="230">
        <v>52072</v>
      </c>
      <c r="EH181" s="229">
        <v>1.0106999999999999</v>
      </c>
      <c r="EI181" s="229">
        <v>0.33310000000000001</v>
      </c>
      <c r="EJ181" s="231">
        <v>200052.03</v>
      </c>
      <c r="EK181" s="231">
        <v>31840.77</v>
      </c>
      <c r="EL181" s="231">
        <v>52415.28</v>
      </c>
      <c r="EM181" s="231">
        <v>12021</v>
      </c>
      <c r="EN181" s="231">
        <v>284308.08</v>
      </c>
      <c r="EO181" s="231">
        <v>181229.85</v>
      </c>
      <c r="EP181" s="231">
        <v>103078.23</v>
      </c>
      <c r="EQ181" s="229">
        <v>0.56879999999999997</v>
      </c>
      <c r="ER181" s="231">
        <v>26184</v>
      </c>
      <c r="ES181" s="231">
        <v>17794</v>
      </c>
      <c r="ET181" s="231">
        <v>127707</v>
      </c>
      <c r="EU181" s="231">
        <v>3644817</v>
      </c>
      <c r="EV181" s="231">
        <v>171685</v>
      </c>
      <c r="EW181" s="231">
        <v>136453</v>
      </c>
      <c r="EX181" s="231">
        <v>35232</v>
      </c>
      <c r="EY181" s="229">
        <v>0.25819999999999999</v>
      </c>
      <c r="EZ181" s="229">
        <v>0.33950000000000002</v>
      </c>
      <c r="FA181" s="227" t="s">
        <v>555</v>
      </c>
      <c r="FB181" s="161">
        <f t="shared" si="4"/>
        <v>0</v>
      </c>
    </row>
    <row r="182" spans="1:158" ht="17.25" thickBot="1" x14ac:dyDescent="0.3">
      <c r="A182" s="226">
        <v>46050</v>
      </c>
      <c r="B182" s="227" t="s">
        <v>162</v>
      </c>
      <c r="C182" s="227" t="s">
        <v>614</v>
      </c>
      <c r="D182" s="228">
        <v>1225</v>
      </c>
      <c r="E182" s="228">
        <v>494.4</v>
      </c>
      <c r="F182" s="228">
        <v>489.15</v>
      </c>
      <c r="G182" s="228">
        <v>5.25</v>
      </c>
      <c r="H182" s="229">
        <v>1.0699999999999999E-2</v>
      </c>
      <c r="I182" s="228">
        <v>494.1</v>
      </c>
      <c r="J182" s="228">
        <v>487.8</v>
      </c>
      <c r="K182" s="228">
        <v>6.3</v>
      </c>
      <c r="L182" s="229">
        <v>1.29E-2</v>
      </c>
      <c r="M182" s="228">
        <v>494.4</v>
      </c>
      <c r="N182" s="228">
        <v>488.6</v>
      </c>
      <c r="O182" s="228">
        <v>5.8</v>
      </c>
      <c r="P182" s="229">
        <v>1.1900000000000001E-2</v>
      </c>
      <c r="Q182" s="228">
        <v>496.85</v>
      </c>
      <c r="R182" s="228">
        <v>489.15</v>
      </c>
      <c r="S182" s="228">
        <v>7.7</v>
      </c>
      <c r="T182" s="229">
        <v>1.5699999999999999E-2</v>
      </c>
      <c r="U182" s="228">
        <v>498.75</v>
      </c>
      <c r="V182" s="228">
        <v>492.35</v>
      </c>
      <c r="W182" s="228">
        <v>6.4</v>
      </c>
      <c r="X182" s="229">
        <v>1.2999999999999999E-2</v>
      </c>
      <c r="Y182" s="228">
        <v>0.3</v>
      </c>
      <c r="Z182" s="228">
        <v>1.35</v>
      </c>
      <c r="AA182" s="228">
        <v>-1.05</v>
      </c>
      <c r="AB182" s="229">
        <v>5.9999999999999995E-4</v>
      </c>
      <c r="AC182" s="228">
        <v>0.3</v>
      </c>
      <c r="AD182" s="228">
        <v>0.8</v>
      </c>
      <c r="AE182" s="228">
        <v>-0.5</v>
      </c>
      <c r="AF182" s="229">
        <v>5.9999999999999995E-4</v>
      </c>
      <c r="AG182" s="228">
        <v>2.75</v>
      </c>
      <c r="AH182" s="228">
        <v>1.35</v>
      </c>
      <c r="AI182" s="228">
        <v>1.4</v>
      </c>
      <c r="AJ182" s="229">
        <v>5.5999999999999999E-3</v>
      </c>
      <c r="AK182" s="228">
        <v>4.6500000000000004</v>
      </c>
      <c r="AL182" s="228">
        <v>4.55</v>
      </c>
      <c r="AM182" s="228">
        <v>0.1</v>
      </c>
      <c r="AN182" s="229">
        <v>9.4000000000000004E-3</v>
      </c>
      <c r="AO182" s="228">
        <v>489.2</v>
      </c>
      <c r="AP182" s="228">
        <v>490.21</v>
      </c>
      <c r="AQ182" s="228">
        <v>0</v>
      </c>
      <c r="AR182" s="230">
        <v>3052700</v>
      </c>
      <c r="AS182" s="230">
        <v>17768625</v>
      </c>
      <c r="AT182" s="230">
        <v>-14715925</v>
      </c>
      <c r="AU182" s="229">
        <v>-0.82820000000000005</v>
      </c>
      <c r="AV182" s="230">
        <v>2943675</v>
      </c>
      <c r="AW182" s="230">
        <v>6448400</v>
      </c>
      <c r="AX182" s="230">
        <v>-3504725</v>
      </c>
      <c r="AY182" s="229">
        <v>-0.54349999999999998</v>
      </c>
      <c r="AZ182" s="230">
        <v>101675</v>
      </c>
      <c r="BA182" s="230">
        <v>11168325</v>
      </c>
      <c r="BB182" s="230">
        <v>-11066650</v>
      </c>
      <c r="BC182" s="229">
        <v>-0.9909</v>
      </c>
      <c r="BD182" s="230">
        <v>7350</v>
      </c>
      <c r="BE182" s="230">
        <v>151900</v>
      </c>
      <c r="BF182" s="230">
        <v>-144550</v>
      </c>
      <c r="BG182" s="229">
        <v>-0.9516</v>
      </c>
      <c r="BH182" s="230">
        <v>7239750</v>
      </c>
      <c r="BI182" s="230">
        <v>32180750</v>
      </c>
      <c r="BJ182" s="230">
        <v>-24941000</v>
      </c>
      <c r="BK182" s="229">
        <v>-0.77500000000000002</v>
      </c>
      <c r="BL182" s="230">
        <v>2435300</v>
      </c>
      <c r="BM182" s="230">
        <v>8533350</v>
      </c>
      <c r="BN182" s="230">
        <v>-6098050</v>
      </c>
      <c r="BO182" s="229">
        <v>-0.71460000000000001</v>
      </c>
      <c r="BP182" s="230">
        <v>12727750</v>
      </c>
      <c r="BQ182" s="230">
        <v>58482725</v>
      </c>
      <c r="BR182" s="230">
        <v>-45754975</v>
      </c>
      <c r="BS182" s="229">
        <v>-0.78239999999999998</v>
      </c>
      <c r="BT182" s="230">
        <v>2721426</v>
      </c>
      <c r="BU182" s="230">
        <v>8955786</v>
      </c>
      <c r="BV182" s="230">
        <v>-6234360</v>
      </c>
      <c r="BW182" s="229">
        <v>-0.69610000000000005</v>
      </c>
      <c r="BX182" s="230">
        <v>14492975</v>
      </c>
      <c r="BY182" s="230">
        <v>15058925</v>
      </c>
      <c r="BZ182" s="230">
        <v>-565950</v>
      </c>
      <c r="CA182" s="229">
        <v>-3.7600000000000001E-2</v>
      </c>
      <c r="CB182" s="230">
        <v>14370475</v>
      </c>
      <c r="CC182" s="230">
        <v>630875</v>
      </c>
      <c r="CD182" s="230">
        <v>13739600</v>
      </c>
      <c r="CE182" s="229">
        <v>21.778600000000001</v>
      </c>
      <c r="CF182" s="230">
        <v>121275</v>
      </c>
      <c r="CG182" s="230">
        <v>14952350</v>
      </c>
      <c r="CH182" s="230">
        <v>-14831075</v>
      </c>
      <c r="CI182" s="229">
        <v>-0.9919</v>
      </c>
      <c r="CJ182" s="230">
        <v>1225</v>
      </c>
      <c r="CK182" s="230">
        <v>106575</v>
      </c>
      <c r="CL182" s="230">
        <v>-105350</v>
      </c>
      <c r="CM182" s="229">
        <v>-0.98850000000000005</v>
      </c>
      <c r="CN182" s="230">
        <v>1945300</v>
      </c>
      <c r="CO182" s="230">
        <v>1793400</v>
      </c>
      <c r="CP182" s="230">
        <v>151900</v>
      </c>
      <c r="CQ182" s="229">
        <v>8.4699999999999998E-2</v>
      </c>
      <c r="CR182" s="230">
        <v>1613325</v>
      </c>
      <c r="CS182" s="230">
        <v>1347500</v>
      </c>
      <c r="CT182" s="230">
        <v>265825</v>
      </c>
      <c r="CU182" s="229">
        <v>0.1973</v>
      </c>
      <c r="CV182" s="230">
        <v>18051600</v>
      </c>
      <c r="CW182" s="230">
        <v>18199825</v>
      </c>
      <c r="CX182" s="230">
        <v>-148225</v>
      </c>
      <c r="CY182" s="229">
        <v>-8.0999999999999996E-3</v>
      </c>
      <c r="CZ182" s="228">
        <v>36.72</v>
      </c>
      <c r="DA182" s="228">
        <v>39.770000000000003</v>
      </c>
      <c r="DB182" s="228">
        <v>-3.05</v>
      </c>
      <c r="DC182" s="228">
        <v>-3.05</v>
      </c>
      <c r="DD182" s="228">
        <v>39.25</v>
      </c>
      <c r="DE182" s="228">
        <v>39.33</v>
      </c>
      <c r="DF182" s="228">
        <v>-2.5299999999999998</v>
      </c>
      <c r="DG182" s="228">
        <v>-0.08</v>
      </c>
      <c r="DH182" s="228">
        <v>36.31</v>
      </c>
      <c r="DI182" s="228">
        <v>39.159999999999997</v>
      </c>
      <c r="DJ182" s="228">
        <v>-2.85</v>
      </c>
      <c r="DK182" s="228">
        <v>-2.85</v>
      </c>
      <c r="DL182" s="228">
        <v>37.950000000000003</v>
      </c>
      <c r="DM182" s="228">
        <v>41.74</v>
      </c>
      <c r="DN182" s="228">
        <v>-3.79</v>
      </c>
      <c r="DO182" s="228">
        <v>-3.79</v>
      </c>
      <c r="DP182" s="228">
        <v>0.83</v>
      </c>
      <c r="DQ182" s="228">
        <v>0.75</v>
      </c>
      <c r="DR182" s="228">
        <v>0.08</v>
      </c>
      <c r="DS182" s="229">
        <v>0.1067</v>
      </c>
      <c r="DT182" s="228">
        <v>500</v>
      </c>
      <c r="DU182" s="228">
        <v>400</v>
      </c>
      <c r="DV182" s="228">
        <v>0.34</v>
      </c>
      <c r="DW182" s="228">
        <v>0.27</v>
      </c>
      <c r="DX182" s="228">
        <v>7.0000000000000007E-2</v>
      </c>
      <c r="DY182" s="229">
        <v>0.25929999999999997</v>
      </c>
      <c r="DZ182" s="229">
        <v>8.5000000000000006E-3</v>
      </c>
      <c r="EA182" s="230">
        <v>15058925</v>
      </c>
      <c r="EB182" s="229">
        <v>5.0000000000000001E-3</v>
      </c>
      <c r="EC182" s="229">
        <v>8.5000000000000006E-3</v>
      </c>
      <c r="ED182" s="228">
        <v>1.01</v>
      </c>
      <c r="EE182" s="229">
        <v>2.0999999999999999E-3</v>
      </c>
      <c r="EF182" s="230">
        <v>1350133</v>
      </c>
      <c r="EG182" s="230">
        <v>3074717</v>
      </c>
      <c r="EH182" s="229">
        <v>-0.56089999999999995</v>
      </c>
      <c r="EI182" s="229">
        <v>0.49609999999999999</v>
      </c>
      <c r="EJ182" s="231">
        <v>37610.82</v>
      </c>
      <c r="EK182" s="231">
        <v>11726.59</v>
      </c>
      <c r="EL182" s="231">
        <v>14934.99</v>
      </c>
      <c r="EM182" s="231">
        <v>13000</v>
      </c>
      <c r="EN182" s="231">
        <v>64272.4</v>
      </c>
      <c r="EO182" s="231">
        <v>286131.86</v>
      </c>
      <c r="EP182" s="231">
        <v>-221859.46</v>
      </c>
      <c r="EQ182" s="229">
        <v>-0.77539999999999998</v>
      </c>
      <c r="ER182" s="231">
        <v>9772</v>
      </c>
      <c r="ES182" s="231">
        <v>7312</v>
      </c>
      <c r="ET182" s="231">
        <v>71656</v>
      </c>
      <c r="EU182" s="231">
        <v>67126548</v>
      </c>
      <c r="EV182" s="231">
        <v>88741</v>
      </c>
      <c r="EW182" s="231">
        <v>88685</v>
      </c>
      <c r="EX182" s="228">
        <v>56</v>
      </c>
      <c r="EY182" s="229">
        <v>5.9999999999999995E-4</v>
      </c>
      <c r="EZ182" s="229">
        <v>0.26889999999999997</v>
      </c>
      <c r="FA182" s="227" t="s">
        <v>556</v>
      </c>
      <c r="FB182" s="161">
        <f t="shared" si="4"/>
        <v>0</v>
      </c>
    </row>
    <row r="183" spans="1:158" ht="17.25" thickBot="1" x14ac:dyDescent="0.3">
      <c r="A183" s="226">
        <v>46050</v>
      </c>
      <c r="B183" s="227" t="s">
        <v>197</v>
      </c>
      <c r="C183" s="227" t="s">
        <v>286</v>
      </c>
      <c r="D183" s="228">
        <v>200</v>
      </c>
      <c r="E183" s="231">
        <v>2835.1</v>
      </c>
      <c r="F183" s="231">
        <v>2701.6</v>
      </c>
      <c r="G183" s="228">
        <v>133.5</v>
      </c>
      <c r="H183" s="229">
        <v>4.9399999999999999E-2</v>
      </c>
      <c r="I183" s="231">
        <v>2817</v>
      </c>
      <c r="J183" s="231">
        <v>2682.2</v>
      </c>
      <c r="K183" s="228">
        <v>134.80000000000001</v>
      </c>
      <c r="L183" s="229">
        <v>5.0299999999999997E-2</v>
      </c>
      <c r="M183" s="231">
        <v>2835.1</v>
      </c>
      <c r="N183" s="231">
        <v>2685.9</v>
      </c>
      <c r="O183" s="228">
        <v>149.19999999999999</v>
      </c>
      <c r="P183" s="229">
        <v>5.5500000000000001E-2</v>
      </c>
      <c r="Q183" s="231">
        <v>2851.1</v>
      </c>
      <c r="R183" s="231">
        <v>2701.6</v>
      </c>
      <c r="S183" s="228">
        <v>149.5</v>
      </c>
      <c r="T183" s="229">
        <v>5.5300000000000002E-2</v>
      </c>
      <c r="U183" s="231">
        <v>2880.1</v>
      </c>
      <c r="V183" s="231">
        <v>2717.9</v>
      </c>
      <c r="W183" s="228">
        <v>162.19999999999999</v>
      </c>
      <c r="X183" s="229">
        <v>5.9700000000000003E-2</v>
      </c>
      <c r="Y183" s="228">
        <v>18.100000000000001</v>
      </c>
      <c r="Z183" s="228">
        <v>19.399999999999999</v>
      </c>
      <c r="AA183" s="228">
        <v>-1.3</v>
      </c>
      <c r="AB183" s="229">
        <v>6.4000000000000003E-3</v>
      </c>
      <c r="AC183" s="228">
        <v>18.100000000000001</v>
      </c>
      <c r="AD183" s="228">
        <v>3.7</v>
      </c>
      <c r="AE183" s="228">
        <v>14.4</v>
      </c>
      <c r="AF183" s="229">
        <v>6.4000000000000003E-3</v>
      </c>
      <c r="AG183" s="228">
        <v>34.1</v>
      </c>
      <c r="AH183" s="228">
        <v>19.399999999999999</v>
      </c>
      <c r="AI183" s="228">
        <v>14.7</v>
      </c>
      <c r="AJ183" s="229">
        <v>1.21E-2</v>
      </c>
      <c r="AK183" s="228">
        <v>63.1</v>
      </c>
      <c r="AL183" s="228">
        <v>35.700000000000003</v>
      </c>
      <c r="AM183" s="228">
        <v>27.4</v>
      </c>
      <c r="AN183" s="229">
        <v>2.24E-2</v>
      </c>
      <c r="AO183" s="231">
        <v>2787.8</v>
      </c>
      <c r="AP183" s="231">
        <v>2804.16</v>
      </c>
      <c r="AQ183" s="228">
        <v>0</v>
      </c>
      <c r="AR183" s="230">
        <v>1444400</v>
      </c>
      <c r="AS183" s="230">
        <v>3137200</v>
      </c>
      <c r="AT183" s="230">
        <v>-1692800</v>
      </c>
      <c r="AU183" s="229">
        <v>-0.53959999999999997</v>
      </c>
      <c r="AV183" s="230">
        <v>1391600</v>
      </c>
      <c r="AW183" s="230">
        <v>1408800</v>
      </c>
      <c r="AX183" s="230">
        <v>-17200</v>
      </c>
      <c r="AY183" s="229">
        <v>-1.2200000000000001E-2</v>
      </c>
      <c r="AZ183" s="230">
        <v>52200</v>
      </c>
      <c r="BA183" s="230">
        <v>1721000</v>
      </c>
      <c r="BB183" s="230">
        <v>-1668800</v>
      </c>
      <c r="BC183" s="229">
        <v>-0.96970000000000001</v>
      </c>
      <c r="BD183" s="228">
        <v>600</v>
      </c>
      <c r="BE183" s="230">
        <v>7400</v>
      </c>
      <c r="BF183" s="230">
        <v>-6800</v>
      </c>
      <c r="BG183" s="229">
        <v>-0.91890000000000005</v>
      </c>
      <c r="BH183" s="230">
        <v>2206200</v>
      </c>
      <c r="BI183" s="230">
        <v>1740600</v>
      </c>
      <c r="BJ183" s="230">
        <v>465600</v>
      </c>
      <c r="BK183" s="229">
        <v>0.26750000000000002</v>
      </c>
      <c r="BL183" s="230">
        <v>802000</v>
      </c>
      <c r="BM183" s="230">
        <v>853600</v>
      </c>
      <c r="BN183" s="230">
        <v>-51600</v>
      </c>
      <c r="BO183" s="229">
        <v>-6.0400000000000002E-2</v>
      </c>
      <c r="BP183" s="230">
        <v>4452600</v>
      </c>
      <c r="BQ183" s="230">
        <v>5731400</v>
      </c>
      <c r="BR183" s="230">
        <v>-1278800</v>
      </c>
      <c r="BS183" s="229">
        <v>-0.22309999999999999</v>
      </c>
      <c r="BT183" s="230">
        <v>631132</v>
      </c>
      <c r="BU183" s="230">
        <v>365784</v>
      </c>
      <c r="BV183" s="230">
        <v>265348</v>
      </c>
      <c r="BW183" s="229">
        <v>0.72540000000000004</v>
      </c>
      <c r="BX183" s="230">
        <v>3327000</v>
      </c>
      <c r="BY183" s="230">
        <v>3337400</v>
      </c>
      <c r="BZ183" s="230">
        <v>-10400</v>
      </c>
      <c r="CA183" s="229">
        <v>-3.0999999999999999E-3</v>
      </c>
      <c r="CB183" s="230">
        <v>3281400</v>
      </c>
      <c r="CC183" s="230">
        <v>216600</v>
      </c>
      <c r="CD183" s="230">
        <v>3064800</v>
      </c>
      <c r="CE183" s="229">
        <v>14.1496</v>
      </c>
      <c r="CF183" s="230">
        <v>45200</v>
      </c>
      <c r="CG183" s="230">
        <v>3315800</v>
      </c>
      <c r="CH183" s="230">
        <v>-3270600</v>
      </c>
      <c r="CI183" s="229">
        <v>-0.98640000000000005</v>
      </c>
      <c r="CJ183" s="228">
        <v>400</v>
      </c>
      <c r="CK183" s="230">
        <v>21600</v>
      </c>
      <c r="CL183" s="230">
        <v>-21200</v>
      </c>
      <c r="CM183" s="229">
        <v>-0.98150000000000004</v>
      </c>
      <c r="CN183" s="230">
        <v>732600</v>
      </c>
      <c r="CO183" s="230">
        <v>654200</v>
      </c>
      <c r="CP183" s="230">
        <v>78400</v>
      </c>
      <c r="CQ183" s="229">
        <v>0.1198</v>
      </c>
      <c r="CR183" s="230">
        <v>552200</v>
      </c>
      <c r="CS183" s="230">
        <v>424800</v>
      </c>
      <c r="CT183" s="230">
        <v>127400</v>
      </c>
      <c r="CU183" s="229">
        <v>0.2999</v>
      </c>
      <c r="CV183" s="230">
        <v>4611800</v>
      </c>
      <c r="CW183" s="230">
        <v>4416400</v>
      </c>
      <c r="CX183" s="230">
        <v>195400</v>
      </c>
      <c r="CY183" s="229">
        <v>4.4200000000000003E-2</v>
      </c>
      <c r="CZ183" s="228">
        <v>27.68</v>
      </c>
      <c r="DA183" s="228">
        <v>27.65</v>
      </c>
      <c r="DB183" s="228">
        <v>0.03</v>
      </c>
      <c r="DC183" s="228">
        <v>0.03</v>
      </c>
      <c r="DD183" s="228">
        <v>32.29</v>
      </c>
      <c r="DE183" s="228">
        <v>31.69</v>
      </c>
      <c r="DF183" s="228">
        <v>-4.6100000000000003</v>
      </c>
      <c r="DG183" s="228">
        <v>0.6</v>
      </c>
      <c r="DH183" s="228">
        <v>27.43</v>
      </c>
      <c r="DI183" s="228">
        <v>27.68</v>
      </c>
      <c r="DJ183" s="228">
        <v>-0.25</v>
      </c>
      <c r="DK183" s="228">
        <v>-0.25</v>
      </c>
      <c r="DL183" s="228">
        <v>28.38</v>
      </c>
      <c r="DM183" s="228">
        <v>27.6</v>
      </c>
      <c r="DN183" s="228">
        <v>0.78</v>
      </c>
      <c r="DO183" s="228">
        <v>0.78</v>
      </c>
      <c r="DP183" s="228">
        <v>0.75</v>
      </c>
      <c r="DQ183" s="228">
        <v>0.65</v>
      </c>
      <c r="DR183" s="228">
        <v>0.1</v>
      </c>
      <c r="DS183" s="229">
        <v>0.15379999999999999</v>
      </c>
      <c r="DT183" s="231">
        <v>2800</v>
      </c>
      <c r="DU183" s="231">
        <v>2800</v>
      </c>
      <c r="DV183" s="228">
        <v>0.36</v>
      </c>
      <c r="DW183" s="228">
        <v>0.49</v>
      </c>
      <c r="DX183" s="228">
        <v>-0.13</v>
      </c>
      <c r="DY183" s="229">
        <v>-0.26529999999999998</v>
      </c>
      <c r="DZ183" s="229">
        <v>1.37E-2</v>
      </c>
      <c r="EA183" s="230">
        <v>3337400</v>
      </c>
      <c r="EB183" s="229">
        <v>5.5999999999999999E-3</v>
      </c>
      <c r="EC183" s="229">
        <v>1.37E-2</v>
      </c>
      <c r="ED183" s="228">
        <v>16.36</v>
      </c>
      <c r="EE183" s="229">
        <v>5.8999999999999999E-3</v>
      </c>
      <c r="EF183" s="230">
        <v>374781</v>
      </c>
      <c r="EG183" s="230">
        <v>207918</v>
      </c>
      <c r="EH183" s="229">
        <v>0.80249999999999999</v>
      </c>
      <c r="EI183" s="229">
        <v>0.59379999999999999</v>
      </c>
      <c r="EJ183" s="231">
        <v>64596.160000000003</v>
      </c>
      <c r="EK183" s="231">
        <v>22225.49</v>
      </c>
      <c r="EL183" s="231">
        <v>40275.96</v>
      </c>
      <c r="EM183" s="231">
        <v>16242</v>
      </c>
      <c r="EN183" s="231">
        <v>127097.61</v>
      </c>
      <c r="EO183" s="231">
        <v>158060.20000000001</v>
      </c>
      <c r="EP183" s="231">
        <v>-30962.59</v>
      </c>
      <c r="EQ183" s="229">
        <v>-0.19589999999999999</v>
      </c>
      <c r="ER183" s="231">
        <v>21300</v>
      </c>
      <c r="ES183" s="231">
        <v>15232</v>
      </c>
      <c r="ET183" s="231">
        <v>94331</v>
      </c>
      <c r="EU183" s="231">
        <v>18529108</v>
      </c>
      <c r="EV183" s="231">
        <v>130864</v>
      </c>
      <c r="EW183" s="231">
        <v>120897</v>
      </c>
      <c r="EX183" s="231">
        <v>9967</v>
      </c>
      <c r="EY183" s="229">
        <v>8.2400000000000001E-2</v>
      </c>
      <c r="EZ183" s="229">
        <v>0.24890000000000001</v>
      </c>
      <c r="FA183" s="227" t="s">
        <v>556</v>
      </c>
      <c r="FB183" s="161">
        <f t="shared" si="4"/>
        <v>0</v>
      </c>
    </row>
    <row r="184" spans="1:158" ht="17.25" thickBot="1" x14ac:dyDescent="0.3">
      <c r="A184" s="226">
        <v>46050</v>
      </c>
      <c r="B184" s="227" t="s">
        <v>170</v>
      </c>
      <c r="C184" s="227" t="s">
        <v>288</v>
      </c>
      <c r="D184" s="228">
        <v>350</v>
      </c>
      <c r="E184" s="231">
        <v>1608</v>
      </c>
      <c r="F184" s="231">
        <v>1638.6</v>
      </c>
      <c r="G184" s="228">
        <v>-30.6</v>
      </c>
      <c r="H184" s="229">
        <v>-1.8700000000000001E-2</v>
      </c>
      <c r="I184" s="231">
        <v>1610.6</v>
      </c>
      <c r="J184" s="231">
        <v>1638.9</v>
      </c>
      <c r="K184" s="228">
        <v>-28.3</v>
      </c>
      <c r="L184" s="229">
        <v>-1.7299999999999999E-2</v>
      </c>
      <c r="M184" s="231">
        <v>1608</v>
      </c>
      <c r="N184" s="231">
        <v>1638.8</v>
      </c>
      <c r="O184" s="228">
        <v>-30.8</v>
      </c>
      <c r="P184" s="229">
        <v>-1.8800000000000001E-2</v>
      </c>
      <c r="Q184" s="231">
        <v>1618.9</v>
      </c>
      <c r="R184" s="231">
        <v>1638.6</v>
      </c>
      <c r="S184" s="228">
        <v>-19.7</v>
      </c>
      <c r="T184" s="229">
        <v>-1.2E-2</v>
      </c>
      <c r="U184" s="231">
        <v>1627.9</v>
      </c>
      <c r="V184" s="231">
        <v>1648.2</v>
      </c>
      <c r="W184" s="228">
        <v>-20.3</v>
      </c>
      <c r="X184" s="229">
        <v>-1.23E-2</v>
      </c>
      <c r="Y184" s="228">
        <v>-2.6</v>
      </c>
      <c r="Z184" s="228">
        <v>-0.3</v>
      </c>
      <c r="AA184" s="228">
        <v>-2.2999999999999998</v>
      </c>
      <c r="AB184" s="229">
        <v>-1.6000000000000001E-3</v>
      </c>
      <c r="AC184" s="228">
        <v>-2.6</v>
      </c>
      <c r="AD184" s="228">
        <v>-0.1</v>
      </c>
      <c r="AE184" s="228">
        <v>-2.5</v>
      </c>
      <c r="AF184" s="229">
        <v>-1.6000000000000001E-3</v>
      </c>
      <c r="AG184" s="228">
        <v>8.3000000000000007</v>
      </c>
      <c r="AH184" s="228">
        <v>-0.3</v>
      </c>
      <c r="AI184" s="228">
        <v>8.6</v>
      </c>
      <c r="AJ184" s="229">
        <v>5.1999999999999998E-3</v>
      </c>
      <c r="AK184" s="228">
        <v>17.3</v>
      </c>
      <c r="AL184" s="228">
        <v>9.3000000000000007</v>
      </c>
      <c r="AM184" s="228">
        <v>8</v>
      </c>
      <c r="AN184" s="229">
        <v>1.0699999999999999E-2</v>
      </c>
      <c r="AO184" s="231">
        <v>1612.76</v>
      </c>
      <c r="AP184" s="231">
        <v>1625.61</v>
      </c>
      <c r="AQ184" s="228">
        <v>0</v>
      </c>
      <c r="AR184" s="230">
        <v>2064650</v>
      </c>
      <c r="AS184" s="230">
        <v>10101350</v>
      </c>
      <c r="AT184" s="230">
        <v>-8036700</v>
      </c>
      <c r="AU184" s="229">
        <v>-0.79559999999999997</v>
      </c>
      <c r="AV184" s="230">
        <v>1987650</v>
      </c>
      <c r="AW184" s="230">
        <v>4162900</v>
      </c>
      <c r="AX184" s="230">
        <v>-2175250</v>
      </c>
      <c r="AY184" s="229">
        <v>-0.52249999999999996</v>
      </c>
      <c r="AZ184" s="230">
        <v>59850</v>
      </c>
      <c r="BA184" s="230">
        <v>5802650</v>
      </c>
      <c r="BB184" s="230">
        <v>-5742800</v>
      </c>
      <c r="BC184" s="229">
        <v>-0.98970000000000002</v>
      </c>
      <c r="BD184" s="230">
        <v>17150</v>
      </c>
      <c r="BE184" s="230">
        <v>135800</v>
      </c>
      <c r="BF184" s="230">
        <v>-118650</v>
      </c>
      <c r="BG184" s="229">
        <v>-0.87370000000000003</v>
      </c>
      <c r="BH184" s="230">
        <v>4257050</v>
      </c>
      <c r="BI184" s="230">
        <v>5162500</v>
      </c>
      <c r="BJ184" s="230">
        <v>-905450</v>
      </c>
      <c r="BK184" s="229">
        <v>-0.1754</v>
      </c>
      <c r="BL184" s="230">
        <v>2367750</v>
      </c>
      <c r="BM184" s="230">
        <v>4975950</v>
      </c>
      <c r="BN184" s="230">
        <v>-2608200</v>
      </c>
      <c r="BO184" s="229">
        <v>-0.5242</v>
      </c>
      <c r="BP184" s="230">
        <v>8689450</v>
      </c>
      <c r="BQ184" s="230">
        <v>20239800</v>
      </c>
      <c r="BR184" s="230">
        <v>-11550350</v>
      </c>
      <c r="BS184" s="229">
        <v>-0.57069999999999999</v>
      </c>
      <c r="BT184" s="230">
        <v>4202064</v>
      </c>
      <c r="BU184" s="230">
        <v>2799559</v>
      </c>
      <c r="BV184" s="230">
        <v>1402505</v>
      </c>
      <c r="BW184" s="229">
        <v>0.501</v>
      </c>
      <c r="BX184" s="230">
        <v>20325900</v>
      </c>
      <c r="BY184" s="230">
        <v>20091750</v>
      </c>
      <c r="BZ184" s="230">
        <v>234150</v>
      </c>
      <c r="CA184" s="229">
        <v>1.17E-2</v>
      </c>
      <c r="CB184" s="230">
        <v>20089300</v>
      </c>
      <c r="CC184" s="230">
        <v>1689100</v>
      </c>
      <c r="CD184" s="230">
        <v>18400200</v>
      </c>
      <c r="CE184" s="229">
        <v>10.8935</v>
      </c>
      <c r="CF184" s="230">
        <v>223300</v>
      </c>
      <c r="CG184" s="230">
        <v>19873700</v>
      </c>
      <c r="CH184" s="230">
        <v>-19650400</v>
      </c>
      <c r="CI184" s="229">
        <v>-0.98880000000000001</v>
      </c>
      <c r="CJ184" s="230">
        <v>13300</v>
      </c>
      <c r="CK184" s="230">
        <v>218050</v>
      </c>
      <c r="CL184" s="230">
        <v>-204750</v>
      </c>
      <c r="CM184" s="229">
        <v>-0.93899999999999995</v>
      </c>
      <c r="CN184" s="230">
        <v>2975350</v>
      </c>
      <c r="CO184" s="230">
        <v>1614900</v>
      </c>
      <c r="CP184" s="230">
        <v>1360450</v>
      </c>
      <c r="CQ184" s="229">
        <v>0.84240000000000004</v>
      </c>
      <c r="CR184" s="230">
        <v>2100350</v>
      </c>
      <c r="CS184" s="230">
        <v>1543500</v>
      </c>
      <c r="CT184" s="230">
        <v>556850</v>
      </c>
      <c r="CU184" s="229">
        <v>0.36080000000000001</v>
      </c>
      <c r="CV184" s="230">
        <v>25401600</v>
      </c>
      <c r="CW184" s="230">
        <v>23250150</v>
      </c>
      <c r="CX184" s="230">
        <v>2151450</v>
      </c>
      <c r="CY184" s="229">
        <v>9.2499999999999999E-2</v>
      </c>
      <c r="CZ184" s="228">
        <v>25.58</v>
      </c>
      <c r="DA184" s="228">
        <v>26.41</v>
      </c>
      <c r="DB184" s="228">
        <v>-0.83</v>
      </c>
      <c r="DC184" s="228">
        <v>-0.83</v>
      </c>
      <c r="DD184" s="228">
        <v>22.91</v>
      </c>
      <c r="DE184" s="228">
        <v>22.85</v>
      </c>
      <c r="DF184" s="228">
        <v>2.67</v>
      </c>
      <c r="DG184" s="228">
        <v>0.06</v>
      </c>
      <c r="DH184" s="228">
        <v>24.97</v>
      </c>
      <c r="DI184" s="228">
        <v>25.67</v>
      </c>
      <c r="DJ184" s="228">
        <v>-0.7</v>
      </c>
      <c r="DK184" s="228">
        <v>-0.7</v>
      </c>
      <c r="DL184" s="228">
        <v>26.67</v>
      </c>
      <c r="DM184" s="228">
        <v>27.26</v>
      </c>
      <c r="DN184" s="228">
        <v>-0.59</v>
      </c>
      <c r="DO184" s="228">
        <v>-0.59</v>
      </c>
      <c r="DP184" s="228">
        <v>0.71</v>
      </c>
      <c r="DQ184" s="228">
        <v>0.96</v>
      </c>
      <c r="DR184" s="228">
        <v>-0.25</v>
      </c>
      <c r="DS184" s="229">
        <v>-0.26040000000000002</v>
      </c>
      <c r="DT184" s="231">
        <v>1680</v>
      </c>
      <c r="DU184" s="231">
        <v>1550</v>
      </c>
      <c r="DV184" s="228">
        <v>0.56000000000000005</v>
      </c>
      <c r="DW184" s="228">
        <v>0.96</v>
      </c>
      <c r="DX184" s="228">
        <v>-0.4</v>
      </c>
      <c r="DY184" s="229">
        <v>-0.41670000000000001</v>
      </c>
      <c r="DZ184" s="229">
        <v>1.1599999999999999E-2</v>
      </c>
      <c r="EA184" s="230">
        <v>20091750</v>
      </c>
      <c r="EB184" s="229">
        <v>6.7999999999999996E-3</v>
      </c>
      <c r="EC184" s="229">
        <v>1.1599999999999999E-2</v>
      </c>
      <c r="ED184" s="228">
        <v>12.85</v>
      </c>
      <c r="EE184" s="229">
        <v>8.0000000000000002E-3</v>
      </c>
      <c r="EF184" s="230">
        <v>3189603</v>
      </c>
      <c r="EG184" s="230">
        <v>1572913</v>
      </c>
      <c r="EH184" s="229">
        <v>1.0278</v>
      </c>
      <c r="EI184" s="229">
        <v>0.7591</v>
      </c>
      <c r="EJ184" s="231">
        <v>72622.37</v>
      </c>
      <c r="EK184" s="231">
        <v>37706.870000000003</v>
      </c>
      <c r="EL184" s="231">
        <v>33308.449999999997</v>
      </c>
      <c r="EM184" s="231">
        <v>33346</v>
      </c>
      <c r="EN184" s="231">
        <v>143637.69</v>
      </c>
      <c r="EO184" s="231">
        <v>334064.34000000003</v>
      </c>
      <c r="EP184" s="231">
        <v>-190426.65</v>
      </c>
      <c r="EQ184" s="229">
        <v>-0.56999999999999995</v>
      </c>
      <c r="ER184" s="231">
        <v>50582</v>
      </c>
      <c r="ES184" s="231">
        <v>33095</v>
      </c>
      <c r="ET184" s="231">
        <v>326867</v>
      </c>
      <c r="EU184" s="231">
        <v>109220043</v>
      </c>
      <c r="EV184" s="231">
        <v>410544</v>
      </c>
      <c r="EW184" s="231">
        <v>381522</v>
      </c>
      <c r="EX184" s="231">
        <v>29022</v>
      </c>
      <c r="EY184" s="229">
        <v>7.6100000000000001E-2</v>
      </c>
      <c r="EZ184" s="229">
        <v>0.2326</v>
      </c>
      <c r="FA184" s="227" t="s">
        <v>567</v>
      </c>
      <c r="FB184" s="161">
        <f t="shared" si="4"/>
        <v>0</v>
      </c>
    </row>
    <row r="185" spans="1:158" ht="17.25" thickBot="1" x14ac:dyDescent="0.3">
      <c r="A185" s="226">
        <v>46050</v>
      </c>
      <c r="B185" s="227" t="s">
        <v>184</v>
      </c>
      <c r="C185" s="227" t="s">
        <v>574</v>
      </c>
      <c r="D185" s="228">
        <v>175</v>
      </c>
      <c r="E185" s="231">
        <v>3533.6</v>
      </c>
      <c r="F185" s="231">
        <v>3474.3</v>
      </c>
      <c r="G185" s="228">
        <v>59.3</v>
      </c>
      <c r="H185" s="229">
        <v>1.7100000000000001E-2</v>
      </c>
      <c r="I185" s="231">
        <v>3512.9</v>
      </c>
      <c r="J185" s="231">
        <v>3444.3</v>
      </c>
      <c r="K185" s="228">
        <v>68.599999999999994</v>
      </c>
      <c r="L185" s="229">
        <v>1.9900000000000001E-2</v>
      </c>
      <c r="M185" s="231">
        <v>3533.6</v>
      </c>
      <c r="N185" s="231">
        <v>3458.5</v>
      </c>
      <c r="O185" s="228">
        <v>75.099999999999994</v>
      </c>
      <c r="P185" s="229">
        <v>2.1700000000000001E-2</v>
      </c>
      <c r="Q185" s="231">
        <v>3537.2</v>
      </c>
      <c r="R185" s="231">
        <v>3474.3</v>
      </c>
      <c r="S185" s="228">
        <v>62.9</v>
      </c>
      <c r="T185" s="229">
        <v>1.8100000000000002E-2</v>
      </c>
      <c r="U185" s="228">
        <v>0</v>
      </c>
      <c r="V185" s="231">
        <v>3480.2</v>
      </c>
      <c r="W185" s="228">
        <v>0</v>
      </c>
      <c r="X185" s="229">
        <v>0</v>
      </c>
      <c r="Y185" s="228">
        <v>20.7</v>
      </c>
      <c r="Z185" s="228">
        <v>30</v>
      </c>
      <c r="AA185" s="228">
        <v>-9.3000000000000007</v>
      </c>
      <c r="AB185" s="229">
        <v>5.8999999999999999E-3</v>
      </c>
      <c r="AC185" s="228">
        <v>20.7</v>
      </c>
      <c r="AD185" s="228">
        <v>14.2</v>
      </c>
      <c r="AE185" s="228">
        <v>6.5</v>
      </c>
      <c r="AF185" s="229">
        <v>5.8999999999999999E-3</v>
      </c>
      <c r="AG185" s="228">
        <v>24.3</v>
      </c>
      <c r="AH185" s="228">
        <v>30</v>
      </c>
      <c r="AI185" s="228">
        <v>-5.7</v>
      </c>
      <c r="AJ185" s="229">
        <v>6.8999999999999999E-3</v>
      </c>
      <c r="AK185" s="228">
        <v>0</v>
      </c>
      <c r="AL185" s="228">
        <v>35.9</v>
      </c>
      <c r="AM185" s="228">
        <v>0</v>
      </c>
      <c r="AN185" s="229">
        <v>0</v>
      </c>
      <c r="AO185" s="231">
        <v>3537.2</v>
      </c>
      <c r="AP185" s="231">
        <v>3550.06</v>
      </c>
      <c r="AQ185" s="228">
        <v>0</v>
      </c>
      <c r="AR185" s="230">
        <v>312200</v>
      </c>
      <c r="AS185" s="230">
        <v>1107050</v>
      </c>
      <c r="AT185" s="230">
        <v>-794850</v>
      </c>
      <c r="AU185" s="229">
        <v>-0.71799999999999997</v>
      </c>
      <c r="AV185" s="230">
        <v>304150</v>
      </c>
      <c r="AW185" s="230">
        <v>511700</v>
      </c>
      <c r="AX185" s="230">
        <v>-207550</v>
      </c>
      <c r="AY185" s="229">
        <v>-0.40560000000000002</v>
      </c>
      <c r="AZ185" s="230">
        <v>8050</v>
      </c>
      <c r="BA185" s="230">
        <v>589225</v>
      </c>
      <c r="BB185" s="230">
        <v>-581175</v>
      </c>
      <c r="BC185" s="229">
        <v>-0.98629999999999995</v>
      </c>
      <c r="BD185" s="228">
        <v>0</v>
      </c>
      <c r="BE185" s="230">
        <v>6125</v>
      </c>
      <c r="BF185" s="228">
        <v>0</v>
      </c>
      <c r="BG185" s="229">
        <v>0</v>
      </c>
      <c r="BH185" s="230">
        <v>426125</v>
      </c>
      <c r="BI185" s="230">
        <v>584150</v>
      </c>
      <c r="BJ185" s="230">
        <v>-158025</v>
      </c>
      <c r="BK185" s="229">
        <v>-0.27050000000000002</v>
      </c>
      <c r="BL185" s="230">
        <v>91000</v>
      </c>
      <c r="BM185" s="230">
        <v>529900</v>
      </c>
      <c r="BN185" s="230">
        <v>-438900</v>
      </c>
      <c r="BO185" s="229">
        <v>-0.82830000000000004</v>
      </c>
      <c r="BP185" s="230">
        <v>829325</v>
      </c>
      <c r="BQ185" s="230">
        <v>2221100</v>
      </c>
      <c r="BR185" s="230">
        <v>-1391775</v>
      </c>
      <c r="BS185" s="229">
        <v>-0.62660000000000005</v>
      </c>
      <c r="BT185" s="230">
        <v>177391</v>
      </c>
      <c r="BU185" s="230">
        <v>269630</v>
      </c>
      <c r="BV185" s="230">
        <v>-92239</v>
      </c>
      <c r="BW185" s="229">
        <v>-0.34210000000000002</v>
      </c>
      <c r="BX185" s="230">
        <v>1870925</v>
      </c>
      <c r="BY185" s="230">
        <v>1807050</v>
      </c>
      <c r="BZ185" s="230">
        <v>63875</v>
      </c>
      <c r="CA185" s="229">
        <v>3.5299999999999998E-2</v>
      </c>
      <c r="CB185" s="230">
        <v>1856225</v>
      </c>
      <c r="CC185" s="230">
        <v>376075</v>
      </c>
      <c r="CD185" s="230">
        <v>1480150</v>
      </c>
      <c r="CE185" s="229">
        <v>3.9358</v>
      </c>
      <c r="CF185" s="230">
        <v>14700</v>
      </c>
      <c r="CG185" s="230">
        <v>1793575</v>
      </c>
      <c r="CH185" s="230">
        <v>-1778875</v>
      </c>
      <c r="CI185" s="229">
        <v>-0.99180000000000001</v>
      </c>
      <c r="CJ185" s="228">
        <v>0</v>
      </c>
      <c r="CK185" s="230">
        <v>13475</v>
      </c>
      <c r="CL185" s="230">
        <v>-13475</v>
      </c>
      <c r="CM185" s="229">
        <v>-1</v>
      </c>
      <c r="CN185" s="230">
        <v>227850</v>
      </c>
      <c r="CO185" s="230">
        <v>160475</v>
      </c>
      <c r="CP185" s="230">
        <v>67375</v>
      </c>
      <c r="CQ185" s="229">
        <v>0.41980000000000001</v>
      </c>
      <c r="CR185" s="230">
        <v>178675</v>
      </c>
      <c r="CS185" s="230">
        <v>165025</v>
      </c>
      <c r="CT185" s="230">
        <v>13650</v>
      </c>
      <c r="CU185" s="229">
        <v>8.2699999999999996E-2</v>
      </c>
      <c r="CV185" s="230">
        <v>2277450</v>
      </c>
      <c r="CW185" s="230">
        <v>2132550</v>
      </c>
      <c r="CX185" s="230">
        <v>144900</v>
      </c>
      <c r="CY185" s="229">
        <v>6.7900000000000002E-2</v>
      </c>
      <c r="CZ185" s="228">
        <v>30.39</v>
      </c>
      <c r="DA185" s="228">
        <v>33.479999999999997</v>
      </c>
      <c r="DB185" s="228">
        <v>-3.09</v>
      </c>
      <c r="DC185" s="228">
        <v>-3.09</v>
      </c>
      <c r="DD185" s="228">
        <v>38.82</v>
      </c>
      <c r="DE185" s="228">
        <v>38.83</v>
      </c>
      <c r="DF185" s="228">
        <v>-8.43</v>
      </c>
      <c r="DG185" s="228">
        <v>-0.01</v>
      </c>
      <c r="DH185" s="228">
        <v>30.02</v>
      </c>
      <c r="DI185" s="228">
        <v>32.75</v>
      </c>
      <c r="DJ185" s="228">
        <v>-2.73</v>
      </c>
      <c r="DK185" s="228">
        <v>-2.73</v>
      </c>
      <c r="DL185" s="228">
        <v>32.15</v>
      </c>
      <c r="DM185" s="228">
        <v>34.35</v>
      </c>
      <c r="DN185" s="228">
        <v>-2.2000000000000002</v>
      </c>
      <c r="DO185" s="228">
        <v>-2.2000000000000002</v>
      </c>
      <c r="DP185" s="228">
        <v>0.78</v>
      </c>
      <c r="DQ185" s="228">
        <v>1.03</v>
      </c>
      <c r="DR185" s="228">
        <v>-0.25</v>
      </c>
      <c r="DS185" s="229">
        <v>-0.2427</v>
      </c>
      <c r="DT185" s="231">
        <v>3500</v>
      </c>
      <c r="DU185" s="231">
        <v>3500</v>
      </c>
      <c r="DV185" s="228">
        <v>0.21</v>
      </c>
      <c r="DW185" s="228">
        <v>0.91</v>
      </c>
      <c r="DX185" s="228">
        <v>-0.7</v>
      </c>
      <c r="DY185" s="229">
        <v>-0.76919999999999999</v>
      </c>
      <c r="DZ185" s="229">
        <v>7.9000000000000008E-3</v>
      </c>
      <c r="EA185" s="230">
        <v>1807050</v>
      </c>
      <c r="EB185" s="229">
        <v>1E-3</v>
      </c>
      <c r="EC185" s="229">
        <v>7.9000000000000008E-3</v>
      </c>
      <c r="ED185" s="228">
        <v>12.86</v>
      </c>
      <c r="EE185" s="229">
        <v>3.5999999999999999E-3</v>
      </c>
      <c r="EF185" s="230">
        <v>98812</v>
      </c>
      <c r="EG185" s="230">
        <v>130871</v>
      </c>
      <c r="EH185" s="229">
        <v>-0.245</v>
      </c>
      <c r="EI185" s="229">
        <v>0.55700000000000005</v>
      </c>
      <c r="EJ185" s="231">
        <v>15889.93</v>
      </c>
      <c r="EK185" s="231">
        <v>3199.08</v>
      </c>
      <c r="EL185" s="231">
        <v>11044.18</v>
      </c>
      <c r="EM185" s="231">
        <v>11706</v>
      </c>
      <c r="EN185" s="231">
        <v>30133.19</v>
      </c>
      <c r="EO185" s="231">
        <v>77237.11</v>
      </c>
      <c r="EP185" s="231">
        <v>-47103.92</v>
      </c>
      <c r="EQ185" s="229">
        <v>-0.6099</v>
      </c>
      <c r="ER185" s="231">
        <v>8246</v>
      </c>
      <c r="ES185" s="231">
        <v>6079</v>
      </c>
      <c r="ET185" s="231">
        <v>66112</v>
      </c>
      <c r="EU185" s="231">
        <v>9736357</v>
      </c>
      <c r="EV185" s="231">
        <v>80437</v>
      </c>
      <c r="EW185" s="231">
        <v>74142</v>
      </c>
      <c r="EX185" s="231">
        <v>6295</v>
      </c>
      <c r="EY185" s="229">
        <v>8.4900000000000003E-2</v>
      </c>
      <c r="EZ185" s="229">
        <v>0.2339</v>
      </c>
      <c r="FA185" s="227" t="s">
        <v>555</v>
      </c>
      <c r="FB185" s="161">
        <f t="shared" si="4"/>
        <v>0</v>
      </c>
    </row>
    <row r="186" spans="1:158" ht="17.25" thickBot="1" x14ac:dyDescent="0.3">
      <c r="A186" s="226">
        <v>46050</v>
      </c>
      <c r="B186" s="227" t="s">
        <v>161</v>
      </c>
      <c r="C186" s="227" t="s">
        <v>683</v>
      </c>
      <c r="D186" s="228">
        <v>9025</v>
      </c>
      <c r="E186" s="228">
        <v>48.01</v>
      </c>
      <c r="F186" s="228">
        <v>46.05</v>
      </c>
      <c r="G186" s="228">
        <v>1.96</v>
      </c>
      <c r="H186" s="229">
        <v>4.2599999999999999E-2</v>
      </c>
      <c r="I186" s="228">
        <v>47.8</v>
      </c>
      <c r="J186" s="228">
        <v>45.79</v>
      </c>
      <c r="K186" s="228">
        <v>2.0099999999999998</v>
      </c>
      <c r="L186" s="229">
        <v>4.3900000000000002E-2</v>
      </c>
      <c r="M186" s="228">
        <v>48.01</v>
      </c>
      <c r="N186" s="228">
        <v>45.73</v>
      </c>
      <c r="O186" s="228">
        <v>2.2799999999999998</v>
      </c>
      <c r="P186" s="229">
        <v>4.99E-2</v>
      </c>
      <c r="Q186" s="228">
        <v>48.39</v>
      </c>
      <c r="R186" s="228">
        <v>46.05</v>
      </c>
      <c r="S186" s="228">
        <v>2.34</v>
      </c>
      <c r="T186" s="229">
        <v>5.0799999999999998E-2</v>
      </c>
      <c r="U186" s="228">
        <v>48.64</v>
      </c>
      <c r="V186" s="228">
        <v>46.41</v>
      </c>
      <c r="W186" s="228">
        <v>2.23</v>
      </c>
      <c r="X186" s="229">
        <v>4.8000000000000001E-2</v>
      </c>
      <c r="Y186" s="228">
        <v>0.21</v>
      </c>
      <c r="Z186" s="228">
        <v>0.26</v>
      </c>
      <c r="AA186" s="228">
        <v>-0.05</v>
      </c>
      <c r="AB186" s="229">
        <v>4.4000000000000003E-3</v>
      </c>
      <c r="AC186" s="228">
        <v>0.21</v>
      </c>
      <c r="AD186" s="228">
        <v>-0.06</v>
      </c>
      <c r="AE186" s="228">
        <v>0.27</v>
      </c>
      <c r="AF186" s="229">
        <v>4.4000000000000003E-3</v>
      </c>
      <c r="AG186" s="228">
        <v>0.59</v>
      </c>
      <c r="AH186" s="228">
        <v>0.26</v>
      </c>
      <c r="AI186" s="228">
        <v>0.33</v>
      </c>
      <c r="AJ186" s="229">
        <v>1.23E-2</v>
      </c>
      <c r="AK186" s="228">
        <v>0.84</v>
      </c>
      <c r="AL186" s="228">
        <v>0.62</v>
      </c>
      <c r="AM186" s="228">
        <v>0.22</v>
      </c>
      <c r="AN186" s="229">
        <v>1.7600000000000001E-2</v>
      </c>
      <c r="AO186" s="228">
        <v>47.44</v>
      </c>
      <c r="AP186" s="228">
        <v>47.82</v>
      </c>
      <c r="AQ186" s="228">
        <v>0</v>
      </c>
      <c r="AR186" s="230">
        <v>55467650</v>
      </c>
      <c r="AS186" s="230">
        <v>336632500</v>
      </c>
      <c r="AT186" s="230">
        <v>-281164850</v>
      </c>
      <c r="AU186" s="229">
        <v>-0.83520000000000005</v>
      </c>
      <c r="AV186" s="230">
        <v>51343225</v>
      </c>
      <c r="AW186" s="230">
        <v>153903325</v>
      </c>
      <c r="AX186" s="230">
        <v>-102560100</v>
      </c>
      <c r="AY186" s="229">
        <v>-0.66639999999999999</v>
      </c>
      <c r="AZ186" s="230">
        <v>3907825</v>
      </c>
      <c r="BA186" s="230">
        <v>176980250</v>
      </c>
      <c r="BB186" s="230">
        <v>-173072425</v>
      </c>
      <c r="BC186" s="229">
        <v>-0.97789999999999999</v>
      </c>
      <c r="BD186" s="230">
        <v>216600</v>
      </c>
      <c r="BE186" s="230">
        <v>5748925</v>
      </c>
      <c r="BF186" s="230">
        <v>-5532325</v>
      </c>
      <c r="BG186" s="229">
        <v>-0.96230000000000004</v>
      </c>
      <c r="BH186" s="230">
        <v>122451200</v>
      </c>
      <c r="BI186" s="230">
        <v>102668400</v>
      </c>
      <c r="BJ186" s="230">
        <v>19782800</v>
      </c>
      <c r="BK186" s="229">
        <v>0.19270000000000001</v>
      </c>
      <c r="BL186" s="230">
        <v>40774950</v>
      </c>
      <c r="BM186" s="230">
        <v>74663825</v>
      </c>
      <c r="BN186" s="230">
        <v>-33888875</v>
      </c>
      <c r="BO186" s="229">
        <v>-0.45390000000000003</v>
      </c>
      <c r="BP186" s="230">
        <v>218693800</v>
      </c>
      <c r="BQ186" s="230">
        <v>513964725</v>
      </c>
      <c r="BR186" s="230">
        <v>-295270925</v>
      </c>
      <c r="BS186" s="229">
        <v>-0.57450000000000001</v>
      </c>
      <c r="BT186" s="230">
        <v>69866194</v>
      </c>
      <c r="BU186" s="230">
        <v>72487536</v>
      </c>
      <c r="BV186" s="230">
        <v>-2621342</v>
      </c>
      <c r="BW186" s="229">
        <v>-3.6200000000000003E-2</v>
      </c>
      <c r="BX186" s="230">
        <v>308853550</v>
      </c>
      <c r="BY186" s="230">
        <v>308790375</v>
      </c>
      <c r="BZ186" s="230">
        <v>63175</v>
      </c>
      <c r="CA186" s="229">
        <v>2.0000000000000001E-4</v>
      </c>
      <c r="CB186" s="230">
        <v>296137325</v>
      </c>
      <c r="CC186" s="230">
        <v>20161850</v>
      </c>
      <c r="CD186" s="230">
        <v>275975475</v>
      </c>
      <c r="CE186" s="229">
        <v>13.688000000000001</v>
      </c>
      <c r="CF186" s="230">
        <v>12544750</v>
      </c>
      <c r="CG186" s="230">
        <v>296967625</v>
      </c>
      <c r="CH186" s="230">
        <v>-284422875</v>
      </c>
      <c r="CI186" s="229">
        <v>-0.95779999999999998</v>
      </c>
      <c r="CJ186" s="230">
        <v>171475</v>
      </c>
      <c r="CK186" s="230">
        <v>11822750</v>
      </c>
      <c r="CL186" s="230">
        <v>-11651275</v>
      </c>
      <c r="CM186" s="229">
        <v>-0.98550000000000004</v>
      </c>
      <c r="CN186" s="230">
        <v>67353575</v>
      </c>
      <c r="CO186" s="230">
        <v>59646225</v>
      </c>
      <c r="CP186" s="230">
        <v>7707350</v>
      </c>
      <c r="CQ186" s="229">
        <v>0.12920000000000001</v>
      </c>
      <c r="CR186" s="230">
        <v>48698900</v>
      </c>
      <c r="CS186" s="230">
        <v>44890350</v>
      </c>
      <c r="CT186" s="230">
        <v>3808550</v>
      </c>
      <c r="CU186" s="229">
        <v>8.48E-2</v>
      </c>
      <c r="CV186" s="230">
        <v>424906025</v>
      </c>
      <c r="CW186" s="230">
        <v>413326950</v>
      </c>
      <c r="CX186" s="230">
        <v>11579075</v>
      </c>
      <c r="CY186" s="229">
        <v>2.8000000000000001E-2</v>
      </c>
      <c r="CZ186" s="228">
        <v>44.6</v>
      </c>
      <c r="DA186" s="228">
        <v>46.09</v>
      </c>
      <c r="DB186" s="228">
        <v>-1.49</v>
      </c>
      <c r="DC186" s="228">
        <v>-1.49</v>
      </c>
      <c r="DD186" s="228">
        <v>46.53</v>
      </c>
      <c r="DE186" s="228">
        <v>46.3</v>
      </c>
      <c r="DF186" s="228">
        <v>-1.93</v>
      </c>
      <c r="DG186" s="228">
        <v>0.23</v>
      </c>
      <c r="DH186" s="228">
        <v>44.44</v>
      </c>
      <c r="DI186" s="228">
        <v>46.89</v>
      </c>
      <c r="DJ186" s="228">
        <v>-2.4500000000000002</v>
      </c>
      <c r="DK186" s="228">
        <v>-2.4500000000000002</v>
      </c>
      <c r="DL186" s="228">
        <v>45.09</v>
      </c>
      <c r="DM186" s="228">
        <v>44.69</v>
      </c>
      <c r="DN186" s="228">
        <v>0.4</v>
      </c>
      <c r="DO186" s="228">
        <v>0.4</v>
      </c>
      <c r="DP186" s="228">
        <v>0.72</v>
      </c>
      <c r="DQ186" s="228">
        <v>0.75</v>
      </c>
      <c r="DR186" s="228">
        <v>-0.03</v>
      </c>
      <c r="DS186" s="229">
        <v>-0.04</v>
      </c>
      <c r="DT186" s="228">
        <v>50</v>
      </c>
      <c r="DU186" s="228">
        <v>45</v>
      </c>
      <c r="DV186" s="228">
        <v>0.33</v>
      </c>
      <c r="DW186" s="228">
        <v>0.73</v>
      </c>
      <c r="DX186" s="228">
        <v>-0.4</v>
      </c>
      <c r="DY186" s="229">
        <v>-0.54790000000000005</v>
      </c>
      <c r="DZ186" s="229">
        <v>4.1200000000000001E-2</v>
      </c>
      <c r="EA186" s="230">
        <v>308790375</v>
      </c>
      <c r="EB186" s="229">
        <v>7.9000000000000008E-3</v>
      </c>
      <c r="EC186" s="229">
        <v>4.1200000000000001E-2</v>
      </c>
      <c r="ED186" s="228">
        <v>0.38</v>
      </c>
      <c r="EE186" s="229">
        <v>8.0000000000000002E-3</v>
      </c>
      <c r="EF186" s="230">
        <v>25489277</v>
      </c>
      <c r="EG186" s="230">
        <v>25546143</v>
      </c>
      <c r="EH186" s="229">
        <v>-2.2000000000000001E-3</v>
      </c>
      <c r="EI186" s="229">
        <v>0.36480000000000001</v>
      </c>
      <c r="EJ186" s="231">
        <v>63963.86</v>
      </c>
      <c r="EK186" s="231">
        <v>19070.91</v>
      </c>
      <c r="EL186" s="231">
        <v>26329.17</v>
      </c>
      <c r="EM186" s="231">
        <v>23662</v>
      </c>
      <c r="EN186" s="231">
        <v>109363.94</v>
      </c>
      <c r="EO186" s="231">
        <v>244836.96</v>
      </c>
      <c r="EP186" s="231">
        <v>-135473.01999999999</v>
      </c>
      <c r="EQ186" s="229">
        <v>-0.55330000000000001</v>
      </c>
      <c r="ER186" s="231">
        <v>35204</v>
      </c>
      <c r="ES186" s="231">
        <v>23475</v>
      </c>
      <c r="ET186" s="231">
        <v>148329</v>
      </c>
      <c r="EU186" s="231">
        <v>1814982173</v>
      </c>
      <c r="EV186" s="231">
        <v>207009</v>
      </c>
      <c r="EW186" s="231">
        <v>194919</v>
      </c>
      <c r="EX186" s="231">
        <v>12090</v>
      </c>
      <c r="EY186" s="229">
        <v>6.2E-2</v>
      </c>
      <c r="EZ186" s="229">
        <v>0.2341</v>
      </c>
      <c r="FA186" s="227" t="s">
        <v>555</v>
      </c>
      <c r="FB186" s="161">
        <f t="shared" si="4"/>
        <v>0</v>
      </c>
    </row>
    <row r="187" spans="1:158" ht="17.25" thickBot="1" x14ac:dyDescent="0.3">
      <c r="A187" s="226">
        <v>46050</v>
      </c>
      <c r="B187" s="227" t="s">
        <v>615</v>
      </c>
      <c r="C187" s="227" t="s">
        <v>692</v>
      </c>
      <c r="D187" s="228">
        <v>1300</v>
      </c>
      <c r="E187" s="228">
        <v>324.5</v>
      </c>
      <c r="F187" s="228">
        <v>314.60000000000002</v>
      </c>
      <c r="G187" s="228">
        <v>9.9</v>
      </c>
      <c r="H187" s="229">
        <v>3.15E-2</v>
      </c>
      <c r="I187" s="228">
        <v>323.5</v>
      </c>
      <c r="J187" s="228">
        <v>312.25</v>
      </c>
      <c r="K187" s="228">
        <v>11.25</v>
      </c>
      <c r="L187" s="229">
        <v>3.5999999999999997E-2</v>
      </c>
      <c r="M187" s="228">
        <v>324.5</v>
      </c>
      <c r="N187" s="228">
        <v>313.39999999999998</v>
      </c>
      <c r="O187" s="228">
        <v>11.1</v>
      </c>
      <c r="P187" s="229">
        <v>3.5400000000000001E-2</v>
      </c>
      <c r="Q187" s="228">
        <v>323.75</v>
      </c>
      <c r="R187" s="228">
        <v>314.60000000000002</v>
      </c>
      <c r="S187" s="228">
        <v>9.15</v>
      </c>
      <c r="T187" s="229">
        <v>2.9100000000000001E-2</v>
      </c>
      <c r="U187" s="228">
        <v>319.85000000000002</v>
      </c>
      <c r="V187" s="228">
        <v>314.2</v>
      </c>
      <c r="W187" s="228">
        <v>5.65</v>
      </c>
      <c r="X187" s="229">
        <v>1.7999999999999999E-2</v>
      </c>
      <c r="Y187" s="228">
        <v>1</v>
      </c>
      <c r="Z187" s="228">
        <v>2.35</v>
      </c>
      <c r="AA187" s="228">
        <v>-1.35</v>
      </c>
      <c r="AB187" s="229">
        <v>3.0999999999999999E-3</v>
      </c>
      <c r="AC187" s="228">
        <v>1</v>
      </c>
      <c r="AD187" s="228">
        <v>1.1499999999999999</v>
      </c>
      <c r="AE187" s="228">
        <v>-0.15</v>
      </c>
      <c r="AF187" s="229">
        <v>3.0999999999999999E-3</v>
      </c>
      <c r="AG187" s="228">
        <v>0.25</v>
      </c>
      <c r="AH187" s="228">
        <v>2.35</v>
      </c>
      <c r="AI187" s="228">
        <v>-2.1</v>
      </c>
      <c r="AJ187" s="229">
        <v>8.0000000000000004E-4</v>
      </c>
      <c r="AK187" s="228">
        <v>-3.65</v>
      </c>
      <c r="AL187" s="228">
        <v>1.95</v>
      </c>
      <c r="AM187" s="228">
        <v>-5.6</v>
      </c>
      <c r="AN187" s="229">
        <v>-1.1299999999999999E-2</v>
      </c>
      <c r="AO187" s="228">
        <v>319.37</v>
      </c>
      <c r="AP187" s="228">
        <v>320.62</v>
      </c>
      <c r="AQ187" s="228">
        <v>0</v>
      </c>
      <c r="AR187" s="230">
        <v>10036000</v>
      </c>
      <c r="AS187" s="230">
        <v>20519200</v>
      </c>
      <c r="AT187" s="230">
        <v>-10483200</v>
      </c>
      <c r="AU187" s="229">
        <v>-0.51090000000000002</v>
      </c>
      <c r="AV187" s="230">
        <v>9725300</v>
      </c>
      <c r="AW187" s="230">
        <v>6019000</v>
      </c>
      <c r="AX187" s="230">
        <v>3706300</v>
      </c>
      <c r="AY187" s="229">
        <v>0.61580000000000001</v>
      </c>
      <c r="AZ187" s="230">
        <v>299000</v>
      </c>
      <c r="BA187" s="230">
        <v>14363700</v>
      </c>
      <c r="BB187" s="230">
        <v>-14064700</v>
      </c>
      <c r="BC187" s="229">
        <v>-0.97919999999999996</v>
      </c>
      <c r="BD187" s="230">
        <v>11700</v>
      </c>
      <c r="BE187" s="230">
        <v>136500</v>
      </c>
      <c r="BF187" s="230">
        <v>-124800</v>
      </c>
      <c r="BG187" s="229">
        <v>-0.9143</v>
      </c>
      <c r="BH187" s="230">
        <v>5831800</v>
      </c>
      <c r="BI187" s="230">
        <v>5561400</v>
      </c>
      <c r="BJ187" s="230">
        <v>270400</v>
      </c>
      <c r="BK187" s="229">
        <v>4.8599999999999997E-2</v>
      </c>
      <c r="BL187" s="230">
        <v>3559400</v>
      </c>
      <c r="BM187" s="230">
        <v>7598500</v>
      </c>
      <c r="BN187" s="230">
        <v>-4039100</v>
      </c>
      <c r="BO187" s="229">
        <v>-0.53159999999999996</v>
      </c>
      <c r="BP187" s="230">
        <v>19427200</v>
      </c>
      <c r="BQ187" s="230">
        <v>33679100</v>
      </c>
      <c r="BR187" s="230">
        <v>-14251900</v>
      </c>
      <c r="BS187" s="229">
        <v>-0.42320000000000002</v>
      </c>
      <c r="BT187" s="230">
        <v>12888262</v>
      </c>
      <c r="BU187" s="230">
        <v>14294472</v>
      </c>
      <c r="BV187" s="230">
        <v>-1406210</v>
      </c>
      <c r="BW187" s="229">
        <v>-9.8400000000000001E-2</v>
      </c>
      <c r="BX187" s="230">
        <v>25662000</v>
      </c>
      <c r="BY187" s="230">
        <v>26552500</v>
      </c>
      <c r="BZ187" s="230">
        <v>-890500</v>
      </c>
      <c r="CA187" s="229">
        <v>-3.3500000000000002E-2</v>
      </c>
      <c r="CB187" s="230">
        <v>25170600</v>
      </c>
      <c r="CC187" s="230">
        <v>4082000</v>
      </c>
      <c r="CD187" s="230">
        <v>21088600</v>
      </c>
      <c r="CE187" s="229">
        <v>5.1661999999999999</v>
      </c>
      <c r="CF187" s="230">
        <v>486200</v>
      </c>
      <c r="CG187" s="230">
        <v>26083200</v>
      </c>
      <c r="CH187" s="230">
        <v>-25597000</v>
      </c>
      <c r="CI187" s="229">
        <v>-0.98140000000000005</v>
      </c>
      <c r="CJ187" s="230">
        <v>5200</v>
      </c>
      <c r="CK187" s="230">
        <v>469300</v>
      </c>
      <c r="CL187" s="230">
        <v>-464100</v>
      </c>
      <c r="CM187" s="229">
        <v>-0.9889</v>
      </c>
      <c r="CN187" s="230">
        <v>2771600</v>
      </c>
      <c r="CO187" s="230">
        <v>2011100</v>
      </c>
      <c r="CP187" s="230">
        <v>760500</v>
      </c>
      <c r="CQ187" s="229">
        <v>0.37819999999999998</v>
      </c>
      <c r="CR187" s="230">
        <v>3287700</v>
      </c>
      <c r="CS187" s="230">
        <v>2414100</v>
      </c>
      <c r="CT187" s="230">
        <v>873600</v>
      </c>
      <c r="CU187" s="229">
        <v>0.3619</v>
      </c>
      <c r="CV187" s="230">
        <v>31721300</v>
      </c>
      <c r="CW187" s="230">
        <v>30977700</v>
      </c>
      <c r="CX187" s="230">
        <v>743600</v>
      </c>
      <c r="CY187" s="229">
        <v>2.4E-2</v>
      </c>
      <c r="CZ187" s="228">
        <v>52.68</v>
      </c>
      <c r="DA187" s="228">
        <v>54.36</v>
      </c>
      <c r="DB187" s="228">
        <v>-1.68</v>
      </c>
      <c r="DC187" s="228">
        <v>-1.68</v>
      </c>
      <c r="DD187" s="228">
        <v>44.36</v>
      </c>
      <c r="DE187" s="228">
        <v>44.27</v>
      </c>
      <c r="DF187" s="228">
        <v>8.32</v>
      </c>
      <c r="DG187" s="228">
        <v>0.09</v>
      </c>
      <c r="DH187" s="228">
        <v>52.06</v>
      </c>
      <c r="DI187" s="228">
        <v>52.99</v>
      </c>
      <c r="DJ187" s="228">
        <v>-0.93</v>
      </c>
      <c r="DK187" s="228">
        <v>-0.93</v>
      </c>
      <c r="DL187" s="228">
        <v>53.69</v>
      </c>
      <c r="DM187" s="228">
        <v>55.2</v>
      </c>
      <c r="DN187" s="228">
        <v>-1.51</v>
      </c>
      <c r="DO187" s="228">
        <v>-1.51</v>
      </c>
      <c r="DP187" s="228">
        <v>1.19</v>
      </c>
      <c r="DQ187" s="228">
        <v>1.2</v>
      </c>
      <c r="DR187" s="228">
        <v>-0.01</v>
      </c>
      <c r="DS187" s="229">
        <v>-8.3000000000000001E-3</v>
      </c>
      <c r="DT187" s="228">
        <v>320</v>
      </c>
      <c r="DU187" s="228">
        <v>300</v>
      </c>
      <c r="DV187" s="228">
        <v>0.61</v>
      </c>
      <c r="DW187" s="228">
        <v>1.37</v>
      </c>
      <c r="DX187" s="228">
        <v>-0.76</v>
      </c>
      <c r="DY187" s="229">
        <v>-0.55469999999999997</v>
      </c>
      <c r="DZ187" s="229">
        <v>1.9099999999999999E-2</v>
      </c>
      <c r="EA187" s="230">
        <v>26552500</v>
      </c>
      <c r="EB187" s="229">
        <v>-2.3E-3</v>
      </c>
      <c r="EC187" s="229">
        <v>1.9099999999999999E-2</v>
      </c>
      <c r="ED187" s="228">
        <v>1.25</v>
      </c>
      <c r="EE187" s="229">
        <v>3.8999999999999998E-3</v>
      </c>
      <c r="EF187" s="230">
        <v>5924543</v>
      </c>
      <c r="EG187" s="230">
        <v>7734590</v>
      </c>
      <c r="EH187" s="229">
        <v>-0.23400000000000001</v>
      </c>
      <c r="EI187" s="229">
        <v>0.4597</v>
      </c>
      <c r="EJ187" s="231">
        <v>20405.29</v>
      </c>
      <c r="EK187" s="231">
        <v>11367</v>
      </c>
      <c r="EL187" s="231">
        <v>32054.74</v>
      </c>
      <c r="EM187" s="231">
        <v>28142</v>
      </c>
      <c r="EN187" s="231">
        <v>63827.03</v>
      </c>
      <c r="EO187" s="231">
        <v>107477.51</v>
      </c>
      <c r="EP187" s="231">
        <v>-43650.48</v>
      </c>
      <c r="EQ187" s="229">
        <v>-0.40610000000000002</v>
      </c>
      <c r="ER187" s="231">
        <v>9443</v>
      </c>
      <c r="ES187" s="231">
        <v>10248</v>
      </c>
      <c r="ET187" s="231">
        <v>83269</v>
      </c>
      <c r="EU187" s="231">
        <v>375529891</v>
      </c>
      <c r="EV187" s="231">
        <v>102961</v>
      </c>
      <c r="EW187" s="231">
        <v>97916</v>
      </c>
      <c r="EX187" s="231">
        <v>5045</v>
      </c>
      <c r="EY187" s="229">
        <v>5.1499999999999997E-2</v>
      </c>
      <c r="EZ187" s="229">
        <v>8.4500000000000006E-2</v>
      </c>
      <c r="FA187" s="227" t="s">
        <v>556</v>
      </c>
      <c r="FB187" s="161">
        <f t="shared" si="4"/>
        <v>0</v>
      </c>
    </row>
    <row r="188" spans="1:158" ht="17.25" thickBot="1" x14ac:dyDescent="0.3">
      <c r="A188" s="226">
        <v>46050</v>
      </c>
      <c r="B188" s="227" t="s">
        <v>170</v>
      </c>
      <c r="C188" s="227" t="s">
        <v>520</v>
      </c>
      <c r="D188" s="228">
        <v>1000</v>
      </c>
      <c r="E188" s="228">
        <v>483.4</v>
      </c>
      <c r="F188" s="228">
        <v>488.85</v>
      </c>
      <c r="G188" s="228">
        <v>-5.45</v>
      </c>
      <c r="H188" s="229">
        <v>-1.11E-2</v>
      </c>
      <c r="I188" s="228">
        <v>480.3</v>
      </c>
      <c r="J188" s="228">
        <v>489.7</v>
      </c>
      <c r="K188" s="228">
        <v>-9.4</v>
      </c>
      <c r="L188" s="229">
        <v>-1.9199999999999998E-2</v>
      </c>
      <c r="M188" s="228">
        <v>483.4</v>
      </c>
      <c r="N188" s="228">
        <v>488.6</v>
      </c>
      <c r="O188" s="228">
        <v>-5.2</v>
      </c>
      <c r="P188" s="229">
        <v>-1.06E-2</v>
      </c>
      <c r="Q188" s="228">
        <v>484.95</v>
      </c>
      <c r="R188" s="228">
        <v>488.85</v>
      </c>
      <c r="S188" s="228">
        <v>-3.9</v>
      </c>
      <c r="T188" s="229">
        <v>-8.0000000000000002E-3</v>
      </c>
      <c r="U188" s="228">
        <v>0</v>
      </c>
      <c r="V188" s="228">
        <v>491.55</v>
      </c>
      <c r="W188" s="228">
        <v>0</v>
      </c>
      <c r="X188" s="229">
        <v>0</v>
      </c>
      <c r="Y188" s="228">
        <v>3.1</v>
      </c>
      <c r="Z188" s="228">
        <v>-0.85</v>
      </c>
      <c r="AA188" s="228">
        <v>3.95</v>
      </c>
      <c r="AB188" s="229">
        <v>6.4999999999999997E-3</v>
      </c>
      <c r="AC188" s="228">
        <v>3.1</v>
      </c>
      <c r="AD188" s="228">
        <v>-1.1000000000000001</v>
      </c>
      <c r="AE188" s="228">
        <v>4.2</v>
      </c>
      <c r="AF188" s="229">
        <v>6.4999999999999997E-3</v>
      </c>
      <c r="AG188" s="228">
        <v>4.6500000000000004</v>
      </c>
      <c r="AH188" s="228">
        <v>-0.85</v>
      </c>
      <c r="AI188" s="228">
        <v>5.5</v>
      </c>
      <c r="AJ188" s="229">
        <v>9.7000000000000003E-3</v>
      </c>
      <c r="AK188" s="228">
        <v>0</v>
      </c>
      <c r="AL188" s="228">
        <v>1.85</v>
      </c>
      <c r="AM188" s="228">
        <v>0</v>
      </c>
      <c r="AN188" s="229">
        <v>0</v>
      </c>
      <c r="AO188" s="228">
        <v>484.05</v>
      </c>
      <c r="AP188" s="228">
        <v>486.03</v>
      </c>
      <c r="AQ188" s="228">
        <v>0</v>
      </c>
      <c r="AR188" s="230">
        <v>3119000</v>
      </c>
      <c r="AS188" s="230">
        <v>15074000</v>
      </c>
      <c r="AT188" s="230">
        <v>-11955000</v>
      </c>
      <c r="AU188" s="229">
        <v>-0.79310000000000003</v>
      </c>
      <c r="AV188" s="230">
        <v>2724000</v>
      </c>
      <c r="AW188" s="230">
        <v>4363000</v>
      </c>
      <c r="AX188" s="230">
        <v>-1639000</v>
      </c>
      <c r="AY188" s="229">
        <v>-0.37569999999999998</v>
      </c>
      <c r="AZ188" s="230">
        <v>395000</v>
      </c>
      <c r="BA188" s="230">
        <v>9967000</v>
      </c>
      <c r="BB188" s="230">
        <v>-9572000</v>
      </c>
      <c r="BC188" s="229">
        <v>-0.96040000000000003</v>
      </c>
      <c r="BD188" s="228">
        <v>0</v>
      </c>
      <c r="BE188" s="230">
        <v>744000</v>
      </c>
      <c r="BF188" s="228">
        <v>0</v>
      </c>
      <c r="BG188" s="229">
        <v>0</v>
      </c>
      <c r="BH188" s="230">
        <v>7194000</v>
      </c>
      <c r="BI188" s="230">
        <v>19438000</v>
      </c>
      <c r="BJ188" s="230">
        <v>-12244000</v>
      </c>
      <c r="BK188" s="229">
        <v>-0.62990000000000002</v>
      </c>
      <c r="BL188" s="230">
        <v>7208000</v>
      </c>
      <c r="BM188" s="230">
        <v>32228000</v>
      </c>
      <c r="BN188" s="230">
        <v>-25020000</v>
      </c>
      <c r="BO188" s="229">
        <v>-0.77629999999999999</v>
      </c>
      <c r="BP188" s="230">
        <v>17521000</v>
      </c>
      <c r="BQ188" s="230">
        <v>66740000</v>
      </c>
      <c r="BR188" s="230">
        <v>-49219000</v>
      </c>
      <c r="BS188" s="229">
        <v>-0.73750000000000004</v>
      </c>
      <c r="BT188" s="230">
        <v>1825265</v>
      </c>
      <c r="BU188" s="230">
        <v>6980251</v>
      </c>
      <c r="BV188" s="230">
        <v>-5154986</v>
      </c>
      <c r="BW188" s="229">
        <v>-0.73850000000000005</v>
      </c>
      <c r="BX188" s="230">
        <v>7964000</v>
      </c>
      <c r="BY188" s="230">
        <v>7634000</v>
      </c>
      <c r="BZ188" s="230">
        <v>330000</v>
      </c>
      <c r="CA188" s="229">
        <v>4.3200000000000002E-2</v>
      </c>
      <c r="CB188" s="230">
        <v>7457000</v>
      </c>
      <c r="CC188" s="230">
        <v>795000</v>
      </c>
      <c r="CD188" s="230">
        <v>6662000</v>
      </c>
      <c r="CE188" s="229">
        <v>8.3798999999999992</v>
      </c>
      <c r="CF188" s="230">
        <v>507000</v>
      </c>
      <c r="CG188" s="230">
        <v>7184000</v>
      </c>
      <c r="CH188" s="230">
        <v>-6677000</v>
      </c>
      <c r="CI188" s="229">
        <v>-0.9294</v>
      </c>
      <c r="CJ188" s="228">
        <v>0</v>
      </c>
      <c r="CK188" s="230">
        <v>450000</v>
      </c>
      <c r="CL188" s="230">
        <v>-450000</v>
      </c>
      <c r="CM188" s="229">
        <v>-1</v>
      </c>
      <c r="CN188" s="230">
        <v>6454000</v>
      </c>
      <c r="CO188" s="230">
        <v>5322000</v>
      </c>
      <c r="CP188" s="230">
        <v>1132000</v>
      </c>
      <c r="CQ188" s="229">
        <v>0.2127</v>
      </c>
      <c r="CR188" s="230">
        <v>4308000</v>
      </c>
      <c r="CS188" s="230">
        <v>3472000</v>
      </c>
      <c r="CT188" s="230">
        <v>836000</v>
      </c>
      <c r="CU188" s="229">
        <v>0.24079999999999999</v>
      </c>
      <c r="CV188" s="230">
        <v>18726000</v>
      </c>
      <c r="CW188" s="230">
        <v>16428000</v>
      </c>
      <c r="CX188" s="230">
        <v>2298000</v>
      </c>
      <c r="CY188" s="229">
        <v>0.1399</v>
      </c>
      <c r="CZ188" s="228">
        <v>37.770000000000003</v>
      </c>
      <c r="DA188" s="228">
        <v>38.619999999999997</v>
      </c>
      <c r="DB188" s="228">
        <v>-0.85</v>
      </c>
      <c r="DC188" s="228">
        <v>-0.85</v>
      </c>
      <c r="DD188" s="228">
        <v>36.57</v>
      </c>
      <c r="DE188" s="228">
        <v>36.630000000000003</v>
      </c>
      <c r="DF188" s="228">
        <v>1.2</v>
      </c>
      <c r="DG188" s="228">
        <v>-0.06</v>
      </c>
      <c r="DH188" s="228">
        <v>37.18</v>
      </c>
      <c r="DI188" s="228">
        <v>39.25</v>
      </c>
      <c r="DJ188" s="228">
        <v>-2.0699999999999998</v>
      </c>
      <c r="DK188" s="228">
        <v>-2.0699999999999998</v>
      </c>
      <c r="DL188" s="228">
        <v>38.36</v>
      </c>
      <c r="DM188" s="228">
        <v>38.15</v>
      </c>
      <c r="DN188" s="228">
        <v>0.21</v>
      </c>
      <c r="DO188" s="228">
        <v>0.21</v>
      </c>
      <c r="DP188" s="228">
        <v>0.67</v>
      </c>
      <c r="DQ188" s="228">
        <v>0.65</v>
      </c>
      <c r="DR188" s="228">
        <v>0.02</v>
      </c>
      <c r="DS188" s="229">
        <v>3.0800000000000001E-2</v>
      </c>
      <c r="DT188" s="228">
        <v>600</v>
      </c>
      <c r="DU188" s="228">
        <v>480</v>
      </c>
      <c r="DV188" s="228">
        <v>1</v>
      </c>
      <c r="DW188" s="228">
        <v>1.66</v>
      </c>
      <c r="DX188" s="228">
        <v>-0.66</v>
      </c>
      <c r="DY188" s="229">
        <v>-0.39760000000000001</v>
      </c>
      <c r="DZ188" s="229">
        <v>6.3700000000000007E-2</v>
      </c>
      <c r="EA188" s="230">
        <v>7634000</v>
      </c>
      <c r="EB188" s="229">
        <v>3.2000000000000002E-3</v>
      </c>
      <c r="EC188" s="229">
        <v>6.3700000000000007E-2</v>
      </c>
      <c r="ED188" s="228">
        <v>1.98</v>
      </c>
      <c r="EE188" s="229">
        <v>4.1000000000000003E-3</v>
      </c>
      <c r="EF188" s="230">
        <v>597447</v>
      </c>
      <c r="EG188" s="230">
        <v>2143809</v>
      </c>
      <c r="EH188" s="229">
        <v>-0.72130000000000005</v>
      </c>
      <c r="EI188" s="229">
        <v>0.32729999999999998</v>
      </c>
      <c r="EJ188" s="231">
        <v>38556.03</v>
      </c>
      <c r="EK188" s="231">
        <v>34468.22</v>
      </c>
      <c r="EL188" s="231">
        <v>15105.2</v>
      </c>
      <c r="EM188" s="231">
        <v>10866</v>
      </c>
      <c r="EN188" s="231">
        <v>88129.45</v>
      </c>
      <c r="EO188" s="231">
        <v>347181.59</v>
      </c>
      <c r="EP188" s="231">
        <v>-259052.14</v>
      </c>
      <c r="EQ188" s="229">
        <v>-0.74619999999999997</v>
      </c>
      <c r="ER188" s="231">
        <v>36108</v>
      </c>
      <c r="ES188" s="231">
        <v>21701</v>
      </c>
      <c r="ET188" s="231">
        <v>38506</v>
      </c>
      <c r="EU188" s="231">
        <v>24733183</v>
      </c>
      <c r="EV188" s="231">
        <v>96315</v>
      </c>
      <c r="EW188" s="231">
        <v>85466</v>
      </c>
      <c r="EX188" s="231">
        <v>10849</v>
      </c>
      <c r="EY188" s="229">
        <v>0.12690000000000001</v>
      </c>
      <c r="EZ188" s="229">
        <v>0.7571</v>
      </c>
      <c r="FA188" s="227" t="s">
        <v>567</v>
      </c>
      <c r="FB188" s="161">
        <f t="shared" si="4"/>
        <v>0</v>
      </c>
    </row>
    <row r="189" spans="1:158" ht="17.25" thickBot="1" x14ac:dyDescent="0.3">
      <c r="A189" s="226">
        <v>46050</v>
      </c>
      <c r="B189" s="227" t="s">
        <v>168</v>
      </c>
      <c r="C189" s="227" t="s">
        <v>291</v>
      </c>
      <c r="D189" s="228">
        <v>550</v>
      </c>
      <c r="E189" s="231">
        <v>1136.0999999999999</v>
      </c>
      <c r="F189" s="231">
        <v>1193.5999999999999</v>
      </c>
      <c r="G189" s="228">
        <v>-57.5</v>
      </c>
      <c r="H189" s="229">
        <v>-4.82E-2</v>
      </c>
      <c r="I189" s="231">
        <v>1131.8</v>
      </c>
      <c r="J189" s="231">
        <v>1187.4000000000001</v>
      </c>
      <c r="K189" s="228">
        <v>-55.6</v>
      </c>
      <c r="L189" s="229">
        <v>-4.6800000000000001E-2</v>
      </c>
      <c r="M189" s="231">
        <v>1136.0999999999999</v>
      </c>
      <c r="N189" s="231">
        <v>1185.2</v>
      </c>
      <c r="O189" s="228">
        <v>-49.1</v>
      </c>
      <c r="P189" s="229">
        <v>-4.1399999999999999E-2</v>
      </c>
      <c r="Q189" s="231">
        <v>1143</v>
      </c>
      <c r="R189" s="231">
        <v>1193.5999999999999</v>
      </c>
      <c r="S189" s="228">
        <v>-50.6</v>
      </c>
      <c r="T189" s="229">
        <v>-4.24E-2</v>
      </c>
      <c r="U189" s="231">
        <v>1150.3</v>
      </c>
      <c r="V189" s="231">
        <v>1201.5999999999999</v>
      </c>
      <c r="W189" s="228">
        <v>-51.3</v>
      </c>
      <c r="X189" s="229">
        <v>-4.2700000000000002E-2</v>
      </c>
      <c r="Y189" s="228">
        <v>4.3</v>
      </c>
      <c r="Z189" s="228">
        <v>6.2</v>
      </c>
      <c r="AA189" s="228">
        <v>-1.9</v>
      </c>
      <c r="AB189" s="229">
        <v>3.8E-3</v>
      </c>
      <c r="AC189" s="228">
        <v>4.3</v>
      </c>
      <c r="AD189" s="228">
        <v>-2.2000000000000002</v>
      </c>
      <c r="AE189" s="228">
        <v>6.5</v>
      </c>
      <c r="AF189" s="229">
        <v>3.8E-3</v>
      </c>
      <c r="AG189" s="228">
        <v>11.2</v>
      </c>
      <c r="AH189" s="228">
        <v>6.2</v>
      </c>
      <c r="AI189" s="228">
        <v>5</v>
      </c>
      <c r="AJ189" s="229">
        <v>9.9000000000000008E-3</v>
      </c>
      <c r="AK189" s="228">
        <v>18.5</v>
      </c>
      <c r="AL189" s="228">
        <v>14.2</v>
      </c>
      <c r="AM189" s="228">
        <v>4.3</v>
      </c>
      <c r="AN189" s="229">
        <v>1.6299999999999999E-2</v>
      </c>
      <c r="AO189" s="231">
        <v>1137.01</v>
      </c>
      <c r="AP189" s="231">
        <v>1142.28</v>
      </c>
      <c r="AQ189" s="228">
        <v>0</v>
      </c>
      <c r="AR189" s="230">
        <v>6672600</v>
      </c>
      <c r="AS189" s="230">
        <v>10373000</v>
      </c>
      <c r="AT189" s="230">
        <v>-3700400</v>
      </c>
      <c r="AU189" s="229">
        <v>-0.35670000000000002</v>
      </c>
      <c r="AV189" s="230">
        <v>6427300</v>
      </c>
      <c r="AW189" s="230">
        <v>2933700</v>
      </c>
      <c r="AX189" s="230">
        <v>3493600</v>
      </c>
      <c r="AY189" s="229">
        <v>1.1909000000000001</v>
      </c>
      <c r="AZ189" s="230">
        <v>235400</v>
      </c>
      <c r="BA189" s="230">
        <v>7357900</v>
      </c>
      <c r="BB189" s="230">
        <v>-7122500</v>
      </c>
      <c r="BC189" s="229">
        <v>-0.96799999999999997</v>
      </c>
      <c r="BD189" s="230">
        <v>9900</v>
      </c>
      <c r="BE189" s="230">
        <v>81400</v>
      </c>
      <c r="BF189" s="230">
        <v>-71500</v>
      </c>
      <c r="BG189" s="229">
        <v>-0.87839999999999996</v>
      </c>
      <c r="BH189" s="230">
        <v>19178500</v>
      </c>
      <c r="BI189" s="230">
        <v>14808750</v>
      </c>
      <c r="BJ189" s="230">
        <v>4369750</v>
      </c>
      <c r="BK189" s="229">
        <v>0.29509999999999997</v>
      </c>
      <c r="BL189" s="230">
        <v>14933600</v>
      </c>
      <c r="BM189" s="230">
        <v>5670500</v>
      </c>
      <c r="BN189" s="230">
        <v>9263100</v>
      </c>
      <c r="BO189" s="229">
        <v>1.6335999999999999</v>
      </c>
      <c r="BP189" s="230">
        <v>40784700</v>
      </c>
      <c r="BQ189" s="230">
        <v>30852250</v>
      </c>
      <c r="BR189" s="230">
        <v>9932450</v>
      </c>
      <c r="BS189" s="229">
        <v>0.32190000000000002</v>
      </c>
      <c r="BT189" s="230">
        <v>4857201</v>
      </c>
      <c r="BU189" s="230">
        <v>3934387</v>
      </c>
      <c r="BV189" s="230">
        <v>922814</v>
      </c>
      <c r="BW189" s="229">
        <v>0.2346</v>
      </c>
      <c r="BX189" s="230">
        <v>11223300</v>
      </c>
      <c r="BY189" s="230">
        <v>11596750</v>
      </c>
      <c r="BZ189" s="230">
        <v>-373450</v>
      </c>
      <c r="CA189" s="229">
        <v>-3.2199999999999999E-2</v>
      </c>
      <c r="CB189" s="230">
        <v>10965900</v>
      </c>
      <c r="CC189" s="230">
        <v>253000</v>
      </c>
      <c r="CD189" s="230">
        <v>10712900</v>
      </c>
      <c r="CE189" s="229">
        <v>42.343499999999999</v>
      </c>
      <c r="CF189" s="230">
        <v>249700</v>
      </c>
      <c r="CG189" s="230">
        <v>11426800</v>
      </c>
      <c r="CH189" s="230">
        <v>-11177100</v>
      </c>
      <c r="CI189" s="229">
        <v>-0.97809999999999997</v>
      </c>
      <c r="CJ189" s="230">
        <v>7700</v>
      </c>
      <c r="CK189" s="230">
        <v>169950</v>
      </c>
      <c r="CL189" s="230">
        <v>-162250</v>
      </c>
      <c r="CM189" s="229">
        <v>-0.95469999999999999</v>
      </c>
      <c r="CN189" s="230">
        <v>4424200</v>
      </c>
      <c r="CO189" s="230">
        <v>1869450</v>
      </c>
      <c r="CP189" s="230">
        <v>2554750</v>
      </c>
      <c r="CQ189" s="229">
        <v>1.3666</v>
      </c>
      <c r="CR189" s="230">
        <v>3446850</v>
      </c>
      <c r="CS189" s="230">
        <v>1401950</v>
      </c>
      <c r="CT189" s="230">
        <v>2044900</v>
      </c>
      <c r="CU189" s="229">
        <v>1.4585999999999999</v>
      </c>
      <c r="CV189" s="230">
        <v>19094350</v>
      </c>
      <c r="CW189" s="230">
        <v>14868150</v>
      </c>
      <c r="CX189" s="230">
        <v>4226200</v>
      </c>
      <c r="CY189" s="229">
        <v>0.28420000000000001</v>
      </c>
      <c r="CZ189" s="228">
        <v>26.69</v>
      </c>
      <c r="DA189" s="228">
        <v>25.8</v>
      </c>
      <c r="DB189" s="228">
        <v>0.89</v>
      </c>
      <c r="DC189" s="228">
        <v>0.89</v>
      </c>
      <c r="DD189" s="228">
        <v>26.64</v>
      </c>
      <c r="DE189" s="228">
        <v>25.9</v>
      </c>
      <c r="DF189" s="228">
        <v>0.05</v>
      </c>
      <c r="DG189" s="228">
        <v>0.74</v>
      </c>
      <c r="DH189" s="228">
        <v>26</v>
      </c>
      <c r="DI189" s="228">
        <v>25.19</v>
      </c>
      <c r="DJ189" s="228">
        <v>0.81</v>
      </c>
      <c r="DK189" s="228">
        <v>0.81</v>
      </c>
      <c r="DL189" s="228">
        <v>27.57</v>
      </c>
      <c r="DM189" s="228">
        <v>27.34</v>
      </c>
      <c r="DN189" s="228">
        <v>0.23</v>
      </c>
      <c r="DO189" s="228">
        <v>0.23</v>
      </c>
      <c r="DP189" s="228">
        <v>0.78</v>
      </c>
      <c r="DQ189" s="228">
        <v>0.75</v>
      </c>
      <c r="DR189" s="228">
        <v>0.03</v>
      </c>
      <c r="DS189" s="229">
        <v>0.04</v>
      </c>
      <c r="DT189" s="231">
        <v>1200</v>
      </c>
      <c r="DU189" s="231">
        <v>1020</v>
      </c>
      <c r="DV189" s="228">
        <v>0.78</v>
      </c>
      <c r="DW189" s="228">
        <v>0.38</v>
      </c>
      <c r="DX189" s="228">
        <v>0.4</v>
      </c>
      <c r="DY189" s="229">
        <v>1.0526</v>
      </c>
      <c r="DZ189" s="229">
        <v>2.29E-2</v>
      </c>
      <c r="EA189" s="230">
        <v>11596750</v>
      </c>
      <c r="EB189" s="229">
        <v>6.1000000000000004E-3</v>
      </c>
      <c r="EC189" s="229">
        <v>2.29E-2</v>
      </c>
      <c r="ED189" s="228">
        <v>5.27</v>
      </c>
      <c r="EE189" s="229">
        <v>4.5999999999999999E-3</v>
      </c>
      <c r="EF189" s="230">
        <v>2235488</v>
      </c>
      <c r="EG189" s="230">
        <v>1420476</v>
      </c>
      <c r="EH189" s="229">
        <v>0.57379999999999998</v>
      </c>
      <c r="EI189" s="229">
        <v>0.4602</v>
      </c>
      <c r="EJ189" s="231">
        <v>230830.56</v>
      </c>
      <c r="EK189" s="231">
        <v>167917.5</v>
      </c>
      <c r="EL189" s="231">
        <v>75881.649999999994</v>
      </c>
      <c r="EM189" s="231">
        <v>16484</v>
      </c>
      <c r="EN189" s="231">
        <v>474629.71</v>
      </c>
      <c r="EO189" s="231">
        <v>371312.11</v>
      </c>
      <c r="EP189" s="231">
        <v>103317.6</v>
      </c>
      <c r="EQ189" s="229">
        <v>0.27829999999999999</v>
      </c>
      <c r="ER189" s="231">
        <v>53253</v>
      </c>
      <c r="ES189" s="231">
        <v>37354</v>
      </c>
      <c r="ET189" s="231">
        <v>127526</v>
      </c>
      <c r="EU189" s="231">
        <v>65472326</v>
      </c>
      <c r="EV189" s="231">
        <v>218134</v>
      </c>
      <c r="EW189" s="231">
        <v>177402</v>
      </c>
      <c r="EX189" s="231">
        <v>40732</v>
      </c>
      <c r="EY189" s="229">
        <v>0.2296</v>
      </c>
      <c r="EZ189" s="229">
        <v>0.29160000000000003</v>
      </c>
      <c r="FA189" s="227" t="s">
        <v>568</v>
      </c>
      <c r="FB189" s="161">
        <f t="shared" si="4"/>
        <v>0</v>
      </c>
    </row>
    <row r="190" spans="1:158" ht="17.25" thickBot="1" x14ac:dyDescent="0.3">
      <c r="A190" s="226">
        <v>46050</v>
      </c>
      <c r="B190" s="227" t="s">
        <v>221</v>
      </c>
      <c r="C190" s="227" t="s">
        <v>604</v>
      </c>
      <c r="D190" s="228">
        <v>100</v>
      </c>
      <c r="E190" s="231">
        <v>5423</v>
      </c>
      <c r="F190" s="231">
        <v>5436.5</v>
      </c>
      <c r="G190" s="228">
        <v>-13.5</v>
      </c>
      <c r="H190" s="229">
        <v>-2.5000000000000001E-3</v>
      </c>
      <c r="I190" s="231">
        <v>5391</v>
      </c>
      <c r="J190" s="231">
        <v>5415</v>
      </c>
      <c r="K190" s="228">
        <v>-24</v>
      </c>
      <c r="L190" s="229">
        <v>-4.4000000000000003E-3</v>
      </c>
      <c r="M190" s="231">
        <v>5423</v>
      </c>
      <c r="N190" s="231">
        <v>5401.5</v>
      </c>
      <c r="O190" s="228">
        <v>21.5</v>
      </c>
      <c r="P190" s="229">
        <v>4.0000000000000001E-3</v>
      </c>
      <c r="Q190" s="231">
        <v>5447</v>
      </c>
      <c r="R190" s="231">
        <v>5436.5</v>
      </c>
      <c r="S190" s="228">
        <v>10.5</v>
      </c>
      <c r="T190" s="229">
        <v>1.9E-3</v>
      </c>
      <c r="U190" s="228">
        <v>0</v>
      </c>
      <c r="V190" s="231">
        <v>5470.5</v>
      </c>
      <c r="W190" s="228">
        <v>0</v>
      </c>
      <c r="X190" s="229">
        <v>0</v>
      </c>
      <c r="Y190" s="228">
        <v>32</v>
      </c>
      <c r="Z190" s="228">
        <v>21.5</v>
      </c>
      <c r="AA190" s="228">
        <v>10.5</v>
      </c>
      <c r="AB190" s="229">
        <v>5.8999999999999999E-3</v>
      </c>
      <c r="AC190" s="228">
        <v>32</v>
      </c>
      <c r="AD190" s="228">
        <v>-13.5</v>
      </c>
      <c r="AE190" s="228">
        <v>45.5</v>
      </c>
      <c r="AF190" s="229">
        <v>5.8999999999999999E-3</v>
      </c>
      <c r="AG190" s="228">
        <v>56</v>
      </c>
      <c r="AH190" s="228">
        <v>21.5</v>
      </c>
      <c r="AI190" s="228">
        <v>34.5</v>
      </c>
      <c r="AJ190" s="229">
        <v>1.04E-2</v>
      </c>
      <c r="AK190" s="228">
        <v>0</v>
      </c>
      <c r="AL190" s="228">
        <v>55.5</v>
      </c>
      <c r="AM190" s="228">
        <v>0</v>
      </c>
      <c r="AN190" s="229">
        <v>0</v>
      </c>
      <c r="AO190" s="231">
        <v>5409.84</v>
      </c>
      <c r="AP190" s="231">
        <v>5431.86</v>
      </c>
      <c r="AQ190" s="228">
        <v>0</v>
      </c>
      <c r="AR190" s="230">
        <v>166600</v>
      </c>
      <c r="AS190" s="230">
        <v>742100</v>
      </c>
      <c r="AT190" s="230">
        <v>-575500</v>
      </c>
      <c r="AU190" s="229">
        <v>-0.77549999999999997</v>
      </c>
      <c r="AV190" s="230">
        <v>159600</v>
      </c>
      <c r="AW190" s="230">
        <v>354700</v>
      </c>
      <c r="AX190" s="230">
        <v>-195100</v>
      </c>
      <c r="AY190" s="229">
        <v>-0.55000000000000004</v>
      </c>
      <c r="AZ190" s="230">
        <v>7000</v>
      </c>
      <c r="BA190" s="230">
        <v>378000</v>
      </c>
      <c r="BB190" s="230">
        <v>-371000</v>
      </c>
      <c r="BC190" s="229">
        <v>-0.98150000000000004</v>
      </c>
      <c r="BD190" s="228">
        <v>0</v>
      </c>
      <c r="BE190" s="230">
        <v>9400</v>
      </c>
      <c r="BF190" s="228">
        <v>0</v>
      </c>
      <c r="BG190" s="229">
        <v>0</v>
      </c>
      <c r="BH190" s="230">
        <v>525100</v>
      </c>
      <c r="BI190" s="230">
        <v>1386600</v>
      </c>
      <c r="BJ190" s="230">
        <v>-861500</v>
      </c>
      <c r="BK190" s="229">
        <v>-0.62129999999999996</v>
      </c>
      <c r="BL190" s="230">
        <v>220000</v>
      </c>
      <c r="BM190" s="230">
        <v>692300</v>
      </c>
      <c r="BN190" s="230">
        <v>-472300</v>
      </c>
      <c r="BO190" s="229">
        <v>-0.68220000000000003</v>
      </c>
      <c r="BP190" s="230">
        <v>911700</v>
      </c>
      <c r="BQ190" s="230">
        <v>2821000</v>
      </c>
      <c r="BR190" s="230">
        <v>-1909300</v>
      </c>
      <c r="BS190" s="229">
        <v>-0.67679999999999996</v>
      </c>
      <c r="BT190" s="230">
        <v>131692</v>
      </c>
      <c r="BU190" s="230">
        <v>212179</v>
      </c>
      <c r="BV190" s="230">
        <v>-80487</v>
      </c>
      <c r="BW190" s="229">
        <v>-0.37930000000000003</v>
      </c>
      <c r="BX190" s="230">
        <v>1201000</v>
      </c>
      <c r="BY190" s="230">
        <v>1202000</v>
      </c>
      <c r="BZ190" s="230">
        <v>-1000</v>
      </c>
      <c r="CA190" s="229">
        <v>-8.0000000000000004E-4</v>
      </c>
      <c r="CB190" s="230">
        <v>1176300</v>
      </c>
      <c r="CC190" s="230">
        <v>125900</v>
      </c>
      <c r="CD190" s="230">
        <v>1050400</v>
      </c>
      <c r="CE190" s="229">
        <v>8.3430999999999997</v>
      </c>
      <c r="CF190" s="230">
        <v>24700</v>
      </c>
      <c r="CG190" s="230">
        <v>1179300</v>
      </c>
      <c r="CH190" s="230">
        <v>-1154600</v>
      </c>
      <c r="CI190" s="229">
        <v>-0.97909999999999997</v>
      </c>
      <c r="CJ190" s="228">
        <v>0</v>
      </c>
      <c r="CK190" s="230">
        <v>22700</v>
      </c>
      <c r="CL190" s="230">
        <v>-22700</v>
      </c>
      <c r="CM190" s="229">
        <v>-1</v>
      </c>
      <c r="CN190" s="230">
        <v>595100</v>
      </c>
      <c r="CO190" s="230">
        <v>453700</v>
      </c>
      <c r="CP190" s="230">
        <v>141400</v>
      </c>
      <c r="CQ190" s="229">
        <v>0.31169999999999998</v>
      </c>
      <c r="CR190" s="230">
        <v>225400</v>
      </c>
      <c r="CS190" s="230">
        <v>171700</v>
      </c>
      <c r="CT190" s="230">
        <v>53700</v>
      </c>
      <c r="CU190" s="229">
        <v>0.31280000000000002</v>
      </c>
      <c r="CV190" s="230">
        <v>2021500</v>
      </c>
      <c r="CW190" s="230">
        <v>1827400</v>
      </c>
      <c r="CX190" s="230">
        <v>194100</v>
      </c>
      <c r="CY190" s="229">
        <v>0.1062</v>
      </c>
      <c r="CZ190" s="228">
        <v>31.92</v>
      </c>
      <c r="DA190" s="228">
        <v>32.28</v>
      </c>
      <c r="DB190" s="228">
        <v>-0.36</v>
      </c>
      <c r="DC190" s="228">
        <v>-0.36</v>
      </c>
      <c r="DD190" s="228">
        <v>37.76</v>
      </c>
      <c r="DE190" s="228">
        <v>37.86</v>
      </c>
      <c r="DF190" s="228">
        <v>-5.84</v>
      </c>
      <c r="DG190" s="228">
        <v>-0.1</v>
      </c>
      <c r="DH190" s="228">
        <v>31.94</v>
      </c>
      <c r="DI190" s="228">
        <v>32.880000000000003</v>
      </c>
      <c r="DJ190" s="228">
        <v>-0.94</v>
      </c>
      <c r="DK190" s="228">
        <v>-0.94</v>
      </c>
      <c r="DL190" s="228">
        <v>31.86</v>
      </c>
      <c r="DM190" s="228">
        <v>31.31</v>
      </c>
      <c r="DN190" s="228">
        <v>0.55000000000000004</v>
      </c>
      <c r="DO190" s="228">
        <v>0.55000000000000004</v>
      </c>
      <c r="DP190" s="228">
        <v>0.38</v>
      </c>
      <c r="DQ190" s="228">
        <v>0.38</v>
      </c>
      <c r="DR190" s="228">
        <v>0</v>
      </c>
      <c r="DS190" s="229">
        <v>0</v>
      </c>
      <c r="DT190" s="231">
        <v>6000</v>
      </c>
      <c r="DU190" s="231">
        <v>5400</v>
      </c>
      <c r="DV190" s="228">
        <v>0.42</v>
      </c>
      <c r="DW190" s="228">
        <v>0.5</v>
      </c>
      <c r="DX190" s="228">
        <v>-0.08</v>
      </c>
      <c r="DY190" s="229">
        <v>-0.16</v>
      </c>
      <c r="DZ190" s="229">
        <v>2.06E-2</v>
      </c>
      <c r="EA190" s="230">
        <v>1202000</v>
      </c>
      <c r="EB190" s="229">
        <v>4.4000000000000003E-3</v>
      </c>
      <c r="EC190" s="229">
        <v>2.06E-2</v>
      </c>
      <c r="ED190" s="228">
        <v>22.02</v>
      </c>
      <c r="EE190" s="229">
        <v>4.1000000000000003E-3</v>
      </c>
      <c r="EF190" s="230">
        <v>46726</v>
      </c>
      <c r="EG190" s="230">
        <v>78630</v>
      </c>
      <c r="EH190" s="229">
        <v>-0.40570000000000001</v>
      </c>
      <c r="EI190" s="229">
        <v>0.3548</v>
      </c>
      <c r="EJ190" s="231">
        <v>30927.24</v>
      </c>
      <c r="EK190" s="231">
        <v>11754.25</v>
      </c>
      <c r="EL190" s="231">
        <v>9014.34</v>
      </c>
      <c r="EM190" s="231">
        <v>10921</v>
      </c>
      <c r="EN190" s="231">
        <v>51695.83</v>
      </c>
      <c r="EO190" s="231">
        <v>157827.35</v>
      </c>
      <c r="EP190" s="231">
        <v>-106131.52</v>
      </c>
      <c r="EQ190" s="229">
        <v>-0.67249999999999999</v>
      </c>
      <c r="ER190" s="231">
        <v>34897</v>
      </c>
      <c r="ES190" s="231">
        <v>11966</v>
      </c>
      <c r="ET190" s="231">
        <v>65136</v>
      </c>
      <c r="EU190" s="231">
        <v>5241546</v>
      </c>
      <c r="EV190" s="231">
        <v>111999</v>
      </c>
      <c r="EW190" s="231">
        <v>101230</v>
      </c>
      <c r="EX190" s="231">
        <v>10769</v>
      </c>
      <c r="EY190" s="229">
        <v>0.10639999999999999</v>
      </c>
      <c r="EZ190" s="229">
        <v>0.38569999999999999</v>
      </c>
      <c r="FA190" s="227" t="s">
        <v>568</v>
      </c>
      <c r="FB190" s="161">
        <f t="shared" si="4"/>
        <v>0</v>
      </c>
    </row>
    <row r="191" spans="1:158" ht="17.25" thickBot="1" x14ac:dyDescent="0.3">
      <c r="A191" s="226">
        <v>46050</v>
      </c>
      <c r="B191" s="227" t="s">
        <v>161</v>
      </c>
      <c r="C191" s="227" t="s">
        <v>293</v>
      </c>
      <c r="D191" s="228">
        <v>1450</v>
      </c>
      <c r="E191" s="228">
        <v>357.25</v>
      </c>
      <c r="F191" s="228">
        <v>349.45</v>
      </c>
      <c r="G191" s="228">
        <v>7.8</v>
      </c>
      <c r="H191" s="229">
        <v>2.23E-2</v>
      </c>
      <c r="I191" s="228">
        <v>355.05</v>
      </c>
      <c r="J191" s="228">
        <v>347.75</v>
      </c>
      <c r="K191" s="228">
        <v>7.3</v>
      </c>
      <c r="L191" s="229">
        <v>2.1000000000000001E-2</v>
      </c>
      <c r="M191" s="228">
        <v>357.25</v>
      </c>
      <c r="N191" s="228">
        <v>347.35</v>
      </c>
      <c r="O191" s="228">
        <v>9.9</v>
      </c>
      <c r="P191" s="229">
        <v>2.8500000000000001E-2</v>
      </c>
      <c r="Q191" s="228">
        <v>359.6</v>
      </c>
      <c r="R191" s="228">
        <v>349.45</v>
      </c>
      <c r="S191" s="228">
        <v>10.15</v>
      </c>
      <c r="T191" s="229">
        <v>2.9000000000000001E-2</v>
      </c>
      <c r="U191" s="228">
        <v>361.9</v>
      </c>
      <c r="V191" s="228">
        <v>351.9</v>
      </c>
      <c r="W191" s="228">
        <v>10</v>
      </c>
      <c r="X191" s="229">
        <v>2.8400000000000002E-2</v>
      </c>
      <c r="Y191" s="228">
        <v>2.2000000000000002</v>
      </c>
      <c r="Z191" s="228">
        <v>1.7</v>
      </c>
      <c r="AA191" s="228">
        <v>0.5</v>
      </c>
      <c r="AB191" s="229">
        <v>6.1999999999999998E-3</v>
      </c>
      <c r="AC191" s="228">
        <v>2.2000000000000002</v>
      </c>
      <c r="AD191" s="228">
        <v>-0.4</v>
      </c>
      <c r="AE191" s="228">
        <v>2.6</v>
      </c>
      <c r="AF191" s="229">
        <v>6.1999999999999998E-3</v>
      </c>
      <c r="AG191" s="228">
        <v>4.55</v>
      </c>
      <c r="AH191" s="228">
        <v>1.7</v>
      </c>
      <c r="AI191" s="228">
        <v>2.85</v>
      </c>
      <c r="AJ191" s="229">
        <v>1.2800000000000001E-2</v>
      </c>
      <c r="AK191" s="228">
        <v>6.85</v>
      </c>
      <c r="AL191" s="228">
        <v>4.1500000000000004</v>
      </c>
      <c r="AM191" s="228">
        <v>2.7</v>
      </c>
      <c r="AN191" s="229">
        <v>1.9300000000000001E-2</v>
      </c>
      <c r="AO191" s="228">
        <v>355.32</v>
      </c>
      <c r="AP191" s="228">
        <v>357.47</v>
      </c>
      <c r="AQ191" s="228">
        <v>0</v>
      </c>
      <c r="AR191" s="230">
        <v>7012200</v>
      </c>
      <c r="AS191" s="230">
        <v>49344950</v>
      </c>
      <c r="AT191" s="230">
        <v>-42332750</v>
      </c>
      <c r="AU191" s="229">
        <v>-0.8579</v>
      </c>
      <c r="AV191" s="230">
        <v>6527900</v>
      </c>
      <c r="AW191" s="230">
        <v>22921600</v>
      </c>
      <c r="AX191" s="230">
        <v>-16393700</v>
      </c>
      <c r="AY191" s="229">
        <v>-0.71519999999999995</v>
      </c>
      <c r="AZ191" s="230">
        <v>450950</v>
      </c>
      <c r="BA191" s="230">
        <v>25622950</v>
      </c>
      <c r="BB191" s="230">
        <v>-25172000</v>
      </c>
      <c r="BC191" s="229">
        <v>-0.98240000000000005</v>
      </c>
      <c r="BD191" s="230">
        <v>33350</v>
      </c>
      <c r="BE191" s="230">
        <v>800400</v>
      </c>
      <c r="BF191" s="230">
        <v>-767050</v>
      </c>
      <c r="BG191" s="229">
        <v>-0.95830000000000004</v>
      </c>
      <c r="BH191" s="230">
        <v>19187850</v>
      </c>
      <c r="BI191" s="230">
        <v>28807150</v>
      </c>
      <c r="BJ191" s="230">
        <v>-9619300</v>
      </c>
      <c r="BK191" s="229">
        <v>-0.33389999999999997</v>
      </c>
      <c r="BL191" s="230">
        <v>8424500</v>
      </c>
      <c r="BM191" s="230">
        <v>25074850</v>
      </c>
      <c r="BN191" s="230">
        <v>-16650350</v>
      </c>
      <c r="BO191" s="229">
        <v>-0.66400000000000003</v>
      </c>
      <c r="BP191" s="230">
        <v>34624550</v>
      </c>
      <c r="BQ191" s="230">
        <v>103226950</v>
      </c>
      <c r="BR191" s="230">
        <v>-68602400</v>
      </c>
      <c r="BS191" s="229">
        <v>-0.66459999999999997</v>
      </c>
      <c r="BT191" s="230">
        <v>7335345</v>
      </c>
      <c r="BU191" s="230">
        <v>4425277</v>
      </c>
      <c r="BV191" s="230">
        <v>2910068</v>
      </c>
      <c r="BW191" s="229">
        <v>0.65759999999999996</v>
      </c>
      <c r="BX191" s="230">
        <v>55600250</v>
      </c>
      <c r="BY191" s="230">
        <v>56293350</v>
      </c>
      <c r="BZ191" s="230">
        <v>-693100</v>
      </c>
      <c r="CA191" s="229">
        <v>-1.23E-2</v>
      </c>
      <c r="CB191" s="230">
        <v>53771800</v>
      </c>
      <c r="CC191" s="230">
        <v>6424950</v>
      </c>
      <c r="CD191" s="230">
        <v>47346850</v>
      </c>
      <c r="CE191" s="229">
        <v>7.3692000000000002</v>
      </c>
      <c r="CF191" s="230">
        <v>1798000</v>
      </c>
      <c r="CG191" s="230">
        <v>54628750</v>
      </c>
      <c r="CH191" s="230">
        <v>-52830750</v>
      </c>
      <c r="CI191" s="229">
        <v>-0.96709999999999996</v>
      </c>
      <c r="CJ191" s="230">
        <v>30450</v>
      </c>
      <c r="CK191" s="230">
        <v>1664600</v>
      </c>
      <c r="CL191" s="230">
        <v>-1634150</v>
      </c>
      <c r="CM191" s="229">
        <v>-0.98170000000000002</v>
      </c>
      <c r="CN191" s="230">
        <v>17745100</v>
      </c>
      <c r="CO191" s="230">
        <v>15124950</v>
      </c>
      <c r="CP191" s="230">
        <v>2620150</v>
      </c>
      <c r="CQ191" s="229">
        <v>0.17319999999999999</v>
      </c>
      <c r="CR191" s="230">
        <v>20268100</v>
      </c>
      <c r="CS191" s="230">
        <v>19109550</v>
      </c>
      <c r="CT191" s="230">
        <v>1158550</v>
      </c>
      <c r="CU191" s="229">
        <v>6.0600000000000001E-2</v>
      </c>
      <c r="CV191" s="230">
        <v>93613450</v>
      </c>
      <c r="CW191" s="230">
        <v>90527850</v>
      </c>
      <c r="CX191" s="230">
        <v>3085600</v>
      </c>
      <c r="CY191" s="229">
        <v>3.4099999999999998E-2</v>
      </c>
      <c r="CZ191" s="228">
        <v>30.28</v>
      </c>
      <c r="DA191" s="228">
        <v>31.75</v>
      </c>
      <c r="DB191" s="228">
        <v>-1.47</v>
      </c>
      <c r="DC191" s="228">
        <v>-1.47</v>
      </c>
      <c r="DD191" s="228">
        <v>30.98</v>
      </c>
      <c r="DE191" s="228">
        <v>30.91</v>
      </c>
      <c r="DF191" s="228">
        <v>-0.7</v>
      </c>
      <c r="DG191" s="228">
        <v>7.0000000000000007E-2</v>
      </c>
      <c r="DH191" s="228">
        <v>29.91</v>
      </c>
      <c r="DI191" s="228">
        <v>31.34</v>
      </c>
      <c r="DJ191" s="228">
        <v>-1.43</v>
      </c>
      <c r="DK191" s="228">
        <v>-1.43</v>
      </c>
      <c r="DL191" s="228">
        <v>31.11</v>
      </c>
      <c r="DM191" s="228">
        <v>32.21</v>
      </c>
      <c r="DN191" s="228">
        <v>-1.1000000000000001</v>
      </c>
      <c r="DO191" s="228">
        <v>-1.1000000000000001</v>
      </c>
      <c r="DP191" s="228">
        <v>1.1399999999999999</v>
      </c>
      <c r="DQ191" s="228">
        <v>1.26</v>
      </c>
      <c r="DR191" s="228">
        <v>-0.12</v>
      </c>
      <c r="DS191" s="229">
        <v>-9.5200000000000007E-2</v>
      </c>
      <c r="DT191" s="228">
        <v>350</v>
      </c>
      <c r="DU191" s="228">
        <v>350</v>
      </c>
      <c r="DV191" s="228">
        <v>0.44</v>
      </c>
      <c r="DW191" s="228">
        <v>0.87</v>
      </c>
      <c r="DX191" s="228">
        <v>-0.43</v>
      </c>
      <c r="DY191" s="229">
        <v>-0.49430000000000002</v>
      </c>
      <c r="DZ191" s="229">
        <v>3.2899999999999999E-2</v>
      </c>
      <c r="EA191" s="230">
        <v>56293350</v>
      </c>
      <c r="EB191" s="229">
        <v>6.6E-3</v>
      </c>
      <c r="EC191" s="229">
        <v>3.2899999999999999E-2</v>
      </c>
      <c r="ED191" s="228">
        <v>2.15</v>
      </c>
      <c r="EE191" s="229">
        <v>6.1000000000000004E-3</v>
      </c>
      <c r="EF191" s="230">
        <v>4489430</v>
      </c>
      <c r="EG191" s="230">
        <v>1933727</v>
      </c>
      <c r="EH191" s="229">
        <v>1.3216000000000001</v>
      </c>
      <c r="EI191" s="229">
        <v>0.61199999999999999</v>
      </c>
      <c r="EJ191" s="231">
        <v>72458.600000000006</v>
      </c>
      <c r="EK191" s="231">
        <v>29915.040000000001</v>
      </c>
      <c r="EL191" s="231">
        <v>24927.33</v>
      </c>
      <c r="EM191" s="231">
        <v>26704</v>
      </c>
      <c r="EN191" s="231">
        <v>127300.97</v>
      </c>
      <c r="EO191" s="231">
        <v>379650.04</v>
      </c>
      <c r="EP191" s="231">
        <v>-252349.07</v>
      </c>
      <c r="EQ191" s="229">
        <v>-0.66469999999999996</v>
      </c>
      <c r="ER191" s="231">
        <v>67661</v>
      </c>
      <c r="ES191" s="231">
        <v>75808</v>
      </c>
      <c r="ET191" s="231">
        <v>198676</v>
      </c>
      <c r="EU191" s="231">
        <v>202215001</v>
      </c>
      <c r="EV191" s="231">
        <v>342144</v>
      </c>
      <c r="EW191" s="231">
        <v>326295</v>
      </c>
      <c r="EX191" s="231">
        <v>15849</v>
      </c>
      <c r="EY191" s="229">
        <v>4.8599999999999997E-2</v>
      </c>
      <c r="EZ191" s="229">
        <v>0.46289999999999998</v>
      </c>
      <c r="FA191" s="227" t="s">
        <v>556</v>
      </c>
      <c r="FB191" s="161">
        <f t="shared" si="4"/>
        <v>0</v>
      </c>
    </row>
    <row r="192" spans="1:158" ht="17.25" thickBot="1" x14ac:dyDescent="0.3">
      <c r="A192" s="226">
        <v>46050</v>
      </c>
      <c r="B192" s="227" t="s">
        <v>227</v>
      </c>
      <c r="C192" s="227" t="s">
        <v>294</v>
      </c>
      <c r="D192" s="228">
        <v>5500</v>
      </c>
      <c r="E192" s="228">
        <v>195.01</v>
      </c>
      <c r="F192" s="228">
        <v>193.11</v>
      </c>
      <c r="G192" s="228">
        <v>1.9</v>
      </c>
      <c r="H192" s="229">
        <v>9.7999999999999997E-3</v>
      </c>
      <c r="I192" s="228">
        <v>193.85</v>
      </c>
      <c r="J192" s="228">
        <v>192.28</v>
      </c>
      <c r="K192" s="228">
        <v>1.57</v>
      </c>
      <c r="L192" s="229">
        <v>8.2000000000000007E-3</v>
      </c>
      <c r="M192" s="228">
        <v>195.01</v>
      </c>
      <c r="N192" s="228">
        <v>191.71</v>
      </c>
      <c r="O192" s="228">
        <v>3.3</v>
      </c>
      <c r="P192" s="229">
        <v>1.72E-2</v>
      </c>
      <c r="Q192" s="228">
        <v>196.22</v>
      </c>
      <c r="R192" s="228">
        <v>193.11</v>
      </c>
      <c r="S192" s="228">
        <v>3.11</v>
      </c>
      <c r="T192" s="229">
        <v>1.61E-2</v>
      </c>
      <c r="U192" s="228">
        <v>197.46</v>
      </c>
      <c r="V192" s="228">
        <v>194.35</v>
      </c>
      <c r="W192" s="228">
        <v>3.11</v>
      </c>
      <c r="X192" s="229">
        <v>1.6E-2</v>
      </c>
      <c r="Y192" s="228">
        <v>1.1599999999999999</v>
      </c>
      <c r="Z192" s="228">
        <v>0.83</v>
      </c>
      <c r="AA192" s="228">
        <v>0.33</v>
      </c>
      <c r="AB192" s="229">
        <v>6.0000000000000001E-3</v>
      </c>
      <c r="AC192" s="228">
        <v>1.1599999999999999</v>
      </c>
      <c r="AD192" s="228">
        <v>-0.56999999999999995</v>
      </c>
      <c r="AE192" s="228">
        <v>1.73</v>
      </c>
      <c r="AF192" s="229">
        <v>6.0000000000000001E-3</v>
      </c>
      <c r="AG192" s="228">
        <v>2.37</v>
      </c>
      <c r="AH192" s="228">
        <v>0.83</v>
      </c>
      <c r="AI192" s="228">
        <v>1.54</v>
      </c>
      <c r="AJ192" s="229">
        <v>1.2200000000000001E-2</v>
      </c>
      <c r="AK192" s="228">
        <v>3.61</v>
      </c>
      <c r="AL192" s="228">
        <v>2.0699999999999998</v>
      </c>
      <c r="AM192" s="228">
        <v>1.54</v>
      </c>
      <c r="AN192" s="229">
        <v>1.8599999999999998E-2</v>
      </c>
      <c r="AO192" s="228">
        <v>194.78</v>
      </c>
      <c r="AP192" s="228">
        <v>196.03</v>
      </c>
      <c r="AQ192" s="228">
        <v>0</v>
      </c>
      <c r="AR192" s="230">
        <v>49384500</v>
      </c>
      <c r="AS192" s="230">
        <v>157509000</v>
      </c>
      <c r="AT192" s="230">
        <v>-108124500</v>
      </c>
      <c r="AU192" s="229">
        <v>-0.6865</v>
      </c>
      <c r="AV192" s="230">
        <v>45644500</v>
      </c>
      <c r="AW192" s="230">
        <v>62645000</v>
      </c>
      <c r="AX192" s="230">
        <v>-17000500</v>
      </c>
      <c r="AY192" s="229">
        <v>-0.27139999999999997</v>
      </c>
      <c r="AZ192" s="230">
        <v>3344000</v>
      </c>
      <c r="BA192" s="230">
        <v>91668500</v>
      </c>
      <c r="BB192" s="230">
        <v>-88324500</v>
      </c>
      <c r="BC192" s="229">
        <v>-0.96350000000000002</v>
      </c>
      <c r="BD192" s="230">
        <v>396000</v>
      </c>
      <c r="BE192" s="230">
        <v>3195500</v>
      </c>
      <c r="BF192" s="230">
        <v>-2799500</v>
      </c>
      <c r="BG192" s="229">
        <v>-0.87609999999999999</v>
      </c>
      <c r="BH192" s="230">
        <v>152366500</v>
      </c>
      <c r="BI192" s="230">
        <v>209176000</v>
      </c>
      <c r="BJ192" s="230">
        <v>-56809500</v>
      </c>
      <c r="BK192" s="229">
        <v>-0.27160000000000001</v>
      </c>
      <c r="BL192" s="230">
        <v>79167000</v>
      </c>
      <c r="BM192" s="230">
        <v>115907000</v>
      </c>
      <c r="BN192" s="230">
        <v>-36740000</v>
      </c>
      <c r="BO192" s="229">
        <v>-0.317</v>
      </c>
      <c r="BP192" s="230">
        <v>280918000</v>
      </c>
      <c r="BQ192" s="230">
        <v>482592000</v>
      </c>
      <c r="BR192" s="230">
        <v>-201674000</v>
      </c>
      <c r="BS192" s="229">
        <v>-0.41789999999999999</v>
      </c>
      <c r="BT192" s="230">
        <v>35978622</v>
      </c>
      <c r="BU192" s="230">
        <v>44549584</v>
      </c>
      <c r="BV192" s="230">
        <v>-8570962</v>
      </c>
      <c r="BW192" s="229">
        <v>-0.19239999999999999</v>
      </c>
      <c r="BX192" s="230">
        <v>261860500</v>
      </c>
      <c r="BY192" s="230">
        <v>263516000</v>
      </c>
      <c r="BZ192" s="230">
        <v>-1655500</v>
      </c>
      <c r="CA192" s="229">
        <v>-6.3E-3</v>
      </c>
      <c r="CB192" s="230">
        <v>244893000</v>
      </c>
      <c r="CC192" s="230">
        <v>11830500</v>
      </c>
      <c r="CD192" s="230">
        <v>233062500</v>
      </c>
      <c r="CE192" s="229">
        <v>19.700099999999999</v>
      </c>
      <c r="CF192" s="230">
        <v>16736500</v>
      </c>
      <c r="CG192" s="230">
        <v>247346000</v>
      </c>
      <c r="CH192" s="230">
        <v>-230609500</v>
      </c>
      <c r="CI192" s="229">
        <v>-0.93230000000000002</v>
      </c>
      <c r="CJ192" s="230">
        <v>231000</v>
      </c>
      <c r="CK192" s="230">
        <v>16170000</v>
      </c>
      <c r="CL192" s="230">
        <v>-15939000</v>
      </c>
      <c r="CM192" s="229">
        <v>-0.98570000000000002</v>
      </c>
      <c r="CN192" s="230">
        <v>63503000</v>
      </c>
      <c r="CO192" s="230">
        <v>56265000</v>
      </c>
      <c r="CP192" s="230">
        <v>7238000</v>
      </c>
      <c r="CQ192" s="229">
        <v>0.12859999999999999</v>
      </c>
      <c r="CR192" s="230">
        <v>54263000</v>
      </c>
      <c r="CS192" s="230">
        <v>47718000</v>
      </c>
      <c r="CT192" s="230">
        <v>6545000</v>
      </c>
      <c r="CU192" s="229">
        <v>0.13719999999999999</v>
      </c>
      <c r="CV192" s="230">
        <v>379626500</v>
      </c>
      <c r="CW192" s="230">
        <v>367499000</v>
      </c>
      <c r="CX192" s="230">
        <v>12127500</v>
      </c>
      <c r="CY192" s="229">
        <v>3.3000000000000002E-2</v>
      </c>
      <c r="CZ192" s="228">
        <v>30.96</v>
      </c>
      <c r="DA192" s="228">
        <v>31.9</v>
      </c>
      <c r="DB192" s="228">
        <v>-0.94</v>
      </c>
      <c r="DC192" s="228">
        <v>-0.94</v>
      </c>
      <c r="DD192" s="228">
        <v>32.53</v>
      </c>
      <c r="DE192" s="228">
        <v>32.58</v>
      </c>
      <c r="DF192" s="228">
        <v>-1.57</v>
      </c>
      <c r="DG192" s="228">
        <v>-0.05</v>
      </c>
      <c r="DH192" s="228">
        <v>30.54</v>
      </c>
      <c r="DI192" s="228">
        <v>31.66</v>
      </c>
      <c r="DJ192" s="228">
        <v>-1.1200000000000001</v>
      </c>
      <c r="DK192" s="228">
        <v>-1.1200000000000001</v>
      </c>
      <c r="DL192" s="228">
        <v>31.76</v>
      </c>
      <c r="DM192" s="228">
        <v>32.340000000000003</v>
      </c>
      <c r="DN192" s="228">
        <v>-0.57999999999999996</v>
      </c>
      <c r="DO192" s="228">
        <v>-0.57999999999999996</v>
      </c>
      <c r="DP192" s="228">
        <v>0.85</v>
      </c>
      <c r="DQ192" s="228">
        <v>0.85</v>
      </c>
      <c r="DR192" s="228">
        <v>0</v>
      </c>
      <c r="DS192" s="229">
        <v>0</v>
      </c>
      <c r="DT192" s="228">
        <v>200</v>
      </c>
      <c r="DU192" s="228">
        <v>190</v>
      </c>
      <c r="DV192" s="228">
        <v>0.52</v>
      </c>
      <c r="DW192" s="228">
        <v>0.55000000000000004</v>
      </c>
      <c r="DX192" s="228">
        <v>-0.03</v>
      </c>
      <c r="DY192" s="229">
        <v>-5.45E-2</v>
      </c>
      <c r="DZ192" s="229">
        <v>6.4799999999999996E-2</v>
      </c>
      <c r="EA192" s="230">
        <v>263516000</v>
      </c>
      <c r="EB192" s="229">
        <v>6.1999999999999998E-3</v>
      </c>
      <c r="EC192" s="229">
        <v>6.4799999999999996E-2</v>
      </c>
      <c r="ED192" s="228">
        <v>1.25</v>
      </c>
      <c r="EE192" s="229">
        <v>6.4000000000000003E-3</v>
      </c>
      <c r="EF192" s="230">
        <v>14100746</v>
      </c>
      <c r="EG192" s="230">
        <v>23646926</v>
      </c>
      <c r="EH192" s="229">
        <v>-0.4037</v>
      </c>
      <c r="EI192" s="229">
        <v>0.39190000000000003</v>
      </c>
      <c r="EJ192" s="231">
        <v>311112.34000000003</v>
      </c>
      <c r="EK192" s="231">
        <v>151168.63</v>
      </c>
      <c r="EL192" s="231">
        <v>96242.63</v>
      </c>
      <c r="EM192" s="231">
        <v>32743</v>
      </c>
      <c r="EN192" s="231">
        <v>558523.6</v>
      </c>
      <c r="EO192" s="231">
        <v>931912.54</v>
      </c>
      <c r="EP192" s="231">
        <v>-373388.94</v>
      </c>
      <c r="EQ192" s="229">
        <v>-0.4007</v>
      </c>
      <c r="ER192" s="231">
        <v>124242</v>
      </c>
      <c r="ES192" s="231">
        <v>99473</v>
      </c>
      <c r="ET192" s="231">
        <v>510862</v>
      </c>
      <c r="EU192" s="231">
        <v>872935214</v>
      </c>
      <c r="EV192" s="231">
        <v>734577</v>
      </c>
      <c r="EW192" s="231">
        <v>705900</v>
      </c>
      <c r="EX192" s="231">
        <v>28677</v>
      </c>
      <c r="EY192" s="229">
        <v>4.0599999999999997E-2</v>
      </c>
      <c r="EZ192" s="229">
        <v>0.43490000000000001</v>
      </c>
      <c r="FA192" s="227" t="s">
        <v>556</v>
      </c>
      <c r="FB192" s="161">
        <f t="shared" si="4"/>
        <v>0</v>
      </c>
    </row>
    <row r="193" spans="1:158" ht="17.25" thickBot="1" x14ac:dyDescent="0.3">
      <c r="A193" s="226">
        <v>46050</v>
      </c>
      <c r="B193" s="227" t="s">
        <v>221</v>
      </c>
      <c r="C193" s="227" t="s">
        <v>663</v>
      </c>
      <c r="D193" s="228">
        <v>800</v>
      </c>
      <c r="E193" s="228">
        <v>665.05</v>
      </c>
      <c r="F193" s="228">
        <v>655.6</v>
      </c>
      <c r="G193" s="228">
        <v>9.4499999999999993</v>
      </c>
      <c r="H193" s="229">
        <v>1.44E-2</v>
      </c>
      <c r="I193" s="228">
        <v>660.65</v>
      </c>
      <c r="J193" s="228">
        <v>651.4</v>
      </c>
      <c r="K193" s="228">
        <v>9.25</v>
      </c>
      <c r="L193" s="229">
        <v>1.4200000000000001E-2</v>
      </c>
      <c r="M193" s="228">
        <v>665.05</v>
      </c>
      <c r="N193" s="228">
        <v>650.79999999999995</v>
      </c>
      <c r="O193" s="228">
        <v>14.25</v>
      </c>
      <c r="P193" s="229">
        <v>2.1899999999999999E-2</v>
      </c>
      <c r="Q193" s="228">
        <v>667.6</v>
      </c>
      <c r="R193" s="228">
        <v>655.6</v>
      </c>
      <c r="S193" s="228">
        <v>12</v>
      </c>
      <c r="T193" s="229">
        <v>1.83E-2</v>
      </c>
      <c r="U193" s="228">
        <v>665.85</v>
      </c>
      <c r="V193" s="228">
        <v>658.85</v>
      </c>
      <c r="W193" s="228">
        <v>7</v>
      </c>
      <c r="X193" s="229">
        <v>1.06E-2</v>
      </c>
      <c r="Y193" s="228">
        <v>4.4000000000000004</v>
      </c>
      <c r="Z193" s="228">
        <v>4.2</v>
      </c>
      <c r="AA193" s="228">
        <v>0.2</v>
      </c>
      <c r="AB193" s="229">
        <v>6.7000000000000002E-3</v>
      </c>
      <c r="AC193" s="228">
        <v>4.4000000000000004</v>
      </c>
      <c r="AD193" s="228">
        <v>-0.6</v>
      </c>
      <c r="AE193" s="228">
        <v>5</v>
      </c>
      <c r="AF193" s="229">
        <v>6.7000000000000002E-3</v>
      </c>
      <c r="AG193" s="228">
        <v>6.95</v>
      </c>
      <c r="AH193" s="228">
        <v>4.2</v>
      </c>
      <c r="AI193" s="228">
        <v>2.75</v>
      </c>
      <c r="AJ193" s="229">
        <v>1.0500000000000001E-2</v>
      </c>
      <c r="AK193" s="228">
        <v>5.2</v>
      </c>
      <c r="AL193" s="228">
        <v>7.45</v>
      </c>
      <c r="AM193" s="228">
        <v>-2.25</v>
      </c>
      <c r="AN193" s="229">
        <v>7.9000000000000008E-3</v>
      </c>
      <c r="AO193" s="228">
        <v>660.02</v>
      </c>
      <c r="AP193" s="228">
        <v>661.95</v>
      </c>
      <c r="AQ193" s="228">
        <v>0</v>
      </c>
      <c r="AR193" s="230">
        <v>1411200</v>
      </c>
      <c r="AS193" s="230">
        <v>9188000</v>
      </c>
      <c r="AT193" s="230">
        <v>-7776800</v>
      </c>
      <c r="AU193" s="229">
        <v>-0.84640000000000004</v>
      </c>
      <c r="AV193" s="230">
        <v>1350400</v>
      </c>
      <c r="AW193" s="230">
        <v>4333600</v>
      </c>
      <c r="AX193" s="230">
        <v>-2983200</v>
      </c>
      <c r="AY193" s="229">
        <v>-0.68840000000000001</v>
      </c>
      <c r="AZ193" s="230">
        <v>60000</v>
      </c>
      <c r="BA193" s="230">
        <v>4737600</v>
      </c>
      <c r="BB193" s="230">
        <v>-4677600</v>
      </c>
      <c r="BC193" s="229">
        <v>-0.98729999999999996</v>
      </c>
      <c r="BD193" s="228">
        <v>800</v>
      </c>
      <c r="BE193" s="230">
        <v>116800</v>
      </c>
      <c r="BF193" s="230">
        <v>-116000</v>
      </c>
      <c r="BG193" s="229">
        <v>-0.99319999999999997</v>
      </c>
      <c r="BH193" s="230">
        <v>1880000</v>
      </c>
      <c r="BI193" s="230">
        <v>4988800</v>
      </c>
      <c r="BJ193" s="230">
        <v>-3108800</v>
      </c>
      <c r="BK193" s="229">
        <v>-0.62319999999999998</v>
      </c>
      <c r="BL193" s="230">
        <v>848000</v>
      </c>
      <c r="BM193" s="230">
        <v>2408000</v>
      </c>
      <c r="BN193" s="230">
        <v>-1560000</v>
      </c>
      <c r="BO193" s="229">
        <v>-0.64780000000000004</v>
      </c>
      <c r="BP193" s="230">
        <v>4139200</v>
      </c>
      <c r="BQ193" s="230">
        <v>16584800</v>
      </c>
      <c r="BR193" s="230">
        <v>-12445600</v>
      </c>
      <c r="BS193" s="229">
        <v>-0.75039999999999996</v>
      </c>
      <c r="BT193" s="230">
        <v>614156</v>
      </c>
      <c r="BU193" s="230">
        <v>1153177</v>
      </c>
      <c r="BV193" s="230">
        <v>-539021</v>
      </c>
      <c r="BW193" s="229">
        <v>-0.46739999999999998</v>
      </c>
      <c r="BX193" s="230">
        <v>9549600</v>
      </c>
      <c r="BY193" s="230">
        <v>9625600</v>
      </c>
      <c r="BZ193" s="230">
        <v>-76000</v>
      </c>
      <c r="CA193" s="229">
        <v>-7.9000000000000008E-3</v>
      </c>
      <c r="CB193" s="230">
        <v>9186400</v>
      </c>
      <c r="CC193" s="230">
        <v>528000</v>
      </c>
      <c r="CD193" s="230">
        <v>8658400</v>
      </c>
      <c r="CE193" s="229">
        <v>16.398499999999999</v>
      </c>
      <c r="CF193" s="230">
        <v>362400</v>
      </c>
      <c r="CG193" s="230">
        <v>9273600</v>
      </c>
      <c r="CH193" s="230">
        <v>-8911200</v>
      </c>
      <c r="CI193" s="229">
        <v>-0.96089999999999998</v>
      </c>
      <c r="CJ193" s="228">
        <v>800</v>
      </c>
      <c r="CK193" s="230">
        <v>352000</v>
      </c>
      <c r="CL193" s="230">
        <v>-351200</v>
      </c>
      <c r="CM193" s="229">
        <v>-0.99770000000000003</v>
      </c>
      <c r="CN193" s="230">
        <v>2236000</v>
      </c>
      <c r="CO193" s="230">
        <v>2038400</v>
      </c>
      <c r="CP193" s="230">
        <v>197600</v>
      </c>
      <c r="CQ193" s="229">
        <v>9.69E-2</v>
      </c>
      <c r="CR193" s="230">
        <v>1787200</v>
      </c>
      <c r="CS193" s="230">
        <v>1629600</v>
      </c>
      <c r="CT193" s="230">
        <v>157600</v>
      </c>
      <c r="CU193" s="229">
        <v>9.6699999999999994E-2</v>
      </c>
      <c r="CV193" s="230">
        <v>13572800</v>
      </c>
      <c r="CW193" s="230">
        <v>13293600</v>
      </c>
      <c r="CX193" s="230">
        <v>279200</v>
      </c>
      <c r="CY193" s="229">
        <v>2.1000000000000001E-2</v>
      </c>
      <c r="CZ193" s="228">
        <v>25.73</v>
      </c>
      <c r="DA193" s="228">
        <v>28.01</v>
      </c>
      <c r="DB193" s="228">
        <v>-2.2799999999999998</v>
      </c>
      <c r="DC193" s="228">
        <v>-2.2799999999999998</v>
      </c>
      <c r="DD193" s="228">
        <v>30.41</v>
      </c>
      <c r="DE193" s="228">
        <v>30.42</v>
      </c>
      <c r="DF193" s="228">
        <v>-4.68</v>
      </c>
      <c r="DG193" s="228">
        <v>-0.01</v>
      </c>
      <c r="DH193" s="228">
        <v>25.23</v>
      </c>
      <c r="DI193" s="228">
        <v>27.88</v>
      </c>
      <c r="DJ193" s="228">
        <v>-2.65</v>
      </c>
      <c r="DK193" s="228">
        <v>-2.65</v>
      </c>
      <c r="DL193" s="228">
        <v>26.83</v>
      </c>
      <c r="DM193" s="228">
        <v>28.29</v>
      </c>
      <c r="DN193" s="228">
        <v>-1.46</v>
      </c>
      <c r="DO193" s="228">
        <v>-1.46</v>
      </c>
      <c r="DP193" s="228">
        <v>0.8</v>
      </c>
      <c r="DQ193" s="228">
        <v>0.8</v>
      </c>
      <c r="DR193" s="228">
        <v>0</v>
      </c>
      <c r="DS193" s="229">
        <v>0</v>
      </c>
      <c r="DT193" s="228">
        <v>660</v>
      </c>
      <c r="DU193" s="228">
        <v>660</v>
      </c>
      <c r="DV193" s="228">
        <v>0.45</v>
      </c>
      <c r="DW193" s="228">
        <v>0.48</v>
      </c>
      <c r="DX193" s="228">
        <v>-0.03</v>
      </c>
      <c r="DY193" s="229">
        <v>-6.25E-2</v>
      </c>
      <c r="DZ193" s="229">
        <v>3.7999999999999999E-2</v>
      </c>
      <c r="EA193" s="230">
        <v>9625600</v>
      </c>
      <c r="EB193" s="229">
        <v>3.8E-3</v>
      </c>
      <c r="EC193" s="229">
        <v>3.7999999999999999E-2</v>
      </c>
      <c r="ED193" s="228">
        <v>1.93</v>
      </c>
      <c r="EE193" s="229">
        <v>2.8999999999999998E-3</v>
      </c>
      <c r="EF193" s="230">
        <v>251834</v>
      </c>
      <c r="EG193" s="230">
        <v>515328</v>
      </c>
      <c r="EH193" s="229">
        <v>-0.51129999999999998</v>
      </c>
      <c r="EI193" s="229">
        <v>0.41</v>
      </c>
      <c r="EJ193" s="231">
        <v>13070.86</v>
      </c>
      <c r="EK193" s="231">
        <v>5488.15</v>
      </c>
      <c r="EL193" s="231">
        <v>9315.36</v>
      </c>
      <c r="EM193" s="231">
        <v>10499</v>
      </c>
      <c r="EN193" s="231">
        <v>27874.37</v>
      </c>
      <c r="EO193" s="231">
        <v>110166.22</v>
      </c>
      <c r="EP193" s="231">
        <v>-82291.850000000006</v>
      </c>
      <c r="EQ193" s="229">
        <v>-0.747</v>
      </c>
      <c r="ER193" s="231">
        <v>15319</v>
      </c>
      <c r="ES193" s="231">
        <v>11699</v>
      </c>
      <c r="ET193" s="231">
        <v>63519</v>
      </c>
      <c r="EU193" s="231">
        <v>25116370</v>
      </c>
      <c r="EV193" s="231">
        <v>90537</v>
      </c>
      <c r="EW193" s="231">
        <v>87749</v>
      </c>
      <c r="EX193" s="231">
        <v>2788</v>
      </c>
      <c r="EY193" s="229">
        <v>3.1800000000000002E-2</v>
      </c>
      <c r="EZ193" s="229">
        <v>0.54039999999999999</v>
      </c>
      <c r="FA193" s="227" t="s">
        <v>556</v>
      </c>
      <c r="FB193" s="161">
        <f t="shared" si="4"/>
        <v>0</v>
      </c>
    </row>
    <row r="194" spans="1:158" ht="17.25" thickBot="1" x14ac:dyDescent="0.3">
      <c r="A194" s="226">
        <v>46050</v>
      </c>
      <c r="B194" s="227" t="s">
        <v>221</v>
      </c>
      <c r="C194" s="227" t="s">
        <v>295</v>
      </c>
      <c r="D194" s="228">
        <v>175</v>
      </c>
      <c r="E194" s="231">
        <v>3210</v>
      </c>
      <c r="F194" s="231">
        <v>3179.9</v>
      </c>
      <c r="G194" s="228">
        <v>30.1</v>
      </c>
      <c r="H194" s="229">
        <v>9.4999999999999998E-3</v>
      </c>
      <c r="I194" s="231">
        <v>3200.1</v>
      </c>
      <c r="J194" s="231">
        <v>3158</v>
      </c>
      <c r="K194" s="228">
        <v>42.1</v>
      </c>
      <c r="L194" s="229">
        <v>1.3299999999999999E-2</v>
      </c>
      <c r="M194" s="231">
        <v>3210</v>
      </c>
      <c r="N194" s="231">
        <v>3160.2</v>
      </c>
      <c r="O194" s="228">
        <v>49.8</v>
      </c>
      <c r="P194" s="229">
        <v>1.5800000000000002E-2</v>
      </c>
      <c r="Q194" s="231">
        <v>3230.4</v>
      </c>
      <c r="R194" s="231">
        <v>3179.9</v>
      </c>
      <c r="S194" s="228">
        <v>50.5</v>
      </c>
      <c r="T194" s="229">
        <v>1.5900000000000001E-2</v>
      </c>
      <c r="U194" s="231">
        <v>3251.4</v>
      </c>
      <c r="V194" s="231">
        <v>3200.1</v>
      </c>
      <c r="W194" s="228">
        <v>51.3</v>
      </c>
      <c r="X194" s="229">
        <v>1.6E-2</v>
      </c>
      <c r="Y194" s="228">
        <v>9.9</v>
      </c>
      <c r="Z194" s="228">
        <v>21.9</v>
      </c>
      <c r="AA194" s="228">
        <v>-12</v>
      </c>
      <c r="AB194" s="229">
        <v>3.0999999999999999E-3</v>
      </c>
      <c r="AC194" s="228">
        <v>9.9</v>
      </c>
      <c r="AD194" s="228">
        <v>2.2000000000000002</v>
      </c>
      <c r="AE194" s="228">
        <v>7.7</v>
      </c>
      <c r="AF194" s="229">
        <v>3.0999999999999999E-3</v>
      </c>
      <c r="AG194" s="228">
        <v>30.3</v>
      </c>
      <c r="AH194" s="228">
        <v>21.9</v>
      </c>
      <c r="AI194" s="228">
        <v>8.4</v>
      </c>
      <c r="AJ194" s="229">
        <v>9.4999999999999998E-3</v>
      </c>
      <c r="AK194" s="228">
        <v>51.3</v>
      </c>
      <c r="AL194" s="228">
        <v>42.1</v>
      </c>
      <c r="AM194" s="228">
        <v>9.1999999999999993</v>
      </c>
      <c r="AN194" s="229">
        <v>1.6E-2</v>
      </c>
      <c r="AO194" s="231">
        <v>3201.3</v>
      </c>
      <c r="AP194" s="231">
        <v>3222.47</v>
      </c>
      <c r="AQ194" s="228">
        <v>0</v>
      </c>
      <c r="AR194" s="230">
        <v>2650200</v>
      </c>
      <c r="AS194" s="230">
        <v>11342975</v>
      </c>
      <c r="AT194" s="230">
        <v>-8692775</v>
      </c>
      <c r="AU194" s="229">
        <v>-0.76639999999999997</v>
      </c>
      <c r="AV194" s="230">
        <v>2569350</v>
      </c>
      <c r="AW194" s="230">
        <v>4660950</v>
      </c>
      <c r="AX194" s="230">
        <v>-2091600</v>
      </c>
      <c r="AY194" s="229">
        <v>-0.44869999999999999</v>
      </c>
      <c r="AZ194" s="230">
        <v>69475</v>
      </c>
      <c r="BA194" s="230">
        <v>6355125</v>
      </c>
      <c r="BB194" s="230">
        <v>-6285650</v>
      </c>
      <c r="BC194" s="229">
        <v>-0.98909999999999998</v>
      </c>
      <c r="BD194" s="230">
        <v>11375</v>
      </c>
      <c r="BE194" s="230">
        <v>326900</v>
      </c>
      <c r="BF194" s="230">
        <v>-315525</v>
      </c>
      <c r="BG194" s="229">
        <v>-0.96519999999999995</v>
      </c>
      <c r="BH194" s="230">
        <v>6290550</v>
      </c>
      <c r="BI194" s="230">
        <v>9744700</v>
      </c>
      <c r="BJ194" s="230">
        <v>-3454150</v>
      </c>
      <c r="BK194" s="229">
        <v>-0.35449999999999998</v>
      </c>
      <c r="BL194" s="230">
        <v>3845275</v>
      </c>
      <c r="BM194" s="230">
        <v>7882875</v>
      </c>
      <c r="BN194" s="230">
        <v>-4037600</v>
      </c>
      <c r="BO194" s="229">
        <v>-0.51219999999999999</v>
      </c>
      <c r="BP194" s="230">
        <v>12786025</v>
      </c>
      <c r="BQ194" s="230">
        <v>28970550</v>
      </c>
      <c r="BR194" s="230">
        <v>-16184525</v>
      </c>
      <c r="BS194" s="229">
        <v>-0.55869999999999997</v>
      </c>
      <c r="BT194" s="230">
        <v>2895242</v>
      </c>
      <c r="BU194" s="230">
        <v>4444445</v>
      </c>
      <c r="BV194" s="230">
        <v>-1549203</v>
      </c>
      <c r="BW194" s="229">
        <v>-0.34860000000000002</v>
      </c>
      <c r="BX194" s="230">
        <v>19574975</v>
      </c>
      <c r="BY194" s="230">
        <v>20025600</v>
      </c>
      <c r="BZ194" s="230">
        <v>-450625</v>
      </c>
      <c r="CA194" s="229">
        <v>-2.2499999999999999E-2</v>
      </c>
      <c r="CB194" s="230">
        <v>18715200</v>
      </c>
      <c r="CC194" s="230">
        <v>761250</v>
      </c>
      <c r="CD194" s="230">
        <v>17953950</v>
      </c>
      <c r="CE194" s="229">
        <v>23.584800000000001</v>
      </c>
      <c r="CF194" s="230">
        <v>850325</v>
      </c>
      <c r="CG194" s="230">
        <v>19168625</v>
      </c>
      <c r="CH194" s="230">
        <v>-18318300</v>
      </c>
      <c r="CI194" s="229">
        <v>-0.9556</v>
      </c>
      <c r="CJ194" s="230">
        <v>9450</v>
      </c>
      <c r="CK194" s="230">
        <v>856975</v>
      </c>
      <c r="CL194" s="230">
        <v>-847525</v>
      </c>
      <c r="CM194" s="229">
        <v>-0.98899999999999999</v>
      </c>
      <c r="CN194" s="230">
        <v>4010475</v>
      </c>
      <c r="CO194" s="230">
        <v>3418450</v>
      </c>
      <c r="CP194" s="230">
        <v>592025</v>
      </c>
      <c r="CQ194" s="229">
        <v>0.17319999999999999</v>
      </c>
      <c r="CR194" s="230">
        <v>4316550</v>
      </c>
      <c r="CS194" s="230">
        <v>3962525</v>
      </c>
      <c r="CT194" s="230">
        <v>354025</v>
      </c>
      <c r="CU194" s="229">
        <v>8.9300000000000004E-2</v>
      </c>
      <c r="CV194" s="230">
        <v>27902000</v>
      </c>
      <c r="CW194" s="230">
        <v>27406575</v>
      </c>
      <c r="CX194" s="230">
        <v>495425</v>
      </c>
      <c r="CY194" s="229">
        <v>1.8100000000000002E-2</v>
      </c>
      <c r="CZ194" s="228">
        <v>19.09</v>
      </c>
      <c r="DA194" s="228">
        <v>20.52</v>
      </c>
      <c r="DB194" s="228">
        <v>-1.43</v>
      </c>
      <c r="DC194" s="228">
        <v>-1.43</v>
      </c>
      <c r="DD194" s="228">
        <v>23.55</v>
      </c>
      <c r="DE194" s="228">
        <v>23.55</v>
      </c>
      <c r="DF194" s="228">
        <v>-4.46</v>
      </c>
      <c r="DG194" s="228">
        <v>0</v>
      </c>
      <c r="DH194" s="228">
        <v>18.25</v>
      </c>
      <c r="DI194" s="228">
        <v>19.91</v>
      </c>
      <c r="DJ194" s="228">
        <v>-1.66</v>
      </c>
      <c r="DK194" s="228">
        <v>-1.66</v>
      </c>
      <c r="DL194" s="228">
        <v>20.46</v>
      </c>
      <c r="DM194" s="228">
        <v>21.3</v>
      </c>
      <c r="DN194" s="228">
        <v>-0.84</v>
      </c>
      <c r="DO194" s="228">
        <v>-0.84</v>
      </c>
      <c r="DP194" s="228">
        <v>1.08</v>
      </c>
      <c r="DQ194" s="228">
        <v>1.1599999999999999</v>
      </c>
      <c r="DR194" s="228">
        <v>-0.08</v>
      </c>
      <c r="DS194" s="229">
        <v>-6.9000000000000006E-2</v>
      </c>
      <c r="DT194" s="231">
        <v>3200</v>
      </c>
      <c r="DU194" s="231">
        <v>3000</v>
      </c>
      <c r="DV194" s="228">
        <v>0.61</v>
      </c>
      <c r="DW194" s="228">
        <v>0.81</v>
      </c>
      <c r="DX194" s="228">
        <v>-0.2</v>
      </c>
      <c r="DY194" s="229">
        <v>-0.24690000000000001</v>
      </c>
      <c r="DZ194" s="229">
        <v>4.3900000000000002E-2</v>
      </c>
      <c r="EA194" s="230">
        <v>20025600</v>
      </c>
      <c r="EB194" s="229">
        <v>6.4000000000000003E-3</v>
      </c>
      <c r="EC194" s="229">
        <v>4.3900000000000002E-2</v>
      </c>
      <c r="ED194" s="228">
        <v>21.17</v>
      </c>
      <c r="EE194" s="229">
        <v>6.6E-3</v>
      </c>
      <c r="EF194" s="230">
        <v>2150556</v>
      </c>
      <c r="EG194" s="230">
        <v>3120144</v>
      </c>
      <c r="EH194" s="229">
        <v>-0.31080000000000002</v>
      </c>
      <c r="EI194" s="229">
        <v>0.74280000000000002</v>
      </c>
      <c r="EJ194" s="231">
        <v>209298.45</v>
      </c>
      <c r="EK194" s="231">
        <v>120574.27</v>
      </c>
      <c r="EL194" s="231">
        <v>84860.09</v>
      </c>
      <c r="EM194" s="231">
        <v>79150</v>
      </c>
      <c r="EN194" s="231">
        <v>414732.81</v>
      </c>
      <c r="EO194" s="231">
        <v>926563.75</v>
      </c>
      <c r="EP194" s="231">
        <v>-511830.94</v>
      </c>
      <c r="EQ194" s="229">
        <v>-0.5524</v>
      </c>
      <c r="ER194" s="231">
        <v>132051</v>
      </c>
      <c r="ES194" s="231">
        <v>135106</v>
      </c>
      <c r="ET194" s="231">
        <v>628534</v>
      </c>
      <c r="EU194" s="231">
        <v>126444612</v>
      </c>
      <c r="EV194" s="231">
        <v>895691</v>
      </c>
      <c r="EW194" s="231">
        <v>873560</v>
      </c>
      <c r="EX194" s="231">
        <v>22131</v>
      </c>
      <c r="EY194" s="229">
        <v>2.53E-2</v>
      </c>
      <c r="EZ194" s="229">
        <v>0.22070000000000001</v>
      </c>
      <c r="FA194" s="227" t="s">
        <v>556</v>
      </c>
      <c r="FB194" s="161">
        <f t="shared" si="4"/>
        <v>0</v>
      </c>
    </row>
    <row r="195" spans="1:158" ht="17.25" thickBot="1" x14ac:dyDescent="0.3">
      <c r="A195" s="226">
        <v>46050</v>
      </c>
      <c r="B195" s="227" t="s">
        <v>221</v>
      </c>
      <c r="C195" s="227" t="s">
        <v>296</v>
      </c>
      <c r="D195" s="228">
        <v>600</v>
      </c>
      <c r="E195" s="231">
        <v>1769.4</v>
      </c>
      <c r="F195" s="231">
        <v>1754</v>
      </c>
      <c r="G195" s="228">
        <v>15.4</v>
      </c>
      <c r="H195" s="229">
        <v>8.8000000000000005E-3</v>
      </c>
      <c r="I195" s="231">
        <v>1762.9</v>
      </c>
      <c r="J195" s="231">
        <v>1745.1</v>
      </c>
      <c r="K195" s="228">
        <v>17.8</v>
      </c>
      <c r="L195" s="229">
        <v>1.0200000000000001E-2</v>
      </c>
      <c r="M195" s="231">
        <v>1769.4</v>
      </c>
      <c r="N195" s="231">
        <v>1746.4</v>
      </c>
      <c r="O195" s="228">
        <v>23</v>
      </c>
      <c r="P195" s="229">
        <v>1.32E-2</v>
      </c>
      <c r="Q195" s="231">
        <v>1778.8</v>
      </c>
      <c r="R195" s="231">
        <v>1754</v>
      </c>
      <c r="S195" s="228">
        <v>24.8</v>
      </c>
      <c r="T195" s="229">
        <v>1.41E-2</v>
      </c>
      <c r="U195" s="231">
        <v>1790</v>
      </c>
      <c r="V195" s="231">
        <v>1763.3</v>
      </c>
      <c r="W195" s="228">
        <v>26.7</v>
      </c>
      <c r="X195" s="229">
        <v>1.5100000000000001E-2</v>
      </c>
      <c r="Y195" s="228">
        <v>6.5</v>
      </c>
      <c r="Z195" s="228">
        <v>8.9</v>
      </c>
      <c r="AA195" s="228">
        <v>-2.4</v>
      </c>
      <c r="AB195" s="229">
        <v>3.7000000000000002E-3</v>
      </c>
      <c r="AC195" s="228">
        <v>6.5</v>
      </c>
      <c r="AD195" s="228">
        <v>1.3</v>
      </c>
      <c r="AE195" s="228">
        <v>5.2</v>
      </c>
      <c r="AF195" s="229">
        <v>3.7000000000000002E-3</v>
      </c>
      <c r="AG195" s="228">
        <v>15.9</v>
      </c>
      <c r="AH195" s="228">
        <v>8.9</v>
      </c>
      <c r="AI195" s="228">
        <v>7</v>
      </c>
      <c r="AJ195" s="229">
        <v>8.9999999999999993E-3</v>
      </c>
      <c r="AK195" s="228">
        <v>27.1</v>
      </c>
      <c r="AL195" s="228">
        <v>18.2</v>
      </c>
      <c r="AM195" s="228">
        <v>8.9</v>
      </c>
      <c r="AN195" s="229">
        <v>1.54E-2</v>
      </c>
      <c r="AO195" s="231">
        <v>1759.1</v>
      </c>
      <c r="AP195" s="231">
        <v>1770.46</v>
      </c>
      <c r="AQ195" s="228">
        <v>0</v>
      </c>
      <c r="AR195" s="230">
        <v>3307800</v>
      </c>
      <c r="AS195" s="230">
        <v>7720800</v>
      </c>
      <c r="AT195" s="230">
        <v>-4413000</v>
      </c>
      <c r="AU195" s="229">
        <v>-0.5716</v>
      </c>
      <c r="AV195" s="230">
        <v>3214200</v>
      </c>
      <c r="AW195" s="230">
        <v>2860800</v>
      </c>
      <c r="AX195" s="230">
        <v>353400</v>
      </c>
      <c r="AY195" s="229">
        <v>0.1235</v>
      </c>
      <c r="AZ195" s="230">
        <v>78600</v>
      </c>
      <c r="BA195" s="230">
        <v>4786800</v>
      </c>
      <c r="BB195" s="230">
        <v>-4708200</v>
      </c>
      <c r="BC195" s="229">
        <v>-0.98360000000000003</v>
      </c>
      <c r="BD195" s="230">
        <v>15000</v>
      </c>
      <c r="BE195" s="230">
        <v>73200</v>
      </c>
      <c r="BF195" s="230">
        <v>-58200</v>
      </c>
      <c r="BG195" s="229">
        <v>-0.79510000000000003</v>
      </c>
      <c r="BH195" s="230">
        <v>8125800</v>
      </c>
      <c r="BI195" s="230">
        <v>12825000</v>
      </c>
      <c r="BJ195" s="230">
        <v>-4699200</v>
      </c>
      <c r="BK195" s="229">
        <v>-0.3664</v>
      </c>
      <c r="BL195" s="230">
        <v>4431000</v>
      </c>
      <c r="BM195" s="230">
        <v>5800800</v>
      </c>
      <c r="BN195" s="230">
        <v>-1369800</v>
      </c>
      <c r="BO195" s="229">
        <v>-0.2361</v>
      </c>
      <c r="BP195" s="230">
        <v>15864600</v>
      </c>
      <c r="BQ195" s="230">
        <v>26346600</v>
      </c>
      <c r="BR195" s="230">
        <v>-10482000</v>
      </c>
      <c r="BS195" s="229">
        <v>-0.39789999999999998</v>
      </c>
      <c r="BT195" s="230">
        <v>2598560</v>
      </c>
      <c r="BU195" s="230">
        <v>2998266</v>
      </c>
      <c r="BV195" s="230">
        <v>-399706</v>
      </c>
      <c r="BW195" s="229">
        <v>-0.1333</v>
      </c>
      <c r="BX195" s="230">
        <v>18369000</v>
      </c>
      <c r="BY195" s="230">
        <v>19132800</v>
      </c>
      <c r="BZ195" s="230">
        <v>-763800</v>
      </c>
      <c r="CA195" s="229">
        <v>-3.9899999999999998E-2</v>
      </c>
      <c r="CB195" s="230">
        <v>18133800</v>
      </c>
      <c r="CC195" s="230">
        <v>1678800</v>
      </c>
      <c r="CD195" s="230">
        <v>16455000</v>
      </c>
      <c r="CE195" s="229">
        <v>9.8016000000000005</v>
      </c>
      <c r="CF195" s="230">
        <v>228600</v>
      </c>
      <c r="CG195" s="230">
        <v>18916200</v>
      </c>
      <c r="CH195" s="230">
        <v>-18687600</v>
      </c>
      <c r="CI195" s="229">
        <v>-0.9879</v>
      </c>
      <c r="CJ195" s="230">
        <v>6600</v>
      </c>
      <c r="CK195" s="230">
        <v>216600</v>
      </c>
      <c r="CL195" s="230">
        <v>-210000</v>
      </c>
      <c r="CM195" s="229">
        <v>-0.96950000000000003</v>
      </c>
      <c r="CN195" s="230">
        <v>2928600</v>
      </c>
      <c r="CO195" s="230">
        <v>2107800</v>
      </c>
      <c r="CP195" s="230">
        <v>820800</v>
      </c>
      <c r="CQ195" s="229">
        <v>0.38940000000000002</v>
      </c>
      <c r="CR195" s="230">
        <v>2305200</v>
      </c>
      <c r="CS195" s="230">
        <v>1919400</v>
      </c>
      <c r="CT195" s="230">
        <v>385800</v>
      </c>
      <c r="CU195" s="229">
        <v>0.20100000000000001</v>
      </c>
      <c r="CV195" s="230">
        <v>23602800</v>
      </c>
      <c r="CW195" s="230">
        <v>23160000</v>
      </c>
      <c r="CX195" s="230">
        <v>442800</v>
      </c>
      <c r="CY195" s="229">
        <v>1.9099999999999999E-2</v>
      </c>
      <c r="CZ195" s="228">
        <v>23.18</v>
      </c>
      <c r="DA195" s="228">
        <v>24.44</v>
      </c>
      <c r="DB195" s="228">
        <v>-1.26</v>
      </c>
      <c r="DC195" s="228">
        <v>-1.26</v>
      </c>
      <c r="DD195" s="228">
        <v>29.06</v>
      </c>
      <c r="DE195" s="228">
        <v>29.1</v>
      </c>
      <c r="DF195" s="228">
        <v>-5.88</v>
      </c>
      <c r="DG195" s="228">
        <v>-0.04</v>
      </c>
      <c r="DH195" s="228">
        <v>22.25</v>
      </c>
      <c r="DI195" s="228">
        <v>23.46</v>
      </c>
      <c r="DJ195" s="228">
        <v>-1.21</v>
      </c>
      <c r="DK195" s="228">
        <v>-1.21</v>
      </c>
      <c r="DL195" s="228">
        <v>24.87</v>
      </c>
      <c r="DM195" s="228">
        <v>26.51</v>
      </c>
      <c r="DN195" s="228">
        <v>-1.64</v>
      </c>
      <c r="DO195" s="228">
        <v>-1.64</v>
      </c>
      <c r="DP195" s="228">
        <v>0.79</v>
      </c>
      <c r="DQ195" s="228">
        <v>0.91</v>
      </c>
      <c r="DR195" s="228">
        <v>-0.12</v>
      </c>
      <c r="DS195" s="229">
        <v>-0.13189999999999999</v>
      </c>
      <c r="DT195" s="231">
        <v>1960</v>
      </c>
      <c r="DU195" s="231">
        <v>1620</v>
      </c>
      <c r="DV195" s="228">
        <v>0.55000000000000004</v>
      </c>
      <c r="DW195" s="228">
        <v>0.45</v>
      </c>
      <c r="DX195" s="228">
        <v>0.1</v>
      </c>
      <c r="DY195" s="229">
        <v>0.22220000000000001</v>
      </c>
      <c r="DZ195" s="229">
        <v>1.2800000000000001E-2</v>
      </c>
      <c r="EA195" s="230">
        <v>19132800</v>
      </c>
      <c r="EB195" s="229">
        <v>5.3E-3</v>
      </c>
      <c r="EC195" s="229">
        <v>1.2800000000000001E-2</v>
      </c>
      <c r="ED195" s="228">
        <v>11.36</v>
      </c>
      <c r="EE195" s="229">
        <v>6.4999999999999997E-3</v>
      </c>
      <c r="EF195" s="230">
        <v>1749090</v>
      </c>
      <c r="EG195" s="230">
        <v>1873850</v>
      </c>
      <c r="EH195" s="229">
        <v>-6.6600000000000006E-2</v>
      </c>
      <c r="EI195" s="229">
        <v>0.67310000000000003</v>
      </c>
      <c r="EJ195" s="231">
        <v>149029.44</v>
      </c>
      <c r="EK195" s="231">
        <v>76556.83</v>
      </c>
      <c r="EL195" s="231">
        <v>58199.519999999997</v>
      </c>
      <c r="EM195" s="231">
        <v>21729</v>
      </c>
      <c r="EN195" s="231">
        <v>283785.78999999998</v>
      </c>
      <c r="EO195" s="231">
        <v>460147.16</v>
      </c>
      <c r="EP195" s="231">
        <v>-176361.37</v>
      </c>
      <c r="EQ195" s="229">
        <v>-0.38329999999999997</v>
      </c>
      <c r="ER195" s="231">
        <v>52756</v>
      </c>
      <c r="ES195" s="231">
        <v>38048</v>
      </c>
      <c r="ET195" s="231">
        <v>325044</v>
      </c>
      <c r="EU195" s="231">
        <v>80031540</v>
      </c>
      <c r="EV195" s="231">
        <v>415848</v>
      </c>
      <c r="EW195" s="231">
        <v>404231</v>
      </c>
      <c r="EX195" s="231">
        <v>11617</v>
      </c>
      <c r="EY195" s="229">
        <v>2.87E-2</v>
      </c>
      <c r="EZ195" s="229">
        <v>0.2949</v>
      </c>
      <c r="FA195" s="227" t="s">
        <v>556</v>
      </c>
      <c r="FB195" s="161">
        <f t="shared" ref="FB195:FB258" si="5">BX260-CB260</f>
        <v>0</v>
      </c>
    </row>
    <row r="196" spans="1:158" ht="17.25" thickBot="1" x14ac:dyDescent="0.3">
      <c r="A196" s="226">
        <v>46050</v>
      </c>
      <c r="B196" s="227" t="s">
        <v>184</v>
      </c>
      <c r="C196" s="227" t="s">
        <v>595</v>
      </c>
      <c r="D196" s="228">
        <v>200</v>
      </c>
      <c r="E196" s="231">
        <v>2295.4</v>
      </c>
      <c r="F196" s="231">
        <v>2199.9</v>
      </c>
      <c r="G196" s="228">
        <v>95.5</v>
      </c>
      <c r="H196" s="229">
        <v>4.3400000000000001E-2</v>
      </c>
      <c r="I196" s="231">
        <v>2280.6999999999998</v>
      </c>
      <c r="J196" s="231">
        <v>2189.3000000000002</v>
      </c>
      <c r="K196" s="228">
        <v>91.4</v>
      </c>
      <c r="L196" s="229">
        <v>4.1700000000000001E-2</v>
      </c>
      <c r="M196" s="231">
        <v>2295.4</v>
      </c>
      <c r="N196" s="231">
        <v>2191.6</v>
      </c>
      <c r="O196" s="228">
        <v>103.8</v>
      </c>
      <c r="P196" s="229">
        <v>4.7399999999999998E-2</v>
      </c>
      <c r="Q196" s="231">
        <v>2313.9</v>
      </c>
      <c r="R196" s="231">
        <v>2199.9</v>
      </c>
      <c r="S196" s="228">
        <v>114</v>
      </c>
      <c r="T196" s="229">
        <v>5.1799999999999999E-2</v>
      </c>
      <c r="U196" s="228">
        <v>0</v>
      </c>
      <c r="V196" s="231">
        <v>2223.8000000000002</v>
      </c>
      <c r="W196" s="228">
        <v>0</v>
      </c>
      <c r="X196" s="229">
        <v>0</v>
      </c>
      <c r="Y196" s="228">
        <v>14.7</v>
      </c>
      <c r="Z196" s="228">
        <v>10.6</v>
      </c>
      <c r="AA196" s="228">
        <v>4.0999999999999996</v>
      </c>
      <c r="AB196" s="229">
        <v>6.4000000000000003E-3</v>
      </c>
      <c r="AC196" s="228">
        <v>14.7</v>
      </c>
      <c r="AD196" s="228">
        <v>2.2999999999999998</v>
      </c>
      <c r="AE196" s="228">
        <v>12.4</v>
      </c>
      <c r="AF196" s="229">
        <v>6.4000000000000003E-3</v>
      </c>
      <c r="AG196" s="228">
        <v>33.200000000000003</v>
      </c>
      <c r="AH196" s="228">
        <v>10.6</v>
      </c>
      <c r="AI196" s="228">
        <v>22.6</v>
      </c>
      <c r="AJ196" s="229">
        <v>1.46E-2</v>
      </c>
      <c r="AK196" s="228">
        <v>0</v>
      </c>
      <c r="AL196" s="228">
        <v>34.5</v>
      </c>
      <c r="AM196" s="228">
        <v>0</v>
      </c>
      <c r="AN196" s="229">
        <v>0</v>
      </c>
      <c r="AO196" s="231">
        <v>2240.52</v>
      </c>
      <c r="AP196" s="231">
        <v>2247.48</v>
      </c>
      <c r="AQ196" s="228">
        <v>0</v>
      </c>
      <c r="AR196" s="230">
        <v>1040600</v>
      </c>
      <c r="AS196" s="230">
        <v>2060600</v>
      </c>
      <c r="AT196" s="230">
        <v>-1020000</v>
      </c>
      <c r="AU196" s="229">
        <v>-0.495</v>
      </c>
      <c r="AV196" s="230">
        <v>997800</v>
      </c>
      <c r="AW196" s="230">
        <v>991800</v>
      </c>
      <c r="AX196" s="230">
        <v>6000</v>
      </c>
      <c r="AY196" s="229">
        <v>6.0000000000000001E-3</v>
      </c>
      <c r="AZ196" s="230">
        <v>42800</v>
      </c>
      <c r="BA196" s="230">
        <v>1054400</v>
      </c>
      <c r="BB196" s="230">
        <v>-1011600</v>
      </c>
      <c r="BC196" s="229">
        <v>-0.95940000000000003</v>
      </c>
      <c r="BD196" s="228">
        <v>0</v>
      </c>
      <c r="BE196" s="230">
        <v>14400</v>
      </c>
      <c r="BF196" s="228">
        <v>0</v>
      </c>
      <c r="BG196" s="229">
        <v>0</v>
      </c>
      <c r="BH196" s="230">
        <v>1326000</v>
      </c>
      <c r="BI196" s="230">
        <v>1661400</v>
      </c>
      <c r="BJ196" s="230">
        <v>-335400</v>
      </c>
      <c r="BK196" s="229">
        <v>-0.2019</v>
      </c>
      <c r="BL196" s="230">
        <v>406600</v>
      </c>
      <c r="BM196" s="230">
        <v>1488200</v>
      </c>
      <c r="BN196" s="230">
        <v>-1081600</v>
      </c>
      <c r="BO196" s="229">
        <v>-0.7268</v>
      </c>
      <c r="BP196" s="230">
        <v>2773200</v>
      </c>
      <c r="BQ196" s="230">
        <v>5210200</v>
      </c>
      <c r="BR196" s="230">
        <v>-2437000</v>
      </c>
      <c r="BS196" s="229">
        <v>-0.4677</v>
      </c>
      <c r="BT196" s="230">
        <v>1863170</v>
      </c>
      <c r="BU196" s="230">
        <v>495767</v>
      </c>
      <c r="BV196" s="230">
        <v>1367403</v>
      </c>
      <c r="BW196" s="229">
        <v>2.7582</v>
      </c>
      <c r="BX196" s="230">
        <v>3806200</v>
      </c>
      <c r="BY196" s="230">
        <v>3472600</v>
      </c>
      <c r="BZ196" s="230">
        <v>333600</v>
      </c>
      <c r="CA196" s="229">
        <v>9.6100000000000005E-2</v>
      </c>
      <c r="CB196" s="230">
        <v>3759200</v>
      </c>
      <c r="CC196" s="230">
        <v>229600</v>
      </c>
      <c r="CD196" s="230">
        <v>3529600</v>
      </c>
      <c r="CE196" s="229">
        <v>15.3728</v>
      </c>
      <c r="CF196" s="230">
        <v>47000</v>
      </c>
      <c r="CG196" s="230">
        <v>3441000</v>
      </c>
      <c r="CH196" s="230">
        <v>-3394000</v>
      </c>
      <c r="CI196" s="229">
        <v>-0.98629999999999995</v>
      </c>
      <c r="CJ196" s="228">
        <v>0</v>
      </c>
      <c r="CK196" s="230">
        <v>31600</v>
      </c>
      <c r="CL196" s="230">
        <v>-31600</v>
      </c>
      <c r="CM196" s="229">
        <v>-1</v>
      </c>
      <c r="CN196" s="230">
        <v>593800</v>
      </c>
      <c r="CO196" s="230">
        <v>219400</v>
      </c>
      <c r="CP196" s="230">
        <v>374400</v>
      </c>
      <c r="CQ196" s="229">
        <v>1.7064999999999999</v>
      </c>
      <c r="CR196" s="230">
        <v>353800</v>
      </c>
      <c r="CS196" s="230">
        <v>232600</v>
      </c>
      <c r="CT196" s="230">
        <v>121200</v>
      </c>
      <c r="CU196" s="229">
        <v>0.52110000000000001</v>
      </c>
      <c r="CV196" s="230">
        <v>4753800</v>
      </c>
      <c r="CW196" s="230">
        <v>3924600</v>
      </c>
      <c r="CX196" s="230">
        <v>829200</v>
      </c>
      <c r="CY196" s="229">
        <v>0.21129999999999999</v>
      </c>
      <c r="CZ196" s="228">
        <v>38.1</v>
      </c>
      <c r="DA196" s="228">
        <v>37.270000000000003</v>
      </c>
      <c r="DB196" s="228">
        <v>0.83</v>
      </c>
      <c r="DC196" s="228">
        <v>0.83</v>
      </c>
      <c r="DD196" s="228">
        <v>39.97</v>
      </c>
      <c r="DE196" s="228">
        <v>39.65</v>
      </c>
      <c r="DF196" s="228">
        <v>-1.87</v>
      </c>
      <c r="DG196" s="228">
        <v>0.32</v>
      </c>
      <c r="DH196" s="228">
        <v>37.869999999999997</v>
      </c>
      <c r="DI196" s="228">
        <v>37.08</v>
      </c>
      <c r="DJ196" s="228">
        <v>0.79</v>
      </c>
      <c r="DK196" s="228">
        <v>0.79</v>
      </c>
      <c r="DL196" s="228">
        <v>38.869999999999997</v>
      </c>
      <c r="DM196" s="228">
        <v>37.56</v>
      </c>
      <c r="DN196" s="228">
        <v>1.31</v>
      </c>
      <c r="DO196" s="228">
        <v>1.31</v>
      </c>
      <c r="DP196" s="228">
        <v>0.6</v>
      </c>
      <c r="DQ196" s="228">
        <v>1.06</v>
      </c>
      <c r="DR196" s="228">
        <v>-0.46</v>
      </c>
      <c r="DS196" s="229">
        <v>-0.434</v>
      </c>
      <c r="DT196" s="231">
        <v>2300</v>
      </c>
      <c r="DU196" s="231">
        <v>2200</v>
      </c>
      <c r="DV196" s="228">
        <v>0.31</v>
      </c>
      <c r="DW196" s="228">
        <v>0.9</v>
      </c>
      <c r="DX196" s="228">
        <v>-0.59</v>
      </c>
      <c r="DY196" s="229">
        <v>-0.65559999999999996</v>
      </c>
      <c r="DZ196" s="229">
        <v>1.23E-2</v>
      </c>
      <c r="EA196" s="230">
        <v>3472600</v>
      </c>
      <c r="EB196" s="229">
        <v>8.0999999999999996E-3</v>
      </c>
      <c r="EC196" s="229">
        <v>1.23E-2</v>
      </c>
      <c r="ED196" s="228">
        <v>6.96</v>
      </c>
      <c r="EE196" s="229">
        <v>3.0999999999999999E-3</v>
      </c>
      <c r="EF196" s="230">
        <v>1334214</v>
      </c>
      <c r="EG196" s="230">
        <v>256965</v>
      </c>
      <c r="EH196" s="229">
        <v>4.1921999999999997</v>
      </c>
      <c r="EI196" s="229">
        <v>0.71609999999999996</v>
      </c>
      <c r="EJ196" s="231">
        <v>31727.03</v>
      </c>
      <c r="EK196" s="231">
        <v>9200.5</v>
      </c>
      <c r="EL196" s="231">
        <v>23317.83</v>
      </c>
      <c r="EM196" s="231">
        <v>11834</v>
      </c>
      <c r="EN196" s="231">
        <v>64245.36</v>
      </c>
      <c r="EO196" s="231">
        <v>117688.54</v>
      </c>
      <c r="EP196" s="231">
        <v>-53443.18</v>
      </c>
      <c r="EQ196" s="229">
        <v>-0.4541</v>
      </c>
      <c r="ER196" s="231">
        <v>13988</v>
      </c>
      <c r="ES196" s="231">
        <v>8022</v>
      </c>
      <c r="ET196" s="231">
        <v>87376</v>
      </c>
      <c r="EU196" s="231">
        <v>15879795</v>
      </c>
      <c r="EV196" s="231">
        <v>109386</v>
      </c>
      <c r="EW196" s="231">
        <v>87025</v>
      </c>
      <c r="EX196" s="231">
        <v>22361</v>
      </c>
      <c r="EY196" s="229">
        <v>0.25690000000000002</v>
      </c>
      <c r="EZ196" s="229">
        <v>0.2994</v>
      </c>
      <c r="FA196" s="227" t="s">
        <v>555</v>
      </c>
      <c r="FB196" s="161">
        <f t="shared" si="5"/>
        <v>0</v>
      </c>
    </row>
    <row r="197" spans="1:158" ht="17.25" thickBot="1" x14ac:dyDescent="0.3">
      <c r="A197" s="226">
        <v>46050</v>
      </c>
      <c r="B197" s="227" t="s">
        <v>168</v>
      </c>
      <c r="C197" s="227" t="s">
        <v>297</v>
      </c>
      <c r="D197" s="228">
        <v>175</v>
      </c>
      <c r="E197" s="231">
        <v>3990.6</v>
      </c>
      <c r="F197" s="231">
        <v>4025.5</v>
      </c>
      <c r="G197" s="228">
        <v>-34.9</v>
      </c>
      <c r="H197" s="229">
        <v>-8.6999999999999994E-3</v>
      </c>
      <c r="I197" s="231">
        <v>3975.2</v>
      </c>
      <c r="J197" s="231">
        <v>3997</v>
      </c>
      <c r="K197" s="228">
        <v>-21.8</v>
      </c>
      <c r="L197" s="229">
        <v>-5.4999999999999997E-3</v>
      </c>
      <c r="M197" s="231">
        <v>3990.6</v>
      </c>
      <c r="N197" s="231">
        <v>3998</v>
      </c>
      <c r="O197" s="228">
        <v>-7.4</v>
      </c>
      <c r="P197" s="229">
        <v>-1.9E-3</v>
      </c>
      <c r="Q197" s="231">
        <v>4013.8</v>
      </c>
      <c r="R197" s="231">
        <v>4025.5</v>
      </c>
      <c r="S197" s="228">
        <v>-11.7</v>
      </c>
      <c r="T197" s="229">
        <v>-2.8999999999999998E-3</v>
      </c>
      <c r="U197" s="231">
        <v>4033</v>
      </c>
      <c r="V197" s="231">
        <v>4053.2</v>
      </c>
      <c r="W197" s="228">
        <v>-20.2</v>
      </c>
      <c r="X197" s="229">
        <v>-5.0000000000000001E-3</v>
      </c>
      <c r="Y197" s="228">
        <v>15.4</v>
      </c>
      <c r="Z197" s="228">
        <v>28.5</v>
      </c>
      <c r="AA197" s="228">
        <v>-13.1</v>
      </c>
      <c r="AB197" s="229">
        <v>3.8999999999999998E-3</v>
      </c>
      <c r="AC197" s="228">
        <v>15.4</v>
      </c>
      <c r="AD197" s="228">
        <v>1</v>
      </c>
      <c r="AE197" s="228">
        <v>14.4</v>
      </c>
      <c r="AF197" s="229">
        <v>3.8999999999999998E-3</v>
      </c>
      <c r="AG197" s="228">
        <v>38.6</v>
      </c>
      <c r="AH197" s="228">
        <v>28.5</v>
      </c>
      <c r="AI197" s="228">
        <v>10.1</v>
      </c>
      <c r="AJ197" s="229">
        <v>9.7000000000000003E-3</v>
      </c>
      <c r="AK197" s="228">
        <v>57.8</v>
      </c>
      <c r="AL197" s="228">
        <v>56.2</v>
      </c>
      <c r="AM197" s="228">
        <v>1.6</v>
      </c>
      <c r="AN197" s="229">
        <v>1.4500000000000001E-2</v>
      </c>
      <c r="AO197" s="231">
        <v>3995.81</v>
      </c>
      <c r="AP197" s="231">
        <v>4026.37</v>
      </c>
      <c r="AQ197" s="228">
        <v>0</v>
      </c>
      <c r="AR197" s="230">
        <v>879550</v>
      </c>
      <c r="AS197" s="230">
        <v>3474800</v>
      </c>
      <c r="AT197" s="230">
        <v>-2595250</v>
      </c>
      <c r="AU197" s="229">
        <v>-0.74690000000000001</v>
      </c>
      <c r="AV197" s="230">
        <v>858550</v>
      </c>
      <c r="AW197" s="230">
        <v>1058750</v>
      </c>
      <c r="AX197" s="230">
        <v>-200200</v>
      </c>
      <c r="AY197" s="229">
        <v>-0.18909999999999999</v>
      </c>
      <c r="AZ197" s="230">
        <v>18200</v>
      </c>
      <c r="BA197" s="230">
        <v>2372300</v>
      </c>
      <c r="BB197" s="230">
        <v>-2354100</v>
      </c>
      <c r="BC197" s="229">
        <v>-0.99229999999999996</v>
      </c>
      <c r="BD197" s="230">
        <v>2800</v>
      </c>
      <c r="BE197" s="230">
        <v>43750</v>
      </c>
      <c r="BF197" s="230">
        <v>-40950</v>
      </c>
      <c r="BG197" s="229">
        <v>-0.93600000000000005</v>
      </c>
      <c r="BH197" s="230">
        <v>1560300</v>
      </c>
      <c r="BI197" s="230">
        <v>4174450</v>
      </c>
      <c r="BJ197" s="230">
        <v>-2614150</v>
      </c>
      <c r="BK197" s="229">
        <v>-0.62619999999999998</v>
      </c>
      <c r="BL197" s="230">
        <v>1033550</v>
      </c>
      <c r="BM197" s="230">
        <v>3127075</v>
      </c>
      <c r="BN197" s="230">
        <v>-2093525</v>
      </c>
      <c r="BO197" s="229">
        <v>-0.66949999999999998</v>
      </c>
      <c r="BP197" s="230">
        <v>3473400</v>
      </c>
      <c r="BQ197" s="230">
        <v>10776325</v>
      </c>
      <c r="BR197" s="230">
        <v>-7302925</v>
      </c>
      <c r="BS197" s="229">
        <v>-0.67769999999999997</v>
      </c>
      <c r="BT197" s="230">
        <v>821631</v>
      </c>
      <c r="BU197" s="230">
        <v>1785028</v>
      </c>
      <c r="BV197" s="230">
        <v>-963397</v>
      </c>
      <c r="BW197" s="229">
        <v>-0.53969999999999996</v>
      </c>
      <c r="BX197" s="230">
        <v>8454250</v>
      </c>
      <c r="BY197" s="230">
        <v>8474375</v>
      </c>
      <c r="BZ197" s="230">
        <v>-20125</v>
      </c>
      <c r="CA197" s="229">
        <v>-2.3999999999999998E-3</v>
      </c>
      <c r="CB197" s="230">
        <v>8094450</v>
      </c>
      <c r="CC197" s="230">
        <v>657125</v>
      </c>
      <c r="CD197" s="230">
        <v>7437325</v>
      </c>
      <c r="CE197" s="229">
        <v>11.318</v>
      </c>
      <c r="CF197" s="230">
        <v>357525</v>
      </c>
      <c r="CG197" s="230">
        <v>8119125</v>
      </c>
      <c r="CH197" s="230">
        <v>-7761600</v>
      </c>
      <c r="CI197" s="229">
        <v>-0.95599999999999996</v>
      </c>
      <c r="CJ197" s="230">
        <v>2275</v>
      </c>
      <c r="CK197" s="230">
        <v>355250</v>
      </c>
      <c r="CL197" s="230">
        <v>-352975</v>
      </c>
      <c r="CM197" s="229">
        <v>-0.99360000000000004</v>
      </c>
      <c r="CN197" s="230">
        <v>1478225</v>
      </c>
      <c r="CO197" s="230">
        <v>1359750</v>
      </c>
      <c r="CP197" s="230">
        <v>118475</v>
      </c>
      <c r="CQ197" s="229">
        <v>8.7099999999999997E-2</v>
      </c>
      <c r="CR197" s="230">
        <v>1307775</v>
      </c>
      <c r="CS197" s="230">
        <v>965125</v>
      </c>
      <c r="CT197" s="230">
        <v>342650</v>
      </c>
      <c r="CU197" s="229">
        <v>0.35499999999999998</v>
      </c>
      <c r="CV197" s="230">
        <v>11240250</v>
      </c>
      <c r="CW197" s="230">
        <v>10799250</v>
      </c>
      <c r="CX197" s="230">
        <v>441000</v>
      </c>
      <c r="CY197" s="229">
        <v>4.0800000000000003E-2</v>
      </c>
      <c r="CZ197" s="228">
        <v>26.99</v>
      </c>
      <c r="DA197" s="228">
        <v>25.95</v>
      </c>
      <c r="DB197" s="228">
        <v>1.04</v>
      </c>
      <c r="DC197" s="228">
        <v>1.04</v>
      </c>
      <c r="DD197" s="228">
        <v>24.43</v>
      </c>
      <c r="DE197" s="228">
        <v>24.48</v>
      </c>
      <c r="DF197" s="228">
        <v>2.56</v>
      </c>
      <c r="DG197" s="228">
        <v>-0.05</v>
      </c>
      <c r="DH197" s="228">
        <v>26.36</v>
      </c>
      <c r="DI197" s="228">
        <v>25.4</v>
      </c>
      <c r="DJ197" s="228">
        <v>0.96</v>
      </c>
      <c r="DK197" s="228">
        <v>0.96</v>
      </c>
      <c r="DL197" s="228">
        <v>27.94</v>
      </c>
      <c r="DM197" s="228">
        <v>26.66</v>
      </c>
      <c r="DN197" s="228">
        <v>1.28</v>
      </c>
      <c r="DO197" s="228">
        <v>1.28</v>
      </c>
      <c r="DP197" s="228">
        <v>0.88</v>
      </c>
      <c r="DQ197" s="228">
        <v>0.71</v>
      </c>
      <c r="DR197" s="228">
        <v>0.17</v>
      </c>
      <c r="DS197" s="229">
        <v>0.2394</v>
      </c>
      <c r="DT197" s="231">
        <v>4200</v>
      </c>
      <c r="DU197" s="231">
        <v>4000</v>
      </c>
      <c r="DV197" s="228">
        <v>0.66</v>
      </c>
      <c r="DW197" s="228">
        <v>0.75</v>
      </c>
      <c r="DX197" s="228">
        <v>-0.09</v>
      </c>
      <c r="DY197" s="229">
        <v>-0.12</v>
      </c>
      <c r="DZ197" s="229">
        <v>4.2599999999999999E-2</v>
      </c>
      <c r="EA197" s="230">
        <v>8474375</v>
      </c>
      <c r="EB197" s="229">
        <v>5.7999999999999996E-3</v>
      </c>
      <c r="EC197" s="229">
        <v>4.2599999999999999E-2</v>
      </c>
      <c r="ED197" s="228">
        <v>30.56</v>
      </c>
      <c r="EE197" s="229">
        <v>7.6E-3</v>
      </c>
      <c r="EF197" s="230">
        <v>602257</v>
      </c>
      <c r="EG197" s="230">
        <v>1129159</v>
      </c>
      <c r="EH197" s="229">
        <v>-0.46660000000000001</v>
      </c>
      <c r="EI197" s="229">
        <v>0.73299999999999998</v>
      </c>
      <c r="EJ197" s="231">
        <v>65546.97</v>
      </c>
      <c r="EK197" s="231">
        <v>41060.870000000003</v>
      </c>
      <c r="EL197" s="231">
        <v>35152.019999999997</v>
      </c>
      <c r="EM197" s="231">
        <v>32077</v>
      </c>
      <c r="EN197" s="231">
        <v>141759.85999999999</v>
      </c>
      <c r="EO197" s="231">
        <v>439214.9</v>
      </c>
      <c r="EP197" s="231">
        <v>-297455.03999999998</v>
      </c>
      <c r="EQ197" s="229">
        <v>-0.67720000000000002</v>
      </c>
      <c r="ER197" s="231">
        <v>61658</v>
      </c>
      <c r="ES197" s="231">
        <v>51497</v>
      </c>
      <c r="ET197" s="231">
        <v>337459</v>
      </c>
      <c r="EU197" s="231">
        <v>45680146</v>
      </c>
      <c r="EV197" s="231">
        <v>450614</v>
      </c>
      <c r="EW197" s="231">
        <v>436404</v>
      </c>
      <c r="EX197" s="231">
        <v>14210</v>
      </c>
      <c r="EY197" s="229">
        <v>3.2599999999999997E-2</v>
      </c>
      <c r="EZ197" s="229">
        <v>0.24610000000000001</v>
      </c>
      <c r="FA197" s="227" t="s">
        <v>568</v>
      </c>
      <c r="FB197" s="161">
        <f t="shared" si="5"/>
        <v>0</v>
      </c>
    </row>
    <row r="198" spans="1:158" ht="17.25" thickBot="1" x14ac:dyDescent="0.3">
      <c r="A198" s="226">
        <v>46050</v>
      </c>
      <c r="B198" s="227" t="s">
        <v>162</v>
      </c>
      <c r="C198" s="227" t="s">
        <v>688</v>
      </c>
      <c r="D198" s="228">
        <v>800</v>
      </c>
      <c r="E198" s="228">
        <v>341.95</v>
      </c>
      <c r="F198" s="228">
        <v>341.7</v>
      </c>
      <c r="G198" s="228">
        <v>0.25</v>
      </c>
      <c r="H198" s="229">
        <v>6.9999999999999999E-4</v>
      </c>
      <c r="I198" s="228">
        <v>340.45</v>
      </c>
      <c r="J198" s="228">
        <v>340.55</v>
      </c>
      <c r="K198" s="228">
        <v>-0.1</v>
      </c>
      <c r="L198" s="229">
        <v>-2.9999999999999997E-4</v>
      </c>
      <c r="M198" s="228">
        <v>341.95</v>
      </c>
      <c r="N198" s="228">
        <v>339.95</v>
      </c>
      <c r="O198" s="228">
        <v>2</v>
      </c>
      <c r="P198" s="229">
        <v>5.8999999999999999E-3</v>
      </c>
      <c r="Q198" s="228">
        <v>343.95</v>
      </c>
      <c r="R198" s="228">
        <v>341.7</v>
      </c>
      <c r="S198" s="228">
        <v>2.25</v>
      </c>
      <c r="T198" s="229">
        <v>6.6E-3</v>
      </c>
      <c r="U198" s="228">
        <v>345.95</v>
      </c>
      <c r="V198" s="228">
        <v>343.85</v>
      </c>
      <c r="W198" s="228">
        <v>2.1</v>
      </c>
      <c r="X198" s="229">
        <v>6.1000000000000004E-3</v>
      </c>
      <c r="Y198" s="228">
        <v>1.5</v>
      </c>
      <c r="Z198" s="228">
        <v>1.1499999999999999</v>
      </c>
      <c r="AA198" s="228">
        <v>0.35</v>
      </c>
      <c r="AB198" s="229">
        <v>4.4000000000000003E-3</v>
      </c>
      <c r="AC198" s="228">
        <v>1.5</v>
      </c>
      <c r="AD198" s="228">
        <v>-0.6</v>
      </c>
      <c r="AE198" s="228">
        <v>2.1</v>
      </c>
      <c r="AF198" s="229">
        <v>4.4000000000000003E-3</v>
      </c>
      <c r="AG198" s="228">
        <v>3.5</v>
      </c>
      <c r="AH198" s="228">
        <v>1.1499999999999999</v>
      </c>
      <c r="AI198" s="228">
        <v>2.35</v>
      </c>
      <c r="AJ198" s="229">
        <v>1.03E-2</v>
      </c>
      <c r="AK198" s="228">
        <v>5.5</v>
      </c>
      <c r="AL198" s="228">
        <v>3.3</v>
      </c>
      <c r="AM198" s="228">
        <v>2.2000000000000002</v>
      </c>
      <c r="AN198" s="229">
        <v>1.6199999999999999E-2</v>
      </c>
      <c r="AO198" s="228">
        <v>342.07</v>
      </c>
      <c r="AP198" s="228">
        <v>343.69</v>
      </c>
      <c r="AQ198" s="228">
        <v>0</v>
      </c>
      <c r="AR198" s="230">
        <v>12319200</v>
      </c>
      <c r="AS198" s="230">
        <v>49053600</v>
      </c>
      <c r="AT198" s="230">
        <v>-36734400</v>
      </c>
      <c r="AU198" s="229">
        <v>-0.74890000000000001</v>
      </c>
      <c r="AV198" s="230">
        <v>11205600</v>
      </c>
      <c r="AW198" s="230">
        <v>19700000</v>
      </c>
      <c r="AX198" s="230">
        <v>-8494400</v>
      </c>
      <c r="AY198" s="229">
        <v>-0.43120000000000003</v>
      </c>
      <c r="AZ198" s="230">
        <v>959200</v>
      </c>
      <c r="BA198" s="230">
        <v>27883200</v>
      </c>
      <c r="BB198" s="230">
        <v>-26924000</v>
      </c>
      <c r="BC198" s="229">
        <v>-0.96560000000000001</v>
      </c>
      <c r="BD198" s="230">
        <v>154400</v>
      </c>
      <c r="BE198" s="230">
        <v>1470400</v>
      </c>
      <c r="BF198" s="230">
        <v>-1316000</v>
      </c>
      <c r="BG198" s="229">
        <v>-0.89500000000000002</v>
      </c>
      <c r="BH198" s="230">
        <v>29830400</v>
      </c>
      <c r="BI198" s="230">
        <v>45568000</v>
      </c>
      <c r="BJ198" s="230">
        <v>-15737600</v>
      </c>
      <c r="BK198" s="229">
        <v>-0.34539999999999998</v>
      </c>
      <c r="BL198" s="230">
        <v>27054400</v>
      </c>
      <c r="BM198" s="230">
        <v>37024800</v>
      </c>
      <c r="BN198" s="230">
        <v>-9970400</v>
      </c>
      <c r="BO198" s="229">
        <v>-0.26929999999999998</v>
      </c>
      <c r="BP198" s="230">
        <v>69204000</v>
      </c>
      <c r="BQ198" s="230">
        <v>131646400</v>
      </c>
      <c r="BR198" s="230">
        <v>-62442400</v>
      </c>
      <c r="BS198" s="229">
        <v>-0.4743</v>
      </c>
      <c r="BT198" s="230">
        <v>9425163</v>
      </c>
      <c r="BU198" s="230">
        <v>12510469</v>
      </c>
      <c r="BV198" s="230">
        <v>-3085306</v>
      </c>
      <c r="BW198" s="229">
        <v>-0.24660000000000001</v>
      </c>
      <c r="BX198" s="230">
        <v>82676800</v>
      </c>
      <c r="BY198" s="230">
        <v>83362400</v>
      </c>
      <c r="BZ198" s="230">
        <v>-685600</v>
      </c>
      <c r="CA198" s="229">
        <v>-8.2000000000000007E-3</v>
      </c>
      <c r="CB198" s="230">
        <v>78584800</v>
      </c>
      <c r="CC198" s="230">
        <v>8701600</v>
      </c>
      <c r="CD198" s="230">
        <v>69883200</v>
      </c>
      <c r="CE198" s="229">
        <v>8.0311000000000003</v>
      </c>
      <c r="CF198" s="230">
        <v>4024000</v>
      </c>
      <c r="CG198" s="230">
        <v>79503200</v>
      </c>
      <c r="CH198" s="230">
        <v>-75479200</v>
      </c>
      <c r="CI198" s="229">
        <v>-0.94940000000000002</v>
      </c>
      <c r="CJ198" s="230">
        <v>68000</v>
      </c>
      <c r="CK198" s="230">
        <v>3859200</v>
      </c>
      <c r="CL198" s="230">
        <v>-3791200</v>
      </c>
      <c r="CM198" s="229">
        <v>-0.98240000000000005</v>
      </c>
      <c r="CN198" s="230">
        <v>18353600</v>
      </c>
      <c r="CO198" s="230">
        <v>15729600</v>
      </c>
      <c r="CP198" s="230">
        <v>2624000</v>
      </c>
      <c r="CQ198" s="229">
        <v>0.1668</v>
      </c>
      <c r="CR198" s="230">
        <v>18994400</v>
      </c>
      <c r="CS198" s="230">
        <v>14958400</v>
      </c>
      <c r="CT198" s="230">
        <v>4036000</v>
      </c>
      <c r="CU198" s="229">
        <v>0.26979999999999998</v>
      </c>
      <c r="CV198" s="230">
        <v>120024800</v>
      </c>
      <c r="CW198" s="230">
        <v>114050400</v>
      </c>
      <c r="CX198" s="230">
        <v>5974400</v>
      </c>
      <c r="CY198" s="229">
        <v>5.2400000000000002E-2</v>
      </c>
      <c r="CZ198" s="228">
        <v>36.549999999999997</v>
      </c>
      <c r="DA198" s="228">
        <v>37.33</v>
      </c>
      <c r="DB198" s="228">
        <v>-0.78</v>
      </c>
      <c r="DC198" s="228">
        <v>-0.78</v>
      </c>
      <c r="DD198" s="228">
        <v>33.090000000000003</v>
      </c>
      <c r="DE198" s="228">
        <v>33.17</v>
      </c>
      <c r="DF198" s="228">
        <v>3.46</v>
      </c>
      <c r="DG198" s="228">
        <v>-0.08</v>
      </c>
      <c r="DH198" s="228">
        <v>36.450000000000003</v>
      </c>
      <c r="DI198" s="228">
        <v>36.799999999999997</v>
      </c>
      <c r="DJ198" s="228">
        <v>-0.35</v>
      </c>
      <c r="DK198" s="228">
        <v>-0.35</v>
      </c>
      <c r="DL198" s="228">
        <v>36.659999999999997</v>
      </c>
      <c r="DM198" s="228">
        <v>37.94</v>
      </c>
      <c r="DN198" s="228">
        <v>-1.28</v>
      </c>
      <c r="DO198" s="228">
        <v>-1.28</v>
      </c>
      <c r="DP198" s="228">
        <v>1.03</v>
      </c>
      <c r="DQ198" s="228">
        <v>0.95</v>
      </c>
      <c r="DR198" s="228">
        <v>0.08</v>
      </c>
      <c r="DS198" s="229">
        <v>8.4199999999999997E-2</v>
      </c>
      <c r="DT198" s="228">
        <v>400</v>
      </c>
      <c r="DU198" s="228">
        <v>300</v>
      </c>
      <c r="DV198" s="228">
        <v>0.91</v>
      </c>
      <c r="DW198" s="228">
        <v>0.81</v>
      </c>
      <c r="DX198" s="228">
        <v>0.1</v>
      </c>
      <c r="DY198" s="229">
        <v>0.1235</v>
      </c>
      <c r="DZ198" s="229">
        <v>4.9500000000000002E-2</v>
      </c>
      <c r="EA198" s="230">
        <v>83362400</v>
      </c>
      <c r="EB198" s="229">
        <v>5.7999999999999996E-3</v>
      </c>
      <c r="EC198" s="229">
        <v>4.9500000000000002E-2</v>
      </c>
      <c r="ED198" s="228">
        <v>1.62</v>
      </c>
      <c r="EE198" s="229">
        <v>4.7000000000000002E-3</v>
      </c>
      <c r="EF198" s="230">
        <v>4775819</v>
      </c>
      <c r="EG198" s="230">
        <v>5802876</v>
      </c>
      <c r="EH198" s="229">
        <v>-0.17699999999999999</v>
      </c>
      <c r="EI198" s="229">
        <v>0.50670000000000004</v>
      </c>
      <c r="EJ198" s="231">
        <v>109921.75</v>
      </c>
      <c r="EK198" s="231">
        <v>95586.86</v>
      </c>
      <c r="EL198" s="231">
        <v>42159.32</v>
      </c>
      <c r="EM198" s="231">
        <v>77946</v>
      </c>
      <c r="EN198" s="231">
        <v>247667.93</v>
      </c>
      <c r="EO198" s="231">
        <v>459512.85</v>
      </c>
      <c r="EP198" s="231">
        <v>-211844.92</v>
      </c>
      <c r="EQ198" s="229">
        <v>-0.46100000000000002</v>
      </c>
      <c r="ER198" s="231">
        <v>68377</v>
      </c>
      <c r="ES198" s="231">
        <v>64176</v>
      </c>
      <c r="ET198" s="231">
        <v>282797</v>
      </c>
      <c r="EU198" s="231">
        <v>317235726</v>
      </c>
      <c r="EV198" s="231">
        <v>415350</v>
      </c>
      <c r="EW198" s="231">
        <v>394819</v>
      </c>
      <c r="EX198" s="231">
        <v>20531</v>
      </c>
      <c r="EY198" s="229">
        <v>5.1999999999999998E-2</v>
      </c>
      <c r="EZ198" s="229">
        <v>0.37830000000000003</v>
      </c>
      <c r="FA198" s="227" t="s">
        <v>556</v>
      </c>
      <c r="FB198" s="161">
        <f t="shared" si="5"/>
        <v>0</v>
      </c>
    </row>
    <row r="199" spans="1:158" ht="17.25" thickBot="1" x14ac:dyDescent="0.3">
      <c r="A199" s="226">
        <v>46050</v>
      </c>
      <c r="B199" s="227" t="s">
        <v>170</v>
      </c>
      <c r="C199" s="227" t="s">
        <v>298</v>
      </c>
      <c r="D199" s="228">
        <v>250</v>
      </c>
      <c r="E199" s="231">
        <v>3936</v>
      </c>
      <c r="F199" s="231">
        <v>3980.3</v>
      </c>
      <c r="G199" s="228">
        <v>-44.3</v>
      </c>
      <c r="H199" s="229">
        <v>-1.11E-2</v>
      </c>
      <c r="I199" s="231">
        <v>3958.7</v>
      </c>
      <c r="J199" s="231">
        <v>3997.4</v>
      </c>
      <c r="K199" s="228">
        <v>-38.700000000000003</v>
      </c>
      <c r="L199" s="229">
        <v>-9.7000000000000003E-3</v>
      </c>
      <c r="M199" s="231">
        <v>3936</v>
      </c>
      <c r="N199" s="231">
        <v>4000</v>
      </c>
      <c r="O199" s="228">
        <v>-64</v>
      </c>
      <c r="P199" s="229">
        <v>-1.6E-2</v>
      </c>
      <c r="Q199" s="231">
        <v>3962.2</v>
      </c>
      <c r="R199" s="231">
        <v>3980.3</v>
      </c>
      <c r="S199" s="228">
        <v>-18.100000000000001</v>
      </c>
      <c r="T199" s="229">
        <v>-4.4999999999999997E-3</v>
      </c>
      <c r="U199" s="231">
        <v>3971</v>
      </c>
      <c r="V199" s="231">
        <v>3996.4</v>
      </c>
      <c r="W199" s="228">
        <v>-25.4</v>
      </c>
      <c r="X199" s="229">
        <v>-6.4000000000000003E-3</v>
      </c>
      <c r="Y199" s="228">
        <v>-22.7</v>
      </c>
      <c r="Z199" s="228">
        <v>-17.100000000000001</v>
      </c>
      <c r="AA199" s="228">
        <v>-5.6</v>
      </c>
      <c r="AB199" s="229">
        <v>-5.7000000000000002E-3</v>
      </c>
      <c r="AC199" s="228">
        <v>-22.7</v>
      </c>
      <c r="AD199" s="228">
        <v>2.6</v>
      </c>
      <c r="AE199" s="228">
        <v>-25.3</v>
      </c>
      <c r="AF199" s="229">
        <v>-5.7000000000000002E-3</v>
      </c>
      <c r="AG199" s="228">
        <v>3.5</v>
      </c>
      <c r="AH199" s="228">
        <v>-17.100000000000001</v>
      </c>
      <c r="AI199" s="228">
        <v>20.6</v>
      </c>
      <c r="AJ199" s="229">
        <v>8.9999999999999998E-4</v>
      </c>
      <c r="AK199" s="228">
        <v>12.3</v>
      </c>
      <c r="AL199" s="228">
        <v>-1</v>
      </c>
      <c r="AM199" s="228">
        <v>13.3</v>
      </c>
      <c r="AN199" s="229">
        <v>3.0999999999999999E-3</v>
      </c>
      <c r="AO199" s="231">
        <v>3939.31</v>
      </c>
      <c r="AP199" s="231">
        <v>3958.71</v>
      </c>
      <c r="AQ199" s="228">
        <v>0</v>
      </c>
      <c r="AR199" s="230">
        <v>428500</v>
      </c>
      <c r="AS199" s="230">
        <v>1969750</v>
      </c>
      <c r="AT199" s="230">
        <v>-1541250</v>
      </c>
      <c r="AU199" s="229">
        <v>-0.78249999999999997</v>
      </c>
      <c r="AV199" s="230">
        <v>420750</v>
      </c>
      <c r="AW199" s="230">
        <v>892000</v>
      </c>
      <c r="AX199" s="230">
        <v>-471250</v>
      </c>
      <c r="AY199" s="229">
        <v>-0.52829999999999999</v>
      </c>
      <c r="AZ199" s="230">
        <v>7000</v>
      </c>
      <c r="BA199" s="230">
        <v>1077250</v>
      </c>
      <c r="BB199" s="230">
        <v>-1070250</v>
      </c>
      <c r="BC199" s="229">
        <v>-0.99350000000000005</v>
      </c>
      <c r="BD199" s="228">
        <v>750</v>
      </c>
      <c r="BE199" s="228">
        <v>500</v>
      </c>
      <c r="BF199" s="228">
        <v>250</v>
      </c>
      <c r="BG199" s="229">
        <v>0.5</v>
      </c>
      <c r="BH199" s="230">
        <v>239750</v>
      </c>
      <c r="BI199" s="230">
        <v>570500</v>
      </c>
      <c r="BJ199" s="230">
        <v>-330750</v>
      </c>
      <c r="BK199" s="229">
        <v>-0.57979999999999998</v>
      </c>
      <c r="BL199" s="230">
        <v>103000</v>
      </c>
      <c r="BM199" s="230">
        <v>709750</v>
      </c>
      <c r="BN199" s="230">
        <v>-606750</v>
      </c>
      <c r="BO199" s="229">
        <v>-0.85489999999999999</v>
      </c>
      <c r="BP199" s="230">
        <v>771250</v>
      </c>
      <c r="BQ199" s="230">
        <v>3250000</v>
      </c>
      <c r="BR199" s="230">
        <v>-2478750</v>
      </c>
      <c r="BS199" s="229">
        <v>-0.76270000000000004</v>
      </c>
      <c r="BT199" s="230">
        <v>391256</v>
      </c>
      <c r="BU199" s="230">
        <v>251894</v>
      </c>
      <c r="BV199" s="230">
        <v>139362</v>
      </c>
      <c r="BW199" s="229">
        <v>0.55330000000000001</v>
      </c>
      <c r="BX199" s="230">
        <v>2473250</v>
      </c>
      <c r="BY199" s="230">
        <v>2432000</v>
      </c>
      <c r="BZ199" s="230">
        <v>41250</v>
      </c>
      <c r="CA199" s="229">
        <v>1.7000000000000001E-2</v>
      </c>
      <c r="CB199" s="230">
        <v>2462250</v>
      </c>
      <c r="CC199" s="230">
        <v>88750</v>
      </c>
      <c r="CD199" s="230">
        <v>2373500</v>
      </c>
      <c r="CE199" s="229">
        <v>26.7437</v>
      </c>
      <c r="CF199" s="230">
        <v>10250</v>
      </c>
      <c r="CG199" s="230">
        <v>2424750</v>
      </c>
      <c r="CH199" s="230">
        <v>-2414500</v>
      </c>
      <c r="CI199" s="229">
        <v>-0.99580000000000002</v>
      </c>
      <c r="CJ199" s="228">
        <v>750</v>
      </c>
      <c r="CK199" s="230">
        <v>7250</v>
      </c>
      <c r="CL199" s="230">
        <v>-6500</v>
      </c>
      <c r="CM199" s="229">
        <v>-0.89659999999999995</v>
      </c>
      <c r="CN199" s="230">
        <v>186750</v>
      </c>
      <c r="CO199" s="230">
        <v>152250</v>
      </c>
      <c r="CP199" s="230">
        <v>34500</v>
      </c>
      <c r="CQ199" s="229">
        <v>0.2266</v>
      </c>
      <c r="CR199" s="230">
        <v>122750</v>
      </c>
      <c r="CS199" s="230">
        <v>100000</v>
      </c>
      <c r="CT199" s="230">
        <v>22750</v>
      </c>
      <c r="CU199" s="229">
        <v>0.22750000000000001</v>
      </c>
      <c r="CV199" s="230">
        <v>2782750</v>
      </c>
      <c r="CW199" s="230">
        <v>2684250</v>
      </c>
      <c r="CX199" s="230">
        <v>98500</v>
      </c>
      <c r="CY199" s="229">
        <v>3.6700000000000003E-2</v>
      </c>
      <c r="CZ199" s="228">
        <v>26.03</v>
      </c>
      <c r="DA199" s="228">
        <v>25.7</v>
      </c>
      <c r="DB199" s="228">
        <v>0.33</v>
      </c>
      <c r="DC199" s="228">
        <v>0.33</v>
      </c>
      <c r="DD199" s="228">
        <v>25.46</v>
      </c>
      <c r="DE199" s="228">
        <v>25.49</v>
      </c>
      <c r="DF199" s="228">
        <v>0.56999999999999995</v>
      </c>
      <c r="DG199" s="228">
        <v>-0.03</v>
      </c>
      <c r="DH199" s="228">
        <v>25.28</v>
      </c>
      <c r="DI199" s="228">
        <v>24.73</v>
      </c>
      <c r="DJ199" s="228">
        <v>0.55000000000000004</v>
      </c>
      <c r="DK199" s="228">
        <v>0.55000000000000004</v>
      </c>
      <c r="DL199" s="228">
        <v>27.77</v>
      </c>
      <c r="DM199" s="228">
        <v>28.79</v>
      </c>
      <c r="DN199" s="228">
        <v>-1.02</v>
      </c>
      <c r="DO199" s="228">
        <v>-1.02</v>
      </c>
      <c r="DP199" s="228">
        <v>0.66</v>
      </c>
      <c r="DQ199" s="228">
        <v>0.66</v>
      </c>
      <c r="DR199" s="228">
        <v>0</v>
      </c>
      <c r="DS199" s="229">
        <v>0</v>
      </c>
      <c r="DT199" s="231">
        <v>4000</v>
      </c>
      <c r="DU199" s="231">
        <v>3800</v>
      </c>
      <c r="DV199" s="228">
        <v>0.43</v>
      </c>
      <c r="DW199" s="228">
        <v>1.24</v>
      </c>
      <c r="DX199" s="228">
        <v>-0.81</v>
      </c>
      <c r="DY199" s="229">
        <v>-0.6532</v>
      </c>
      <c r="DZ199" s="229">
        <v>4.4000000000000003E-3</v>
      </c>
      <c r="EA199" s="230">
        <v>2432000</v>
      </c>
      <c r="EB199" s="229">
        <v>6.7000000000000002E-3</v>
      </c>
      <c r="EC199" s="229">
        <v>4.4000000000000003E-3</v>
      </c>
      <c r="ED199" s="228">
        <v>19.399999999999999</v>
      </c>
      <c r="EE199" s="229">
        <v>4.8999999999999998E-3</v>
      </c>
      <c r="EF199" s="230">
        <v>230415</v>
      </c>
      <c r="EG199" s="230">
        <v>109960</v>
      </c>
      <c r="EH199" s="229">
        <v>1.0953999999999999</v>
      </c>
      <c r="EI199" s="229">
        <v>0.58889999999999998</v>
      </c>
      <c r="EJ199" s="231">
        <v>9839.7199999999993</v>
      </c>
      <c r="EK199" s="231">
        <v>4003.79</v>
      </c>
      <c r="EL199" s="231">
        <v>16881.669999999998</v>
      </c>
      <c r="EM199" s="231">
        <v>8224</v>
      </c>
      <c r="EN199" s="231">
        <v>30725.18</v>
      </c>
      <c r="EO199" s="231">
        <v>128876.22</v>
      </c>
      <c r="EP199" s="231">
        <v>-98151.039999999994</v>
      </c>
      <c r="EQ199" s="229">
        <v>-0.76160000000000005</v>
      </c>
      <c r="ER199" s="231">
        <v>7630</v>
      </c>
      <c r="ES199" s="231">
        <v>4652</v>
      </c>
      <c r="ET199" s="231">
        <v>97350</v>
      </c>
      <c r="EU199" s="231">
        <v>10726004</v>
      </c>
      <c r="EV199" s="231">
        <v>109632</v>
      </c>
      <c r="EW199" s="231">
        <v>106826</v>
      </c>
      <c r="EX199" s="231">
        <v>2806</v>
      </c>
      <c r="EY199" s="229">
        <v>2.63E-2</v>
      </c>
      <c r="EZ199" s="229">
        <v>0.25940000000000002</v>
      </c>
      <c r="FA199" s="227" t="s">
        <v>567</v>
      </c>
      <c r="FB199" s="161">
        <f t="shared" si="5"/>
        <v>0</v>
      </c>
    </row>
    <row r="200" spans="1:158" ht="17.25" thickBot="1" x14ac:dyDescent="0.3">
      <c r="A200" s="226">
        <v>46050</v>
      </c>
      <c r="B200" s="227" t="s">
        <v>161</v>
      </c>
      <c r="C200" s="227" t="s">
        <v>299</v>
      </c>
      <c r="D200" s="228">
        <v>425</v>
      </c>
      <c r="E200" s="231">
        <v>1331.4</v>
      </c>
      <c r="F200" s="231">
        <v>1306.5</v>
      </c>
      <c r="G200" s="228">
        <v>24.9</v>
      </c>
      <c r="H200" s="229">
        <v>1.9099999999999999E-2</v>
      </c>
      <c r="I200" s="231">
        <v>1332.9</v>
      </c>
      <c r="J200" s="231">
        <v>1309.7</v>
      </c>
      <c r="K200" s="228">
        <v>23.2</v>
      </c>
      <c r="L200" s="229">
        <v>1.77E-2</v>
      </c>
      <c r="M200" s="231">
        <v>1331.4</v>
      </c>
      <c r="N200" s="231">
        <v>1308.5</v>
      </c>
      <c r="O200" s="228">
        <v>22.9</v>
      </c>
      <c r="P200" s="229">
        <v>1.7500000000000002E-2</v>
      </c>
      <c r="Q200" s="231">
        <v>1345.1</v>
      </c>
      <c r="R200" s="231">
        <v>1306.5</v>
      </c>
      <c r="S200" s="228">
        <v>38.6</v>
      </c>
      <c r="T200" s="229">
        <v>2.9499999999999998E-2</v>
      </c>
      <c r="U200" s="231">
        <v>1339</v>
      </c>
      <c r="V200" s="231">
        <v>1316.2</v>
      </c>
      <c r="W200" s="228">
        <v>22.8</v>
      </c>
      <c r="X200" s="229">
        <v>1.7299999999999999E-2</v>
      </c>
      <c r="Y200" s="228">
        <v>-1.5</v>
      </c>
      <c r="Z200" s="228">
        <v>-3.2</v>
      </c>
      <c r="AA200" s="228">
        <v>1.7</v>
      </c>
      <c r="AB200" s="229">
        <v>-1.1000000000000001E-3</v>
      </c>
      <c r="AC200" s="228">
        <v>-1.5</v>
      </c>
      <c r="AD200" s="228">
        <v>-1.2</v>
      </c>
      <c r="AE200" s="228">
        <v>-0.3</v>
      </c>
      <c r="AF200" s="229">
        <v>-1.1000000000000001E-3</v>
      </c>
      <c r="AG200" s="228">
        <v>12.2</v>
      </c>
      <c r="AH200" s="228">
        <v>-3.2</v>
      </c>
      <c r="AI200" s="228">
        <v>15.4</v>
      </c>
      <c r="AJ200" s="229">
        <v>9.1999999999999998E-3</v>
      </c>
      <c r="AK200" s="228">
        <v>6.1</v>
      </c>
      <c r="AL200" s="228">
        <v>6.5</v>
      </c>
      <c r="AM200" s="228">
        <v>-0.4</v>
      </c>
      <c r="AN200" s="229">
        <v>4.5999999999999999E-3</v>
      </c>
      <c r="AO200" s="231">
        <v>1330.3</v>
      </c>
      <c r="AP200" s="231">
        <v>1339.95</v>
      </c>
      <c r="AQ200" s="228">
        <v>0</v>
      </c>
      <c r="AR200" s="230">
        <v>650675</v>
      </c>
      <c r="AS200" s="230">
        <v>2003025</v>
      </c>
      <c r="AT200" s="230">
        <v>-1352350</v>
      </c>
      <c r="AU200" s="229">
        <v>-0.67520000000000002</v>
      </c>
      <c r="AV200" s="230">
        <v>640050</v>
      </c>
      <c r="AW200" s="230">
        <v>735675</v>
      </c>
      <c r="AX200" s="230">
        <v>-95625</v>
      </c>
      <c r="AY200" s="229">
        <v>-0.13</v>
      </c>
      <c r="AZ200" s="230">
        <v>9775</v>
      </c>
      <c r="BA200" s="230">
        <v>1258425</v>
      </c>
      <c r="BB200" s="230">
        <v>-1248650</v>
      </c>
      <c r="BC200" s="229">
        <v>-0.99219999999999997</v>
      </c>
      <c r="BD200" s="228">
        <v>850</v>
      </c>
      <c r="BE200" s="230">
        <v>8925</v>
      </c>
      <c r="BF200" s="230">
        <v>-8075</v>
      </c>
      <c r="BG200" s="229">
        <v>-0.90480000000000005</v>
      </c>
      <c r="BH200" s="230">
        <v>555900</v>
      </c>
      <c r="BI200" s="230">
        <v>947750</v>
      </c>
      <c r="BJ200" s="230">
        <v>-391850</v>
      </c>
      <c r="BK200" s="229">
        <v>-0.41349999999999998</v>
      </c>
      <c r="BL200" s="230">
        <v>196350</v>
      </c>
      <c r="BM200" s="230">
        <v>561850</v>
      </c>
      <c r="BN200" s="230">
        <v>-365500</v>
      </c>
      <c r="BO200" s="229">
        <v>-0.65049999999999997</v>
      </c>
      <c r="BP200" s="230">
        <v>1402925</v>
      </c>
      <c r="BQ200" s="230">
        <v>3512625</v>
      </c>
      <c r="BR200" s="230">
        <v>-2109700</v>
      </c>
      <c r="BS200" s="229">
        <v>-0.60060000000000002</v>
      </c>
      <c r="BT200" s="230">
        <v>512345</v>
      </c>
      <c r="BU200" s="230">
        <v>393415</v>
      </c>
      <c r="BV200" s="230">
        <v>118930</v>
      </c>
      <c r="BW200" s="229">
        <v>0.30230000000000001</v>
      </c>
      <c r="BX200" s="230">
        <v>2851325</v>
      </c>
      <c r="BY200" s="230">
        <v>2884900</v>
      </c>
      <c r="BZ200" s="230">
        <v>-33575</v>
      </c>
      <c r="CA200" s="229">
        <v>-1.1599999999999999E-2</v>
      </c>
      <c r="CB200" s="230">
        <v>2819450</v>
      </c>
      <c r="CC200" s="230">
        <v>361675</v>
      </c>
      <c r="CD200" s="230">
        <v>2457775</v>
      </c>
      <c r="CE200" s="229">
        <v>6.7954999999999997</v>
      </c>
      <c r="CF200" s="230">
        <v>31025</v>
      </c>
      <c r="CG200" s="230">
        <v>2856425</v>
      </c>
      <c r="CH200" s="230">
        <v>-2825400</v>
      </c>
      <c r="CI200" s="229">
        <v>-0.98909999999999998</v>
      </c>
      <c r="CJ200" s="228">
        <v>850</v>
      </c>
      <c r="CK200" s="230">
        <v>28475</v>
      </c>
      <c r="CL200" s="230">
        <v>-27625</v>
      </c>
      <c r="CM200" s="229">
        <v>-0.97009999999999996</v>
      </c>
      <c r="CN200" s="230">
        <v>356575</v>
      </c>
      <c r="CO200" s="230">
        <v>266050</v>
      </c>
      <c r="CP200" s="230">
        <v>90525</v>
      </c>
      <c r="CQ200" s="229">
        <v>0.34029999999999999</v>
      </c>
      <c r="CR200" s="230">
        <v>423300</v>
      </c>
      <c r="CS200" s="230">
        <v>334475</v>
      </c>
      <c r="CT200" s="230">
        <v>88825</v>
      </c>
      <c r="CU200" s="229">
        <v>0.2656</v>
      </c>
      <c r="CV200" s="230">
        <v>3631200</v>
      </c>
      <c r="CW200" s="230">
        <v>3485425</v>
      </c>
      <c r="CX200" s="230">
        <v>145775</v>
      </c>
      <c r="CY200" s="229">
        <v>4.1799999999999997E-2</v>
      </c>
      <c r="CZ200" s="228">
        <v>35.96</v>
      </c>
      <c r="DA200" s="228">
        <v>35.450000000000003</v>
      </c>
      <c r="DB200" s="228">
        <v>0.51</v>
      </c>
      <c r="DC200" s="228">
        <v>0.51</v>
      </c>
      <c r="DD200" s="228">
        <v>39.68</v>
      </c>
      <c r="DE200" s="228">
        <v>39.71</v>
      </c>
      <c r="DF200" s="228">
        <v>-3.72</v>
      </c>
      <c r="DG200" s="228">
        <v>-0.03</v>
      </c>
      <c r="DH200" s="228">
        <v>35.47</v>
      </c>
      <c r="DI200" s="228">
        <v>34.6</v>
      </c>
      <c r="DJ200" s="228">
        <v>0.87</v>
      </c>
      <c r="DK200" s="228">
        <v>0.87</v>
      </c>
      <c r="DL200" s="228">
        <v>37.369999999999997</v>
      </c>
      <c r="DM200" s="228">
        <v>37.119999999999997</v>
      </c>
      <c r="DN200" s="228">
        <v>0.25</v>
      </c>
      <c r="DO200" s="228">
        <v>0.25</v>
      </c>
      <c r="DP200" s="228">
        <v>1.19</v>
      </c>
      <c r="DQ200" s="228">
        <v>1.26</v>
      </c>
      <c r="DR200" s="228">
        <v>-7.0000000000000007E-2</v>
      </c>
      <c r="DS200" s="229">
        <v>-5.5599999999999997E-2</v>
      </c>
      <c r="DT200" s="231">
        <v>1280</v>
      </c>
      <c r="DU200" s="231">
        <v>1280</v>
      </c>
      <c r="DV200" s="228">
        <v>0.35</v>
      </c>
      <c r="DW200" s="228">
        <v>0.59</v>
      </c>
      <c r="DX200" s="228">
        <v>-0.24</v>
      </c>
      <c r="DY200" s="229">
        <v>-0.40679999999999999</v>
      </c>
      <c r="DZ200" s="229">
        <v>1.12E-2</v>
      </c>
      <c r="EA200" s="230">
        <v>2884900</v>
      </c>
      <c r="EB200" s="229">
        <v>1.03E-2</v>
      </c>
      <c r="EC200" s="229">
        <v>1.12E-2</v>
      </c>
      <c r="ED200" s="228">
        <v>9.65</v>
      </c>
      <c r="EE200" s="229">
        <v>7.3000000000000001E-3</v>
      </c>
      <c r="EF200" s="230">
        <v>273161</v>
      </c>
      <c r="EG200" s="230">
        <v>168906</v>
      </c>
      <c r="EH200" s="229">
        <v>0.61719999999999997</v>
      </c>
      <c r="EI200" s="229">
        <v>0.53320000000000001</v>
      </c>
      <c r="EJ200" s="231">
        <v>7863.05</v>
      </c>
      <c r="EK200" s="231">
        <v>2548.41</v>
      </c>
      <c r="EL200" s="231">
        <v>8656.9599999999991</v>
      </c>
      <c r="EM200" s="231">
        <v>6382</v>
      </c>
      <c r="EN200" s="231">
        <v>19068.419999999998</v>
      </c>
      <c r="EO200" s="231">
        <v>46212.7</v>
      </c>
      <c r="EP200" s="231">
        <v>-27144.28</v>
      </c>
      <c r="EQ200" s="229">
        <v>-0.58740000000000003</v>
      </c>
      <c r="ER200" s="231">
        <v>4905</v>
      </c>
      <c r="ES200" s="231">
        <v>5324</v>
      </c>
      <c r="ET200" s="231">
        <v>37967</v>
      </c>
      <c r="EU200" s="231">
        <v>24646022</v>
      </c>
      <c r="EV200" s="231">
        <v>48196</v>
      </c>
      <c r="EW200" s="231">
        <v>45552</v>
      </c>
      <c r="EX200" s="231">
        <v>2644</v>
      </c>
      <c r="EY200" s="229">
        <v>5.8000000000000003E-2</v>
      </c>
      <c r="EZ200" s="229">
        <v>0.14729999999999999</v>
      </c>
      <c r="FA200" s="227" t="s">
        <v>556</v>
      </c>
      <c r="FB200" s="161">
        <f t="shared" si="5"/>
        <v>0</v>
      </c>
    </row>
    <row r="201" spans="1:158" ht="17.25" thickBot="1" x14ac:dyDescent="0.3">
      <c r="A201" s="226">
        <v>46050</v>
      </c>
      <c r="B201" s="227" t="s">
        <v>197</v>
      </c>
      <c r="C201" s="227" t="s">
        <v>482</v>
      </c>
      <c r="D201" s="228">
        <v>100</v>
      </c>
      <c r="E201" s="231">
        <v>3878.1</v>
      </c>
      <c r="F201" s="231">
        <v>3821.1</v>
      </c>
      <c r="G201" s="228">
        <v>57</v>
      </c>
      <c r="H201" s="229">
        <v>1.49E-2</v>
      </c>
      <c r="I201" s="231">
        <v>3864</v>
      </c>
      <c r="J201" s="231">
        <v>3795.1</v>
      </c>
      <c r="K201" s="228">
        <v>68.900000000000006</v>
      </c>
      <c r="L201" s="229">
        <v>1.8200000000000001E-2</v>
      </c>
      <c r="M201" s="231">
        <v>3878.1</v>
      </c>
      <c r="N201" s="231">
        <v>3796.8</v>
      </c>
      <c r="O201" s="228">
        <v>81.3</v>
      </c>
      <c r="P201" s="229">
        <v>2.1399999999999999E-2</v>
      </c>
      <c r="Q201" s="231">
        <v>3899.9</v>
      </c>
      <c r="R201" s="231">
        <v>3821.1</v>
      </c>
      <c r="S201" s="228">
        <v>78.8</v>
      </c>
      <c r="T201" s="229">
        <v>2.06E-2</v>
      </c>
      <c r="U201" s="231">
        <v>3929</v>
      </c>
      <c r="V201" s="231">
        <v>3854.3</v>
      </c>
      <c r="W201" s="228">
        <v>74.7</v>
      </c>
      <c r="X201" s="229">
        <v>1.9400000000000001E-2</v>
      </c>
      <c r="Y201" s="228">
        <v>14.1</v>
      </c>
      <c r="Z201" s="228">
        <v>26</v>
      </c>
      <c r="AA201" s="228">
        <v>-11.9</v>
      </c>
      <c r="AB201" s="229">
        <v>3.5999999999999999E-3</v>
      </c>
      <c r="AC201" s="228">
        <v>14.1</v>
      </c>
      <c r="AD201" s="228">
        <v>1.7</v>
      </c>
      <c r="AE201" s="228">
        <v>12.4</v>
      </c>
      <c r="AF201" s="229">
        <v>3.5999999999999999E-3</v>
      </c>
      <c r="AG201" s="228">
        <v>35.9</v>
      </c>
      <c r="AH201" s="228">
        <v>26</v>
      </c>
      <c r="AI201" s="228">
        <v>9.9</v>
      </c>
      <c r="AJ201" s="229">
        <v>9.2999999999999992E-3</v>
      </c>
      <c r="AK201" s="228">
        <v>65</v>
      </c>
      <c r="AL201" s="228">
        <v>59.2</v>
      </c>
      <c r="AM201" s="228">
        <v>5.8</v>
      </c>
      <c r="AN201" s="229">
        <v>1.6799999999999999E-2</v>
      </c>
      <c r="AO201" s="231">
        <v>3854.95</v>
      </c>
      <c r="AP201" s="231">
        <v>3880.98</v>
      </c>
      <c r="AQ201" s="228">
        <v>0</v>
      </c>
      <c r="AR201" s="230">
        <v>774900</v>
      </c>
      <c r="AS201" s="230">
        <v>5659200</v>
      </c>
      <c r="AT201" s="230">
        <v>-4884300</v>
      </c>
      <c r="AU201" s="229">
        <v>-0.86309999999999998</v>
      </c>
      <c r="AV201" s="230">
        <v>717800</v>
      </c>
      <c r="AW201" s="230">
        <v>2722800</v>
      </c>
      <c r="AX201" s="230">
        <v>-2005000</v>
      </c>
      <c r="AY201" s="229">
        <v>-0.73640000000000005</v>
      </c>
      <c r="AZ201" s="230">
        <v>54100</v>
      </c>
      <c r="BA201" s="230">
        <v>2797400</v>
      </c>
      <c r="BB201" s="230">
        <v>-2743300</v>
      </c>
      <c r="BC201" s="229">
        <v>-0.98070000000000002</v>
      </c>
      <c r="BD201" s="230">
        <v>3000</v>
      </c>
      <c r="BE201" s="230">
        <v>139000</v>
      </c>
      <c r="BF201" s="230">
        <v>-136000</v>
      </c>
      <c r="BG201" s="229">
        <v>-0.97840000000000005</v>
      </c>
      <c r="BH201" s="230">
        <v>2206900</v>
      </c>
      <c r="BI201" s="230">
        <v>4556500</v>
      </c>
      <c r="BJ201" s="230">
        <v>-2349600</v>
      </c>
      <c r="BK201" s="229">
        <v>-0.51570000000000005</v>
      </c>
      <c r="BL201" s="230">
        <v>837400</v>
      </c>
      <c r="BM201" s="230">
        <v>3189100</v>
      </c>
      <c r="BN201" s="230">
        <v>-2351700</v>
      </c>
      <c r="BO201" s="229">
        <v>-0.73740000000000006</v>
      </c>
      <c r="BP201" s="230">
        <v>3819200</v>
      </c>
      <c r="BQ201" s="230">
        <v>13404800</v>
      </c>
      <c r="BR201" s="230">
        <v>-9585600</v>
      </c>
      <c r="BS201" s="229">
        <v>-0.71509999999999996</v>
      </c>
      <c r="BT201" s="230">
        <v>667507</v>
      </c>
      <c r="BU201" s="230">
        <v>1018293</v>
      </c>
      <c r="BV201" s="230">
        <v>-350786</v>
      </c>
      <c r="BW201" s="229">
        <v>-0.34449999999999997</v>
      </c>
      <c r="BX201" s="230">
        <v>7882200</v>
      </c>
      <c r="BY201" s="230">
        <v>7949400</v>
      </c>
      <c r="BZ201" s="230">
        <v>-67200</v>
      </c>
      <c r="CA201" s="229">
        <v>-8.5000000000000006E-3</v>
      </c>
      <c r="CB201" s="230">
        <v>7533100</v>
      </c>
      <c r="CC201" s="230">
        <v>816200</v>
      </c>
      <c r="CD201" s="230">
        <v>6716900</v>
      </c>
      <c r="CE201" s="229">
        <v>8.2294999999999998</v>
      </c>
      <c r="CF201" s="230">
        <v>346300</v>
      </c>
      <c r="CG201" s="230">
        <v>7597100</v>
      </c>
      <c r="CH201" s="230">
        <v>-7250800</v>
      </c>
      <c r="CI201" s="229">
        <v>-0.95440000000000003</v>
      </c>
      <c r="CJ201" s="230">
        <v>2800</v>
      </c>
      <c r="CK201" s="230">
        <v>352300</v>
      </c>
      <c r="CL201" s="230">
        <v>-349500</v>
      </c>
      <c r="CM201" s="229">
        <v>-0.99209999999999998</v>
      </c>
      <c r="CN201" s="230">
        <v>1644200</v>
      </c>
      <c r="CO201" s="230">
        <v>1319200</v>
      </c>
      <c r="CP201" s="230">
        <v>325000</v>
      </c>
      <c r="CQ201" s="229">
        <v>0.24640000000000001</v>
      </c>
      <c r="CR201" s="230">
        <v>1616200</v>
      </c>
      <c r="CS201" s="230">
        <v>1583600</v>
      </c>
      <c r="CT201" s="230">
        <v>32600</v>
      </c>
      <c r="CU201" s="229">
        <v>2.06E-2</v>
      </c>
      <c r="CV201" s="230">
        <v>11142600</v>
      </c>
      <c r="CW201" s="230">
        <v>10852200</v>
      </c>
      <c r="CX201" s="230">
        <v>290400</v>
      </c>
      <c r="CY201" s="229">
        <v>2.6800000000000001E-2</v>
      </c>
      <c r="CZ201" s="228">
        <v>36.450000000000003</v>
      </c>
      <c r="DA201" s="228">
        <v>39.520000000000003</v>
      </c>
      <c r="DB201" s="228">
        <v>-3.07</v>
      </c>
      <c r="DC201" s="228">
        <v>-3.07</v>
      </c>
      <c r="DD201" s="228">
        <v>42.79</v>
      </c>
      <c r="DE201" s="228">
        <v>42.85</v>
      </c>
      <c r="DF201" s="228">
        <v>-6.34</v>
      </c>
      <c r="DG201" s="228">
        <v>-0.06</v>
      </c>
      <c r="DH201" s="228">
        <v>35.85</v>
      </c>
      <c r="DI201" s="228">
        <v>39.07</v>
      </c>
      <c r="DJ201" s="228">
        <v>-3.22</v>
      </c>
      <c r="DK201" s="228">
        <v>-3.22</v>
      </c>
      <c r="DL201" s="228">
        <v>38.04</v>
      </c>
      <c r="DM201" s="228">
        <v>39.979999999999997</v>
      </c>
      <c r="DN201" s="228">
        <v>-1.94</v>
      </c>
      <c r="DO201" s="228">
        <v>-1.94</v>
      </c>
      <c r="DP201" s="228">
        <v>0.98</v>
      </c>
      <c r="DQ201" s="228">
        <v>1.2</v>
      </c>
      <c r="DR201" s="228">
        <v>-0.22</v>
      </c>
      <c r="DS201" s="229">
        <v>-0.18329999999999999</v>
      </c>
      <c r="DT201" s="231">
        <v>4000</v>
      </c>
      <c r="DU201" s="231">
        <v>3800</v>
      </c>
      <c r="DV201" s="228">
        <v>0.38</v>
      </c>
      <c r="DW201" s="228">
        <v>0.7</v>
      </c>
      <c r="DX201" s="228">
        <v>-0.32</v>
      </c>
      <c r="DY201" s="229">
        <v>-0.45710000000000001</v>
      </c>
      <c r="DZ201" s="229">
        <v>4.4299999999999999E-2</v>
      </c>
      <c r="EA201" s="230">
        <v>7949400</v>
      </c>
      <c r="EB201" s="229">
        <v>5.5999999999999999E-3</v>
      </c>
      <c r="EC201" s="229">
        <v>4.4299999999999999E-2</v>
      </c>
      <c r="ED201" s="228">
        <v>26.03</v>
      </c>
      <c r="EE201" s="229">
        <v>6.7999999999999996E-3</v>
      </c>
      <c r="EF201" s="230">
        <v>350991</v>
      </c>
      <c r="EG201" s="230">
        <v>542352</v>
      </c>
      <c r="EH201" s="229">
        <v>-0.3528</v>
      </c>
      <c r="EI201" s="229">
        <v>0.52580000000000005</v>
      </c>
      <c r="EJ201" s="231">
        <v>91373.05</v>
      </c>
      <c r="EK201" s="231">
        <v>31982.28</v>
      </c>
      <c r="EL201" s="231">
        <v>29887.62</v>
      </c>
      <c r="EM201" s="231">
        <v>49839</v>
      </c>
      <c r="EN201" s="231">
        <v>153242.95000000001</v>
      </c>
      <c r="EO201" s="231">
        <v>525126.85</v>
      </c>
      <c r="EP201" s="231">
        <v>-371883.9</v>
      </c>
      <c r="EQ201" s="229">
        <v>-0.70820000000000005</v>
      </c>
      <c r="ER201" s="231">
        <v>67286</v>
      </c>
      <c r="ES201" s="231">
        <v>61958</v>
      </c>
      <c r="ET201" s="231">
        <v>305757</v>
      </c>
      <c r="EU201" s="231">
        <v>33590487</v>
      </c>
      <c r="EV201" s="231">
        <v>435000</v>
      </c>
      <c r="EW201" s="231">
        <v>418508</v>
      </c>
      <c r="EX201" s="231">
        <v>16492</v>
      </c>
      <c r="EY201" s="229">
        <v>3.9399999999999998E-2</v>
      </c>
      <c r="EZ201" s="229">
        <v>0.33169999999999999</v>
      </c>
      <c r="FA201" s="227" t="s">
        <v>556</v>
      </c>
      <c r="FB201" s="161">
        <f t="shared" si="5"/>
        <v>0</v>
      </c>
    </row>
    <row r="202" spans="1:158" ht="17.25" thickBot="1" x14ac:dyDescent="0.3">
      <c r="A202" s="226">
        <v>46050</v>
      </c>
      <c r="B202" s="227" t="s">
        <v>162</v>
      </c>
      <c r="C202" s="227" t="s">
        <v>300</v>
      </c>
      <c r="D202" s="228">
        <v>175</v>
      </c>
      <c r="E202" s="231">
        <v>3753.7</v>
      </c>
      <c r="F202" s="231">
        <v>3580.2</v>
      </c>
      <c r="G202" s="228">
        <v>173.5</v>
      </c>
      <c r="H202" s="229">
        <v>4.8500000000000001E-2</v>
      </c>
      <c r="I202" s="231">
        <v>3728.4</v>
      </c>
      <c r="J202" s="231">
        <v>3568</v>
      </c>
      <c r="K202" s="228">
        <v>160.4</v>
      </c>
      <c r="L202" s="229">
        <v>4.4999999999999998E-2</v>
      </c>
      <c r="M202" s="231">
        <v>3753.7</v>
      </c>
      <c r="N202" s="231">
        <v>3562.4</v>
      </c>
      <c r="O202" s="228">
        <v>191.3</v>
      </c>
      <c r="P202" s="229">
        <v>5.3699999999999998E-2</v>
      </c>
      <c r="Q202" s="231">
        <v>3767.3</v>
      </c>
      <c r="R202" s="231">
        <v>3580.2</v>
      </c>
      <c r="S202" s="228">
        <v>187.1</v>
      </c>
      <c r="T202" s="229">
        <v>5.2299999999999999E-2</v>
      </c>
      <c r="U202" s="231">
        <v>3777</v>
      </c>
      <c r="V202" s="231">
        <v>3594.6</v>
      </c>
      <c r="W202" s="228">
        <v>182.4</v>
      </c>
      <c r="X202" s="229">
        <v>5.0700000000000002E-2</v>
      </c>
      <c r="Y202" s="228">
        <v>25.3</v>
      </c>
      <c r="Z202" s="228">
        <v>12.2</v>
      </c>
      <c r="AA202" s="228">
        <v>13.1</v>
      </c>
      <c r="AB202" s="229">
        <v>6.7999999999999996E-3</v>
      </c>
      <c r="AC202" s="228">
        <v>25.3</v>
      </c>
      <c r="AD202" s="228">
        <v>-5.6</v>
      </c>
      <c r="AE202" s="228">
        <v>30.9</v>
      </c>
      <c r="AF202" s="229">
        <v>6.7999999999999996E-3</v>
      </c>
      <c r="AG202" s="228">
        <v>38.9</v>
      </c>
      <c r="AH202" s="228">
        <v>12.2</v>
      </c>
      <c r="AI202" s="228">
        <v>26.7</v>
      </c>
      <c r="AJ202" s="229">
        <v>1.04E-2</v>
      </c>
      <c r="AK202" s="228">
        <v>48.6</v>
      </c>
      <c r="AL202" s="228">
        <v>26.6</v>
      </c>
      <c r="AM202" s="228">
        <v>22</v>
      </c>
      <c r="AN202" s="229">
        <v>1.2999999999999999E-2</v>
      </c>
      <c r="AO202" s="231">
        <v>3657.5</v>
      </c>
      <c r="AP202" s="231">
        <v>3668.34</v>
      </c>
      <c r="AQ202" s="228">
        <v>0</v>
      </c>
      <c r="AR202" s="230">
        <v>4484375</v>
      </c>
      <c r="AS202" s="230">
        <v>3742025</v>
      </c>
      <c r="AT202" s="230">
        <v>742350</v>
      </c>
      <c r="AU202" s="229">
        <v>0.19839999999999999</v>
      </c>
      <c r="AV202" s="230">
        <v>4374825</v>
      </c>
      <c r="AW202" s="230">
        <v>1657600</v>
      </c>
      <c r="AX202" s="230">
        <v>2717225</v>
      </c>
      <c r="AY202" s="229">
        <v>1.6393</v>
      </c>
      <c r="AZ202" s="230">
        <v>99050</v>
      </c>
      <c r="BA202" s="230">
        <v>2073750</v>
      </c>
      <c r="BB202" s="230">
        <v>-1974700</v>
      </c>
      <c r="BC202" s="229">
        <v>-0.95220000000000005</v>
      </c>
      <c r="BD202" s="230">
        <v>10500</v>
      </c>
      <c r="BE202" s="230">
        <v>10675</v>
      </c>
      <c r="BF202" s="228">
        <v>-175</v>
      </c>
      <c r="BG202" s="229">
        <v>-1.6400000000000001E-2</v>
      </c>
      <c r="BH202" s="230">
        <v>16626925</v>
      </c>
      <c r="BI202" s="230">
        <v>2389450</v>
      </c>
      <c r="BJ202" s="230">
        <v>14237475</v>
      </c>
      <c r="BK202" s="229">
        <v>5.9584999999999999</v>
      </c>
      <c r="BL202" s="230">
        <v>6439125</v>
      </c>
      <c r="BM202" s="230">
        <v>1773800</v>
      </c>
      <c r="BN202" s="230">
        <v>4665325</v>
      </c>
      <c r="BO202" s="229">
        <v>2.6301000000000001</v>
      </c>
      <c r="BP202" s="230">
        <v>27550425</v>
      </c>
      <c r="BQ202" s="230">
        <v>7905275</v>
      </c>
      <c r="BR202" s="230">
        <v>19645150</v>
      </c>
      <c r="BS202" s="229">
        <v>2.4851000000000001</v>
      </c>
      <c r="BT202" s="230">
        <v>2205775</v>
      </c>
      <c r="BU202" s="230">
        <v>972370</v>
      </c>
      <c r="BV202" s="230">
        <v>1233405</v>
      </c>
      <c r="BW202" s="229">
        <v>1.2685</v>
      </c>
      <c r="BX202" s="230">
        <v>8418025</v>
      </c>
      <c r="BY202" s="230">
        <v>8105300</v>
      </c>
      <c r="BZ202" s="230">
        <v>312725</v>
      </c>
      <c r="CA202" s="229">
        <v>3.8600000000000002E-2</v>
      </c>
      <c r="CB202" s="230">
        <v>8358875</v>
      </c>
      <c r="CC202" s="230">
        <v>267400</v>
      </c>
      <c r="CD202" s="230">
        <v>8091475</v>
      </c>
      <c r="CE202" s="229">
        <v>30.259799999999998</v>
      </c>
      <c r="CF202" s="230">
        <v>52675</v>
      </c>
      <c r="CG202" s="230">
        <v>8073275</v>
      </c>
      <c r="CH202" s="230">
        <v>-8020600</v>
      </c>
      <c r="CI202" s="229">
        <v>-0.99350000000000005</v>
      </c>
      <c r="CJ202" s="230">
        <v>6475</v>
      </c>
      <c r="CK202" s="230">
        <v>32025</v>
      </c>
      <c r="CL202" s="230">
        <v>-25550</v>
      </c>
      <c r="CM202" s="229">
        <v>-0.79779999999999995</v>
      </c>
      <c r="CN202" s="230">
        <v>1684375</v>
      </c>
      <c r="CO202" s="230">
        <v>779975</v>
      </c>
      <c r="CP202" s="230">
        <v>904400</v>
      </c>
      <c r="CQ202" s="229">
        <v>1.1595</v>
      </c>
      <c r="CR202" s="230">
        <v>1300950</v>
      </c>
      <c r="CS202" s="230">
        <v>615475</v>
      </c>
      <c r="CT202" s="230">
        <v>685475</v>
      </c>
      <c r="CU202" s="229">
        <v>1.1136999999999999</v>
      </c>
      <c r="CV202" s="230">
        <v>11403350</v>
      </c>
      <c r="CW202" s="230">
        <v>9500750</v>
      </c>
      <c r="CX202" s="230">
        <v>1902600</v>
      </c>
      <c r="CY202" s="229">
        <v>0.20030000000000001</v>
      </c>
      <c r="CZ202" s="228">
        <v>27.57</v>
      </c>
      <c r="DA202" s="228">
        <v>33.64</v>
      </c>
      <c r="DB202" s="228">
        <v>-6.07</v>
      </c>
      <c r="DC202" s="228">
        <v>-6.07</v>
      </c>
      <c r="DD202" s="228">
        <v>29.53</v>
      </c>
      <c r="DE202" s="228">
        <v>29</v>
      </c>
      <c r="DF202" s="228">
        <v>-1.96</v>
      </c>
      <c r="DG202" s="228">
        <v>0.53</v>
      </c>
      <c r="DH202" s="228">
        <v>26.73</v>
      </c>
      <c r="DI202" s="228">
        <v>33.119999999999997</v>
      </c>
      <c r="DJ202" s="228">
        <v>-6.39</v>
      </c>
      <c r="DK202" s="228">
        <v>-6.39</v>
      </c>
      <c r="DL202" s="228">
        <v>29.75</v>
      </c>
      <c r="DM202" s="228">
        <v>34.700000000000003</v>
      </c>
      <c r="DN202" s="228">
        <v>-4.95</v>
      </c>
      <c r="DO202" s="228">
        <v>-4.95</v>
      </c>
      <c r="DP202" s="228">
        <v>0.77</v>
      </c>
      <c r="DQ202" s="228">
        <v>0.79</v>
      </c>
      <c r="DR202" s="228">
        <v>-0.02</v>
      </c>
      <c r="DS202" s="229">
        <v>-2.53E-2</v>
      </c>
      <c r="DT202" s="231">
        <v>3700</v>
      </c>
      <c r="DU202" s="231">
        <v>3500</v>
      </c>
      <c r="DV202" s="228">
        <v>0.39</v>
      </c>
      <c r="DW202" s="228">
        <v>0.74</v>
      </c>
      <c r="DX202" s="228">
        <v>-0.35</v>
      </c>
      <c r="DY202" s="229">
        <v>-0.47299999999999998</v>
      </c>
      <c r="DZ202" s="229">
        <v>7.0000000000000001E-3</v>
      </c>
      <c r="EA202" s="230">
        <v>8105300</v>
      </c>
      <c r="EB202" s="229">
        <v>3.5999999999999999E-3</v>
      </c>
      <c r="EC202" s="229">
        <v>7.0000000000000001E-3</v>
      </c>
      <c r="ED202" s="228">
        <v>10.84</v>
      </c>
      <c r="EE202" s="229">
        <v>3.0000000000000001E-3</v>
      </c>
      <c r="EF202" s="230">
        <v>717609</v>
      </c>
      <c r="EG202" s="230">
        <v>546885</v>
      </c>
      <c r="EH202" s="229">
        <v>0.31219999999999998</v>
      </c>
      <c r="EI202" s="229">
        <v>0.32529999999999998</v>
      </c>
      <c r="EJ202" s="231">
        <v>640744.24</v>
      </c>
      <c r="EK202" s="231">
        <v>228778.4</v>
      </c>
      <c r="EL202" s="231">
        <v>164029.64000000001</v>
      </c>
      <c r="EM202" s="231">
        <v>33393</v>
      </c>
      <c r="EN202" s="231">
        <v>1033552.28</v>
      </c>
      <c r="EO202" s="231">
        <v>284808.21999999997</v>
      </c>
      <c r="EP202" s="231">
        <v>748744.06</v>
      </c>
      <c r="EQ202" s="229">
        <v>2.6288999999999998</v>
      </c>
      <c r="ER202" s="231">
        <v>63906</v>
      </c>
      <c r="ES202" s="231">
        <v>45527</v>
      </c>
      <c r="ET202" s="231">
        <v>315996</v>
      </c>
      <c r="EU202" s="231">
        <v>31634588</v>
      </c>
      <c r="EV202" s="231">
        <v>425429</v>
      </c>
      <c r="EW202" s="231">
        <v>340878</v>
      </c>
      <c r="EX202" s="231">
        <v>84551</v>
      </c>
      <c r="EY202" s="229">
        <v>0.248</v>
      </c>
      <c r="EZ202" s="229">
        <v>0.36049999999999999</v>
      </c>
      <c r="FA202" s="227" t="s">
        <v>555</v>
      </c>
      <c r="FB202" s="161">
        <f t="shared" si="5"/>
        <v>0</v>
      </c>
    </row>
    <row r="203" spans="1:158" ht="17.25" thickBot="1" x14ac:dyDescent="0.3">
      <c r="A203" s="226">
        <v>46050</v>
      </c>
      <c r="B203" s="227" t="s">
        <v>157</v>
      </c>
      <c r="C203" s="227" t="s">
        <v>302</v>
      </c>
      <c r="D203" s="228">
        <v>50</v>
      </c>
      <c r="E203" s="231">
        <v>12812</v>
      </c>
      <c r="F203" s="231">
        <v>12676</v>
      </c>
      <c r="G203" s="228">
        <v>136</v>
      </c>
      <c r="H203" s="229">
        <v>1.0699999999999999E-2</v>
      </c>
      <c r="I203" s="231">
        <v>12767</v>
      </c>
      <c r="J203" s="231">
        <v>12589</v>
      </c>
      <c r="K203" s="228">
        <v>178</v>
      </c>
      <c r="L203" s="229">
        <v>1.41E-2</v>
      </c>
      <c r="M203" s="231">
        <v>12812</v>
      </c>
      <c r="N203" s="231">
        <v>12599</v>
      </c>
      <c r="O203" s="228">
        <v>213</v>
      </c>
      <c r="P203" s="229">
        <v>1.6899999999999998E-2</v>
      </c>
      <c r="Q203" s="231">
        <v>12899</v>
      </c>
      <c r="R203" s="231">
        <v>12676</v>
      </c>
      <c r="S203" s="228">
        <v>223</v>
      </c>
      <c r="T203" s="229">
        <v>1.7600000000000001E-2</v>
      </c>
      <c r="U203" s="231">
        <v>12990</v>
      </c>
      <c r="V203" s="231">
        <v>12758</v>
      </c>
      <c r="W203" s="228">
        <v>232</v>
      </c>
      <c r="X203" s="229">
        <v>1.8200000000000001E-2</v>
      </c>
      <c r="Y203" s="228">
        <v>45</v>
      </c>
      <c r="Z203" s="228">
        <v>87</v>
      </c>
      <c r="AA203" s="228">
        <v>-42</v>
      </c>
      <c r="AB203" s="229">
        <v>3.5000000000000001E-3</v>
      </c>
      <c r="AC203" s="228">
        <v>45</v>
      </c>
      <c r="AD203" s="228">
        <v>10</v>
      </c>
      <c r="AE203" s="228">
        <v>35</v>
      </c>
      <c r="AF203" s="229">
        <v>3.5000000000000001E-3</v>
      </c>
      <c r="AG203" s="228">
        <v>132</v>
      </c>
      <c r="AH203" s="228">
        <v>87</v>
      </c>
      <c r="AI203" s="228">
        <v>45</v>
      </c>
      <c r="AJ203" s="229">
        <v>1.03E-2</v>
      </c>
      <c r="AK203" s="228">
        <v>223</v>
      </c>
      <c r="AL203" s="228">
        <v>169</v>
      </c>
      <c r="AM203" s="228">
        <v>54</v>
      </c>
      <c r="AN203" s="229">
        <v>1.7500000000000002E-2</v>
      </c>
      <c r="AO203" s="231">
        <v>12762.55</v>
      </c>
      <c r="AP203" s="231">
        <v>12845.94</v>
      </c>
      <c r="AQ203" s="228">
        <v>0</v>
      </c>
      <c r="AR203" s="230">
        <v>332650</v>
      </c>
      <c r="AS203" s="230">
        <v>1821750</v>
      </c>
      <c r="AT203" s="230">
        <v>-1489100</v>
      </c>
      <c r="AU203" s="229">
        <v>-0.81740000000000002</v>
      </c>
      <c r="AV203" s="230">
        <v>325200</v>
      </c>
      <c r="AW203" s="230">
        <v>725300</v>
      </c>
      <c r="AX203" s="230">
        <v>-400100</v>
      </c>
      <c r="AY203" s="229">
        <v>-0.55159999999999998</v>
      </c>
      <c r="AZ203" s="230">
        <v>6400</v>
      </c>
      <c r="BA203" s="230">
        <v>1078250</v>
      </c>
      <c r="BB203" s="230">
        <v>-1071850</v>
      </c>
      <c r="BC203" s="229">
        <v>-0.99409999999999998</v>
      </c>
      <c r="BD203" s="230">
        <v>1050</v>
      </c>
      <c r="BE203" s="230">
        <v>18200</v>
      </c>
      <c r="BF203" s="230">
        <v>-17150</v>
      </c>
      <c r="BG203" s="229">
        <v>-0.94230000000000003</v>
      </c>
      <c r="BH203" s="230">
        <v>825500</v>
      </c>
      <c r="BI203" s="230">
        <v>4158450</v>
      </c>
      <c r="BJ203" s="230">
        <v>-3332950</v>
      </c>
      <c r="BK203" s="229">
        <v>-0.80149999999999999</v>
      </c>
      <c r="BL203" s="230">
        <v>443800</v>
      </c>
      <c r="BM203" s="230">
        <v>1494650</v>
      </c>
      <c r="BN203" s="230">
        <v>-1050850</v>
      </c>
      <c r="BO203" s="229">
        <v>-0.70309999999999995</v>
      </c>
      <c r="BP203" s="230">
        <v>1601950</v>
      </c>
      <c r="BQ203" s="230">
        <v>7474850</v>
      </c>
      <c r="BR203" s="230">
        <v>-5872900</v>
      </c>
      <c r="BS203" s="229">
        <v>-0.78569999999999995</v>
      </c>
      <c r="BT203" s="230">
        <v>467859</v>
      </c>
      <c r="BU203" s="230">
        <v>956515</v>
      </c>
      <c r="BV203" s="230">
        <v>-488656</v>
      </c>
      <c r="BW203" s="229">
        <v>-0.51090000000000002</v>
      </c>
      <c r="BX203" s="230">
        <v>2695700</v>
      </c>
      <c r="BY203" s="230">
        <v>2793950</v>
      </c>
      <c r="BZ203" s="230">
        <v>-98250</v>
      </c>
      <c r="CA203" s="229">
        <v>-3.5200000000000002E-2</v>
      </c>
      <c r="CB203" s="230">
        <v>2532350</v>
      </c>
      <c r="CC203" s="230">
        <v>208600</v>
      </c>
      <c r="CD203" s="230">
        <v>2323750</v>
      </c>
      <c r="CE203" s="229">
        <v>11.139699999999999</v>
      </c>
      <c r="CF203" s="230">
        <v>162400</v>
      </c>
      <c r="CG203" s="230">
        <v>2631800</v>
      </c>
      <c r="CH203" s="230">
        <v>-2469400</v>
      </c>
      <c r="CI203" s="229">
        <v>-0.93830000000000002</v>
      </c>
      <c r="CJ203" s="228">
        <v>950</v>
      </c>
      <c r="CK203" s="230">
        <v>162150</v>
      </c>
      <c r="CL203" s="230">
        <v>-161200</v>
      </c>
      <c r="CM203" s="229">
        <v>-0.99409999999999998</v>
      </c>
      <c r="CN203" s="230">
        <v>349750</v>
      </c>
      <c r="CO203" s="230">
        <v>298150</v>
      </c>
      <c r="CP203" s="230">
        <v>51600</v>
      </c>
      <c r="CQ203" s="229">
        <v>0.1731</v>
      </c>
      <c r="CR203" s="230">
        <v>247950</v>
      </c>
      <c r="CS203" s="230">
        <v>183750</v>
      </c>
      <c r="CT203" s="230">
        <v>64200</v>
      </c>
      <c r="CU203" s="229">
        <v>0.34939999999999999</v>
      </c>
      <c r="CV203" s="230">
        <v>3293400</v>
      </c>
      <c r="CW203" s="230">
        <v>3275850</v>
      </c>
      <c r="CX203" s="230">
        <v>17550</v>
      </c>
      <c r="CY203" s="229">
        <v>5.4000000000000003E-3</v>
      </c>
      <c r="CZ203" s="228">
        <v>23.51</v>
      </c>
      <c r="DA203" s="228">
        <v>25.13</v>
      </c>
      <c r="DB203" s="228">
        <v>-1.62</v>
      </c>
      <c r="DC203" s="228">
        <v>-1.62</v>
      </c>
      <c r="DD203" s="228">
        <v>23.58</v>
      </c>
      <c r="DE203" s="228">
        <v>23.56</v>
      </c>
      <c r="DF203" s="228">
        <v>-7.0000000000000007E-2</v>
      </c>
      <c r="DG203" s="228">
        <v>0.02</v>
      </c>
      <c r="DH203" s="228">
        <v>23.01</v>
      </c>
      <c r="DI203" s="228">
        <v>25.11</v>
      </c>
      <c r="DJ203" s="228">
        <v>-2.1</v>
      </c>
      <c r="DK203" s="228">
        <v>-2.1</v>
      </c>
      <c r="DL203" s="228">
        <v>24.44</v>
      </c>
      <c r="DM203" s="228">
        <v>25.2</v>
      </c>
      <c r="DN203" s="228">
        <v>-0.76</v>
      </c>
      <c r="DO203" s="228">
        <v>-0.76</v>
      </c>
      <c r="DP203" s="228">
        <v>0.71</v>
      </c>
      <c r="DQ203" s="228">
        <v>0.62</v>
      </c>
      <c r="DR203" s="228">
        <v>0.09</v>
      </c>
      <c r="DS203" s="229">
        <v>0.1452</v>
      </c>
      <c r="DT203" s="231">
        <v>13000</v>
      </c>
      <c r="DU203" s="231">
        <v>12000</v>
      </c>
      <c r="DV203" s="228">
        <v>0.54</v>
      </c>
      <c r="DW203" s="228">
        <v>0.36</v>
      </c>
      <c r="DX203" s="228">
        <v>0.18</v>
      </c>
      <c r="DY203" s="229">
        <v>0.5</v>
      </c>
      <c r="DZ203" s="229">
        <v>6.0600000000000001E-2</v>
      </c>
      <c r="EA203" s="230">
        <v>2793950</v>
      </c>
      <c r="EB203" s="229">
        <v>6.7999999999999996E-3</v>
      </c>
      <c r="EC203" s="229">
        <v>6.0600000000000001E-2</v>
      </c>
      <c r="ED203" s="228">
        <v>83.39</v>
      </c>
      <c r="EE203" s="229">
        <v>6.4999999999999997E-3</v>
      </c>
      <c r="EF203" s="230">
        <v>333661</v>
      </c>
      <c r="EG203" s="230">
        <v>483463</v>
      </c>
      <c r="EH203" s="229">
        <v>-0.30990000000000001</v>
      </c>
      <c r="EI203" s="229">
        <v>0.71319999999999995</v>
      </c>
      <c r="EJ203" s="231">
        <v>110666.35</v>
      </c>
      <c r="EK203" s="231">
        <v>55032.68</v>
      </c>
      <c r="EL203" s="231">
        <v>42461.91</v>
      </c>
      <c r="EM203" s="231">
        <v>37409</v>
      </c>
      <c r="EN203" s="231">
        <v>208160.94</v>
      </c>
      <c r="EO203" s="231">
        <v>961865.76</v>
      </c>
      <c r="EP203" s="231">
        <v>-753704.82</v>
      </c>
      <c r="EQ203" s="229">
        <v>-0.78359999999999996</v>
      </c>
      <c r="ER203" s="231">
        <v>46299</v>
      </c>
      <c r="ES203" s="231">
        <v>30128</v>
      </c>
      <c r="ET203" s="231">
        <v>345516</v>
      </c>
      <c r="EU203" s="231">
        <v>11955674</v>
      </c>
      <c r="EV203" s="231">
        <v>421943</v>
      </c>
      <c r="EW203" s="231">
        <v>415676</v>
      </c>
      <c r="EX203" s="231">
        <v>6267</v>
      </c>
      <c r="EY203" s="229">
        <v>1.5100000000000001E-2</v>
      </c>
      <c r="EZ203" s="229">
        <v>0.27550000000000002</v>
      </c>
      <c r="FA203" s="227" t="s">
        <v>556</v>
      </c>
      <c r="FB203" s="161">
        <f t="shared" si="5"/>
        <v>0</v>
      </c>
    </row>
    <row r="204" spans="1:158" ht="17.25" thickBot="1" x14ac:dyDescent="0.3">
      <c r="A204" s="226">
        <v>46050</v>
      </c>
      <c r="B204" s="227" t="s">
        <v>172</v>
      </c>
      <c r="C204" s="227" t="s">
        <v>593</v>
      </c>
      <c r="D204" s="228">
        <v>4425</v>
      </c>
      <c r="E204" s="228">
        <v>182.98</v>
      </c>
      <c r="F204" s="228">
        <v>176.39</v>
      </c>
      <c r="G204" s="228">
        <v>6.59</v>
      </c>
      <c r="H204" s="229">
        <v>3.7400000000000003E-2</v>
      </c>
      <c r="I204" s="228">
        <v>181.93</v>
      </c>
      <c r="J204" s="228">
        <v>175.21</v>
      </c>
      <c r="K204" s="228">
        <v>6.72</v>
      </c>
      <c r="L204" s="229">
        <v>3.8399999999999997E-2</v>
      </c>
      <c r="M204" s="228">
        <v>182.98</v>
      </c>
      <c r="N204" s="228">
        <v>175.21</v>
      </c>
      <c r="O204" s="228">
        <v>7.77</v>
      </c>
      <c r="P204" s="229">
        <v>4.4299999999999999E-2</v>
      </c>
      <c r="Q204" s="228">
        <v>184.03</v>
      </c>
      <c r="R204" s="228">
        <v>176.39</v>
      </c>
      <c r="S204" s="228">
        <v>7.64</v>
      </c>
      <c r="T204" s="229">
        <v>4.3299999999999998E-2</v>
      </c>
      <c r="U204" s="228">
        <v>185.01</v>
      </c>
      <c r="V204" s="228">
        <v>177.6</v>
      </c>
      <c r="W204" s="228">
        <v>7.41</v>
      </c>
      <c r="X204" s="229">
        <v>4.1700000000000001E-2</v>
      </c>
      <c r="Y204" s="228">
        <v>1.05</v>
      </c>
      <c r="Z204" s="228">
        <v>1.18</v>
      </c>
      <c r="AA204" s="228">
        <v>-0.13</v>
      </c>
      <c r="AB204" s="229">
        <v>5.7999999999999996E-3</v>
      </c>
      <c r="AC204" s="228">
        <v>1.05</v>
      </c>
      <c r="AD204" s="228">
        <v>0</v>
      </c>
      <c r="AE204" s="228">
        <v>1.05</v>
      </c>
      <c r="AF204" s="229">
        <v>5.7999999999999996E-3</v>
      </c>
      <c r="AG204" s="228">
        <v>2.1</v>
      </c>
      <c r="AH204" s="228">
        <v>1.18</v>
      </c>
      <c r="AI204" s="228">
        <v>0.92</v>
      </c>
      <c r="AJ204" s="229">
        <v>1.15E-2</v>
      </c>
      <c r="AK204" s="228">
        <v>3.08</v>
      </c>
      <c r="AL204" s="228">
        <v>2.39</v>
      </c>
      <c r="AM204" s="228">
        <v>0.69</v>
      </c>
      <c r="AN204" s="229">
        <v>1.6899999999999998E-2</v>
      </c>
      <c r="AO204" s="228">
        <v>179.94</v>
      </c>
      <c r="AP204" s="228">
        <v>181.17</v>
      </c>
      <c r="AQ204" s="228">
        <v>0</v>
      </c>
      <c r="AR204" s="230">
        <v>28877550</v>
      </c>
      <c r="AS204" s="230">
        <v>45727950</v>
      </c>
      <c r="AT204" s="230">
        <v>-16850400</v>
      </c>
      <c r="AU204" s="229">
        <v>-0.36849999999999999</v>
      </c>
      <c r="AV204" s="230">
        <v>27642975</v>
      </c>
      <c r="AW204" s="230">
        <v>19713375</v>
      </c>
      <c r="AX204" s="230">
        <v>7929600</v>
      </c>
      <c r="AY204" s="229">
        <v>0.4022</v>
      </c>
      <c r="AZ204" s="230">
        <v>1053150</v>
      </c>
      <c r="BA204" s="230">
        <v>25558800</v>
      </c>
      <c r="BB204" s="230">
        <v>-24505650</v>
      </c>
      <c r="BC204" s="229">
        <v>-0.95879999999999999</v>
      </c>
      <c r="BD204" s="230">
        <v>181425</v>
      </c>
      <c r="BE204" s="230">
        <v>455775</v>
      </c>
      <c r="BF204" s="230">
        <v>-274350</v>
      </c>
      <c r="BG204" s="229">
        <v>-0.60189999999999999</v>
      </c>
      <c r="BH204" s="230">
        <v>89840775</v>
      </c>
      <c r="BI204" s="230">
        <v>43595100</v>
      </c>
      <c r="BJ204" s="230">
        <v>46245675</v>
      </c>
      <c r="BK204" s="229">
        <v>1.0608</v>
      </c>
      <c r="BL204" s="230">
        <v>27510225</v>
      </c>
      <c r="BM204" s="230">
        <v>21509925</v>
      </c>
      <c r="BN204" s="230">
        <v>6000300</v>
      </c>
      <c r="BO204" s="229">
        <v>0.27900000000000003</v>
      </c>
      <c r="BP204" s="230">
        <v>146228550</v>
      </c>
      <c r="BQ204" s="230">
        <v>110832975</v>
      </c>
      <c r="BR204" s="230">
        <v>35395575</v>
      </c>
      <c r="BS204" s="229">
        <v>0.31940000000000002</v>
      </c>
      <c r="BT204" s="230">
        <v>24314173</v>
      </c>
      <c r="BU204" s="230">
        <v>18231007</v>
      </c>
      <c r="BV204" s="230">
        <v>6083166</v>
      </c>
      <c r="BW204" s="229">
        <v>0.3337</v>
      </c>
      <c r="BX204" s="230">
        <v>78871200</v>
      </c>
      <c r="BY204" s="230">
        <v>77840175</v>
      </c>
      <c r="BZ204" s="230">
        <v>1031025</v>
      </c>
      <c r="CA204" s="229">
        <v>1.32E-2</v>
      </c>
      <c r="CB204" s="230">
        <v>77242800</v>
      </c>
      <c r="CC204" s="230">
        <v>4013475</v>
      </c>
      <c r="CD204" s="230">
        <v>73229325</v>
      </c>
      <c r="CE204" s="229">
        <v>18.245899999999999</v>
      </c>
      <c r="CF204" s="230">
        <v>1504500</v>
      </c>
      <c r="CG204" s="230">
        <v>76517100</v>
      </c>
      <c r="CH204" s="230">
        <v>-75012600</v>
      </c>
      <c r="CI204" s="229">
        <v>-0.98029999999999995</v>
      </c>
      <c r="CJ204" s="230">
        <v>123900</v>
      </c>
      <c r="CK204" s="230">
        <v>1323075</v>
      </c>
      <c r="CL204" s="230">
        <v>-1199175</v>
      </c>
      <c r="CM204" s="229">
        <v>-0.90639999999999998</v>
      </c>
      <c r="CN204" s="230">
        <v>23948100</v>
      </c>
      <c r="CO204" s="230">
        <v>16452150</v>
      </c>
      <c r="CP204" s="230">
        <v>7495950</v>
      </c>
      <c r="CQ204" s="229">
        <v>0.4556</v>
      </c>
      <c r="CR204" s="230">
        <v>16876950</v>
      </c>
      <c r="CS204" s="230">
        <v>10854525</v>
      </c>
      <c r="CT204" s="230">
        <v>6022425</v>
      </c>
      <c r="CU204" s="229">
        <v>0.55479999999999996</v>
      </c>
      <c r="CV204" s="230">
        <v>119696250</v>
      </c>
      <c r="CW204" s="230">
        <v>105146850</v>
      </c>
      <c r="CX204" s="230">
        <v>14549400</v>
      </c>
      <c r="CY204" s="229">
        <v>0.1384</v>
      </c>
      <c r="CZ204" s="228">
        <v>37.5</v>
      </c>
      <c r="DA204" s="228">
        <v>36.229999999999997</v>
      </c>
      <c r="DB204" s="228">
        <v>1.27</v>
      </c>
      <c r="DC204" s="228">
        <v>1.27</v>
      </c>
      <c r="DD204" s="228">
        <v>40.880000000000003</v>
      </c>
      <c r="DE204" s="228">
        <v>40.68</v>
      </c>
      <c r="DF204" s="228">
        <v>-3.38</v>
      </c>
      <c r="DG204" s="228">
        <v>0.2</v>
      </c>
      <c r="DH204" s="228">
        <v>37.340000000000003</v>
      </c>
      <c r="DI204" s="228">
        <v>36.11</v>
      </c>
      <c r="DJ204" s="228">
        <v>1.23</v>
      </c>
      <c r="DK204" s="228">
        <v>1.23</v>
      </c>
      <c r="DL204" s="228">
        <v>38</v>
      </c>
      <c r="DM204" s="228">
        <v>36.53</v>
      </c>
      <c r="DN204" s="228">
        <v>1.47</v>
      </c>
      <c r="DO204" s="228">
        <v>1.47</v>
      </c>
      <c r="DP204" s="228">
        <v>0.7</v>
      </c>
      <c r="DQ204" s="228">
        <v>0.66</v>
      </c>
      <c r="DR204" s="228">
        <v>0.04</v>
      </c>
      <c r="DS204" s="229">
        <v>6.0600000000000001E-2</v>
      </c>
      <c r="DT204" s="228">
        <v>180</v>
      </c>
      <c r="DU204" s="228">
        <v>180</v>
      </c>
      <c r="DV204" s="228">
        <v>0.31</v>
      </c>
      <c r="DW204" s="228">
        <v>0.49</v>
      </c>
      <c r="DX204" s="228">
        <v>-0.18</v>
      </c>
      <c r="DY204" s="229">
        <v>-0.36730000000000002</v>
      </c>
      <c r="DZ204" s="229">
        <v>2.06E-2</v>
      </c>
      <c r="EA204" s="230">
        <v>77840175</v>
      </c>
      <c r="EB204" s="229">
        <v>5.7000000000000002E-3</v>
      </c>
      <c r="EC204" s="229">
        <v>2.06E-2</v>
      </c>
      <c r="ED204" s="228">
        <v>1.23</v>
      </c>
      <c r="EE204" s="229">
        <v>6.7999999999999996E-3</v>
      </c>
      <c r="EF204" s="230">
        <v>10916714</v>
      </c>
      <c r="EG204" s="230">
        <v>9438879</v>
      </c>
      <c r="EH204" s="229">
        <v>0.15659999999999999</v>
      </c>
      <c r="EI204" s="229">
        <v>0.44900000000000001</v>
      </c>
      <c r="EJ204" s="231">
        <v>171448.27</v>
      </c>
      <c r="EK204" s="231">
        <v>49093.49</v>
      </c>
      <c r="EL204" s="231">
        <v>51980.58</v>
      </c>
      <c r="EM204" s="231">
        <v>14583</v>
      </c>
      <c r="EN204" s="231">
        <v>272522.34000000003</v>
      </c>
      <c r="EO204" s="231">
        <v>195974.71</v>
      </c>
      <c r="EP204" s="231">
        <v>76547.63</v>
      </c>
      <c r="EQ204" s="229">
        <v>0.3906</v>
      </c>
      <c r="ER204" s="231">
        <v>44151</v>
      </c>
      <c r="ES204" s="231">
        <v>28802</v>
      </c>
      <c r="ET204" s="231">
        <v>144337</v>
      </c>
      <c r="EU204" s="231">
        <v>289041713</v>
      </c>
      <c r="EV204" s="231">
        <v>217290</v>
      </c>
      <c r="EW204" s="231">
        <v>185595</v>
      </c>
      <c r="EX204" s="231">
        <v>31695</v>
      </c>
      <c r="EY204" s="229">
        <v>0.17080000000000001</v>
      </c>
      <c r="EZ204" s="229">
        <v>0.41410000000000002</v>
      </c>
      <c r="FA204" s="227" t="s">
        <v>555</v>
      </c>
      <c r="FB204" s="161">
        <f t="shared" si="5"/>
        <v>0</v>
      </c>
    </row>
    <row r="205" spans="1:158" ht="17.25" thickBot="1" x14ac:dyDescent="0.3">
      <c r="A205" s="226">
        <v>46050</v>
      </c>
      <c r="B205" s="227" t="s">
        <v>168</v>
      </c>
      <c r="C205" s="227" t="s">
        <v>569</v>
      </c>
      <c r="D205" s="228">
        <v>400</v>
      </c>
      <c r="E205" s="231">
        <v>1331.4</v>
      </c>
      <c r="F205" s="231">
        <v>1318.6</v>
      </c>
      <c r="G205" s="228">
        <v>12.8</v>
      </c>
      <c r="H205" s="229">
        <v>9.7000000000000003E-3</v>
      </c>
      <c r="I205" s="231">
        <v>1326.7</v>
      </c>
      <c r="J205" s="231">
        <v>1311.5</v>
      </c>
      <c r="K205" s="228">
        <v>15.2</v>
      </c>
      <c r="L205" s="229">
        <v>1.1599999999999999E-2</v>
      </c>
      <c r="M205" s="231">
        <v>1331.4</v>
      </c>
      <c r="N205" s="231">
        <v>1310.2</v>
      </c>
      <c r="O205" s="228">
        <v>21.2</v>
      </c>
      <c r="P205" s="229">
        <v>1.6199999999999999E-2</v>
      </c>
      <c r="Q205" s="231">
        <v>1338.8</v>
      </c>
      <c r="R205" s="231">
        <v>1318.6</v>
      </c>
      <c r="S205" s="228">
        <v>20.2</v>
      </c>
      <c r="T205" s="229">
        <v>1.5299999999999999E-2</v>
      </c>
      <c r="U205" s="228">
        <v>0</v>
      </c>
      <c r="V205" s="231">
        <v>1328.6</v>
      </c>
      <c r="W205" s="228">
        <v>0</v>
      </c>
      <c r="X205" s="229">
        <v>0</v>
      </c>
      <c r="Y205" s="228">
        <v>4.7</v>
      </c>
      <c r="Z205" s="228">
        <v>7.1</v>
      </c>
      <c r="AA205" s="228">
        <v>-2.4</v>
      </c>
      <c r="AB205" s="229">
        <v>3.5000000000000001E-3</v>
      </c>
      <c r="AC205" s="228">
        <v>4.7</v>
      </c>
      <c r="AD205" s="228">
        <v>-1.3</v>
      </c>
      <c r="AE205" s="228">
        <v>6</v>
      </c>
      <c r="AF205" s="229">
        <v>3.5000000000000001E-3</v>
      </c>
      <c r="AG205" s="228">
        <v>12.1</v>
      </c>
      <c r="AH205" s="228">
        <v>7.1</v>
      </c>
      <c r="AI205" s="228">
        <v>5</v>
      </c>
      <c r="AJ205" s="229">
        <v>9.1000000000000004E-3</v>
      </c>
      <c r="AK205" s="228">
        <v>0</v>
      </c>
      <c r="AL205" s="228">
        <v>17.100000000000001</v>
      </c>
      <c r="AM205" s="228">
        <v>0</v>
      </c>
      <c r="AN205" s="229">
        <v>0</v>
      </c>
      <c r="AO205" s="231">
        <v>1326.01</v>
      </c>
      <c r="AP205" s="231">
        <v>1333.93</v>
      </c>
      <c r="AQ205" s="228">
        <v>0</v>
      </c>
      <c r="AR205" s="230">
        <v>2169600</v>
      </c>
      <c r="AS205" s="230">
        <v>8244800</v>
      </c>
      <c r="AT205" s="230">
        <v>-6075200</v>
      </c>
      <c r="AU205" s="229">
        <v>-0.7369</v>
      </c>
      <c r="AV205" s="230">
        <v>2116400</v>
      </c>
      <c r="AW205" s="230">
        <v>3914400</v>
      </c>
      <c r="AX205" s="230">
        <v>-1798000</v>
      </c>
      <c r="AY205" s="229">
        <v>-0.45929999999999999</v>
      </c>
      <c r="AZ205" s="230">
        <v>53200</v>
      </c>
      <c r="BA205" s="230">
        <v>4289600</v>
      </c>
      <c r="BB205" s="230">
        <v>-4236400</v>
      </c>
      <c r="BC205" s="229">
        <v>-0.98760000000000003</v>
      </c>
      <c r="BD205" s="228">
        <v>0</v>
      </c>
      <c r="BE205" s="230">
        <v>40800</v>
      </c>
      <c r="BF205" s="228">
        <v>0</v>
      </c>
      <c r="BG205" s="229">
        <v>0</v>
      </c>
      <c r="BH205" s="230">
        <v>2840400</v>
      </c>
      <c r="BI205" s="230">
        <v>4095200</v>
      </c>
      <c r="BJ205" s="230">
        <v>-1254800</v>
      </c>
      <c r="BK205" s="229">
        <v>-0.30640000000000001</v>
      </c>
      <c r="BL205" s="230">
        <v>1145600</v>
      </c>
      <c r="BM205" s="230">
        <v>3182400</v>
      </c>
      <c r="BN205" s="230">
        <v>-2036800</v>
      </c>
      <c r="BO205" s="229">
        <v>-0.64</v>
      </c>
      <c r="BP205" s="230">
        <v>6155600</v>
      </c>
      <c r="BQ205" s="230">
        <v>15522400</v>
      </c>
      <c r="BR205" s="230">
        <v>-9366800</v>
      </c>
      <c r="BS205" s="229">
        <v>-0.60340000000000005</v>
      </c>
      <c r="BT205" s="230">
        <v>1176229</v>
      </c>
      <c r="BU205" s="230">
        <v>860124</v>
      </c>
      <c r="BV205" s="230">
        <v>316105</v>
      </c>
      <c r="BW205" s="229">
        <v>0.36749999999999999</v>
      </c>
      <c r="BX205" s="230">
        <v>11047600</v>
      </c>
      <c r="BY205" s="230">
        <v>10659600</v>
      </c>
      <c r="BZ205" s="230">
        <v>388000</v>
      </c>
      <c r="CA205" s="229">
        <v>3.6400000000000002E-2</v>
      </c>
      <c r="CB205" s="230">
        <v>10916000</v>
      </c>
      <c r="CC205" s="230">
        <v>521200</v>
      </c>
      <c r="CD205" s="230">
        <v>10394800</v>
      </c>
      <c r="CE205" s="229">
        <v>19.943999999999999</v>
      </c>
      <c r="CF205" s="230">
        <v>131600</v>
      </c>
      <c r="CG205" s="230">
        <v>10530400</v>
      </c>
      <c r="CH205" s="230">
        <v>-10398800</v>
      </c>
      <c r="CI205" s="229">
        <v>-0.98750000000000004</v>
      </c>
      <c r="CJ205" s="228">
        <v>0</v>
      </c>
      <c r="CK205" s="230">
        <v>129200</v>
      </c>
      <c r="CL205" s="230">
        <v>-129200</v>
      </c>
      <c r="CM205" s="229">
        <v>-1</v>
      </c>
      <c r="CN205" s="230">
        <v>2282000</v>
      </c>
      <c r="CO205" s="230">
        <v>1455200</v>
      </c>
      <c r="CP205" s="230">
        <v>826800</v>
      </c>
      <c r="CQ205" s="229">
        <v>0.56820000000000004</v>
      </c>
      <c r="CR205" s="230">
        <v>2087600</v>
      </c>
      <c r="CS205" s="230">
        <v>1802400</v>
      </c>
      <c r="CT205" s="230">
        <v>285200</v>
      </c>
      <c r="CU205" s="229">
        <v>0.15820000000000001</v>
      </c>
      <c r="CV205" s="230">
        <v>15417200</v>
      </c>
      <c r="CW205" s="230">
        <v>13917200</v>
      </c>
      <c r="CX205" s="230">
        <v>1500000</v>
      </c>
      <c r="CY205" s="229">
        <v>0.10780000000000001</v>
      </c>
      <c r="CZ205" s="228">
        <v>26.06</v>
      </c>
      <c r="DA205" s="228">
        <v>25.05</v>
      </c>
      <c r="DB205" s="228">
        <v>1.01</v>
      </c>
      <c r="DC205" s="228">
        <v>1.01</v>
      </c>
      <c r="DD205" s="228">
        <v>26.65</v>
      </c>
      <c r="DE205" s="228">
        <v>26.67</v>
      </c>
      <c r="DF205" s="228">
        <v>-0.59</v>
      </c>
      <c r="DG205" s="228">
        <v>-0.02</v>
      </c>
      <c r="DH205" s="228">
        <v>25.7</v>
      </c>
      <c r="DI205" s="228">
        <v>24.98</v>
      </c>
      <c r="DJ205" s="228">
        <v>0.72</v>
      </c>
      <c r="DK205" s="228">
        <v>0.72</v>
      </c>
      <c r="DL205" s="228">
        <v>26.95</v>
      </c>
      <c r="DM205" s="228">
        <v>25.12</v>
      </c>
      <c r="DN205" s="228">
        <v>1.83</v>
      </c>
      <c r="DO205" s="228">
        <v>1.83</v>
      </c>
      <c r="DP205" s="228">
        <v>0.91</v>
      </c>
      <c r="DQ205" s="228">
        <v>1.24</v>
      </c>
      <c r="DR205" s="228">
        <v>-0.33</v>
      </c>
      <c r="DS205" s="229">
        <v>-0.2661</v>
      </c>
      <c r="DT205" s="231">
        <v>1400</v>
      </c>
      <c r="DU205" s="231">
        <v>1400</v>
      </c>
      <c r="DV205" s="228">
        <v>0.4</v>
      </c>
      <c r="DW205" s="228">
        <v>0.78</v>
      </c>
      <c r="DX205" s="228">
        <v>-0.38</v>
      </c>
      <c r="DY205" s="229">
        <v>-0.48720000000000002</v>
      </c>
      <c r="DZ205" s="229">
        <v>1.1900000000000001E-2</v>
      </c>
      <c r="EA205" s="230">
        <v>10659600</v>
      </c>
      <c r="EB205" s="229">
        <v>5.5999999999999999E-3</v>
      </c>
      <c r="EC205" s="229">
        <v>1.1900000000000001E-2</v>
      </c>
      <c r="ED205" s="228">
        <v>7.92</v>
      </c>
      <c r="EE205" s="229">
        <v>6.0000000000000001E-3</v>
      </c>
      <c r="EF205" s="230">
        <v>764589</v>
      </c>
      <c r="EG205" s="230">
        <v>428212</v>
      </c>
      <c r="EH205" s="229">
        <v>0.78549999999999998</v>
      </c>
      <c r="EI205" s="229">
        <v>0.65</v>
      </c>
      <c r="EJ205" s="231">
        <v>39436.160000000003</v>
      </c>
      <c r="EK205" s="231">
        <v>15140.84</v>
      </c>
      <c r="EL205" s="231">
        <v>28773.4</v>
      </c>
      <c r="EM205" s="231">
        <v>21504</v>
      </c>
      <c r="EN205" s="231">
        <v>83350.399999999994</v>
      </c>
      <c r="EO205" s="231">
        <v>208611.38</v>
      </c>
      <c r="EP205" s="231">
        <v>-125260.98</v>
      </c>
      <c r="EQ205" s="229">
        <v>-0.60050000000000003</v>
      </c>
      <c r="ER205" s="231">
        <v>31268</v>
      </c>
      <c r="ES205" s="231">
        <v>28012</v>
      </c>
      <c r="ET205" s="231">
        <v>147097</v>
      </c>
      <c r="EU205" s="231">
        <v>37091426</v>
      </c>
      <c r="EV205" s="231">
        <v>206377</v>
      </c>
      <c r="EW205" s="231">
        <v>184879</v>
      </c>
      <c r="EX205" s="231">
        <v>21498</v>
      </c>
      <c r="EY205" s="229">
        <v>0.1163</v>
      </c>
      <c r="EZ205" s="229">
        <v>0.41570000000000001</v>
      </c>
      <c r="FA205" s="227" t="s">
        <v>555</v>
      </c>
      <c r="FB205" s="161">
        <f t="shared" si="5"/>
        <v>0</v>
      </c>
    </row>
    <row r="206" spans="1:158" ht="17.25" thickBot="1" x14ac:dyDescent="0.3">
      <c r="A206" s="226">
        <v>46050</v>
      </c>
      <c r="B206" s="227" t="s">
        <v>162</v>
      </c>
      <c r="C206" s="227" t="s">
        <v>673</v>
      </c>
      <c r="D206" s="228">
        <v>550</v>
      </c>
      <c r="E206" s="231">
        <v>1155.0999999999999</v>
      </c>
      <c r="F206" s="231">
        <v>1151</v>
      </c>
      <c r="G206" s="228">
        <v>4.0999999999999996</v>
      </c>
      <c r="H206" s="229">
        <v>3.5999999999999999E-3</v>
      </c>
      <c r="I206" s="231">
        <v>1148.5999999999999</v>
      </c>
      <c r="J206" s="231">
        <v>1145</v>
      </c>
      <c r="K206" s="228">
        <v>3.6</v>
      </c>
      <c r="L206" s="229">
        <v>3.0999999999999999E-3</v>
      </c>
      <c r="M206" s="231">
        <v>1155.0999999999999</v>
      </c>
      <c r="N206" s="231">
        <v>1146.9000000000001</v>
      </c>
      <c r="O206" s="228">
        <v>8.1999999999999993</v>
      </c>
      <c r="P206" s="229">
        <v>7.1000000000000004E-3</v>
      </c>
      <c r="Q206" s="231">
        <v>1160.8</v>
      </c>
      <c r="R206" s="231">
        <v>1151</v>
      </c>
      <c r="S206" s="228">
        <v>9.8000000000000007</v>
      </c>
      <c r="T206" s="229">
        <v>8.5000000000000006E-3</v>
      </c>
      <c r="U206" s="231">
        <v>1160.0999999999999</v>
      </c>
      <c r="V206" s="231">
        <v>1154.2</v>
      </c>
      <c r="W206" s="228">
        <v>5.9</v>
      </c>
      <c r="X206" s="229">
        <v>5.1000000000000004E-3</v>
      </c>
      <c r="Y206" s="228">
        <v>6.5</v>
      </c>
      <c r="Z206" s="228">
        <v>6</v>
      </c>
      <c r="AA206" s="228">
        <v>0.5</v>
      </c>
      <c r="AB206" s="229">
        <v>5.7000000000000002E-3</v>
      </c>
      <c r="AC206" s="228">
        <v>6.5</v>
      </c>
      <c r="AD206" s="228">
        <v>1.9</v>
      </c>
      <c r="AE206" s="228">
        <v>4.5999999999999996</v>
      </c>
      <c r="AF206" s="229">
        <v>5.7000000000000002E-3</v>
      </c>
      <c r="AG206" s="228">
        <v>12.2</v>
      </c>
      <c r="AH206" s="228">
        <v>6</v>
      </c>
      <c r="AI206" s="228">
        <v>6.2</v>
      </c>
      <c r="AJ206" s="229">
        <v>1.06E-2</v>
      </c>
      <c r="AK206" s="228">
        <v>11.5</v>
      </c>
      <c r="AL206" s="228">
        <v>9.1999999999999993</v>
      </c>
      <c r="AM206" s="228">
        <v>2.2999999999999998</v>
      </c>
      <c r="AN206" s="229">
        <v>0.01</v>
      </c>
      <c r="AO206" s="231">
        <v>1148.0999999999999</v>
      </c>
      <c r="AP206" s="231">
        <v>1156.1099999999999</v>
      </c>
      <c r="AQ206" s="228">
        <v>0</v>
      </c>
      <c r="AR206" s="230">
        <v>623150</v>
      </c>
      <c r="AS206" s="230">
        <v>2442550</v>
      </c>
      <c r="AT206" s="230">
        <v>-1819400</v>
      </c>
      <c r="AU206" s="229">
        <v>-0.74490000000000001</v>
      </c>
      <c r="AV206" s="230">
        <v>594550</v>
      </c>
      <c r="AW206" s="230">
        <v>1094500</v>
      </c>
      <c r="AX206" s="230">
        <v>-499950</v>
      </c>
      <c r="AY206" s="229">
        <v>-0.45679999999999998</v>
      </c>
      <c r="AZ206" s="230">
        <v>28050</v>
      </c>
      <c r="BA206" s="230">
        <v>1335400</v>
      </c>
      <c r="BB206" s="230">
        <v>-1307350</v>
      </c>
      <c r="BC206" s="229">
        <v>-0.97899999999999998</v>
      </c>
      <c r="BD206" s="228">
        <v>550</v>
      </c>
      <c r="BE206" s="230">
        <v>12650</v>
      </c>
      <c r="BF206" s="230">
        <v>-12100</v>
      </c>
      <c r="BG206" s="229">
        <v>-0.95650000000000002</v>
      </c>
      <c r="BH206" s="230">
        <v>320100</v>
      </c>
      <c r="BI206" s="230">
        <v>2093300</v>
      </c>
      <c r="BJ206" s="230">
        <v>-1773200</v>
      </c>
      <c r="BK206" s="229">
        <v>-0.84709999999999996</v>
      </c>
      <c r="BL206" s="230">
        <v>156200</v>
      </c>
      <c r="BM206" s="230">
        <v>615450</v>
      </c>
      <c r="BN206" s="230">
        <v>-459250</v>
      </c>
      <c r="BO206" s="229">
        <v>-0.74619999999999997</v>
      </c>
      <c r="BP206" s="230">
        <v>1099450</v>
      </c>
      <c r="BQ206" s="230">
        <v>5151300</v>
      </c>
      <c r="BR206" s="230">
        <v>-4051850</v>
      </c>
      <c r="BS206" s="229">
        <v>-0.78659999999999997</v>
      </c>
      <c r="BT206" s="230">
        <v>770004</v>
      </c>
      <c r="BU206" s="230">
        <v>779546</v>
      </c>
      <c r="BV206" s="230">
        <v>-9542</v>
      </c>
      <c r="BW206" s="229">
        <v>-1.2200000000000001E-2</v>
      </c>
      <c r="BX206" s="230">
        <v>5093550</v>
      </c>
      <c r="BY206" s="230">
        <v>5085300</v>
      </c>
      <c r="BZ206" s="230">
        <v>8250</v>
      </c>
      <c r="CA206" s="229">
        <v>1.6000000000000001E-3</v>
      </c>
      <c r="CB206" s="230">
        <v>5025350</v>
      </c>
      <c r="CC206" s="230">
        <v>185350</v>
      </c>
      <c r="CD206" s="230">
        <v>4840000</v>
      </c>
      <c r="CE206" s="229">
        <v>26.1128</v>
      </c>
      <c r="CF206" s="230">
        <v>67650</v>
      </c>
      <c r="CG206" s="230">
        <v>5031950</v>
      </c>
      <c r="CH206" s="230">
        <v>-4964300</v>
      </c>
      <c r="CI206" s="229">
        <v>-0.98660000000000003</v>
      </c>
      <c r="CJ206" s="228">
        <v>550</v>
      </c>
      <c r="CK206" s="230">
        <v>53350</v>
      </c>
      <c r="CL206" s="230">
        <v>-52800</v>
      </c>
      <c r="CM206" s="229">
        <v>-0.98970000000000002</v>
      </c>
      <c r="CN206" s="230">
        <v>249150</v>
      </c>
      <c r="CO206" s="230">
        <v>202400</v>
      </c>
      <c r="CP206" s="230">
        <v>46750</v>
      </c>
      <c r="CQ206" s="229">
        <v>0.23100000000000001</v>
      </c>
      <c r="CR206" s="230">
        <v>287650</v>
      </c>
      <c r="CS206" s="230">
        <v>249150</v>
      </c>
      <c r="CT206" s="230">
        <v>38500</v>
      </c>
      <c r="CU206" s="229">
        <v>0.1545</v>
      </c>
      <c r="CV206" s="230">
        <v>5630350</v>
      </c>
      <c r="CW206" s="230">
        <v>5536850</v>
      </c>
      <c r="CX206" s="230">
        <v>93500</v>
      </c>
      <c r="CY206" s="229">
        <v>1.6899999999999998E-2</v>
      </c>
      <c r="CZ206" s="228">
        <v>36.25</v>
      </c>
      <c r="DA206" s="228">
        <v>38.28</v>
      </c>
      <c r="DB206" s="228">
        <v>-2.0299999999999998</v>
      </c>
      <c r="DC206" s="228">
        <v>-2.0299999999999998</v>
      </c>
      <c r="DD206" s="228">
        <v>40.090000000000003</v>
      </c>
      <c r="DE206" s="228">
        <v>40.19</v>
      </c>
      <c r="DF206" s="228">
        <v>-3.84</v>
      </c>
      <c r="DG206" s="228">
        <v>-0.1</v>
      </c>
      <c r="DH206" s="228">
        <v>35.630000000000003</v>
      </c>
      <c r="DI206" s="228">
        <v>36.9</v>
      </c>
      <c r="DJ206" s="228">
        <v>-1.27</v>
      </c>
      <c r="DK206" s="228">
        <v>-1.27</v>
      </c>
      <c r="DL206" s="228">
        <v>37.54</v>
      </c>
      <c r="DM206" s="228">
        <v>40.79</v>
      </c>
      <c r="DN206" s="228">
        <v>-3.25</v>
      </c>
      <c r="DO206" s="228">
        <v>-3.25</v>
      </c>
      <c r="DP206" s="228">
        <v>1.1499999999999999</v>
      </c>
      <c r="DQ206" s="228">
        <v>1.23</v>
      </c>
      <c r="DR206" s="228">
        <v>-0.08</v>
      </c>
      <c r="DS206" s="229">
        <v>-6.5000000000000002E-2</v>
      </c>
      <c r="DT206" s="231">
        <v>1200</v>
      </c>
      <c r="DU206" s="231">
        <v>1120</v>
      </c>
      <c r="DV206" s="228">
        <v>0.49</v>
      </c>
      <c r="DW206" s="228">
        <v>0.28999999999999998</v>
      </c>
      <c r="DX206" s="228">
        <v>0.2</v>
      </c>
      <c r="DY206" s="229">
        <v>0.68969999999999998</v>
      </c>
      <c r="DZ206" s="229">
        <v>1.34E-2</v>
      </c>
      <c r="EA206" s="230">
        <v>5085300</v>
      </c>
      <c r="EB206" s="229">
        <v>4.8999999999999998E-3</v>
      </c>
      <c r="EC206" s="229">
        <v>1.34E-2</v>
      </c>
      <c r="ED206" s="228">
        <v>8.01</v>
      </c>
      <c r="EE206" s="229">
        <v>7.0000000000000001E-3</v>
      </c>
      <c r="EF206" s="230">
        <v>496178</v>
      </c>
      <c r="EG206" s="230">
        <v>325018</v>
      </c>
      <c r="EH206" s="229">
        <v>0.52659999999999996</v>
      </c>
      <c r="EI206" s="229">
        <v>0.64439999999999997</v>
      </c>
      <c r="EJ206" s="231">
        <v>3966.99</v>
      </c>
      <c r="EK206" s="231">
        <v>1799.57</v>
      </c>
      <c r="EL206" s="231">
        <v>7156.67</v>
      </c>
      <c r="EM206" s="231">
        <v>8139</v>
      </c>
      <c r="EN206" s="231">
        <v>12923.23</v>
      </c>
      <c r="EO206" s="231">
        <v>60955.360000000001</v>
      </c>
      <c r="EP206" s="231">
        <v>-48032.13</v>
      </c>
      <c r="EQ206" s="229">
        <v>-0.78800000000000003</v>
      </c>
      <c r="ER206" s="231">
        <v>3010</v>
      </c>
      <c r="ES206" s="231">
        <v>3277</v>
      </c>
      <c r="ET206" s="231">
        <v>58839</v>
      </c>
      <c r="EU206" s="231">
        <v>27292222</v>
      </c>
      <c r="EV206" s="231">
        <v>65127</v>
      </c>
      <c r="EW206" s="231">
        <v>63846</v>
      </c>
      <c r="EX206" s="231">
        <v>1281</v>
      </c>
      <c r="EY206" s="229">
        <v>2.01E-2</v>
      </c>
      <c r="EZ206" s="229">
        <v>0.20630000000000001</v>
      </c>
      <c r="FA206" s="227" t="s">
        <v>555</v>
      </c>
      <c r="FB206" s="161">
        <f t="shared" si="5"/>
        <v>0</v>
      </c>
    </row>
    <row r="207" spans="1:158" ht="17.25" thickBot="1" x14ac:dyDescent="0.3">
      <c r="A207" s="226">
        <v>46050</v>
      </c>
      <c r="B207" s="227" t="s">
        <v>498</v>
      </c>
      <c r="C207" s="227" t="s">
        <v>303</v>
      </c>
      <c r="D207" s="228">
        <v>1355</v>
      </c>
      <c r="E207" s="228">
        <v>718.35</v>
      </c>
      <c r="F207" s="228">
        <v>720.45</v>
      </c>
      <c r="G207" s="228">
        <v>-2.1</v>
      </c>
      <c r="H207" s="229">
        <v>-2.8999999999999998E-3</v>
      </c>
      <c r="I207" s="228">
        <v>715.1</v>
      </c>
      <c r="J207" s="228">
        <v>716.55</v>
      </c>
      <c r="K207" s="228">
        <v>-1.45</v>
      </c>
      <c r="L207" s="229">
        <v>-2E-3</v>
      </c>
      <c r="M207" s="228">
        <v>718.35</v>
      </c>
      <c r="N207" s="228">
        <v>714.95</v>
      </c>
      <c r="O207" s="228">
        <v>3.4</v>
      </c>
      <c r="P207" s="229">
        <v>4.7999999999999996E-3</v>
      </c>
      <c r="Q207" s="228">
        <v>722.8</v>
      </c>
      <c r="R207" s="228">
        <v>720.45</v>
      </c>
      <c r="S207" s="228">
        <v>2.35</v>
      </c>
      <c r="T207" s="229">
        <v>3.3E-3</v>
      </c>
      <c r="U207" s="228">
        <v>0</v>
      </c>
      <c r="V207" s="228">
        <v>725.7</v>
      </c>
      <c r="W207" s="228">
        <v>0</v>
      </c>
      <c r="X207" s="229">
        <v>0</v>
      </c>
      <c r="Y207" s="228">
        <v>3.25</v>
      </c>
      <c r="Z207" s="228">
        <v>3.9</v>
      </c>
      <c r="AA207" s="228">
        <v>-0.65</v>
      </c>
      <c r="AB207" s="229">
        <v>4.4999999999999997E-3</v>
      </c>
      <c r="AC207" s="228">
        <v>3.25</v>
      </c>
      <c r="AD207" s="228">
        <v>-1.6</v>
      </c>
      <c r="AE207" s="228">
        <v>4.8499999999999996</v>
      </c>
      <c r="AF207" s="229">
        <v>4.4999999999999997E-3</v>
      </c>
      <c r="AG207" s="228">
        <v>7.7</v>
      </c>
      <c r="AH207" s="228">
        <v>3.9</v>
      </c>
      <c r="AI207" s="228">
        <v>3.8</v>
      </c>
      <c r="AJ207" s="229">
        <v>1.0800000000000001E-2</v>
      </c>
      <c r="AK207" s="228">
        <v>0</v>
      </c>
      <c r="AL207" s="228">
        <v>9.15</v>
      </c>
      <c r="AM207" s="228">
        <v>0</v>
      </c>
      <c r="AN207" s="229">
        <v>0</v>
      </c>
      <c r="AO207" s="228">
        <v>716.13</v>
      </c>
      <c r="AP207" s="228">
        <v>719.63</v>
      </c>
      <c r="AQ207" s="228">
        <v>0</v>
      </c>
      <c r="AR207" s="230">
        <v>2609730</v>
      </c>
      <c r="AS207" s="230">
        <v>40593090</v>
      </c>
      <c r="AT207" s="230">
        <v>-37983360</v>
      </c>
      <c r="AU207" s="229">
        <v>-0.93569999999999998</v>
      </c>
      <c r="AV207" s="230">
        <v>2485070</v>
      </c>
      <c r="AW207" s="230">
        <v>17745080</v>
      </c>
      <c r="AX207" s="230">
        <v>-15260010</v>
      </c>
      <c r="AY207" s="229">
        <v>-0.86</v>
      </c>
      <c r="AZ207" s="230">
        <v>124660</v>
      </c>
      <c r="BA207" s="230">
        <v>22652890</v>
      </c>
      <c r="BB207" s="230">
        <v>-22528230</v>
      </c>
      <c r="BC207" s="229">
        <v>-0.99450000000000005</v>
      </c>
      <c r="BD207" s="228">
        <v>0</v>
      </c>
      <c r="BE207" s="230">
        <v>195120</v>
      </c>
      <c r="BF207" s="228">
        <v>0</v>
      </c>
      <c r="BG207" s="229">
        <v>0</v>
      </c>
      <c r="BH207" s="230">
        <v>4257410</v>
      </c>
      <c r="BI207" s="230">
        <v>26196215</v>
      </c>
      <c r="BJ207" s="230">
        <v>-21938805</v>
      </c>
      <c r="BK207" s="229">
        <v>-0.83750000000000002</v>
      </c>
      <c r="BL207" s="230">
        <v>2188325</v>
      </c>
      <c r="BM207" s="230">
        <v>12067630</v>
      </c>
      <c r="BN207" s="230">
        <v>-9879305</v>
      </c>
      <c r="BO207" s="229">
        <v>-0.81869999999999998</v>
      </c>
      <c r="BP207" s="230">
        <v>9055465</v>
      </c>
      <c r="BQ207" s="230">
        <v>78856935</v>
      </c>
      <c r="BR207" s="230">
        <v>-69801470</v>
      </c>
      <c r="BS207" s="229">
        <v>-0.88519999999999999</v>
      </c>
      <c r="BT207" s="230">
        <v>1341563</v>
      </c>
      <c r="BU207" s="230">
        <v>3710372</v>
      </c>
      <c r="BV207" s="230">
        <v>-2368809</v>
      </c>
      <c r="BW207" s="229">
        <v>-0.63839999999999997</v>
      </c>
      <c r="BX207" s="230">
        <v>33017285</v>
      </c>
      <c r="BY207" s="230">
        <v>33116200</v>
      </c>
      <c r="BZ207" s="230">
        <v>-98915</v>
      </c>
      <c r="CA207" s="229">
        <v>-3.0000000000000001E-3</v>
      </c>
      <c r="CB207" s="230">
        <v>32644660</v>
      </c>
      <c r="CC207" s="230">
        <v>1658520</v>
      </c>
      <c r="CD207" s="230">
        <v>30986140</v>
      </c>
      <c r="CE207" s="229">
        <v>18.683</v>
      </c>
      <c r="CF207" s="230">
        <v>372625</v>
      </c>
      <c r="CG207" s="230">
        <v>32788290</v>
      </c>
      <c r="CH207" s="230">
        <v>-32415665</v>
      </c>
      <c r="CI207" s="229">
        <v>-0.98860000000000003</v>
      </c>
      <c r="CJ207" s="228">
        <v>0</v>
      </c>
      <c r="CK207" s="230">
        <v>327910</v>
      </c>
      <c r="CL207" s="230">
        <v>-327910</v>
      </c>
      <c r="CM207" s="229">
        <v>-1</v>
      </c>
      <c r="CN207" s="230">
        <v>7890165</v>
      </c>
      <c r="CO207" s="230">
        <v>7144915</v>
      </c>
      <c r="CP207" s="230">
        <v>745250</v>
      </c>
      <c r="CQ207" s="229">
        <v>0.1043</v>
      </c>
      <c r="CR207" s="230">
        <v>5826500</v>
      </c>
      <c r="CS207" s="230">
        <v>5356315</v>
      </c>
      <c r="CT207" s="230">
        <v>470185</v>
      </c>
      <c r="CU207" s="229">
        <v>8.7800000000000003E-2</v>
      </c>
      <c r="CV207" s="230">
        <v>46733950</v>
      </c>
      <c r="CW207" s="230">
        <v>45617430</v>
      </c>
      <c r="CX207" s="230">
        <v>1116520</v>
      </c>
      <c r="CY207" s="229">
        <v>2.4500000000000001E-2</v>
      </c>
      <c r="CZ207" s="228">
        <v>34.409999999999997</v>
      </c>
      <c r="DA207" s="228">
        <v>34.619999999999997</v>
      </c>
      <c r="DB207" s="228">
        <v>-0.21</v>
      </c>
      <c r="DC207" s="228">
        <v>-0.21</v>
      </c>
      <c r="DD207" s="228">
        <v>33.78</v>
      </c>
      <c r="DE207" s="228">
        <v>33.86</v>
      </c>
      <c r="DF207" s="228">
        <v>0.63</v>
      </c>
      <c r="DG207" s="228">
        <v>-0.08</v>
      </c>
      <c r="DH207" s="228">
        <v>33.96</v>
      </c>
      <c r="DI207" s="228">
        <v>34.69</v>
      </c>
      <c r="DJ207" s="228">
        <v>-0.73</v>
      </c>
      <c r="DK207" s="228">
        <v>-0.73</v>
      </c>
      <c r="DL207" s="228">
        <v>35.299999999999997</v>
      </c>
      <c r="DM207" s="228">
        <v>34.5</v>
      </c>
      <c r="DN207" s="228">
        <v>0.8</v>
      </c>
      <c r="DO207" s="228">
        <v>0.8</v>
      </c>
      <c r="DP207" s="228">
        <v>0.74</v>
      </c>
      <c r="DQ207" s="228">
        <v>0.75</v>
      </c>
      <c r="DR207" s="228">
        <v>-0.01</v>
      </c>
      <c r="DS207" s="229">
        <v>-1.3299999999999999E-2</v>
      </c>
      <c r="DT207" s="228">
        <v>800</v>
      </c>
      <c r="DU207" s="228">
        <v>700</v>
      </c>
      <c r="DV207" s="228">
        <v>0.51</v>
      </c>
      <c r="DW207" s="228">
        <v>0.46</v>
      </c>
      <c r="DX207" s="228">
        <v>0.05</v>
      </c>
      <c r="DY207" s="229">
        <v>0.1087</v>
      </c>
      <c r="DZ207" s="229">
        <v>1.1299999999999999E-2</v>
      </c>
      <c r="EA207" s="230">
        <v>33116200</v>
      </c>
      <c r="EB207" s="229">
        <v>6.1999999999999998E-3</v>
      </c>
      <c r="EC207" s="229">
        <v>1.1299999999999999E-2</v>
      </c>
      <c r="ED207" s="228">
        <v>3.5</v>
      </c>
      <c r="EE207" s="229">
        <v>4.8999999999999998E-3</v>
      </c>
      <c r="EF207" s="230">
        <v>719143</v>
      </c>
      <c r="EG207" s="230">
        <v>1796420</v>
      </c>
      <c r="EH207" s="229">
        <v>-0.59970000000000001</v>
      </c>
      <c r="EI207" s="229">
        <v>0.53600000000000003</v>
      </c>
      <c r="EJ207" s="231">
        <v>32588.55</v>
      </c>
      <c r="EK207" s="231">
        <v>15500.73</v>
      </c>
      <c r="EL207" s="231">
        <v>18693.509999999998</v>
      </c>
      <c r="EM207" s="231">
        <v>25439</v>
      </c>
      <c r="EN207" s="231">
        <v>66782.789999999994</v>
      </c>
      <c r="EO207" s="231">
        <v>572900.52</v>
      </c>
      <c r="EP207" s="231">
        <v>-506117.73</v>
      </c>
      <c r="EQ207" s="229">
        <v>-0.88339999999999996</v>
      </c>
      <c r="ER207" s="231">
        <v>59475</v>
      </c>
      <c r="ES207" s="231">
        <v>40528</v>
      </c>
      <c r="ET207" s="231">
        <v>237196</v>
      </c>
      <c r="EU207" s="231">
        <v>84228583</v>
      </c>
      <c r="EV207" s="231">
        <v>337199</v>
      </c>
      <c r="EW207" s="231">
        <v>329620</v>
      </c>
      <c r="EX207" s="231">
        <v>7579</v>
      </c>
      <c r="EY207" s="229">
        <v>2.3E-2</v>
      </c>
      <c r="EZ207" s="229">
        <v>0.55479999999999996</v>
      </c>
      <c r="FA207" s="227" t="s">
        <v>568</v>
      </c>
      <c r="FB207" s="161">
        <f t="shared" si="5"/>
        <v>0</v>
      </c>
    </row>
    <row r="208" spans="1:158" ht="17.25" thickBot="1" x14ac:dyDescent="0.3">
      <c r="A208" s="226">
        <v>46050</v>
      </c>
      <c r="B208" s="227" t="s">
        <v>168</v>
      </c>
      <c r="C208" s="227" t="s">
        <v>586</v>
      </c>
      <c r="D208" s="228">
        <v>1125</v>
      </c>
      <c r="E208" s="228">
        <v>471.55</v>
      </c>
      <c r="F208" s="228">
        <v>475.05</v>
      </c>
      <c r="G208" s="228">
        <v>-3.5</v>
      </c>
      <c r="H208" s="229">
        <v>-7.4000000000000003E-3</v>
      </c>
      <c r="I208" s="228">
        <v>468.4</v>
      </c>
      <c r="J208" s="228">
        <v>471.65</v>
      </c>
      <c r="K208" s="228">
        <v>-3.25</v>
      </c>
      <c r="L208" s="229">
        <v>-6.8999999999999999E-3</v>
      </c>
      <c r="M208" s="228">
        <v>471.55</v>
      </c>
      <c r="N208" s="228">
        <v>471.65</v>
      </c>
      <c r="O208" s="228">
        <v>-0.1</v>
      </c>
      <c r="P208" s="229">
        <v>-2.0000000000000001E-4</v>
      </c>
      <c r="Q208" s="228">
        <v>474.55</v>
      </c>
      <c r="R208" s="228">
        <v>475.05</v>
      </c>
      <c r="S208" s="228">
        <v>-0.5</v>
      </c>
      <c r="T208" s="229">
        <v>-1.1000000000000001E-3</v>
      </c>
      <c r="U208" s="228">
        <v>472.75</v>
      </c>
      <c r="V208" s="228">
        <v>477.9</v>
      </c>
      <c r="W208" s="228">
        <v>-5.15</v>
      </c>
      <c r="X208" s="229">
        <v>-1.0800000000000001E-2</v>
      </c>
      <c r="Y208" s="228">
        <v>3.15</v>
      </c>
      <c r="Z208" s="228">
        <v>3.4</v>
      </c>
      <c r="AA208" s="228">
        <v>-0.25</v>
      </c>
      <c r="AB208" s="229">
        <v>6.7000000000000002E-3</v>
      </c>
      <c r="AC208" s="228">
        <v>3.15</v>
      </c>
      <c r="AD208" s="228">
        <v>0</v>
      </c>
      <c r="AE208" s="228">
        <v>3.15</v>
      </c>
      <c r="AF208" s="229">
        <v>6.7000000000000002E-3</v>
      </c>
      <c r="AG208" s="228">
        <v>6.15</v>
      </c>
      <c r="AH208" s="228">
        <v>3.4</v>
      </c>
      <c r="AI208" s="228">
        <v>2.75</v>
      </c>
      <c r="AJ208" s="229">
        <v>1.3100000000000001E-2</v>
      </c>
      <c r="AK208" s="228">
        <v>4.3499999999999996</v>
      </c>
      <c r="AL208" s="228">
        <v>6.25</v>
      </c>
      <c r="AM208" s="228">
        <v>-1.9</v>
      </c>
      <c r="AN208" s="229">
        <v>9.2999999999999992E-3</v>
      </c>
      <c r="AO208" s="228">
        <v>468.88</v>
      </c>
      <c r="AP208" s="228">
        <v>471.48</v>
      </c>
      <c r="AQ208" s="228">
        <v>0</v>
      </c>
      <c r="AR208" s="230">
        <v>5818500</v>
      </c>
      <c r="AS208" s="230">
        <v>26572500</v>
      </c>
      <c r="AT208" s="230">
        <v>-20754000</v>
      </c>
      <c r="AU208" s="229">
        <v>-0.78100000000000003</v>
      </c>
      <c r="AV208" s="230">
        <v>5569875</v>
      </c>
      <c r="AW208" s="230">
        <v>10982250</v>
      </c>
      <c r="AX208" s="230">
        <v>-5412375</v>
      </c>
      <c r="AY208" s="229">
        <v>-0.49280000000000002</v>
      </c>
      <c r="AZ208" s="230">
        <v>244125</v>
      </c>
      <c r="BA208" s="230">
        <v>15390000</v>
      </c>
      <c r="BB208" s="230">
        <v>-15145875</v>
      </c>
      <c r="BC208" s="229">
        <v>-0.98409999999999997</v>
      </c>
      <c r="BD208" s="230">
        <v>4500</v>
      </c>
      <c r="BE208" s="230">
        <v>200250</v>
      </c>
      <c r="BF208" s="230">
        <v>-195750</v>
      </c>
      <c r="BG208" s="229">
        <v>-0.97750000000000004</v>
      </c>
      <c r="BH208" s="230">
        <v>5175000</v>
      </c>
      <c r="BI208" s="230">
        <v>7341750</v>
      </c>
      <c r="BJ208" s="230">
        <v>-2166750</v>
      </c>
      <c r="BK208" s="229">
        <v>-0.29509999999999997</v>
      </c>
      <c r="BL208" s="230">
        <v>4332375</v>
      </c>
      <c r="BM208" s="230">
        <v>11131875</v>
      </c>
      <c r="BN208" s="230">
        <v>-6799500</v>
      </c>
      <c r="BO208" s="229">
        <v>-0.61080000000000001</v>
      </c>
      <c r="BP208" s="230">
        <v>15325875</v>
      </c>
      <c r="BQ208" s="230">
        <v>45046125</v>
      </c>
      <c r="BR208" s="230">
        <v>-29720250</v>
      </c>
      <c r="BS208" s="229">
        <v>-0.65980000000000005</v>
      </c>
      <c r="BT208" s="230">
        <v>8254312</v>
      </c>
      <c r="BU208" s="230">
        <v>4131229</v>
      </c>
      <c r="BV208" s="230">
        <v>4123083</v>
      </c>
      <c r="BW208" s="229">
        <v>0.998</v>
      </c>
      <c r="BX208" s="230">
        <v>46891125</v>
      </c>
      <c r="BY208" s="230">
        <v>45766125</v>
      </c>
      <c r="BZ208" s="230">
        <v>1125000</v>
      </c>
      <c r="CA208" s="229">
        <v>2.46E-2</v>
      </c>
      <c r="CB208" s="230">
        <v>46474875</v>
      </c>
      <c r="CC208" s="230">
        <v>3054375</v>
      </c>
      <c r="CD208" s="230">
        <v>43420500</v>
      </c>
      <c r="CE208" s="229">
        <v>14.2158</v>
      </c>
      <c r="CF208" s="230">
        <v>411750</v>
      </c>
      <c r="CG208" s="230">
        <v>45478125</v>
      </c>
      <c r="CH208" s="230">
        <v>-45066375</v>
      </c>
      <c r="CI208" s="229">
        <v>-0.9909</v>
      </c>
      <c r="CJ208" s="230">
        <v>4500</v>
      </c>
      <c r="CK208" s="230">
        <v>288000</v>
      </c>
      <c r="CL208" s="230">
        <v>-283500</v>
      </c>
      <c r="CM208" s="229">
        <v>-0.98440000000000005</v>
      </c>
      <c r="CN208" s="230">
        <v>5475375</v>
      </c>
      <c r="CO208" s="230">
        <v>4126500</v>
      </c>
      <c r="CP208" s="230">
        <v>1348875</v>
      </c>
      <c r="CQ208" s="229">
        <v>0.32690000000000002</v>
      </c>
      <c r="CR208" s="230">
        <v>4990500</v>
      </c>
      <c r="CS208" s="230">
        <v>3593250</v>
      </c>
      <c r="CT208" s="230">
        <v>1397250</v>
      </c>
      <c r="CU208" s="229">
        <v>0.38890000000000002</v>
      </c>
      <c r="CV208" s="230">
        <v>57357000</v>
      </c>
      <c r="CW208" s="230">
        <v>53485875</v>
      </c>
      <c r="CX208" s="230">
        <v>3871125</v>
      </c>
      <c r="CY208" s="229">
        <v>7.2400000000000006E-2</v>
      </c>
      <c r="CZ208" s="228">
        <v>34.53</v>
      </c>
      <c r="DA208" s="228">
        <v>34.93</v>
      </c>
      <c r="DB208" s="228">
        <v>-0.4</v>
      </c>
      <c r="DC208" s="228">
        <v>-0.4</v>
      </c>
      <c r="DD208" s="228">
        <v>36.75</v>
      </c>
      <c r="DE208" s="228">
        <v>36.83</v>
      </c>
      <c r="DF208" s="228">
        <v>-2.2200000000000002</v>
      </c>
      <c r="DG208" s="228">
        <v>-0.08</v>
      </c>
      <c r="DH208" s="228">
        <v>33.72</v>
      </c>
      <c r="DI208" s="228">
        <v>34.619999999999997</v>
      </c>
      <c r="DJ208" s="228">
        <v>-0.9</v>
      </c>
      <c r="DK208" s="228">
        <v>-0.9</v>
      </c>
      <c r="DL208" s="228">
        <v>35.49</v>
      </c>
      <c r="DM208" s="228">
        <v>35.200000000000003</v>
      </c>
      <c r="DN208" s="228">
        <v>0.28999999999999998</v>
      </c>
      <c r="DO208" s="228">
        <v>0.28999999999999998</v>
      </c>
      <c r="DP208" s="228">
        <v>0.91</v>
      </c>
      <c r="DQ208" s="228">
        <v>0.87</v>
      </c>
      <c r="DR208" s="228">
        <v>0.04</v>
      </c>
      <c r="DS208" s="229">
        <v>4.5999999999999999E-2</v>
      </c>
      <c r="DT208" s="228">
        <v>500</v>
      </c>
      <c r="DU208" s="228">
        <v>450</v>
      </c>
      <c r="DV208" s="228">
        <v>0.84</v>
      </c>
      <c r="DW208" s="228">
        <v>1.52</v>
      </c>
      <c r="DX208" s="228">
        <v>-0.68</v>
      </c>
      <c r="DY208" s="229">
        <v>-0.44740000000000002</v>
      </c>
      <c r="DZ208" s="229">
        <v>8.8999999999999999E-3</v>
      </c>
      <c r="EA208" s="230">
        <v>45766125</v>
      </c>
      <c r="EB208" s="229">
        <v>6.4000000000000003E-3</v>
      </c>
      <c r="EC208" s="229">
        <v>8.8999999999999999E-3</v>
      </c>
      <c r="ED208" s="228">
        <v>2.6</v>
      </c>
      <c r="EE208" s="229">
        <v>5.4999999999999997E-3</v>
      </c>
      <c r="EF208" s="230">
        <v>5797365</v>
      </c>
      <c r="EG208" s="230">
        <v>1851019</v>
      </c>
      <c r="EH208" s="229">
        <v>2.1320000000000001</v>
      </c>
      <c r="EI208" s="229">
        <v>0.70230000000000004</v>
      </c>
      <c r="EJ208" s="231">
        <v>25992.43</v>
      </c>
      <c r="EK208" s="231">
        <v>19961.95</v>
      </c>
      <c r="EL208" s="231">
        <v>27288.19</v>
      </c>
      <c r="EM208" s="231">
        <v>26571</v>
      </c>
      <c r="EN208" s="231">
        <v>73242.570000000007</v>
      </c>
      <c r="EO208" s="231">
        <v>214696.01</v>
      </c>
      <c r="EP208" s="231">
        <v>-141453.44</v>
      </c>
      <c r="EQ208" s="229">
        <v>-0.65890000000000004</v>
      </c>
      <c r="ER208" s="231">
        <v>27365</v>
      </c>
      <c r="ES208" s="231">
        <v>22892</v>
      </c>
      <c r="ET208" s="231">
        <v>221128</v>
      </c>
      <c r="EU208" s="231">
        <v>205761118</v>
      </c>
      <c r="EV208" s="231">
        <v>271385</v>
      </c>
      <c r="EW208" s="231">
        <v>254909</v>
      </c>
      <c r="EX208" s="231">
        <v>16476</v>
      </c>
      <c r="EY208" s="229">
        <v>6.4600000000000005E-2</v>
      </c>
      <c r="EZ208" s="229">
        <v>0.27879999999999999</v>
      </c>
      <c r="FA208" s="227" t="s">
        <v>567</v>
      </c>
      <c r="FB208" s="161">
        <f t="shared" si="5"/>
        <v>0</v>
      </c>
    </row>
    <row r="209" spans="1:158" ht="17.25" thickBot="1" x14ac:dyDescent="0.3">
      <c r="A209" s="226">
        <v>46050</v>
      </c>
      <c r="B209" s="227" t="s">
        <v>227</v>
      </c>
      <c r="C209" s="227" t="s">
        <v>304</v>
      </c>
      <c r="D209" s="228">
        <v>1150</v>
      </c>
      <c r="E209" s="228">
        <v>739.5</v>
      </c>
      <c r="F209" s="228">
        <v>707.9</v>
      </c>
      <c r="G209" s="228">
        <v>31.6</v>
      </c>
      <c r="H209" s="229">
        <v>4.4600000000000001E-2</v>
      </c>
      <c r="I209" s="228">
        <v>737.1</v>
      </c>
      <c r="J209" s="228">
        <v>705.45</v>
      </c>
      <c r="K209" s="228">
        <v>31.65</v>
      </c>
      <c r="L209" s="229">
        <v>4.4900000000000002E-2</v>
      </c>
      <c r="M209" s="228">
        <v>739.5</v>
      </c>
      <c r="N209" s="228">
        <v>705.8</v>
      </c>
      <c r="O209" s="228">
        <v>33.700000000000003</v>
      </c>
      <c r="P209" s="229">
        <v>4.7699999999999999E-2</v>
      </c>
      <c r="Q209" s="228">
        <v>737.6</v>
      </c>
      <c r="R209" s="228">
        <v>707.9</v>
      </c>
      <c r="S209" s="228">
        <v>29.7</v>
      </c>
      <c r="T209" s="229">
        <v>4.2000000000000003E-2</v>
      </c>
      <c r="U209" s="228">
        <v>738.6</v>
      </c>
      <c r="V209" s="228">
        <v>704.65</v>
      </c>
      <c r="W209" s="228">
        <v>33.950000000000003</v>
      </c>
      <c r="X209" s="229">
        <v>4.82E-2</v>
      </c>
      <c r="Y209" s="228">
        <v>2.4</v>
      </c>
      <c r="Z209" s="228">
        <v>2.4500000000000002</v>
      </c>
      <c r="AA209" s="228">
        <v>-0.05</v>
      </c>
      <c r="AB209" s="229">
        <v>3.3E-3</v>
      </c>
      <c r="AC209" s="228">
        <v>2.4</v>
      </c>
      <c r="AD209" s="228">
        <v>0.35</v>
      </c>
      <c r="AE209" s="228">
        <v>2.0499999999999998</v>
      </c>
      <c r="AF209" s="229">
        <v>3.3E-3</v>
      </c>
      <c r="AG209" s="228">
        <v>0.5</v>
      </c>
      <c r="AH209" s="228">
        <v>2.4500000000000002</v>
      </c>
      <c r="AI209" s="228">
        <v>-1.95</v>
      </c>
      <c r="AJ209" s="229">
        <v>6.9999999999999999E-4</v>
      </c>
      <c r="AK209" s="228">
        <v>1.5</v>
      </c>
      <c r="AL209" s="228">
        <v>-0.8</v>
      </c>
      <c r="AM209" s="228">
        <v>2.2999999999999998</v>
      </c>
      <c r="AN209" s="229">
        <v>2E-3</v>
      </c>
      <c r="AO209" s="228">
        <v>733.84</v>
      </c>
      <c r="AP209" s="228">
        <v>730.54</v>
      </c>
      <c r="AQ209" s="228">
        <v>0</v>
      </c>
      <c r="AR209" s="230">
        <v>38364000</v>
      </c>
      <c r="AS209" s="230">
        <v>49768550</v>
      </c>
      <c r="AT209" s="230">
        <v>-11404550</v>
      </c>
      <c r="AU209" s="229">
        <v>-0.22919999999999999</v>
      </c>
      <c r="AV209" s="230">
        <v>35853550</v>
      </c>
      <c r="AW209" s="230">
        <v>20396400</v>
      </c>
      <c r="AX209" s="230">
        <v>15457150</v>
      </c>
      <c r="AY209" s="229">
        <v>0.75780000000000003</v>
      </c>
      <c r="AZ209" s="230">
        <v>2306900</v>
      </c>
      <c r="BA209" s="230">
        <v>28248600</v>
      </c>
      <c r="BB209" s="230">
        <v>-25941700</v>
      </c>
      <c r="BC209" s="229">
        <v>-0.91830000000000001</v>
      </c>
      <c r="BD209" s="230">
        <v>203550</v>
      </c>
      <c r="BE209" s="230">
        <v>1123550</v>
      </c>
      <c r="BF209" s="230">
        <v>-920000</v>
      </c>
      <c r="BG209" s="229">
        <v>-0.81879999999999997</v>
      </c>
      <c r="BH209" s="230">
        <v>167381350</v>
      </c>
      <c r="BI209" s="230">
        <v>98801100</v>
      </c>
      <c r="BJ209" s="230">
        <v>68580250</v>
      </c>
      <c r="BK209" s="229">
        <v>0.69410000000000005</v>
      </c>
      <c r="BL209" s="230">
        <v>60375000</v>
      </c>
      <c r="BM209" s="230">
        <v>43258400</v>
      </c>
      <c r="BN209" s="230">
        <v>17116600</v>
      </c>
      <c r="BO209" s="229">
        <v>0.3957</v>
      </c>
      <c r="BP209" s="230">
        <v>266120350</v>
      </c>
      <c r="BQ209" s="230">
        <v>191828050</v>
      </c>
      <c r="BR209" s="230">
        <v>74292300</v>
      </c>
      <c r="BS209" s="229">
        <v>0.38729999999999998</v>
      </c>
      <c r="BT209" s="230">
        <v>28476751</v>
      </c>
      <c r="BU209" s="230">
        <v>22997703</v>
      </c>
      <c r="BV209" s="230">
        <v>5479048</v>
      </c>
      <c r="BW209" s="229">
        <v>0.2382</v>
      </c>
      <c r="BX209" s="230">
        <v>78689900</v>
      </c>
      <c r="BY209" s="230">
        <v>77055750</v>
      </c>
      <c r="BZ209" s="230">
        <v>1634150</v>
      </c>
      <c r="CA209" s="229">
        <v>2.12E-2</v>
      </c>
      <c r="CB209" s="230">
        <v>75934500</v>
      </c>
      <c r="CC209" s="230">
        <v>5850050</v>
      </c>
      <c r="CD209" s="230">
        <v>70084450</v>
      </c>
      <c r="CE209" s="229">
        <v>11.9801</v>
      </c>
      <c r="CF209" s="230">
        <v>2647300</v>
      </c>
      <c r="CG209" s="230">
        <v>74710900</v>
      </c>
      <c r="CH209" s="230">
        <v>-72063600</v>
      </c>
      <c r="CI209" s="229">
        <v>-0.96460000000000001</v>
      </c>
      <c r="CJ209" s="230">
        <v>108100</v>
      </c>
      <c r="CK209" s="230">
        <v>2344850</v>
      </c>
      <c r="CL209" s="230">
        <v>-2236750</v>
      </c>
      <c r="CM209" s="229">
        <v>-0.95389999999999997</v>
      </c>
      <c r="CN209" s="230">
        <v>27726500</v>
      </c>
      <c r="CO209" s="230">
        <v>27117000</v>
      </c>
      <c r="CP209" s="230">
        <v>609500</v>
      </c>
      <c r="CQ209" s="229">
        <v>2.2499999999999999E-2</v>
      </c>
      <c r="CR209" s="230">
        <v>19645450</v>
      </c>
      <c r="CS209" s="230">
        <v>15372050</v>
      </c>
      <c r="CT209" s="230">
        <v>4273400</v>
      </c>
      <c r="CU209" s="229">
        <v>0.27800000000000002</v>
      </c>
      <c r="CV209" s="230">
        <v>126061850</v>
      </c>
      <c r="CW209" s="230">
        <v>119544800</v>
      </c>
      <c r="CX209" s="230">
        <v>6517050</v>
      </c>
      <c r="CY209" s="229">
        <v>5.45E-2</v>
      </c>
      <c r="CZ209" s="228">
        <v>38.97</v>
      </c>
      <c r="DA209" s="228">
        <v>41.81</v>
      </c>
      <c r="DB209" s="228">
        <v>-2.84</v>
      </c>
      <c r="DC209" s="228">
        <v>-2.84</v>
      </c>
      <c r="DD209" s="228">
        <v>37.270000000000003</v>
      </c>
      <c r="DE209" s="228">
        <v>36.9</v>
      </c>
      <c r="DF209" s="228">
        <v>1.7</v>
      </c>
      <c r="DG209" s="228">
        <v>0.37</v>
      </c>
      <c r="DH209" s="228">
        <v>38.89</v>
      </c>
      <c r="DI209" s="228">
        <v>41.98</v>
      </c>
      <c r="DJ209" s="228">
        <v>-3.09</v>
      </c>
      <c r="DK209" s="228">
        <v>-3.09</v>
      </c>
      <c r="DL209" s="228">
        <v>39.18</v>
      </c>
      <c r="DM209" s="228">
        <v>41.36</v>
      </c>
      <c r="DN209" s="228">
        <v>-2.1800000000000002</v>
      </c>
      <c r="DO209" s="228">
        <v>-2.1800000000000002</v>
      </c>
      <c r="DP209" s="228">
        <v>0.71</v>
      </c>
      <c r="DQ209" s="228">
        <v>0.56999999999999995</v>
      </c>
      <c r="DR209" s="228">
        <v>0.14000000000000001</v>
      </c>
      <c r="DS209" s="229">
        <v>0.24560000000000001</v>
      </c>
      <c r="DT209" s="228">
        <v>700</v>
      </c>
      <c r="DU209" s="228">
        <v>700</v>
      </c>
      <c r="DV209" s="228">
        <v>0.36</v>
      </c>
      <c r="DW209" s="228">
        <v>0.44</v>
      </c>
      <c r="DX209" s="228">
        <v>-0.08</v>
      </c>
      <c r="DY209" s="229">
        <v>-0.18179999999999999</v>
      </c>
      <c r="DZ209" s="229">
        <v>3.5000000000000003E-2</v>
      </c>
      <c r="EA209" s="230">
        <v>77055750</v>
      </c>
      <c r="EB209" s="229">
        <v>-2.5999999999999999E-3</v>
      </c>
      <c r="EC209" s="229">
        <v>3.5000000000000003E-2</v>
      </c>
      <c r="ED209" s="228">
        <v>-3.3</v>
      </c>
      <c r="EE209" s="229">
        <v>-4.4999999999999997E-3</v>
      </c>
      <c r="EF209" s="230">
        <v>7836812</v>
      </c>
      <c r="EG209" s="230">
        <v>11946832</v>
      </c>
      <c r="EH209" s="229">
        <v>-0.34399999999999997</v>
      </c>
      <c r="EI209" s="229">
        <v>0.2752</v>
      </c>
      <c r="EJ209" s="231">
        <v>1303994.94</v>
      </c>
      <c r="EK209" s="231">
        <v>423171.21</v>
      </c>
      <c r="EL209" s="231">
        <v>281451.77</v>
      </c>
      <c r="EM209" s="231">
        <v>53225</v>
      </c>
      <c r="EN209" s="231">
        <v>2008617.92</v>
      </c>
      <c r="EO209" s="231">
        <v>1354080.9</v>
      </c>
      <c r="EP209" s="231">
        <v>654537.02</v>
      </c>
      <c r="EQ209" s="229">
        <v>0.4834</v>
      </c>
      <c r="ER209" s="231">
        <v>199176</v>
      </c>
      <c r="ES209" s="231">
        <v>130671</v>
      </c>
      <c r="ET209" s="231">
        <v>581861</v>
      </c>
      <c r="EU209" s="231">
        <v>255091106</v>
      </c>
      <c r="EV209" s="231">
        <v>911707</v>
      </c>
      <c r="EW209" s="231">
        <v>835499</v>
      </c>
      <c r="EX209" s="231">
        <v>76208</v>
      </c>
      <c r="EY209" s="229">
        <v>9.1200000000000003E-2</v>
      </c>
      <c r="EZ209" s="229">
        <v>0.49419999999999997</v>
      </c>
      <c r="FA209" s="227" t="s">
        <v>555</v>
      </c>
      <c r="FB209" s="161">
        <f t="shared" si="5"/>
        <v>0</v>
      </c>
    </row>
    <row r="210" spans="1:158" ht="17.25" thickBot="1" x14ac:dyDescent="0.3">
      <c r="A210" s="226">
        <v>46050</v>
      </c>
      <c r="B210" s="227" t="s">
        <v>184</v>
      </c>
      <c r="C210" s="227" t="s">
        <v>305</v>
      </c>
      <c r="D210" s="228">
        <v>375</v>
      </c>
      <c r="E210" s="231">
        <v>1374.3</v>
      </c>
      <c r="F210" s="231">
        <v>1336.6</v>
      </c>
      <c r="G210" s="228">
        <v>37.700000000000003</v>
      </c>
      <c r="H210" s="229">
        <v>2.8199999999999999E-2</v>
      </c>
      <c r="I210" s="231">
        <v>1372.9</v>
      </c>
      <c r="J210" s="231">
        <v>1330.6</v>
      </c>
      <c r="K210" s="228">
        <v>42.3</v>
      </c>
      <c r="L210" s="229">
        <v>3.1800000000000002E-2</v>
      </c>
      <c r="M210" s="231">
        <v>1374.3</v>
      </c>
      <c r="N210" s="231">
        <v>1328.6</v>
      </c>
      <c r="O210" s="228">
        <v>45.7</v>
      </c>
      <c r="P210" s="229">
        <v>3.44E-2</v>
      </c>
      <c r="Q210" s="231">
        <v>1367.5</v>
      </c>
      <c r="R210" s="231">
        <v>1336.6</v>
      </c>
      <c r="S210" s="228">
        <v>30.9</v>
      </c>
      <c r="T210" s="229">
        <v>2.3099999999999999E-2</v>
      </c>
      <c r="U210" s="231">
        <v>1362.6</v>
      </c>
      <c r="V210" s="231">
        <v>1334.7</v>
      </c>
      <c r="W210" s="228">
        <v>27.9</v>
      </c>
      <c r="X210" s="229">
        <v>2.0899999999999998E-2</v>
      </c>
      <c r="Y210" s="228">
        <v>1.4</v>
      </c>
      <c r="Z210" s="228">
        <v>6</v>
      </c>
      <c r="AA210" s="228">
        <v>-4.5999999999999996</v>
      </c>
      <c r="AB210" s="229">
        <v>1E-3</v>
      </c>
      <c r="AC210" s="228">
        <v>1.4</v>
      </c>
      <c r="AD210" s="228">
        <v>-2</v>
      </c>
      <c r="AE210" s="228">
        <v>3.4</v>
      </c>
      <c r="AF210" s="229">
        <v>1E-3</v>
      </c>
      <c r="AG210" s="228">
        <v>-5.4</v>
      </c>
      <c r="AH210" s="228">
        <v>6</v>
      </c>
      <c r="AI210" s="228">
        <v>-11.4</v>
      </c>
      <c r="AJ210" s="229">
        <v>-3.8999999999999998E-3</v>
      </c>
      <c r="AK210" s="228">
        <v>-10.3</v>
      </c>
      <c r="AL210" s="228">
        <v>4.0999999999999996</v>
      </c>
      <c r="AM210" s="228">
        <v>-14.4</v>
      </c>
      <c r="AN210" s="229">
        <v>-7.4999999999999997E-3</v>
      </c>
      <c r="AO210" s="231">
        <v>1357.07</v>
      </c>
      <c r="AP210" s="231">
        <v>1356.44</v>
      </c>
      <c r="AQ210" s="228">
        <v>0</v>
      </c>
      <c r="AR210" s="230">
        <v>2882250</v>
      </c>
      <c r="AS210" s="230">
        <v>5173875</v>
      </c>
      <c r="AT210" s="230">
        <v>-2291625</v>
      </c>
      <c r="AU210" s="229">
        <v>-0.44290000000000002</v>
      </c>
      <c r="AV210" s="230">
        <v>2782125</v>
      </c>
      <c r="AW210" s="230">
        <v>1723500</v>
      </c>
      <c r="AX210" s="230">
        <v>1058625</v>
      </c>
      <c r="AY210" s="229">
        <v>0.61419999999999997</v>
      </c>
      <c r="AZ210" s="230">
        <v>90750</v>
      </c>
      <c r="BA210" s="230">
        <v>3403125</v>
      </c>
      <c r="BB210" s="230">
        <v>-3312375</v>
      </c>
      <c r="BC210" s="229">
        <v>-0.97330000000000005</v>
      </c>
      <c r="BD210" s="230">
        <v>9375</v>
      </c>
      <c r="BE210" s="230">
        <v>47250</v>
      </c>
      <c r="BF210" s="230">
        <v>-37875</v>
      </c>
      <c r="BG210" s="229">
        <v>-0.80159999999999998</v>
      </c>
      <c r="BH210" s="230">
        <v>3518250</v>
      </c>
      <c r="BI210" s="230">
        <v>6369750</v>
      </c>
      <c r="BJ210" s="230">
        <v>-2851500</v>
      </c>
      <c r="BK210" s="229">
        <v>-0.44769999999999999</v>
      </c>
      <c r="BL210" s="230">
        <v>1218000</v>
      </c>
      <c r="BM210" s="230">
        <v>3090000</v>
      </c>
      <c r="BN210" s="230">
        <v>-1872000</v>
      </c>
      <c r="BO210" s="229">
        <v>-0.60580000000000001</v>
      </c>
      <c r="BP210" s="230">
        <v>7618500</v>
      </c>
      <c r="BQ210" s="230">
        <v>14633625</v>
      </c>
      <c r="BR210" s="230">
        <v>-7015125</v>
      </c>
      <c r="BS210" s="229">
        <v>-0.47939999999999999</v>
      </c>
      <c r="BT210" s="230">
        <v>758731</v>
      </c>
      <c r="BU210" s="230">
        <v>900190</v>
      </c>
      <c r="BV210" s="230">
        <v>-141459</v>
      </c>
      <c r="BW210" s="229">
        <v>-0.15709999999999999</v>
      </c>
      <c r="BX210" s="230">
        <v>12606375</v>
      </c>
      <c r="BY210" s="230">
        <v>11872875</v>
      </c>
      <c r="BZ210" s="230">
        <v>733500</v>
      </c>
      <c r="CA210" s="229">
        <v>6.1800000000000001E-2</v>
      </c>
      <c r="CB210" s="230">
        <v>12476625</v>
      </c>
      <c r="CC210" s="230">
        <v>636750</v>
      </c>
      <c r="CD210" s="230">
        <v>11839875</v>
      </c>
      <c r="CE210" s="229">
        <v>18.594200000000001</v>
      </c>
      <c r="CF210" s="230">
        <v>126000</v>
      </c>
      <c r="CG210" s="230">
        <v>11752875</v>
      </c>
      <c r="CH210" s="230">
        <v>-11626875</v>
      </c>
      <c r="CI210" s="229">
        <v>-0.98929999999999996</v>
      </c>
      <c r="CJ210" s="230">
        <v>3750</v>
      </c>
      <c r="CK210" s="230">
        <v>120000</v>
      </c>
      <c r="CL210" s="230">
        <v>-116250</v>
      </c>
      <c r="CM210" s="229">
        <v>-0.96879999999999999</v>
      </c>
      <c r="CN210" s="230">
        <v>1570500</v>
      </c>
      <c r="CO210" s="230">
        <v>1409250</v>
      </c>
      <c r="CP210" s="230">
        <v>161250</v>
      </c>
      <c r="CQ210" s="229">
        <v>0.1144</v>
      </c>
      <c r="CR210" s="230">
        <v>1359375</v>
      </c>
      <c r="CS210" s="230">
        <v>1074375</v>
      </c>
      <c r="CT210" s="230">
        <v>285000</v>
      </c>
      <c r="CU210" s="229">
        <v>0.26529999999999998</v>
      </c>
      <c r="CV210" s="230">
        <v>15536250</v>
      </c>
      <c r="CW210" s="230">
        <v>14356500</v>
      </c>
      <c r="CX210" s="230">
        <v>1179750</v>
      </c>
      <c r="CY210" s="229">
        <v>8.2199999999999995E-2</v>
      </c>
      <c r="CZ210" s="228">
        <v>41.3</v>
      </c>
      <c r="DA210" s="228">
        <v>40.19</v>
      </c>
      <c r="DB210" s="228">
        <v>1.1100000000000001</v>
      </c>
      <c r="DC210" s="228">
        <v>1.1100000000000001</v>
      </c>
      <c r="DD210" s="228">
        <v>36.51</v>
      </c>
      <c r="DE210" s="228">
        <v>36.36</v>
      </c>
      <c r="DF210" s="228">
        <v>4.79</v>
      </c>
      <c r="DG210" s="228">
        <v>0.15</v>
      </c>
      <c r="DH210" s="228">
        <v>40.64</v>
      </c>
      <c r="DI210" s="228">
        <v>40.020000000000003</v>
      </c>
      <c r="DJ210" s="228">
        <v>0.62</v>
      </c>
      <c r="DK210" s="228">
        <v>0.62</v>
      </c>
      <c r="DL210" s="228">
        <v>43.18</v>
      </c>
      <c r="DM210" s="228">
        <v>40.49</v>
      </c>
      <c r="DN210" s="228">
        <v>2.69</v>
      </c>
      <c r="DO210" s="228">
        <v>2.69</v>
      </c>
      <c r="DP210" s="228">
        <v>0.87</v>
      </c>
      <c r="DQ210" s="228">
        <v>0.76</v>
      </c>
      <c r="DR210" s="228">
        <v>0.11</v>
      </c>
      <c r="DS210" s="229">
        <v>0.1447</v>
      </c>
      <c r="DT210" s="231">
        <v>1400</v>
      </c>
      <c r="DU210" s="231">
        <v>1300</v>
      </c>
      <c r="DV210" s="228">
        <v>0.35</v>
      </c>
      <c r="DW210" s="228">
        <v>0.49</v>
      </c>
      <c r="DX210" s="228">
        <v>-0.14000000000000001</v>
      </c>
      <c r="DY210" s="229">
        <v>-0.28570000000000001</v>
      </c>
      <c r="DZ210" s="229">
        <v>1.03E-2</v>
      </c>
      <c r="EA210" s="230">
        <v>11872875</v>
      </c>
      <c r="EB210" s="229">
        <v>-4.8999999999999998E-3</v>
      </c>
      <c r="EC210" s="229">
        <v>1.03E-2</v>
      </c>
      <c r="ED210" s="228">
        <v>-0.63</v>
      </c>
      <c r="EE210" s="229">
        <v>-5.0000000000000001E-4</v>
      </c>
      <c r="EF210" s="230">
        <v>344247</v>
      </c>
      <c r="EG210" s="230">
        <v>375468</v>
      </c>
      <c r="EH210" s="229">
        <v>-8.3199999999999996E-2</v>
      </c>
      <c r="EI210" s="229">
        <v>0.45369999999999999</v>
      </c>
      <c r="EJ210" s="231">
        <v>51188.72</v>
      </c>
      <c r="EK210" s="231">
        <v>16308.47</v>
      </c>
      <c r="EL210" s="231">
        <v>39113.68</v>
      </c>
      <c r="EM210" s="231">
        <v>28216</v>
      </c>
      <c r="EN210" s="231">
        <v>106610.87</v>
      </c>
      <c r="EO210" s="231">
        <v>197659.95</v>
      </c>
      <c r="EP210" s="231">
        <v>-91049.08</v>
      </c>
      <c r="EQ210" s="229">
        <v>-0.46060000000000001</v>
      </c>
      <c r="ER210" s="231">
        <v>22530</v>
      </c>
      <c r="ES210" s="231">
        <v>17680</v>
      </c>
      <c r="ET210" s="231">
        <v>173240</v>
      </c>
      <c r="EU210" s="231">
        <v>34594689</v>
      </c>
      <c r="EV210" s="231">
        <v>213451</v>
      </c>
      <c r="EW210" s="231">
        <v>192776</v>
      </c>
      <c r="EX210" s="231">
        <v>20675</v>
      </c>
      <c r="EY210" s="229">
        <v>0.1072</v>
      </c>
      <c r="EZ210" s="229">
        <v>0.4491</v>
      </c>
      <c r="FA210" s="227" t="s">
        <v>555</v>
      </c>
      <c r="FB210" s="161">
        <f t="shared" si="5"/>
        <v>0</v>
      </c>
    </row>
    <row r="211" spans="1:158" ht="17.25" thickBot="1" x14ac:dyDescent="0.3">
      <c r="A211" s="226">
        <v>46050</v>
      </c>
      <c r="B211" s="227" t="s">
        <v>184</v>
      </c>
      <c r="C211" s="227" t="s">
        <v>691</v>
      </c>
      <c r="D211" s="228">
        <v>175</v>
      </c>
      <c r="E211" s="231">
        <v>2768.1</v>
      </c>
      <c r="F211" s="231">
        <v>2709.8</v>
      </c>
      <c r="G211" s="228">
        <v>58.3</v>
      </c>
      <c r="H211" s="229">
        <v>2.1499999999999998E-2</v>
      </c>
      <c r="I211" s="231">
        <v>2749.6</v>
      </c>
      <c r="J211" s="231">
        <v>2695.2</v>
      </c>
      <c r="K211" s="228">
        <v>54.4</v>
      </c>
      <c r="L211" s="229">
        <v>2.0199999999999999E-2</v>
      </c>
      <c r="M211" s="231">
        <v>2768.1</v>
      </c>
      <c r="N211" s="231">
        <v>2696.9</v>
      </c>
      <c r="O211" s="228">
        <v>71.2</v>
      </c>
      <c r="P211" s="229">
        <v>2.64E-2</v>
      </c>
      <c r="Q211" s="231">
        <v>2769.6</v>
      </c>
      <c r="R211" s="231">
        <v>2709.8</v>
      </c>
      <c r="S211" s="228">
        <v>59.8</v>
      </c>
      <c r="T211" s="229">
        <v>2.2100000000000002E-2</v>
      </c>
      <c r="U211" s="231">
        <v>2750.4</v>
      </c>
      <c r="V211" s="231">
        <v>2713.7</v>
      </c>
      <c r="W211" s="228">
        <v>36.700000000000003</v>
      </c>
      <c r="X211" s="229">
        <v>1.35E-2</v>
      </c>
      <c r="Y211" s="228">
        <v>18.5</v>
      </c>
      <c r="Z211" s="228">
        <v>14.6</v>
      </c>
      <c r="AA211" s="228">
        <v>3.9</v>
      </c>
      <c r="AB211" s="229">
        <v>6.7000000000000002E-3</v>
      </c>
      <c r="AC211" s="228">
        <v>18.5</v>
      </c>
      <c r="AD211" s="228">
        <v>1.7</v>
      </c>
      <c r="AE211" s="228">
        <v>16.8</v>
      </c>
      <c r="AF211" s="229">
        <v>6.7000000000000002E-3</v>
      </c>
      <c r="AG211" s="228">
        <v>20</v>
      </c>
      <c r="AH211" s="228">
        <v>14.6</v>
      </c>
      <c r="AI211" s="228">
        <v>5.4</v>
      </c>
      <c r="AJ211" s="229">
        <v>7.3000000000000001E-3</v>
      </c>
      <c r="AK211" s="228">
        <v>0.8</v>
      </c>
      <c r="AL211" s="228">
        <v>18.5</v>
      </c>
      <c r="AM211" s="228">
        <v>-17.7</v>
      </c>
      <c r="AN211" s="229">
        <v>2.9999999999999997E-4</v>
      </c>
      <c r="AO211" s="231">
        <v>2755.44</v>
      </c>
      <c r="AP211" s="231">
        <v>2758.44</v>
      </c>
      <c r="AQ211" s="228">
        <v>0</v>
      </c>
      <c r="AR211" s="230">
        <v>593250</v>
      </c>
      <c r="AS211" s="230">
        <v>2010575</v>
      </c>
      <c r="AT211" s="230">
        <v>-1417325</v>
      </c>
      <c r="AU211" s="229">
        <v>-0.70489999999999997</v>
      </c>
      <c r="AV211" s="230">
        <v>569800</v>
      </c>
      <c r="AW211" s="230">
        <v>756175</v>
      </c>
      <c r="AX211" s="230">
        <v>-186375</v>
      </c>
      <c r="AY211" s="229">
        <v>-0.2465</v>
      </c>
      <c r="AZ211" s="230">
        <v>22400</v>
      </c>
      <c r="BA211" s="230">
        <v>1228675</v>
      </c>
      <c r="BB211" s="230">
        <v>-1206275</v>
      </c>
      <c r="BC211" s="229">
        <v>-0.98180000000000001</v>
      </c>
      <c r="BD211" s="230">
        <v>1050</v>
      </c>
      <c r="BE211" s="230">
        <v>25725</v>
      </c>
      <c r="BF211" s="230">
        <v>-24675</v>
      </c>
      <c r="BG211" s="229">
        <v>-0.95920000000000005</v>
      </c>
      <c r="BH211" s="230">
        <v>1439200</v>
      </c>
      <c r="BI211" s="230">
        <v>3986500</v>
      </c>
      <c r="BJ211" s="230">
        <v>-2547300</v>
      </c>
      <c r="BK211" s="229">
        <v>-0.63900000000000001</v>
      </c>
      <c r="BL211" s="230">
        <v>513100</v>
      </c>
      <c r="BM211" s="230">
        <v>2233175</v>
      </c>
      <c r="BN211" s="230">
        <v>-1720075</v>
      </c>
      <c r="BO211" s="229">
        <v>-0.7702</v>
      </c>
      <c r="BP211" s="230">
        <v>2545550</v>
      </c>
      <c r="BQ211" s="230">
        <v>8230250</v>
      </c>
      <c r="BR211" s="230">
        <v>-5684700</v>
      </c>
      <c r="BS211" s="229">
        <v>-0.69069999999999998</v>
      </c>
      <c r="BT211" s="230">
        <v>1137793</v>
      </c>
      <c r="BU211" s="230">
        <v>2020384</v>
      </c>
      <c r="BV211" s="230">
        <v>-882591</v>
      </c>
      <c r="BW211" s="229">
        <v>-0.43680000000000002</v>
      </c>
      <c r="BX211" s="230">
        <v>2214450</v>
      </c>
      <c r="BY211" s="230">
        <v>2282000</v>
      </c>
      <c r="BZ211" s="230">
        <v>-67550</v>
      </c>
      <c r="CA211" s="229">
        <v>-2.9600000000000001E-2</v>
      </c>
      <c r="CB211" s="230">
        <v>2153375</v>
      </c>
      <c r="CC211" s="230">
        <v>214725</v>
      </c>
      <c r="CD211" s="230">
        <v>1938650</v>
      </c>
      <c r="CE211" s="229">
        <v>9.0284999999999993</v>
      </c>
      <c r="CF211" s="230">
        <v>60025</v>
      </c>
      <c r="CG211" s="230">
        <v>2220400</v>
      </c>
      <c r="CH211" s="230">
        <v>-2160375</v>
      </c>
      <c r="CI211" s="229">
        <v>-0.97299999999999998</v>
      </c>
      <c r="CJ211" s="230">
        <v>1050</v>
      </c>
      <c r="CK211" s="230">
        <v>61600</v>
      </c>
      <c r="CL211" s="230">
        <v>-60550</v>
      </c>
      <c r="CM211" s="229">
        <v>-0.98299999999999998</v>
      </c>
      <c r="CN211" s="230">
        <v>665700</v>
      </c>
      <c r="CO211" s="230">
        <v>606375</v>
      </c>
      <c r="CP211" s="230">
        <v>59325</v>
      </c>
      <c r="CQ211" s="229">
        <v>9.7799999999999998E-2</v>
      </c>
      <c r="CR211" s="230">
        <v>489300</v>
      </c>
      <c r="CS211" s="230">
        <v>462875</v>
      </c>
      <c r="CT211" s="230">
        <v>26425</v>
      </c>
      <c r="CU211" s="229">
        <v>5.7099999999999998E-2</v>
      </c>
      <c r="CV211" s="230">
        <v>3369450</v>
      </c>
      <c r="CW211" s="230">
        <v>3351250</v>
      </c>
      <c r="CX211" s="230">
        <v>18200</v>
      </c>
      <c r="CY211" s="229">
        <v>5.4000000000000003E-3</v>
      </c>
      <c r="CZ211" s="228">
        <v>39.340000000000003</v>
      </c>
      <c r="DA211" s="228">
        <v>41.48</v>
      </c>
      <c r="DB211" s="228">
        <v>-2.14</v>
      </c>
      <c r="DC211" s="228">
        <v>-2.14</v>
      </c>
      <c r="DD211" s="228">
        <v>50.27</v>
      </c>
      <c r="DE211" s="228">
        <v>50.31</v>
      </c>
      <c r="DF211" s="228">
        <v>-10.93</v>
      </c>
      <c r="DG211" s="228">
        <v>-0.04</v>
      </c>
      <c r="DH211" s="228">
        <v>38.6</v>
      </c>
      <c r="DI211" s="228">
        <v>40.79</v>
      </c>
      <c r="DJ211" s="228">
        <v>-2.19</v>
      </c>
      <c r="DK211" s="228">
        <v>-2.19</v>
      </c>
      <c r="DL211" s="228">
        <v>41.42</v>
      </c>
      <c r="DM211" s="228">
        <v>42.83</v>
      </c>
      <c r="DN211" s="228">
        <v>-1.41</v>
      </c>
      <c r="DO211" s="228">
        <v>-1.41</v>
      </c>
      <c r="DP211" s="228">
        <v>0.74</v>
      </c>
      <c r="DQ211" s="228">
        <v>0.76</v>
      </c>
      <c r="DR211" s="228">
        <v>-0.02</v>
      </c>
      <c r="DS211" s="229">
        <v>-2.63E-2</v>
      </c>
      <c r="DT211" s="231">
        <v>2800</v>
      </c>
      <c r="DU211" s="231">
        <v>2700</v>
      </c>
      <c r="DV211" s="228">
        <v>0.36</v>
      </c>
      <c r="DW211" s="228">
        <v>0.56000000000000005</v>
      </c>
      <c r="DX211" s="228">
        <v>-0.2</v>
      </c>
      <c r="DY211" s="229">
        <v>-0.35709999999999997</v>
      </c>
      <c r="DZ211" s="229">
        <v>2.76E-2</v>
      </c>
      <c r="EA211" s="230">
        <v>2282000</v>
      </c>
      <c r="EB211" s="229">
        <v>5.0000000000000001E-4</v>
      </c>
      <c r="EC211" s="229">
        <v>2.76E-2</v>
      </c>
      <c r="ED211" s="228">
        <v>3</v>
      </c>
      <c r="EE211" s="229">
        <v>1.1000000000000001E-3</v>
      </c>
      <c r="EF211" s="230">
        <v>315107</v>
      </c>
      <c r="EG211" s="230">
        <v>538517</v>
      </c>
      <c r="EH211" s="229">
        <v>-0.41489999999999999</v>
      </c>
      <c r="EI211" s="229">
        <v>0.27689999999999998</v>
      </c>
      <c r="EJ211" s="231">
        <v>42127.5</v>
      </c>
      <c r="EK211" s="231">
        <v>13412.12</v>
      </c>
      <c r="EL211" s="231">
        <v>16347.23</v>
      </c>
      <c r="EM211" s="231">
        <v>21236</v>
      </c>
      <c r="EN211" s="231">
        <v>71886.850000000006</v>
      </c>
      <c r="EO211" s="231">
        <v>222312.78</v>
      </c>
      <c r="EP211" s="231">
        <v>-150425.93</v>
      </c>
      <c r="EQ211" s="229">
        <v>-0.67659999999999998</v>
      </c>
      <c r="ER211" s="231">
        <v>18559</v>
      </c>
      <c r="ES211" s="231">
        <v>12480</v>
      </c>
      <c r="ET211" s="231">
        <v>61299</v>
      </c>
      <c r="EU211" s="231">
        <v>15436318</v>
      </c>
      <c r="EV211" s="231">
        <v>92338</v>
      </c>
      <c r="EW211" s="231">
        <v>90255</v>
      </c>
      <c r="EX211" s="231">
        <v>2083</v>
      </c>
      <c r="EY211" s="229">
        <v>2.3099999999999999E-2</v>
      </c>
      <c r="EZ211" s="229">
        <v>0.21829999999999999</v>
      </c>
      <c r="FA211" s="227" t="s">
        <v>556</v>
      </c>
      <c r="FB211" s="161">
        <f t="shared" si="5"/>
        <v>0</v>
      </c>
    </row>
    <row r="212" spans="1:158" ht="17.25" thickBot="1" x14ac:dyDescent="0.3">
      <c r="A212" s="226">
        <v>46050</v>
      </c>
      <c r="B212" s="227" t="s">
        <v>221</v>
      </c>
      <c r="C212" s="227" t="s">
        <v>306</v>
      </c>
      <c r="D212" s="228">
        <v>3000</v>
      </c>
      <c r="E212" s="228">
        <v>238.5</v>
      </c>
      <c r="F212" s="228">
        <v>236.3</v>
      </c>
      <c r="G212" s="228">
        <v>2.2000000000000002</v>
      </c>
      <c r="H212" s="229">
        <v>9.2999999999999992E-3</v>
      </c>
      <c r="I212" s="228">
        <v>237.35</v>
      </c>
      <c r="J212" s="228">
        <v>234.8</v>
      </c>
      <c r="K212" s="228">
        <v>2.5499999999999998</v>
      </c>
      <c r="L212" s="229">
        <v>1.09E-2</v>
      </c>
      <c r="M212" s="228">
        <v>238.5</v>
      </c>
      <c r="N212" s="228">
        <v>234.85</v>
      </c>
      <c r="O212" s="228">
        <v>3.65</v>
      </c>
      <c r="P212" s="229">
        <v>1.55E-2</v>
      </c>
      <c r="Q212" s="228">
        <v>238.3</v>
      </c>
      <c r="R212" s="228">
        <v>236.3</v>
      </c>
      <c r="S212" s="228">
        <v>2</v>
      </c>
      <c r="T212" s="229">
        <v>8.5000000000000006E-3</v>
      </c>
      <c r="U212" s="228">
        <v>238.9</v>
      </c>
      <c r="V212" s="228">
        <v>236.35</v>
      </c>
      <c r="W212" s="228">
        <v>2.5499999999999998</v>
      </c>
      <c r="X212" s="229">
        <v>1.0800000000000001E-2</v>
      </c>
      <c r="Y212" s="228">
        <v>1.1499999999999999</v>
      </c>
      <c r="Z212" s="228">
        <v>1.5</v>
      </c>
      <c r="AA212" s="228">
        <v>-0.35</v>
      </c>
      <c r="AB212" s="229">
        <v>4.7999999999999996E-3</v>
      </c>
      <c r="AC212" s="228">
        <v>1.1499999999999999</v>
      </c>
      <c r="AD212" s="228">
        <v>0.05</v>
      </c>
      <c r="AE212" s="228">
        <v>1.1000000000000001</v>
      </c>
      <c r="AF212" s="229">
        <v>4.7999999999999996E-3</v>
      </c>
      <c r="AG212" s="228">
        <v>0.95</v>
      </c>
      <c r="AH212" s="228">
        <v>1.5</v>
      </c>
      <c r="AI212" s="228">
        <v>-0.55000000000000004</v>
      </c>
      <c r="AJ212" s="229">
        <v>4.0000000000000001E-3</v>
      </c>
      <c r="AK212" s="228">
        <v>1.55</v>
      </c>
      <c r="AL212" s="228">
        <v>1.55</v>
      </c>
      <c r="AM212" s="228">
        <v>0</v>
      </c>
      <c r="AN212" s="229">
        <v>6.4999999999999997E-3</v>
      </c>
      <c r="AO212" s="228">
        <v>237.75</v>
      </c>
      <c r="AP212" s="228">
        <v>237.76</v>
      </c>
      <c r="AQ212" s="228">
        <v>0</v>
      </c>
      <c r="AR212" s="230">
        <v>16224000</v>
      </c>
      <c r="AS212" s="230">
        <v>75492000</v>
      </c>
      <c r="AT212" s="230">
        <v>-59268000</v>
      </c>
      <c r="AU212" s="229">
        <v>-0.78510000000000002</v>
      </c>
      <c r="AV212" s="230">
        <v>14946000</v>
      </c>
      <c r="AW212" s="230">
        <v>30639000</v>
      </c>
      <c r="AX212" s="230">
        <v>-15693000</v>
      </c>
      <c r="AY212" s="229">
        <v>-0.51219999999999999</v>
      </c>
      <c r="AZ212" s="230">
        <v>1080000</v>
      </c>
      <c r="BA212" s="230">
        <v>42963000</v>
      </c>
      <c r="BB212" s="230">
        <v>-41883000</v>
      </c>
      <c r="BC212" s="229">
        <v>-0.97489999999999999</v>
      </c>
      <c r="BD212" s="230">
        <v>198000</v>
      </c>
      <c r="BE212" s="230">
        <v>1890000</v>
      </c>
      <c r="BF212" s="230">
        <v>-1692000</v>
      </c>
      <c r="BG212" s="229">
        <v>-0.8952</v>
      </c>
      <c r="BH212" s="230">
        <v>37488000</v>
      </c>
      <c r="BI212" s="230">
        <v>39087000</v>
      </c>
      <c r="BJ212" s="230">
        <v>-1599000</v>
      </c>
      <c r="BK212" s="229">
        <v>-4.0899999999999999E-2</v>
      </c>
      <c r="BL212" s="230">
        <v>17454000</v>
      </c>
      <c r="BM212" s="230">
        <v>27603000</v>
      </c>
      <c r="BN212" s="230">
        <v>-10149000</v>
      </c>
      <c r="BO212" s="229">
        <v>-0.36770000000000003</v>
      </c>
      <c r="BP212" s="230">
        <v>71166000</v>
      </c>
      <c r="BQ212" s="230">
        <v>142182000</v>
      </c>
      <c r="BR212" s="230">
        <v>-71016000</v>
      </c>
      <c r="BS212" s="229">
        <v>-0.4995</v>
      </c>
      <c r="BT212" s="230">
        <v>10605643</v>
      </c>
      <c r="BU212" s="230">
        <v>15977821</v>
      </c>
      <c r="BV212" s="230">
        <v>-5372178</v>
      </c>
      <c r="BW212" s="229">
        <v>-0.3362</v>
      </c>
      <c r="BX212" s="230">
        <v>121008000</v>
      </c>
      <c r="BY212" s="230">
        <v>123492000</v>
      </c>
      <c r="BZ212" s="230">
        <v>-2484000</v>
      </c>
      <c r="CA212" s="229">
        <v>-2.01E-2</v>
      </c>
      <c r="CB212" s="230">
        <v>117618000</v>
      </c>
      <c r="CC212" s="230">
        <v>18303000</v>
      </c>
      <c r="CD212" s="230">
        <v>99315000</v>
      </c>
      <c r="CE212" s="229">
        <v>5.4261999999999997</v>
      </c>
      <c r="CF212" s="230">
        <v>3234000</v>
      </c>
      <c r="CG212" s="230">
        <v>120393000</v>
      </c>
      <c r="CH212" s="230">
        <v>-117159000</v>
      </c>
      <c r="CI212" s="229">
        <v>-0.97309999999999997</v>
      </c>
      <c r="CJ212" s="230">
        <v>156000</v>
      </c>
      <c r="CK212" s="230">
        <v>3099000</v>
      </c>
      <c r="CL212" s="230">
        <v>-2943000</v>
      </c>
      <c r="CM212" s="229">
        <v>-0.94969999999999999</v>
      </c>
      <c r="CN212" s="230">
        <v>35040000</v>
      </c>
      <c r="CO212" s="230">
        <v>27282000</v>
      </c>
      <c r="CP212" s="230">
        <v>7758000</v>
      </c>
      <c r="CQ212" s="229">
        <v>0.28439999999999999</v>
      </c>
      <c r="CR212" s="230">
        <v>22959000</v>
      </c>
      <c r="CS212" s="230">
        <v>20652000</v>
      </c>
      <c r="CT212" s="230">
        <v>2307000</v>
      </c>
      <c r="CU212" s="229">
        <v>0.11169999999999999</v>
      </c>
      <c r="CV212" s="230">
        <v>179007000</v>
      </c>
      <c r="CW212" s="230">
        <v>171426000</v>
      </c>
      <c r="CX212" s="230">
        <v>7581000</v>
      </c>
      <c r="CY212" s="229">
        <v>4.4200000000000003E-2</v>
      </c>
      <c r="CZ212" s="228">
        <v>23.96</v>
      </c>
      <c r="DA212" s="228">
        <v>25.1</v>
      </c>
      <c r="DB212" s="228">
        <v>-1.1399999999999999</v>
      </c>
      <c r="DC212" s="228">
        <v>-1.1399999999999999</v>
      </c>
      <c r="DD212" s="228">
        <v>31.01</v>
      </c>
      <c r="DE212" s="228">
        <v>31.06</v>
      </c>
      <c r="DF212" s="228">
        <v>-7.05</v>
      </c>
      <c r="DG212" s="228">
        <v>-0.05</v>
      </c>
      <c r="DH212" s="228">
        <v>23.85</v>
      </c>
      <c r="DI212" s="228">
        <v>25.16</v>
      </c>
      <c r="DJ212" s="228">
        <v>-1.31</v>
      </c>
      <c r="DK212" s="228">
        <v>-1.31</v>
      </c>
      <c r="DL212" s="228">
        <v>24.2</v>
      </c>
      <c r="DM212" s="228">
        <v>24.99</v>
      </c>
      <c r="DN212" s="228">
        <v>-0.79</v>
      </c>
      <c r="DO212" s="228">
        <v>-0.79</v>
      </c>
      <c r="DP212" s="228">
        <v>0.66</v>
      </c>
      <c r="DQ212" s="228">
        <v>0.76</v>
      </c>
      <c r="DR212" s="228">
        <v>-0.1</v>
      </c>
      <c r="DS212" s="229">
        <v>-0.13159999999999999</v>
      </c>
      <c r="DT212" s="228">
        <v>254</v>
      </c>
      <c r="DU212" s="228">
        <v>234</v>
      </c>
      <c r="DV212" s="228">
        <v>0.47</v>
      </c>
      <c r="DW212" s="228">
        <v>0.71</v>
      </c>
      <c r="DX212" s="228">
        <v>-0.24</v>
      </c>
      <c r="DY212" s="229">
        <v>-0.33800000000000002</v>
      </c>
      <c r="DZ212" s="229">
        <v>2.8000000000000001E-2</v>
      </c>
      <c r="EA212" s="230">
        <v>123492000</v>
      </c>
      <c r="EB212" s="229">
        <v>-8.0000000000000004E-4</v>
      </c>
      <c r="EC212" s="229">
        <v>2.8000000000000001E-2</v>
      </c>
      <c r="ED212" s="228">
        <v>0.01</v>
      </c>
      <c r="EE212" s="229">
        <v>0</v>
      </c>
      <c r="EF212" s="230">
        <v>6562348</v>
      </c>
      <c r="EG212" s="230">
        <v>9341157</v>
      </c>
      <c r="EH212" s="229">
        <v>-0.29749999999999999</v>
      </c>
      <c r="EI212" s="229">
        <v>0.61880000000000002</v>
      </c>
      <c r="EJ212" s="231">
        <v>94663.98</v>
      </c>
      <c r="EK212" s="231">
        <v>40743.64</v>
      </c>
      <c r="EL212" s="231">
        <v>38574.410000000003</v>
      </c>
      <c r="EM212" s="231">
        <v>32156</v>
      </c>
      <c r="EN212" s="231">
        <v>173982.03</v>
      </c>
      <c r="EO212" s="231">
        <v>340718.26</v>
      </c>
      <c r="EP212" s="231">
        <v>-166736.23000000001</v>
      </c>
      <c r="EQ212" s="229">
        <v>-0.4894</v>
      </c>
      <c r="ER212" s="231">
        <v>88832</v>
      </c>
      <c r="ES212" s="231">
        <v>54173</v>
      </c>
      <c r="ET212" s="231">
        <v>288598</v>
      </c>
      <c r="EU212" s="231">
        <v>358423198</v>
      </c>
      <c r="EV212" s="231">
        <v>431604</v>
      </c>
      <c r="EW212" s="231">
        <v>409713</v>
      </c>
      <c r="EX212" s="231">
        <v>21891</v>
      </c>
      <c r="EY212" s="229">
        <v>5.3400000000000003E-2</v>
      </c>
      <c r="EZ212" s="229">
        <v>0.49940000000000001</v>
      </c>
      <c r="FA212" s="227" t="s">
        <v>556</v>
      </c>
      <c r="FB212" s="161">
        <f t="shared" si="5"/>
        <v>0</v>
      </c>
    </row>
    <row r="213" spans="1:158" ht="17.25" thickBot="1" x14ac:dyDescent="0.3">
      <c r="A213" s="226">
        <v>46050</v>
      </c>
      <c r="B213" s="227" t="s">
        <v>172</v>
      </c>
      <c r="C213" s="227" t="s">
        <v>590</v>
      </c>
      <c r="D213" s="228">
        <v>31100</v>
      </c>
      <c r="E213" s="228">
        <v>21.56</v>
      </c>
      <c r="F213" s="228">
        <v>21.14</v>
      </c>
      <c r="G213" s="228">
        <v>0.42</v>
      </c>
      <c r="H213" s="229">
        <v>1.9900000000000001E-2</v>
      </c>
      <c r="I213" s="228">
        <v>21.48</v>
      </c>
      <c r="J213" s="228">
        <v>21.02</v>
      </c>
      <c r="K213" s="228">
        <v>0.46</v>
      </c>
      <c r="L213" s="229">
        <v>2.1899999999999999E-2</v>
      </c>
      <c r="M213" s="228">
        <v>21.56</v>
      </c>
      <c r="N213" s="228">
        <v>20.99</v>
      </c>
      <c r="O213" s="228">
        <v>0.56999999999999995</v>
      </c>
      <c r="P213" s="229">
        <v>2.7199999999999998E-2</v>
      </c>
      <c r="Q213" s="228">
        <v>21.7</v>
      </c>
      <c r="R213" s="228">
        <v>21.14</v>
      </c>
      <c r="S213" s="228">
        <v>0.56000000000000005</v>
      </c>
      <c r="T213" s="229">
        <v>2.6499999999999999E-2</v>
      </c>
      <c r="U213" s="228">
        <v>21.86</v>
      </c>
      <c r="V213" s="228">
        <v>21.33</v>
      </c>
      <c r="W213" s="228">
        <v>0.53</v>
      </c>
      <c r="X213" s="229">
        <v>2.4799999999999999E-2</v>
      </c>
      <c r="Y213" s="228">
        <v>0.08</v>
      </c>
      <c r="Z213" s="228">
        <v>0.12</v>
      </c>
      <c r="AA213" s="228">
        <v>-0.04</v>
      </c>
      <c r="AB213" s="229">
        <v>3.7000000000000002E-3</v>
      </c>
      <c r="AC213" s="228">
        <v>0.08</v>
      </c>
      <c r="AD213" s="228">
        <v>-0.03</v>
      </c>
      <c r="AE213" s="228">
        <v>0.11</v>
      </c>
      <c r="AF213" s="229">
        <v>3.7000000000000002E-3</v>
      </c>
      <c r="AG213" s="228">
        <v>0.22</v>
      </c>
      <c r="AH213" s="228">
        <v>0.12</v>
      </c>
      <c r="AI213" s="228">
        <v>0.1</v>
      </c>
      <c r="AJ213" s="229">
        <v>1.0200000000000001E-2</v>
      </c>
      <c r="AK213" s="228">
        <v>0.38</v>
      </c>
      <c r="AL213" s="228">
        <v>0.31</v>
      </c>
      <c r="AM213" s="228">
        <v>7.0000000000000007E-2</v>
      </c>
      <c r="AN213" s="229">
        <v>1.77E-2</v>
      </c>
      <c r="AO213" s="228">
        <v>21.49</v>
      </c>
      <c r="AP213" s="228">
        <v>21.63</v>
      </c>
      <c r="AQ213" s="228">
        <v>0</v>
      </c>
      <c r="AR213" s="230">
        <v>113857100</v>
      </c>
      <c r="AS213" s="230">
        <v>771902000</v>
      </c>
      <c r="AT213" s="230">
        <v>-658044900</v>
      </c>
      <c r="AU213" s="229">
        <v>-0.85250000000000004</v>
      </c>
      <c r="AV213" s="230">
        <v>103998400</v>
      </c>
      <c r="AW213" s="230">
        <v>345645400</v>
      </c>
      <c r="AX213" s="230">
        <v>-241647000</v>
      </c>
      <c r="AY213" s="229">
        <v>-0.69910000000000005</v>
      </c>
      <c r="AZ213" s="230">
        <v>8863500</v>
      </c>
      <c r="BA213" s="230">
        <v>401812000</v>
      </c>
      <c r="BB213" s="230">
        <v>-392948500</v>
      </c>
      <c r="BC213" s="229">
        <v>-0.97789999999999999</v>
      </c>
      <c r="BD213" s="230">
        <v>995200</v>
      </c>
      <c r="BE213" s="230">
        <v>24444600</v>
      </c>
      <c r="BF213" s="230">
        <v>-23449400</v>
      </c>
      <c r="BG213" s="229">
        <v>-0.95930000000000004</v>
      </c>
      <c r="BH213" s="230">
        <v>293957200</v>
      </c>
      <c r="BI213" s="230">
        <v>383618500</v>
      </c>
      <c r="BJ213" s="230">
        <v>-89661300</v>
      </c>
      <c r="BK213" s="229">
        <v>-0.23369999999999999</v>
      </c>
      <c r="BL213" s="230">
        <v>118553200</v>
      </c>
      <c r="BM213" s="230">
        <v>195774500</v>
      </c>
      <c r="BN213" s="230">
        <v>-77221300</v>
      </c>
      <c r="BO213" s="229">
        <v>-0.39439999999999997</v>
      </c>
      <c r="BP213" s="230">
        <v>526367500</v>
      </c>
      <c r="BQ213" s="230">
        <v>1351295000</v>
      </c>
      <c r="BR213" s="230">
        <v>-824927500</v>
      </c>
      <c r="BS213" s="229">
        <v>-0.61050000000000004</v>
      </c>
      <c r="BT213" s="230">
        <v>97733589</v>
      </c>
      <c r="BU213" s="230">
        <v>123593147</v>
      </c>
      <c r="BV213" s="230">
        <v>-25859558</v>
      </c>
      <c r="BW213" s="229">
        <v>-0.2092</v>
      </c>
      <c r="BX213" s="230">
        <v>1052859400</v>
      </c>
      <c r="BY213" s="230">
        <v>1060634400</v>
      </c>
      <c r="BZ213" s="230">
        <v>-7775000</v>
      </c>
      <c r="CA213" s="229">
        <v>-7.3000000000000001E-3</v>
      </c>
      <c r="CB213" s="230">
        <v>999678400</v>
      </c>
      <c r="CC213" s="230">
        <v>43291200</v>
      </c>
      <c r="CD213" s="230">
        <v>956387200</v>
      </c>
      <c r="CE213" s="229">
        <v>22.091999999999999</v>
      </c>
      <c r="CF213" s="230">
        <v>52372400</v>
      </c>
      <c r="CG213" s="230">
        <v>1008977300</v>
      </c>
      <c r="CH213" s="230">
        <v>-956604900</v>
      </c>
      <c r="CI213" s="229">
        <v>-0.94810000000000005</v>
      </c>
      <c r="CJ213" s="230">
        <v>808600</v>
      </c>
      <c r="CK213" s="230">
        <v>51657100</v>
      </c>
      <c r="CL213" s="230">
        <v>-50848500</v>
      </c>
      <c r="CM213" s="229">
        <v>-0.98429999999999995</v>
      </c>
      <c r="CN213" s="230">
        <v>295543300</v>
      </c>
      <c r="CO213" s="230">
        <v>268641800</v>
      </c>
      <c r="CP213" s="230">
        <v>26901500</v>
      </c>
      <c r="CQ213" s="229">
        <v>0.10009999999999999</v>
      </c>
      <c r="CR213" s="230">
        <v>195308000</v>
      </c>
      <c r="CS213" s="230">
        <v>184671800</v>
      </c>
      <c r="CT213" s="230">
        <v>10636200</v>
      </c>
      <c r="CU213" s="229">
        <v>5.7599999999999998E-2</v>
      </c>
      <c r="CV213" s="230">
        <v>1543710700</v>
      </c>
      <c r="CW213" s="230">
        <v>1513948000</v>
      </c>
      <c r="CX213" s="230">
        <v>29762700</v>
      </c>
      <c r="CY213" s="229">
        <v>1.9699999999999999E-2</v>
      </c>
      <c r="CZ213" s="228">
        <v>34.159999999999997</v>
      </c>
      <c r="DA213" s="228">
        <v>34.99</v>
      </c>
      <c r="DB213" s="228">
        <v>-0.83</v>
      </c>
      <c r="DC213" s="228">
        <v>-0.83</v>
      </c>
      <c r="DD213" s="228">
        <v>39.32</v>
      </c>
      <c r="DE213" s="228">
        <v>39.33</v>
      </c>
      <c r="DF213" s="228">
        <v>-5.16</v>
      </c>
      <c r="DG213" s="228">
        <v>-0.01</v>
      </c>
      <c r="DH213" s="228">
        <v>34.99</v>
      </c>
      <c r="DI213" s="228">
        <v>36.049999999999997</v>
      </c>
      <c r="DJ213" s="228">
        <v>-1.06</v>
      </c>
      <c r="DK213" s="228">
        <v>-1.06</v>
      </c>
      <c r="DL213" s="228">
        <v>32.119999999999997</v>
      </c>
      <c r="DM213" s="228">
        <v>32.57</v>
      </c>
      <c r="DN213" s="228">
        <v>-0.45</v>
      </c>
      <c r="DO213" s="228">
        <v>-0.45</v>
      </c>
      <c r="DP213" s="228">
        <v>0.66</v>
      </c>
      <c r="DQ213" s="228">
        <v>0.69</v>
      </c>
      <c r="DR213" s="228">
        <v>-0.03</v>
      </c>
      <c r="DS213" s="229">
        <v>-4.3499999999999997E-2</v>
      </c>
      <c r="DT213" s="228">
        <v>23</v>
      </c>
      <c r="DU213" s="228">
        <v>21</v>
      </c>
      <c r="DV213" s="228">
        <v>0.4</v>
      </c>
      <c r="DW213" s="228">
        <v>0.51</v>
      </c>
      <c r="DX213" s="228">
        <v>-0.11</v>
      </c>
      <c r="DY213" s="229">
        <v>-0.2157</v>
      </c>
      <c r="DZ213" s="229">
        <v>5.0500000000000003E-2</v>
      </c>
      <c r="EA213" s="230">
        <v>1060634400</v>
      </c>
      <c r="EB213" s="229">
        <v>6.4999999999999997E-3</v>
      </c>
      <c r="EC213" s="229">
        <v>5.0500000000000003E-2</v>
      </c>
      <c r="ED213" s="228">
        <v>0.14000000000000001</v>
      </c>
      <c r="EE213" s="229">
        <v>6.4999999999999997E-3</v>
      </c>
      <c r="EF213" s="230">
        <v>47587328</v>
      </c>
      <c r="EG213" s="230">
        <v>51269051</v>
      </c>
      <c r="EH213" s="229">
        <v>-7.1800000000000003E-2</v>
      </c>
      <c r="EI213" s="229">
        <v>0.4869</v>
      </c>
      <c r="EJ213" s="231">
        <v>69262.490000000005</v>
      </c>
      <c r="EK213" s="231">
        <v>24639.38</v>
      </c>
      <c r="EL213" s="231">
        <v>24480.31</v>
      </c>
      <c r="EM213" s="231">
        <v>21251</v>
      </c>
      <c r="EN213" s="231">
        <v>118382.18</v>
      </c>
      <c r="EO213" s="231">
        <v>291346.69</v>
      </c>
      <c r="EP213" s="231">
        <v>-172964.51</v>
      </c>
      <c r="EQ213" s="229">
        <v>-0.59370000000000001</v>
      </c>
      <c r="ER213" s="231">
        <v>69755</v>
      </c>
      <c r="ES213" s="231">
        <v>41361</v>
      </c>
      <c r="ET213" s="231">
        <v>227072</v>
      </c>
      <c r="EU213" s="231">
        <v>3547322779</v>
      </c>
      <c r="EV213" s="231">
        <v>338188</v>
      </c>
      <c r="EW213" s="231">
        <v>327003</v>
      </c>
      <c r="EX213" s="231">
        <v>11185</v>
      </c>
      <c r="EY213" s="229">
        <v>3.4200000000000001E-2</v>
      </c>
      <c r="EZ213" s="229">
        <v>0.43519999999999998</v>
      </c>
      <c r="FA213" s="227" t="s">
        <v>556</v>
      </c>
      <c r="FB213" s="161">
        <f t="shared" si="5"/>
        <v>0</v>
      </c>
    </row>
    <row r="214" spans="1:158" ht="17.25" thickBot="1" x14ac:dyDescent="0.3">
      <c r="A214" s="226">
        <v>46050</v>
      </c>
      <c r="B214" s="227" t="s">
        <v>170</v>
      </c>
      <c r="C214" s="227" t="s">
        <v>557</v>
      </c>
      <c r="D214" s="228">
        <v>900</v>
      </c>
      <c r="E214" s="228">
        <v>900.45</v>
      </c>
      <c r="F214" s="228">
        <v>899.3</v>
      </c>
      <c r="G214" s="228">
        <v>1.1499999999999999</v>
      </c>
      <c r="H214" s="229">
        <v>1.2999999999999999E-3</v>
      </c>
      <c r="I214" s="228">
        <v>896.9</v>
      </c>
      <c r="J214" s="228">
        <v>893.35</v>
      </c>
      <c r="K214" s="228">
        <v>3.55</v>
      </c>
      <c r="L214" s="229">
        <v>4.0000000000000001E-3</v>
      </c>
      <c r="M214" s="228">
        <v>900.45</v>
      </c>
      <c r="N214" s="228">
        <v>893.9</v>
      </c>
      <c r="O214" s="228">
        <v>6.55</v>
      </c>
      <c r="P214" s="229">
        <v>7.3000000000000001E-3</v>
      </c>
      <c r="Q214" s="228">
        <v>905.65</v>
      </c>
      <c r="R214" s="228">
        <v>899.3</v>
      </c>
      <c r="S214" s="228">
        <v>6.35</v>
      </c>
      <c r="T214" s="229">
        <v>7.1000000000000004E-3</v>
      </c>
      <c r="U214" s="228">
        <v>0</v>
      </c>
      <c r="V214" s="228">
        <v>905.4</v>
      </c>
      <c r="W214" s="228">
        <v>0</v>
      </c>
      <c r="X214" s="229">
        <v>0</v>
      </c>
      <c r="Y214" s="228">
        <v>3.55</v>
      </c>
      <c r="Z214" s="228">
        <v>5.95</v>
      </c>
      <c r="AA214" s="228">
        <v>-2.4</v>
      </c>
      <c r="AB214" s="229">
        <v>4.0000000000000001E-3</v>
      </c>
      <c r="AC214" s="228">
        <v>3.55</v>
      </c>
      <c r="AD214" s="228">
        <v>0.55000000000000004</v>
      </c>
      <c r="AE214" s="228">
        <v>3</v>
      </c>
      <c r="AF214" s="229">
        <v>4.0000000000000001E-3</v>
      </c>
      <c r="AG214" s="228">
        <v>8.75</v>
      </c>
      <c r="AH214" s="228">
        <v>5.95</v>
      </c>
      <c r="AI214" s="228">
        <v>2.8</v>
      </c>
      <c r="AJ214" s="229">
        <v>9.7999999999999997E-3</v>
      </c>
      <c r="AK214" s="228">
        <v>0</v>
      </c>
      <c r="AL214" s="228">
        <v>12.05</v>
      </c>
      <c r="AM214" s="228">
        <v>0</v>
      </c>
      <c r="AN214" s="229">
        <v>0</v>
      </c>
      <c r="AO214" s="228">
        <v>897.08</v>
      </c>
      <c r="AP214" s="228">
        <v>902.1</v>
      </c>
      <c r="AQ214" s="228">
        <v>0</v>
      </c>
      <c r="AR214" s="230">
        <v>1047600</v>
      </c>
      <c r="AS214" s="230">
        <v>7110000</v>
      </c>
      <c r="AT214" s="230">
        <v>-6062400</v>
      </c>
      <c r="AU214" s="229">
        <v>-0.85270000000000001</v>
      </c>
      <c r="AV214" s="230">
        <v>997200</v>
      </c>
      <c r="AW214" s="230">
        <v>3021300</v>
      </c>
      <c r="AX214" s="230">
        <v>-2024100</v>
      </c>
      <c r="AY214" s="229">
        <v>-0.66990000000000005</v>
      </c>
      <c r="AZ214" s="230">
        <v>50400</v>
      </c>
      <c r="BA214" s="230">
        <v>4028400</v>
      </c>
      <c r="BB214" s="230">
        <v>-3978000</v>
      </c>
      <c r="BC214" s="229">
        <v>-0.98750000000000004</v>
      </c>
      <c r="BD214" s="228">
        <v>0</v>
      </c>
      <c r="BE214" s="230">
        <v>60300</v>
      </c>
      <c r="BF214" s="228">
        <v>0</v>
      </c>
      <c r="BG214" s="229">
        <v>0</v>
      </c>
      <c r="BH214" s="230">
        <v>1144800</v>
      </c>
      <c r="BI214" s="230">
        <v>2669400</v>
      </c>
      <c r="BJ214" s="230">
        <v>-1524600</v>
      </c>
      <c r="BK214" s="229">
        <v>-0.57110000000000005</v>
      </c>
      <c r="BL214" s="230">
        <v>941400</v>
      </c>
      <c r="BM214" s="230">
        <v>1863000</v>
      </c>
      <c r="BN214" s="230">
        <v>-921600</v>
      </c>
      <c r="BO214" s="229">
        <v>-0.49469999999999997</v>
      </c>
      <c r="BP214" s="230">
        <v>3133800</v>
      </c>
      <c r="BQ214" s="230">
        <v>11642400</v>
      </c>
      <c r="BR214" s="230">
        <v>-8508600</v>
      </c>
      <c r="BS214" s="229">
        <v>-0.73080000000000001</v>
      </c>
      <c r="BT214" s="230">
        <v>340704</v>
      </c>
      <c r="BU214" s="230">
        <v>512411</v>
      </c>
      <c r="BV214" s="230">
        <v>-171707</v>
      </c>
      <c r="BW214" s="229">
        <v>-0.33510000000000001</v>
      </c>
      <c r="BX214" s="230">
        <v>8786700</v>
      </c>
      <c r="BY214" s="230">
        <v>8824500</v>
      </c>
      <c r="BZ214" s="230">
        <v>-37800</v>
      </c>
      <c r="CA214" s="229">
        <v>-4.3E-3</v>
      </c>
      <c r="CB214" s="230">
        <v>8653500</v>
      </c>
      <c r="CC214" s="230">
        <v>339300</v>
      </c>
      <c r="CD214" s="230">
        <v>8314200</v>
      </c>
      <c r="CE214" s="229">
        <v>24.504000000000001</v>
      </c>
      <c r="CF214" s="230">
        <v>133200</v>
      </c>
      <c r="CG214" s="230">
        <v>8700300</v>
      </c>
      <c r="CH214" s="230">
        <v>-8567100</v>
      </c>
      <c r="CI214" s="229">
        <v>-0.98470000000000002</v>
      </c>
      <c r="CJ214" s="228">
        <v>0</v>
      </c>
      <c r="CK214" s="230">
        <v>124200</v>
      </c>
      <c r="CL214" s="230">
        <v>-124200</v>
      </c>
      <c r="CM214" s="229">
        <v>-1</v>
      </c>
      <c r="CN214" s="230">
        <v>1299600</v>
      </c>
      <c r="CO214" s="230">
        <v>899100</v>
      </c>
      <c r="CP214" s="230">
        <v>400500</v>
      </c>
      <c r="CQ214" s="229">
        <v>0.44540000000000002</v>
      </c>
      <c r="CR214" s="230">
        <v>1431000</v>
      </c>
      <c r="CS214" s="230">
        <v>1228500</v>
      </c>
      <c r="CT214" s="230">
        <v>202500</v>
      </c>
      <c r="CU214" s="229">
        <v>0.1648</v>
      </c>
      <c r="CV214" s="230">
        <v>11517300</v>
      </c>
      <c r="CW214" s="230">
        <v>10952100</v>
      </c>
      <c r="CX214" s="230">
        <v>565200</v>
      </c>
      <c r="CY214" s="229">
        <v>5.16E-2</v>
      </c>
      <c r="CZ214" s="228">
        <v>26.45</v>
      </c>
      <c r="DA214" s="228">
        <v>27.62</v>
      </c>
      <c r="DB214" s="228">
        <v>-1.17</v>
      </c>
      <c r="DC214" s="228">
        <v>-1.17</v>
      </c>
      <c r="DD214" s="228">
        <v>27.17</v>
      </c>
      <c r="DE214" s="228">
        <v>27.24</v>
      </c>
      <c r="DF214" s="228">
        <v>-0.72</v>
      </c>
      <c r="DG214" s="228">
        <v>-7.0000000000000007E-2</v>
      </c>
      <c r="DH214" s="228">
        <v>26.03</v>
      </c>
      <c r="DI214" s="228">
        <v>27.21</v>
      </c>
      <c r="DJ214" s="228">
        <v>-1.18</v>
      </c>
      <c r="DK214" s="228">
        <v>-1.18</v>
      </c>
      <c r="DL214" s="228">
        <v>26.95</v>
      </c>
      <c r="DM214" s="228">
        <v>27.99</v>
      </c>
      <c r="DN214" s="228">
        <v>-1.04</v>
      </c>
      <c r="DO214" s="228">
        <v>-1.04</v>
      </c>
      <c r="DP214" s="228">
        <v>1.1000000000000001</v>
      </c>
      <c r="DQ214" s="228">
        <v>1.37</v>
      </c>
      <c r="DR214" s="228">
        <v>-0.27</v>
      </c>
      <c r="DS214" s="229">
        <v>-0.1971</v>
      </c>
      <c r="DT214" s="228">
        <v>900</v>
      </c>
      <c r="DU214" s="228">
        <v>900</v>
      </c>
      <c r="DV214" s="228">
        <v>0.82</v>
      </c>
      <c r="DW214" s="228">
        <v>0.7</v>
      </c>
      <c r="DX214" s="228">
        <v>0.12</v>
      </c>
      <c r="DY214" s="229">
        <v>0.1714</v>
      </c>
      <c r="DZ214" s="229">
        <v>1.52E-2</v>
      </c>
      <c r="EA214" s="230">
        <v>8824500</v>
      </c>
      <c r="EB214" s="229">
        <v>5.7999999999999996E-3</v>
      </c>
      <c r="EC214" s="229">
        <v>1.52E-2</v>
      </c>
      <c r="ED214" s="228">
        <v>5.0199999999999996</v>
      </c>
      <c r="EE214" s="229">
        <v>5.5999999999999999E-3</v>
      </c>
      <c r="EF214" s="230">
        <v>186934</v>
      </c>
      <c r="EG214" s="230">
        <v>274282</v>
      </c>
      <c r="EH214" s="229">
        <v>-0.31850000000000001</v>
      </c>
      <c r="EI214" s="229">
        <v>0.54869999999999997</v>
      </c>
      <c r="EJ214" s="231">
        <v>10902.43</v>
      </c>
      <c r="EK214" s="231">
        <v>8550.6</v>
      </c>
      <c r="EL214" s="231">
        <v>9400.31</v>
      </c>
      <c r="EM214" s="231">
        <v>8265</v>
      </c>
      <c r="EN214" s="231">
        <v>28853.34</v>
      </c>
      <c r="EO214" s="231">
        <v>105906.22</v>
      </c>
      <c r="EP214" s="231">
        <v>-77052.88</v>
      </c>
      <c r="EQ214" s="229">
        <v>-0.72760000000000002</v>
      </c>
      <c r="ER214" s="231">
        <v>12385</v>
      </c>
      <c r="ES214" s="231">
        <v>12935</v>
      </c>
      <c r="ET214" s="231">
        <v>79127</v>
      </c>
      <c r="EU214" s="231">
        <v>37741451</v>
      </c>
      <c r="EV214" s="231">
        <v>104447</v>
      </c>
      <c r="EW214" s="231">
        <v>99089</v>
      </c>
      <c r="EX214" s="231">
        <v>5358</v>
      </c>
      <c r="EY214" s="229">
        <v>5.4100000000000002E-2</v>
      </c>
      <c r="EZ214" s="229">
        <v>0.30520000000000003</v>
      </c>
      <c r="FA214" s="227" t="s">
        <v>556</v>
      </c>
      <c r="FB214" s="161">
        <f t="shared" si="5"/>
        <v>0</v>
      </c>
    </row>
    <row r="215" spans="1:158" x14ac:dyDescent="0.25">
      <c r="FB215" s="161">
        <f t="shared" si="5"/>
        <v>0</v>
      </c>
    </row>
    <row r="216" spans="1:158" x14ac:dyDescent="0.25">
      <c r="FB216" s="161">
        <f t="shared" si="5"/>
        <v>0</v>
      </c>
    </row>
    <row r="217" spans="1:158" x14ac:dyDescent="0.25">
      <c r="FB217" s="161">
        <f t="shared" si="5"/>
        <v>0</v>
      </c>
    </row>
    <row r="218" spans="1:158" x14ac:dyDescent="0.25">
      <c r="FB218" s="161">
        <f t="shared" si="5"/>
        <v>0</v>
      </c>
    </row>
    <row r="219" spans="1:158" x14ac:dyDescent="0.25">
      <c r="FB219" s="161">
        <f t="shared" si="5"/>
        <v>0</v>
      </c>
    </row>
    <row r="220" spans="1:158" x14ac:dyDescent="0.25">
      <c r="FB220" s="161">
        <f t="shared" si="5"/>
        <v>0</v>
      </c>
    </row>
    <row r="221" spans="1:158" x14ac:dyDescent="0.25">
      <c r="FB221" s="161">
        <f t="shared" si="5"/>
        <v>0</v>
      </c>
    </row>
    <row r="222" spans="1:158" x14ac:dyDescent="0.25">
      <c r="FB222" s="161">
        <f t="shared" si="5"/>
        <v>0</v>
      </c>
    </row>
    <row r="223" spans="1:158" x14ac:dyDescent="0.25">
      <c r="FB223" s="161">
        <f t="shared" si="5"/>
        <v>0</v>
      </c>
    </row>
    <row r="224" spans="1:158" x14ac:dyDescent="0.25">
      <c r="FB224" s="161">
        <f t="shared" si="5"/>
        <v>0</v>
      </c>
    </row>
    <row r="225" spans="158:158" x14ac:dyDescent="0.25">
      <c r="FB225" s="161">
        <f t="shared" si="5"/>
        <v>0</v>
      </c>
    </row>
    <row r="226" spans="158:158" x14ac:dyDescent="0.25">
      <c r="FB226" s="161">
        <f t="shared" si="5"/>
        <v>0</v>
      </c>
    </row>
    <row r="227" spans="158:158" x14ac:dyDescent="0.25">
      <c r="FB227" s="161">
        <f t="shared" si="5"/>
        <v>0</v>
      </c>
    </row>
    <row r="228" spans="158:158" x14ac:dyDescent="0.25">
      <c r="FB228" s="161">
        <f t="shared" si="5"/>
        <v>0</v>
      </c>
    </row>
    <row r="229" spans="158:158" x14ac:dyDescent="0.25">
      <c r="FB229" s="161">
        <f t="shared" si="5"/>
        <v>0</v>
      </c>
    </row>
    <row r="230" spans="158:158" x14ac:dyDescent="0.25">
      <c r="FB230" s="161">
        <f t="shared" si="5"/>
        <v>0</v>
      </c>
    </row>
    <row r="231" spans="158:158" x14ac:dyDescent="0.25">
      <c r="FB231" s="161">
        <f t="shared" si="5"/>
        <v>0</v>
      </c>
    </row>
    <row r="232" spans="158:158" x14ac:dyDescent="0.25">
      <c r="FB232" s="161">
        <f t="shared" si="5"/>
        <v>0</v>
      </c>
    </row>
    <row r="233" spans="158:158" x14ac:dyDescent="0.25">
      <c r="FB233" s="161">
        <f t="shared" si="5"/>
        <v>0</v>
      </c>
    </row>
    <row r="234" spans="158:158" x14ac:dyDescent="0.25">
      <c r="FB234" s="161">
        <f t="shared" si="5"/>
        <v>0</v>
      </c>
    </row>
    <row r="235" spans="158:158" x14ac:dyDescent="0.25">
      <c r="FB235" s="161">
        <f t="shared" si="5"/>
        <v>0</v>
      </c>
    </row>
    <row r="236" spans="158:158" x14ac:dyDescent="0.25">
      <c r="FB236" s="161">
        <f t="shared" si="5"/>
        <v>0</v>
      </c>
    </row>
    <row r="237" spans="158:158" x14ac:dyDescent="0.25">
      <c r="FB237" s="161">
        <f t="shared" si="5"/>
        <v>0</v>
      </c>
    </row>
    <row r="238" spans="158:158" x14ac:dyDescent="0.25">
      <c r="FB238" s="161">
        <f t="shared" si="5"/>
        <v>0</v>
      </c>
    </row>
    <row r="239" spans="158:158" x14ac:dyDescent="0.25">
      <c r="FB239" s="161">
        <f t="shared" si="5"/>
        <v>0</v>
      </c>
    </row>
    <row r="240" spans="158:158" x14ac:dyDescent="0.25">
      <c r="FB240" s="161">
        <f t="shared" si="5"/>
        <v>0</v>
      </c>
    </row>
    <row r="241" spans="158:158" x14ac:dyDescent="0.25">
      <c r="FB241" s="161">
        <f t="shared" si="5"/>
        <v>0</v>
      </c>
    </row>
    <row r="242" spans="158:158" x14ac:dyDescent="0.25">
      <c r="FB242" s="161">
        <f t="shared" si="5"/>
        <v>0</v>
      </c>
    </row>
    <row r="243" spans="158:158" x14ac:dyDescent="0.25">
      <c r="FB243" s="161">
        <f t="shared" si="5"/>
        <v>0</v>
      </c>
    </row>
    <row r="244" spans="158:158" x14ac:dyDescent="0.25">
      <c r="FB244" s="161">
        <f t="shared" si="5"/>
        <v>0</v>
      </c>
    </row>
    <row r="245" spans="158:158" x14ac:dyDescent="0.25">
      <c r="FB245" s="161">
        <f t="shared" si="5"/>
        <v>0</v>
      </c>
    </row>
    <row r="246" spans="158:158" x14ac:dyDescent="0.25">
      <c r="FB246" s="161">
        <f t="shared" si="5"/>
        <v>0</v>
      </c>
    </row>
    <row r="247" spans="158:158" x14ac:dyDescent="0.25">
      <c r="FB247" s="161">
        <f t="shared" si="5"/>
        <v>0</v>
      </c>
    </row>
    <row r="248" spans="158:158" x14ac:dyDescent="0.25">
      <c r="FB248" s="161">
        <f t="shared" si="5"/>
        <v>0</v>
      </c>
    </row>
    <row r="249" spans="158:158" x14ac:dyDescent="0.25">
      <c r="FB249" s="161">
        <f t="shared" si="5"/>
        <v>0</v>
      </c>
    </row>
    <row r="250" spans="158:158" x14ac:dyDescent="0.25">
      <c r="FB250" s="161">
        <f t="shared" si="5"/>
        <v>0</v>
      </c>
    </row>
    <row r="251" spans="158:158" x14ac:dyDescent="0.25">
      <c r="FB251" s="161">
        <f t="shared" si="5"/>
        <v>0</v>
      </c>
    </row>
    <row r="252" spans="158:158" x14ac:dyDescent="0.25">
      <c r="FB252" s="161">
        <f t="shared" si="5"/>
        <v>0</v>
      </c>
    </row>
    <row r="253" spans="158:158" x14ac:dyDescent="0.25">
      <c r="FB253" s="161">
        <f t="shared" si="5"/>
        <v>0</v>
      </c>
    </row>
    <row r="254" spans="158:158" x14ac:dyDescent="0.25">
      <c r="FB254" s="161">
        <f t="shared" si="5"/>
        <v>0</v>
      </c>
    </row>
    <row r="255" spans="158:158" x14ac:dyDescent="0.25">
      <c r="FB255" s="161">
        <f t="shared" si="5"/>
        <v>0</v>
      </c>
    </row>
    <row r="256" spans="158:158" x14ac:dyDescent="0.25">
      <c r="FB256" s="161">
        <f t="shared" si="5"/>
        <v>0</v>
      </c>
    </row>
    <row r="257" spans="158:158" x14ac:dyDescent="0.25">
      <c r="FB257" s="161">
        <f t="shared" si="5"/>
        <v>0</v>
      </c>
    </row>
    <row r="258" spans="158:158" x14ac:dyDescent="0.25">
      <c r="FB258" s="161">
        <f t="shared" si="5"/>
        <v>0</v>
      </c>
    </row>
    <row r="259" spans="158:158" x14ac:dyDescent="0.25">
      <c r="FB259" s="161">
        <f t="shared" ref="FB259:FB322" si="6">BX324-CB324</f>
        <v>0</v>
      </c>
    </row>
    <row r="260" spans="158:158" x14ac:dyDescent="0.25">
      <c r="FB260" s="161">
        <f t="shared" si="6"/>
        <v>0</v>
      </c>
    </row>
    <row r="261" spans="158:158" x14ac:dyDescent="0.25">
      <c r="FB261" s="161">
        <f t="shared" si="6"/>
        <v>0</v>
      </c>
    </row>
    <row r="262" spans="158:158" x14ac:dyDescent="0.25">
      <c r="FB262" s="161">
        <f t="shared" si="6"/>
        <v>0</v>
      </c>
    </row>
    <row r="263" spans="158:158" x14ac:dyDescent="0.25">
      <c r="FB263" s="161">
        <f t="shared" si="6"/>
        <v>0</v>
      </c>
    </row>
    <row r="264" spans="158:158" x14ac:dyDescent="0.25">
      <c r="FB264" s="161">
        <f t="shared" si="6"/>
        <v>0</v>
      </c>
    </row>
    <row r="265" spans="158:158" x14ac:dyDescent="0.25">
      <c r="FB265" s="161">
        <f t="shared" si="6"/>
        <v>0</v>
      </c>
    </row>
    <row r="266" spans="158:158" x14ac:dyDescent="0.25">
      <c r="FB266" s="161">
        <f t="shared" si="6"/>
        <v>0</v>
      </c>
    </row>
    <row r="267" spans="158:158" x14ac:dyDescent="0.25">
      <c r="FB267" s="161">
        <f t="shared" si="6"/>
        <v>0</v>
      </c>
    </row>
    <row r="268" spans="158:158" x14ac:dyDescent="0.25">
      <c r="FB268" s="161">
        <f t="shared" si="6"/>
        <v>0</v>
      </c>
    </row>
    <row r="269" spans="158:158" x14ac:dyDescent="0.25">
      <c r="FB269" s="161">
        <f t="shared" si="6"/>
        <v>0</v>
      </c>
    </row>
    <row r="270" spans="158:158" x14ac:dyDescent="0.25">
      <c r="FB270" s="161">
        <f t="shared" si="6"/>
        <v>0</v>
      </c>
    </row>
    <row r="271" spans="158:158" x14ac:dyDescent="0.25">
      <c r="FB271" s="161">
        <f t="shared" si="6"/>
        <v>0</v>
      </c>
    </row>
    <row r="272" spans="158:158" x14ac:dyDescent="0.25">
      <c r="FB272" s="161">
        <f t="shared" si="6"/>
        <v>0</v>
      </c>
    </row>
    <row r="273" spans="158:158" x14ac:dyDescent="0.25">
      <c r="FB273" s="161">
        <f t="shared" si="6"/>
        <v>0</v>
      </c>
    </row>
    <row r="274" spans="158:158" x14ac:dyDescent="0.25">
      <c r="FB274" s="161">
        <f t="shared" si="6"/>
        <v>0</v>
      </c>
    </row>
    <row r="275" spans="158:158" x14ac:dyDescent="0.25">
      <c r="FB275" s="161">
        <f t="shared" si="6"/>
        <v>0</v>
      </c>
    </row>
    <row r="276" spans="158:158" x14ac:dyDescent="0.25">
      <c r="FB276" s="161">
        <f t="shared" si="6"/>
        <v>0</v>
      </c>
    </row>
    <row r="277" spans="158:158" x14ac:dyDescent="0.25">
      <c r="FB277" s="161">
        <f t="shared" si="6"/>
        <v>0</v>
      </c>
    </row>
    <row r="278" spans="158:158" x14ac:dyDescent="0.25">
      <c r="FB278" s="161">
        <f t="shared" si="6"/>
        <v>0</v>
      </c>
    </row>
    <row r="279" spans="158:158" x14ac:dyDescent="0.25">
      <c r="FB279" s="161">
        <f t="shared" si="6"/>
        <v>0</v>
      </c>
    </row>
    <row r="280" spans="158:158" x14ac:dyDescent="0.25">
      <c r="FB280" s="161">
        <f t="shared" si="6"/>
        <v>0</v>
      </c>
    </row>
    <row r="281" spans="158:158" x14ac:dyDescent="0.25">
      <c r="FB281" s="161">
        <f t="shared" si="6"/>
        <v>0</v>
      </c>
    </row>
    <row r="282" spans="158:158" x14ac:dyDescent="0.25">
      <c r="FB282" s="161">
        <f t="shared" si="6"/>
        <v>0</v>
      </c>
    </row>
    <row r="283" spans="158:158" x14ac:dyDescent="0.25">
      <c r="FB283" s="161">
        <f t="shared" si="6"/>
        <v>0</v>
      </c>
    </row>
    <row r="284" spans="158:158" x14ac:dyDescent="0.25">
      <c r="FB284" s="161">
        <f t="shared" si="6"/>
        <v>0</v>
      </c>
    </row>
    <row r="285" spans="158:158" x14ac:dyDescent="0.25">
      <c r="FB285" s="161">
        <f t="shared" si="6"/>
        <v>0</v>
      </c>
    </row>
    <row r="286" spans="158:158" x14ac:dyDescent="0.25">
      <c r="FB286" s="161">
        <f t="shared" si="6"/>
        <v>0</v>
      </c>
    </row>
    <row r="287" spans="158:158" x14ac:dyDescent="0.25">
      <c r="FB287" s="161">
        <f t="shared" si="6"/>
        <v>0</v>
      </c>
    </row>
    <row r="288" spans="158:158" x14ac:dyDescent="0.25">
      <c r="FB288" s="161">
        <f t="shared" si="6"/>
        <v>0</v>
      </c>
    </row>
    <row r="289" spans="158:158" x14ac:dyDescent="0.25">
      <c r="FB289" s="161">
        <f t="shared" si="6"/>
        <v>0</v>
      </c>
    </row>
    <row r="290" spans="158:158" x14ac:dyDescent="0.25">
      <c r="FB290" s="161">
        <f t="shared" si="6"/>
        <v>0</v>
      </c>
    </row>
    <row r="291" spans="158:158" x14ac:dyDescent="0.25">
      <c r="FB291" s="161">
        <f t="shared" si="6"/>
        <v>0</v>
      </c>
    </row>
    <row r="292" spans="158:158" x14ac:dyDescent="0.25">
      <c r="FB292" s="161">
        <f t="shared" si="6"/>
        <v>0</v>
      </c>
    </row>
    <row r="293" spans="158:158" x14ac:dyDescent="0.25">
      <c r="FB293" s="161">
        <f t="shared" si="6"/>
        <v>0</v>
      </c>
    </row>
    <row r="294" spans="158:158" x14ac:dyDescent="0.25">
      <c r="FB294" s="161">
        <f t="shared" si="6"/>
        <v>0</v>
      </c>
    </row>
    <row r="295" spans="158:158" x14ac:dyDescent="0.25">
      <c r="FB295" s="161">
        <f t="shared" si="6"/>
        <v>0</v>
      </c>
    </row>
    <row r="296" spans="158:158" x14ac:dyDescent="0.25">
      <c r="FB296" s="161">
        <f t="shared" si="6"/>
        <v>0</v>
      </c>
    </row>
    <row r="297" spans="158:158" x14ac:dyDescent="0.25">
      <c r="FB297" s="161">
        <f t="shared" si="6"/>
        <v>0</v>
      </c>
    </row>
    <row r="298" spans="158:158" x14ac:dyDescent="0.25">
      <c r="FB298" s="161">
        <f t="shared" si="6"/>
        <v>0</v>
      </c>
    </row>
    <row r="299" spans="158:158" x14ac:dyDescent="0.25">
      <c r="FB299" s="161">
        <f t="shared" si="6"/>
        <v>0</v>
      </c>
    </row>
    <row r="300" spans="158:158" x14ac:dyDescent="0.25">
      <c r="FB300" s="161">
        <f t="shared" si="6"/>
        <v>0</v>
      </c>
    </row>
    <row r="301" spans="158:158" x14ac:dyDescent="0.25">
      <c r="FB301" s="161">
        <f t="shared" si="6"/>
        <v>0</v>
      </c>
    </row>
    <row r="302" spans="158:158" x14ac:dyDescent="0.25">
      <c r="FB302" s="161">
        <f t="shared" si="6"/>
        <v>0</v>
      </c>
    </row>
    <row r="303" spans="158:158" x14ac:dyDescent="0.25">
      <c r="FB303" s="161">
        <f t="shared" si="6"/>
        <v>0</v>
      </c>
    </row>
    <row r="304" spans="158:158" x14ac:dyDescent="0.25">
      <c r="FB304" s="161">
        <f t="shared" si="6"/>
        <v>0</v>
      </c>
    </row>
    <row r="305" spans="158:158" x14ac:dyDescent="0.25">
      <c r="FB305" s="161">
        <f t="shared" si="6"/>
        <v>0</v>
      </c>
    </row>
    <row r="306" spans="158:158" x14ac:dyDescent="0.25">
      <c r="FB306" s="161">
        <f t="shared" si="6"/>
        <v>0</v>
      </c>
    </row>
    <row r="307" spans="158:158" x14ac:dyDescent="0.25">
      <c r="FB307" s="161">
        <f t="shared" si="6"/>
        <v>0</v>
      </c>
    </row>
    <row r="308" spans="158:158" x14ac:dyDescent="0.25">
      <c r="FB308" s="161">
        <f t="shared" si="6"/>
        <v>0</v>
      </c>
    </row>
    <row r="309" spans="158:158" x14ac:dyDescent="0.25">
      <c r="FB309" s="161">
        <f t="shared" si="6"/>
        <v>0</v>
      </c>
    </row>
    <row r="310" spans="158:158" x14ac:dyDescent="0.25">
      <c r="FB310" s="161">
        <f t="shared" si="6"/>
        <v>0</v>
      </c>
    </row>
    <row r="311" spans="158:158" x14ac:dyDescent="0.25">
      <c r="FB311" s="161">
        <f t="shared" si="6"/>
        <v>0</v>
      </c>
    </row>
    <row r="312" spans="158:158" x14ac:dyDescent="0.25">
      <c r="FB312" s="161">
        <f t="shared" si="6"/>
        <v>0</v>
      </c>
    </row>
    <row r="313" spans="158:158" x14ac:dyDescent="0.25">
      <c r="FB313" s="161">
        <f t="shared" si="6"/>
        <v>0</v>
      </c>
    </row>
    <row r="314" spans="158:158" x14ac:dyDescent="0.25">
      <c r="FB314" s="161">
        <f t="shared" si="6"/>
        <v>0</v>
      </c>
    </row>
    <row r="315" spans="158:158" x14ac:dyDescent="0.25">
      <c r="FB315" s="161">
        <f t="shared" si="6"/>
        <v>0</v>
      </c>
    </row>
    <row r="316" spans="158:158" x14ac:dyDescent="0.25">
      <c r="FB316" s="161">
        <f t="shared" si="6"/>
        <v>0</v>
      </c>
    </row>
    <row r="317" spans="158:158" x14ac:dyDescent="0.25">
      <c r="FB317" s="161">
        <f t="shared" si="6"/>
        <v>0</v>
      </c>
    </row>
    <row r="318" spans="158:158" x14ac:dyDescent="0.25">
      <c r="FB318" s="161">
        <f t="shared" si="6"/>
        <v>0</v>
      </c>
    </row>
    <row r="319" spans="158:158" x14ac:dyDescent="0.25">
      <c r="FB319" s="161">
        <f t="shared" si="6"/>
        <v>0</v>
      </c>
    </row>
    <row r="320" spans="158:158" x14ac:dyDescent="0.25">
      <c r="FB320" s="161">
        <f t="shared" si="6"/>
        <v>0</v>
      </c>
    </row>
    <row r="321" spans="158:158" x14ac:dyDescent="0.25">
      <c r="FB321" s="161">
        <f t="shared" si="6"/>
        <v>0</v>
      </c>
    </row>
    <row r="322" spans="158:158" x14ac:dyDescent="0.25">
      <c r="FB322" s="161">
        <f t="shared" si="6"/>
        <v>0</v>
      </c>
    </row>
  </sheetData>
  <pageMargins left="0.7" right="0.7" top="0.75" bottom="0.75" header="0.3" footer="0.3"/>
  <pageSetup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zoomScale="90" zoomScaleNormal="90" workbookViewId="0">
      <selection activeCell="P22" sqref="P22"/>
    </sheetView>
  </sheetViews>
  <sheetFormatPr defaultColWidth="13.7109375" defaultRowHeight="15" x14ac:dyDescent="0.25"/>
  <cols>
    <col min="1" max="1" width="23.85546875" customWidth="1"/>
    <col min="2" max="2" width="11.5703125" customWidth="1"/>
    <col min="3" max="3" width="12.7109375" customWidth="1"/>
    <col min="4" max="4" width="11.140625" customWidth="1"/>
    <col min="5" max="5" width="12.7109375" customWidth="1"/>
    <col min="6" max="6" width="11.140625" customWidth="1"/>
    <col min="7" max="7" width="9.28515625" customWidth="1"/>
    <col min="8" max="8" width="9.5703125" customWidth="1"/>
    <col min="9" max="9" width="12.7109375" customWidth="1"/>
    <col min="10" max="10" width="12.85546875" customWidth="1"/>
    <col min="11" max="11" width="11.140625" customWidth="1"/>
    <col min="12" max="12" width="11.85546875" customWidth="1"/>
    <col min="13" max="13" width="12.7109375" customWidth="1"/>
    <col min="14" max="14" width="11.140625" customWidth="1"/>
  </cols>
  <sheetData>
    <row r="1" spans="1:23" ht="35.25" thickBot="1" x14ac:dyDescent="0.3">
      <c r="A1" s="164" t="s">
        <v>438</v>
      </c>
      <c r="B1" s="164" t="s">
        <v>439</v>
      </c>
      <c r="C1" s="164" t="s">
        <v>440</v>
      </c>
      <c r="D1" s="164" t="s">
        <v>441</v>
      </c>
      <c r="E1" s="164" t="s">
        <v>442</v>
      </c>
      <c r="F1" s="164" t="s">
        <v>443</v>
      </c>
      <c r="G1" s="164" t="s">
        <v>444</v>
      </c>
      <c r="H1" s="164" t="s">
        <v>445</v>
      </c>
      <c r="I1" s="164" t="s">
        <v>446</v>
      </c>
      <c r="J1" s="164" t="s">
        <v>447</v>
      </c>
      <c r="K1" s="164" t="s">
        <v>448</v>
      </c>
      <c r="L1" s="164" t="s">
        <v>449</v>
      </c>
      <c r="M1" s="164" t="s">
        <v>450</v>
      </c>
      <c r="N1" s="164" t="s">
        <v>451</v>
      </c>
      <c r="O1" s="60"/>
      <c r="P1" s="60"/>
      <c r="Q1" s="60"/>
      <c r="R1" s="60"/>
      <c r="S1" s="60"/>
      <c r="V1" s="60" t="s">
        <v>452</v>
      </c>
    </row>
    <row r="2" spans="1:23" ht="17.25" thickBot="1" x14ac:dyDescent="0.3">
      <c r="A2" s="227" t="s">
        <v>616</v>
      </c>
      <c r="B2" s="226">
        <v>46050</v>
      </c>
      <c r="C2" s="230">
        <v>10711954</v>
      </c>
      <c r="D2" s="230">
        <v>1711322</v>
      </c>
      <c r="E2" s="230">
        <v>10742369</v>
      </c>
      <c r="F2" s="230">
        <v>1715300</v>
      </c>
      <c r="G2" s="230">
        <v>-30415</v>
      </c>
      <c r="H2" s="230">
        <v>-3978</v>
      </c>
      <c r="I2" s="230">
        <v>10074748</v>
      </c>
      <c r="J2" s="230">
        <v>1029640</v>
      </c>
      <c r="K2" s="230">
        <v>900887</v>
      </c>
      <c r="L2" s="230">
        <v>147405</v>
      </c>
      <c r="M2" s="230">
        <v>10975635</v>
      </c>
      <c r="N2" s="230">
        <v>1177045</v>
      </c>
      <c r="O2" s="61"/>
      <c r="P2" s="61"/>
      <c r="Q2" s="61"/>
      <c r="R2" s="61"/>
      <c r="S2" s="61"/>
      <c r="U2" t="s">
        <v>453</v>
      </c>
      <c r="V2">
        <f>SUM('Data Vlaue (Cr)'!CD:CD)</f>
        <v>65051</v>
      </c>
      <c r="W2" t="s">
        <v>454</v>
      </c>
    </row>
    <row r="3" spans="1:23" ht="17.25" thickBot="1" x14ac:dyDescent="0.3">
      <c r="A3" s="227" t="s">
        <v>617</v>
      </c>
      <c r="B3" s="226">
        <v>46050</v>
      </c>
      <c r="C3" s="230">
        <v>3277</v>
      </c>
      <c r="D3" s="228">
        <v>588</v>
      </c>
      <c r="E3" s="230">
        <v>2885</v>
      </c>
      <c r="F3" s="228">
        <v>518</v>
      </c>
      <c r="G3" s="228">
        <v>392</v>
      </c>
      <c r="H3" s="228">
        <v>70</v>
      </c>
      <c r="I3" s="230">
        <v>27117</v>
      </c>
      <c r="J3" s="230">
        <v>4852</v>
      </c>
      <c r="K3" s="228">
        <v>-982</v>
      </c>
      <c r="L3" s="228">
        <v>-157</v>
      </c>
      <c r="M3" s="230">
        <v>26135</v>
      </c>
      <c r="N3" s="230">
        <v>4695</v>
      </c>
      <c r="O3" s="61"/>
      <c r="P3" s="61"/>
      <c r="Q3" s="61"/>
      <c r="R3" s="61"/>
      <c r="S3" s="61"/>
      <c r="U3" t="s">
        <v>453</v>
      </c>
      <c r="V3">
        <f>SUM('Data shares'!CC:CC)</f>
        <v>1128904490</v>
      </c>
      <c r="W3" t="s">
        <v>455</v>
      </c>
    </row>
    <row r="4" spans="1:23" ht="17.25" thickBot="1" x14ac:dyDescent="0.3">
      <c r="A4" s="227" t="s">
        <v>618</v>
      </c>
      <c r="B4" s="226">
        <v>46050</v>
      </c>
      <c r="C4" s="230">
        <v>134774</v>
      </c>
      <c r="D4" s="230">
        <v>24302</v>
      </c>
      <c r="E4" s="230">
        <v>133479</v>
      </c>
      <c r="F4" s="230">
        <v>24031</v>
      </c>
      <c r="G4" s="230">
        <v>1295</v>
      </c>
      <c r="H4" s="228">
        <v>271</v>
      </c>
      <c r="I4" s="230">
        <v>107193</v>
      </c>
      <c r="J4" s="230">
        <v>19039</v>
      </c>
      <c r="K4" s="230">
        <v>32732</v>
      </c>
      <c r="L4" s="230">
        <v>5979</v>
      </c>
      <c r="M4" s="230">
        <v>139925</v>
      </c>
      <c r="N4" s="230">
        <v>25018</v>
      </c>
      <c r="O4" s="61"/>
      <c r="P4" s="61"/>
      <c r="Q4" s="61"/>
      <c r="R4" s="61"/>
      <c r="S4" s="61"/>
    </row>
    <row r="5" spans="1:23" ht="17.25" thickBot="1" x14ac:dyDescent="0.3">
      <c r="A5" s="227" t="s">
        <v>619</v>
      </c>
      <c r="B5" s="226">
        <v>46050</v>
      </c>
      <c r="C5" s="228">
        <v>38</v>
      </c>
      <c r="D5" s="228">
        <v>6</v>
      </c>
      <c r="E5" s="228">
        <v>74</v>
      </c>
      <c r="F5" s="228">
        <v>12</v>
      </c>
      <c r="G5" s="228">
        <v>-36</v>
      </c>
      <c r="H5" s="228">
        <v>-6</v>
      </c>
      <c r="I5" s="228">
        <v>702</v>
      </c>
      <c r="J5" s="228">
        <v>115</v>
      </c>
      <c r="K5" s="228">
        <v>-34</v>
      </c>
      <c r="L5" s="228">
        <v>-5</v>
      </c>
      <c r="M5" s="228">
        <v>668</v>
      </c>
      <c r="N5" s="228">
        <v>110</v>
      </c>
      <c r="O5" s="61"/>
      <c r="P5" s="61"/>
      <c r="Q5" s="61"/>
      <c r="R5" s="61"/>
      <c r="S5" s="61"/>
    </row>
    <row r="6" spans="1:23" ht="17.25" thickBot="1" x14ac:dyDescent="0.3">
      <c r="A6" s="227" t="s">
        <v>620</v>
      </c>
      <c r="B6" s="226">
        <v>46050</v>
      </c>
      <c r="C6" s="230">
        <v>3312</v>
      </c>
      <c r="D6" s="228">
        <v>550</v>
      </c>
      <c r="E6" s="230">
        <v>3616</v>
      </c>
      <c r="F6" s="228">
        <v>601</v>
      </c>
      <c r="G6" s="228">
        <v>-304</v>
      </c>
      <c r="H6" s="228">
        <v>-51</v>
      </c>
      <c r="I6" s="228">
        <v>905</v>
      </c>
      <c r="J6" s="228">
        <v>147</v>
      </c>
      <c r="K6" s="228">
        <v>882</v>
      </c>
      <c r="L6" s="228">
        <v>146</v>
      </c>
      <c r="M6" s="230">
        <v>1787</v>
      </c>
      <c r="N6" s="228">
        <v>293</v>
      </c>
      <c r="O6" s="61"/>
      <c r="P6" s="61"/>
      <c r="Q6" s="61"/>
      <c r="R6" s="61"/>
      <c r="S6" s="61"/>
    </row>
    <row r="7" spans="1:23" ht="17.25" thickBot="1" x14ac:dyDescent="0.3">
      <c r="A7" s="227" t="s">
        <v>621</v>
      </c>
      <c r="B7" s="226">
        <v>46050</v>
      </c>
      <c r="C7" s="230">
        <v>23057</v>
      </c>
      <c r="D7" s="230">
        <v>3851</v>
      </c>
      <c r="E7" s="230">
        <v>21987</v>
      </c>
      <c r="F7" s="230">
        <v>3670</v>
      </c>
      <c r="G7" s="230">
        <v>1070</v>
      </c>
      <c r="H7" s="228">
        <v>181</v>
      </c>
      <c r="I7" s="230">
        <v>230153</v>
      </c>
      <c r="J7" s="230">
        <v>38195</v>
      </c>
      <c r="K7" s="230">
        <v>3336</v>
      </c>
      <c r="L7" s="228">
        <v>702</v>
      </c>
      <c r="M7" s="230">
        <v>233489</v>
      </c>
      <c r="N7" s="230">
        <v>38897</v>
      </c>
    </row>
    <row r="8" spans="1:23" ht="17.25" thickBot="1" x14ac:dyDescent="0.3">
      <c r="A8" s="227" t="s">
        <v>622</v>
      </c>
      <c r="B8" s="226">
        <v>46050</v>
      </c>
      <c r="C8" s="230">
        <v>4997018</v>
      </c>
      <c r="D8" s="230">
        <v>828678</v>
      </c>
      <c r="E8" s="230">
        <v>5006019</v>
      </c>
      <c r="F8" s="230">
        <v>830366</v>
      </c>
      <c r="G8" s="230">
        <v>-9001</v>
      </c>
      <c r="H8" s="230">
        <v>-1688</v>
      </c>
      <c r="I8" s="230">
        <v>1625640</v>
      </c>
      <c r="J8" s="230">
        <v>267416</v>
      </c>
      <c r="K8" s="230">
        <v>394724</v>
      </c>
      <c r="L8" s="230">
        <v>67251</v>
      </c>
      <c r="M8" s="230">
        <v>2020364</v>
      </c>
      <c r="N8" s="230">
        <v>334666</v>
      </c>
    </row>
    <row r="9" spans="1:23" ht="17.25" thickBot="1" x14ac:dyDescent="0.3">
      <c r="A9" s="227" t="s">
        <v>623</v>
      </c>
      <c r="B9" s="226">
        <v>46050</v>
      </c>
      <c r="C9" s="230">
        <v>1397</v>
      </c>
      <c r="D9" s="228">
        <v>223</v>
      </c>
      <c r="E9" s="228">
        <v>788</v>
      </c>
      <c r="F9" s="228">
        <v>126</v>
      </c>
      <c r="G9" s="228">
        <v>609</v>
      </c>
      <c r="H9" s="228">
        <v>97</v>
      </c>
      <c r="I9" s="230">
        <v>25857</v>
      </c>
      <c r="J9" s="230">
        <v>4101</v>
      </c>
      <c r="K9" s="228">
        <v>-247</v>
      </c>
      <c r="L9" s="228">
        <v>20</v>
      </c>
      <c r="M9" s="230">
        <v>25610</v>
      </c>
      <c r="N9" s="230">
        <v>4121</v>
      </c>
    </row>
    <row r="10" spans="1:23" ht="17.25" thickBot="1" x14ac:dyDescent="0.3">
      <c r="A10" s="227" t="s">
        <v>624</v>
      </c>
      <c r="B10" s="226">
        <v>46050</v>
      </c>
      <c r="C10" s="230">
        <v>40897</v>
      </c>
      <c r="D10" s="230">
        <v>6571</v>
      </c>
      <c r="E10" s="230">
        <v>40313</v>
      </c>
      <c r="F10" s="230">
        <v>6482</v>
      </c>
      <c r="G10" s="228">
        <v>584</v>
      </c>
      <c r="H10" s="228">
        <v>89</v>
      </c>
      <c r="I10" s="230">
        <v>16919</v>
      </c>
      <c r="J10" s="230">
        <v>2667</v>
      </c>
      <c r="K10" s="230">
        <v>10132</v>
      </c>
      <c r="L10" s="230">
        <v>1677</v>
      </c>
      <c r="M10" s="230">
        <v>27051</v>
      </c>
      <c r="N10" s="230">
        <v>4344</v>
      </c>
    </row>
    <row r="11" spans="1:23" ht="17.25" thickBot="1" x14ac:dyDescent="0.3">
      <c r="A11" s="227" t="s">
        <v>625</v>
      </c>
      <c r="B11" s="226">
        <v>46050</v>
      </c>
      <c r="C11" s="230">
        <v>18186</v>
      </c>
      <c r="D11" s="230">
        <v>3006</v>
      </c>
      <c r="E11" s="230">
        <v>18039</v>
      </c>
      <c r="F11" s="230">
        <v>2981</v>
      </c>
      <c r="G11" s="228">
        <v>147</v>
      </c>
      <c r="H11" s="228">
        <v>26</v>
      </c>
      <c r="I11" s="230">
        <v>175803</v>
      </c>
      <c r="J11" s="230">
        <v>29014</v>
      </c>
      <c r="K11" s="230">
        <v>4477</v>
      </c>
      <c r="L11" s="228">
        <v>821</v>
      </c>
      <c r="M11" s="230">
        <v>180280</v>
      </c>
      <c r="N11" s="230">
        <v>29834</v>
      </c>
    </row>
    <row r="12" spans="1:23" ht="17.25" thickBot="1" x14ac:dyDescent="0.3">
      <c r="A12" s="227" t="s">
        <v>626</v>
      </c>
      <c r="B12" s="226">
        <v>46050</v>
      </c>
      <c r="C12" s="230">
        <v>4817851</v>
      </c>
      <c r="D12" s="230">
        <v>797223</v>
      </c>
      <c r="E12" s="230">
        <v>4828487</v>
      </c>
      <c r="F12" s="230">
        <v>799230</v>
      </c>
      <c r="G12" s="230">
        <v>-10636</v>
      </c>
      <c r="H12" s="230">
        <v>-2007</v>
      </c>
      <c r="I12" s="230">
        <v>1500601</v>
      </c>
      <c r="J12" s="230">
        <v>245559</v>
      </c>
      <c r="K12" s="230">
        <v>350852</v>
      </c>
      <c r="L12" s="230">
        <v>59427</v>
      </c>
      <c r="M12" s="230">
        <v>1851453</v>
      </c>
      <c r="N12" s="230">
        <v>304986</v>
      </c>
    </row>
    <row r="13" spans="1:23" ht="17.25" thickBot="1" x14ac:dyDescent="0.3">
      <c r="A13" s="227" t="s">
        <v>627</v>
      </c>
      <c r="B13" s="226">
        <v>46050</v>
      </c>
      <c r="C13" s="228">
        <v>159</v>
      </c>
      <c r="D13" s="228">
        <v>27</v>
      </c>
      <c r="E13" s="228">
        <v>201</v>
      </c>
      <c r="F13" s="228">
        <v>34</v>
      </c>
      <c r="G13" s="228">
        <v>-42</v>
      </c>
      <c r="H13" s="228">
        <v>-7</v>
      </c>
      <c r="I13" s="228">
        <v>674</v>
      </c>
      <c r="J13" s="228">
        <v>113</v>
      </c>
      <c r="K13" s="228">
        <v>122</v>
      </c>
      <c r="L13" s="228">
        <v>23</v>
      </c>
      <c r="M13" s="228">
        <v>796</v>
      </c>
      <c r="N13" s="228">
        <v>136</v>
      </c>
    </row>
    <row r="14" spans="1:23" ht="17.25" thickBot="1" x14ac:dyDescent="0.3">
      <c r="A14" s="227" t="s">
        <v>628</v>
      </c>
      <c r="B14" s="226">
        <v>46050</v>
      </c>
      <c r="C14" s="228">
        <v>184</v>
      </c>
      <c r="D14" s="228">
        <v>31</v>
      </c>
      <c r="E14" s="228">
        <v>124</v>
      </c>
      <c r="F14" s="228">
        <v>21</v>
      </c>
      <c r="G14" s="228">
        <v>60</v>
      </c>
      <c r="H14" s="228">
        <v>10</v>
      </c>
      <c r="I14" s="228">
        <v>21</v>
      </c>
      <c r="J14" s="228">
        <v>4</v>
      </c>
      <c r="K14" s="228">
        <v>128</v>
      </c>
      <c r="L14" s="228">
        <v>22</v>
      </c>
      <c r="M14" s="228">
        <v>149</v>
      </c>
      <c r="N14" s="228">
        <v>25</v>
      </c>
    </row>
    <row r="15" spans="1:23" ht="17.25" thickBot="1" x14ac:dyDescent="0.3">
      <c r="A15" s="227" t="s">
        <v>629</v>
      </c>
      <c r="B15" s="226">
        <v>46050</v>
      </c>
      <c r="C15" s="230">
        <v>380122</v>
      </c>
      <c r="D15" s="230">
        <v>25833</v>
      </c>
      <c r="E15" s="230">
        <v>392868</v>
      </c>
      <c r="F15" s="230">
        <v>26685</v>
      </c>
      <c r="G15" s="230">
        <v>-12746</v>
      </c>
      <c r="H15" s="228">
        <v>-852</v>
      </c>
      <c r="I15" s="230">
        <v>6221085</v>
      </c>
      <c r="J15" s="230">
        <v>409380</v>
      </c>
      <c r="K15" s="230">
        <v>23314</v>
      </c>
      <c r="L15" s="230">
        <v>5710</v>
      </c>
      <c r="M15" s="230">
        <v>6244399</v>
      </c>
      <c r="N15" s="230">
        <v>415089</v>
      </c>
    </row>
    <row r="16" spans="1:23" ht="17.25" thickBot="1" x14ac:dyDescent="0.3">
      <c r="A16" s="227" t="s">
        <v>630</v>
      </c>
      <c r="B16" s="226">
        <v>46050</v>
      </c>
      <c r="C16" s="230">
        <v>291682</v>
      </c>
      <c r="D16" s="230">
        <v>20431</v>
      </c>
      <c r="E16" s="230">
        <v>293489</v>
      </c>
      <c r="F16" s="230">
        <v>20543</v>
      </c>
      <c r="G16" s="230">
        <v>-1807</v>
      </c>
      <c r="H16" s="228">
        <v>-111</v>
      </c>
      <c r="I16" s="230">
        <v>142078</v>
      </c>
      <c r="J16" s="230">
        <v>9040</v>
      </c>
      <c r="K16" s="230">
        <v>81451</v>
      </c>
      <c r="L16" s="230">
        <v>5790</v>
      </c>
      <c r="M16" s="230">
        <v>223529</v>
      </c>
      <c r="N16" s="230">
        <v>14830</v>
      </c>
    </row>
    <row r="22" spans="9:9" x14ac:dyDescent="0.25">
      <c r="I22" s="16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2"/>
  <sheetViews>
    <sheetView zoomScale="85" zoomScaleNormal="85" workbookViewId="0">
      <pane ySplit="6" topLeftCell="A196" activePane="bottomLeft" state="frozen"/>
      <selection activeCell="E46" sqref="E46"/>
      <selection pane="bottomLeft" activeCell="D219" sqref="D219"/>
    </sheetView>
  </sheetViews>
  <sheetFormatPr defaultRowHeight="15" x14ac:dyDescent="0.25"/>
  <cols>
    <col min="1" max="1" width="14.5703125" style="74" bestFit="1" customWidth="1"/>
    <col min="6" max="6" width="14.7109375" bestFit="1" customWidth="1"/>
    <col min="7" max="7" width="14.42578125" bestFit="1" customWidth="1"/>
    <col min="8" max="8" width="6.42578125" bestFit="1" customWidth="1"/>
    <col min="9" max="9" width="14.42578125" bestFit="1" customWidth="1"/>
    <col min="10" max="10" width="14.140625" bestFit="1" customWidth="1"/>
    <col min="11" max="11" width="6.42578125" bestFit="1" customWidth="1"/>
  </cols>
  <sheetData>
    <row r="1" spans="1:17" hidden="1" x14ac:dyDescent="0.25"/>
    <row r="2" spans="1:17" ht="15.75" thickBot="1" x14ac:dyDescent="0.3"/>
    <row r="3" spans="1:17" s="70" customFormat="1" ht="21" customHeight="1" thickBot="1" x14ac:dyDescent="0.3">
      <c r="A3" s="260" t="s">
        <v>325</v>
      </c>
      <c r="B3" s="261"/>
      <c r="C3" s="261"/>
      <c r="D3" s="261"/>
      <c r="E3" s="261"/>
      <c r="F3" s="261"/>
      <c r="G3" s="261"/>
      <c r="H3" s="261"/>
      <c r="I3" s="261"/>
      <c r="J3" s="261"/>
      <c r="K3" s="261"/>
      <c r="L3" s="261"/>
      <c r="M3" s="261"/>
      <c r="N3" s="261"/>
      <c r="O3" s="261"/>
      <c r="P3" s="261"/>
      <c r="Q3" s="262"/>
    </row>
    <row r="4" spans="1:17" s="64" customFormat="1" x14ac:dyDescent="0.25">
      <c r="A4" s="263"/>
      <c r="B4" s="263" t="s">
        <v>308</v>
      </c>
      <c r="C4" s="263"/>
      <c r="D4" s="264"/>
      <c r="E4" s="264"/>
      <c r="F4" s="263" t="s">
        <v>326</v>
      </c>
      <c r="G4" s="263"/>
      <c r="H4" s="263"/>
      <c r="I4" s="263" t="s">
        <v>327</v>
      </c>
      <c r="J4" s="263"/>
      <c r="K4" s="263"/>
      <c r="L4" s="263" t="s">
        <v>311</v>
      </c>
      <c r="M4" s="263"/>
      <c r="N4" s="263"/>
      <c r="O4" s="263"/>
      <c r="P4" s="263"/>
      <c r="Q4" s="263"/>
    </row>
    <row r="5" spans="1:17" s="64" customFormat="1" x14ac:dyDescent="0.25">
      <c r="A5" s="258"/>
      <c r="B5" s="73" t="s">
        <v>312</v>
      </c>
      <c r="C5" s="258" t="s">
        <v>313</v>
      </c>
      <c r="D5" s="259"/>
      <c r="E5" s="259"/>
      <c r="F5" s="258" t="s">
        <v>314</v>
      </c>
      <c r="G5" s="258"/>
      <c r="H5" s="258"/>
      <c r="I5" s="258" t="s">
        <v>315</v>
      </c>
      <c r="J5" s="258"/>
      <c r="K5" s="258"/>
      <c r="L5" s="258" t="s">
        <v>316</v>
      </c>
      <c r="M5" s="258"/>
      <c r="N5" s="258"/>
      <c r="O5" s="258" t="s">
        <v>317</v>
      </c>
      <c r="P5" s="258"/>
      <c r="Q5" s="258"/>
    </row>
    <row r="6" spans="1:17" s="72" customFormat="1" ht="33.75" x14ac:dyDescent="0.25">
      <c r="A6" s="71" t="s">
        <v>558</v>
      </c>
      <c r="B6" s="66">
        <f>'Snapshot (Value)'!C10</f>
        <v>46050</v>
      </c>
      <c r="C6" s="66">
        <f>'Snapshot (Value)'!D10</f>
        <v>46050</v>
      </c>
      <c r="D6" s="71" t="s">
        <v>322</v>
      </c>
      <c r="E6" s="71" t="s">
        <v>328</v>
      </c>
      <c r="F6" s="66">
        <f>C6</f>
        <v>46050</v>
      </c>
      <c r="G6" s="71" t="s">
        <v>322</v>
      </c>
      <c r="H6" s="71" t="s">
        <v>328</v>
      </c>
      <c r="I6" s="66">
        <f>C6</f>
        <v>46050</v>
      </c>
      <c r="J6" s="71" t="s">
        <v>322</v>
      </c>
      <c r="K6" s="71" t="s">
        <v>328</v>
      </c>
      <c r="L6" s="66">
        <f>C6</f>
        <v>46050</v>
      </c>
      <c r="M6" s="71" t="s">
        <v>322</v>
      </c>
      <c r="N6" s="71" t="s">
        <v>328</v>
      </c>
      <c r="O6" s="66">
        <f>C6</f>
        <v>46050</v>
      </c>
      <c r="P6" s="71" t="s">
        <v>322</v>
      </c>
      <c r="Q6" s="71" t="s">
        <v>328</v>
      </c>
    </row>
    <row r="7" spans="1:17" x14ac:dyDescent="0.25">
      <c r="A7" s="97" t="str">
        <f>'Snapshot (Value)'!A11</f>
        <v>360ONE</v>
      </c>
      <c r="B7" s="140">
        <f>VLOOKUP($A7,'Data shares'!$C:$FB,7)</f>
        <v>1139.9000000000001</v>
      </c>
      <c r="C7" s="140">
        <f>VLOOKUP($A7,'Data shares'!$C:$FB,3)</f>
        <v>1142.0999999999999</v>
      </c>
      <c r="D7" s="140">
        <f>VLOOKUP($A7,'Data shares'!$C:$FB,4)</f>
        <v>1118.5999999999999</v>
      </c>
      <c r="E7" s="50">
        <f>(C7-D7)/D7*100</f>
        <v>2.1008403361344539</v>
      </c>
      <c r="F7" s="49">
        <f>VLOOKUP($A7,'Data shares'!$C:$FB,98)</f>
        <v>3426000</v>
      </c>
      <c r="G7" s="49">
        <f>VLOOKUP($A7,'Data shares'!$C:$FB,99)</f>
        <v>3455500</v>
      </c>
      <c r="H7" s="50">
        <f>(F7-G7)/G7*100</f>
        <v>-0.85371147446100426</v>
      </c>
      <c r="I7" s="49">
        <f>VLOOKUP($A7,'Data shares'!$C:$FB,66)</f>
        <v>1708500</v>
      </c>
      <c r="J7" s="49">
        <f>VLOOKUP($A7,'Data shares'!$C:$FB,67)</f>
        <v>3693000</v>
      </c>
      <c r="K7" s="50">
        <f>(I7-J7)/I7*100</f>
        <v>-116.15452151009657</v>
      </c>
      <c r="L7" s="50">
        <f>VLOOKUP($A7,'Data shares'!$C:$FB,118)</f>
        <v>0.6</v>
      </c>
      <c r="M7" s="50">
        <f>VLOOKUP($A7,'Data shares'!$C:$FB,119)</f>
        <v>0.54</v>
      </c>
      <c r="N7" s="50">
        <f>VLOOKUP($A7,'Data shares'!$C:$FB,121)*100</f>
        <v>11.110000000000001</v>
      </c>
      <c r="O7" s="50">
        <f>VLOOKUP($A7,'Data shares'!$C:$FB,124)</f>
        <v>0.43</v>
      </c>
      <c r="P7" s="50">
        <f>VLOOKUP($A7,'Data shares'!$C:$FB,125)</f>
        <v>0.44</v>
      </c>
      <c r="Q7" s="50">
        <f>VLOOKUP($A7,'Data shares'!$C:$FB,127)*100</f>
        <v>-2.27</v>
      </c>
    </row>
    <row r="8" spans="1:17" x14ac:dyDescent="0.25">
      <c r="A8" s="97" t="str">
        <f>'Snapshot (Value)'!A12</f>
        <v>ABB</v>
      </c>
      <c r="B8" s="140">
        <f>VLOOKUP($A8,'Data shares'!$C:$FB,7)</f>
        <v>5043.5</v>
      </c>
      <c r="C8" s="140">
        <f>VLOOKUP($A8,'Data shares'!$C:$FB,3)</f>
        <v>5068</v>
      </c>
      <c r="D8" s="140">
        <f>VLOOKUP($A8,'Data shares'!$C:$FB,4)</f>
        <v>4736.5</v>
      </c>
      <c r="E8" s="50">
        <f t="shared" ref="E8:E71" si="0">(C8-D8)/D8*100</f>
        <v>6.9988388050248069</v>
      </c>
      <c r="F8" s="49">
        <f>VLOOKUP($A8,'Data shares'!$C:$FB,98)</f>
        <v>3284250</v>
      </c>
      <c r="G8" s="49">
        <f>VLOOKUP($A8,'Data shares'!$C:$FB,99)</f>
        <v>2899000</v>
      </c>
      <c r="H8" s="50">
        <f t="shared" ref="H8:H71" si="1">(F8-G8)/G8*100</f>
        <v>13.289065194894793</v>
      </c>
      <c r="I8" s="49">
        <f>VLOOKUP($A8,'Data shares'!$C:$FB,66)</f>
        <v>7370750</v>
      </c>
      <c r="J8" s="49">
        <f>VLOOKUP($A8,'Data shares'!$C:$FB,67)</f>
        <v>3087375</v>
      </c>
      <c r="K8" s="50">
        <f t="shared" ref="K8:K71" si="2">(I8-J8)/I8*100</f>
        <v>58.113149950819121</v>
      </c>
      <c r="L8" s="50">
        <f>VLOOKUP($A8,'Data shares'!$C:$FB,118)</f>
        <v>0.97</v>
      </c>
      <c r="M8" s="50">
        <f>VLOOKUP($A8,'Data shares'!$C:$FB,119)</f>
        <v>1.34</v>
      </c>
      <c r="N8" s="50">
        <f>VLOOKUP($A8,'Data shares'!$C:$FB,121)*100</f>
        <v>-27.61</v>
      </c>
      <c r="O8" s="50">
        <f>VLOOKUP($A8,'Data shares'!$C:$FB,124)</f>
        <v>0.33</v>
      </c>
      <c r="P8" s="50">
        <f>VLOOKUP($A8,'Data shares'!$C:$FB,125)</f>
        <v>0.86</v>
      </c>
      <c r="Q8" s="50">
        <f>VLOOKUP($A8,'Data shares'!$C:$FB,127)*100</f>
        <v>-61.629999999999995</v>
      </c>
    </row>
    <row r="9" spans="1:17" x14ac:dyDescent="0.25">
      <c r="A9" s="97" t="str">
        <f>'Snapshot (Value)'!A13</f>
        <v>ABCAPITAL</v>
      </c>
      <c r="B9" s="140">
        <f>VLOOKUP($A9,'Data shares'!$C:$FB,7)</f>
        <v>348.3</v>
      </c>
      <c r="C9" s="140">
        <f>VLOOKUP($A9,'Data shares'!$C:$FB,3)</f>
        <v>350.65</v>
      </c>
      <c r="D9" s="140">
        <f>VLOOKUP($A9,'Data shares'!$C:$FB,4)</f>
        <v>351.2</v>
      </c>
      <c r="E9" s="50">
        <f t="shared" si="0"/>
        <v>-0.1566059225512561</v>
      </c>
      <c r="F9" s="49">
        <f>VLOOKUP($A9,'Data shares'!$C:$FB,98)</f>
        <v>90210000</v>
      </c>
      <c r="G9" s="49">
        <f>VLOOKUP($A9,'Data shares'!$C:$FB,99)</f>
        <v>87565700</v>
      </c>
      <c r="H9" s="50">
        <f t="shared" si="1"/>
        <v>3.0197897121818249</v>
      </c>
      <c r="I9" s="49">
        <f>VLOOKUP($A9,'Data shares'!$C:$FB,66)</f>
        <v>32212100</v>
      </c>
      <c r="J9" s="49">
        <f>VLOOKUP($A9,'Data shares'!$C:$FB,67)</f>
        <v>76805600</v>
      </c>
      <c r="K9" s="50">
        <f t="shared" si="2"/>
        <v>-138.43710903666636</v>
      </c>
      <c r="L9" s="50">
        <f>VLOOKUP($A9,'Data shares'!$C:$FB,118)</f>
        <v>0.75</v>
      </c>
      <c r="M9" s="50">
        <f>VLOOKUP($A9,'Data shares'!$C:$FB,119)</f>
        <v>0.8</v>
      </c>
      <c r="N9" s="50">
        <f>VLOOKUP($A9,'Data shares'!$C:$FB,121)*100</f>
        <v>-6.25</v>
      </c>
      <c r="O9" s="50">
        <f>VLOOKUP($A9,'Data shares'!$C:$FB,124)</f>
        <v>0.5</v>
      </c>
      <c r="P9" s="50">
        <f>VLOOKUP($A9,'Data shares'!$C:$FB,125)</f>
        <v>1.1000000000000001</v>
      </c>
      <c r="Q9" s="50">
        <f>VLOOKUP($A9,'Data shares'!$C:$FB,127)*100</f>
        <v>-54.55</v>
      </c>
    </row>
    <row r="10" spans="1:17" x14ac:dyDescent="0.25">
      <c r="A10" s="97" t="str">
        <f>'Snapshot (Value)'!A14</f>
        <v>ADANIENSOL</v>
      </c>
      <c r="B10" s="140">
        <f>VLOOKUP($A10,'Data shares'!$C:$FB,7)</f>
        <v>882</v>
      </c>
      <c r="C10" s="140">
        <f>VLOOKUP($A10,'Data shares'!$C:$FB,3)</f>
        <v>885.4</v>
      </c>
      <c r="D10" s="140">
        <f>VLOOKUP($A10,'Data shares'!$C:$FB,4)</f>
        <v>853.4</v>
      </c>
      <c r="E10" s="50">
        <f t="shared" si="0"/>
        <v>3.7497070541363953</v>
      </c>
      <c r="F10" s="49">
        <f>VLOOKUP($A10,'Data shares'!$C:$FB,98)</f>
        <v>26196075</v>
      </c>
      <c r="G10" s="49">
        <f>VLOOKUP($A10,'Data shares'!$C:$FB,99)</f>
        <v>25401600</v>
      </c>
      <c r="H10" s="50">
        <f t="shared" si="1"/>
        <v>3.1276573129251704</v>
      </c>
      <c r="I10" s="49">
        <f>VLOOKUP($A10,'Data shares'!$C:$FB,66)</f>
        <v>11807775</v>
      </c>
      <c r="J10" s="49">
        <f>VLOOKUP($A10,'Data shares'!$C:$FB,67)</f>
        <v>28283850</v>
      </c>
      <c r="K10" s="50">
        <f t="shared" si="2"/>
        <v>-139.53581432573031</v>
      </c>
      <c r="L10" s="50">
        <f>VLOOKUP($A10,'Data shares'!$C:$FB,118)</f>
        <v>0.66</v>
      </c>
      <c r="M10" s="50">
        <f>VLOOKUP($A10,'Data shares'!$C:$FB,119)</f>
        <v>0.64</v>
      </c>
      <c r="N10" s="50">
        <f>VLOOKUP($A10,'Data shares'!$C:$FB,121)*100</f>
        <v>3.1300000000000003</v>
      </c>
      <c r="O10" s="50">
        <f>VLOOKUP($A10,'Data shares'!$C:$FB,124)</f>
        <v>0.49</v>
      </c>
      <c r="P10" s="50">
        <f>VLOOKUP($A10,'Data shares'!$C:$FB,125)</f>
        <v>0.68</v>
      </c>
      <c r="Q10" s="50">
        <f>VLOOKUP($A10,'Data shares'!$C:$FB,127)*100</f>
        <v>-27.939999999999998</v>
      </c>
    </row>
    <row r="11" spans="1:17" x14ac:dyDescent="0.25">
      <c r="A11" s="97" t="str">
        <f>'Snapshot (Value)'!A15</f>
        <v>ADANIENT</v>
      </c>
      <c r="B11" s="140">
        <f>VLOOKUP($A11,'Data shares'!$C:$FB,7)</f>
        <v>1994.7</v>
      </c>
      <c r="C11" s="140">
        <f>VLOOKUP($A11,'Data shares'!$C:$FB,3)</f>
        <v>2004.4</v>
      </c>
      <c r="D11" s="140">
        <f>VLOOKUP($A11,'Data shares'!$C:$FB,4)</f>
        <v>1969.6</v>
      </c>
      <c r="E11" s="50">
        <f t="shared" si="0"/>
        <v>1.7668562144597981</v>
      </c>
      <c r="F11" s="49">
        <f>VLOOKUP($A11,'Data shares'!$C:$FB,98)</f>
        <v>31164195</v>
      </c>
      <c r="G11" s="49">
        <f>VLOOKUP($A11,'Data shares'!$C:$FB,99)</f>
        <v>30039126</v>
      </c>
      <c r="H11" s="50">
        <f t="shared" si="1"/>
        <v>3.7453453206328304</v>
      </c>
      <c r="I11" s="49">
        <f>VLOOKUP($A11,'Data shares'!$C:$FB,66)</f>
        <v>17955681</v>
      </c>
      <c r="J11" s="49">
        <f>VLOOKUP($A11,'Data shares'!$C:$FB,67)</f>
        <v>79643823</v>
      </c>
      <c r="K11" s="50">
        <f t="shared" si="2"/>
        <v>-343.55779655475055</v>
      </c>
      <c r="L11" s="50">
        <f>VLOOKUP($A11,'Data shares'!$C:$FB,118)</f>
        <v>1.08</v>
      </c>
      <c r="M11" s="50">
        <f>VLOOKUP($A11,'Data shares'!$C:$FB,119)</f>
        <v>1.02</v>
      </c>
      <c r="N11" s="50">
        <f>VLOOKUP($A11,'Data shares'!$C:$FB,121)*100</f>
        <v>5.88</v>
      </c>
      <c r="O11" s="50">
        <f>VLOOKUP($A11,'Data shares'!$C:$FB,124)</f>
        <v>0.68</v>
      </c>
      <c r="P11" s="50">
        <f>VLOOKUP($A11,'Data shares'!$C:$FB,125)</f>
        <v>0.54</v>
      </c>
      <c r="Q11" s="50">
        <f>VLOOKUP($A11,'Data shares'!$C:$FB,127)*100</f>
        <v>25.929999999999996</v>
      </c>
    </row>
    <row r="12" spans="1:17" x14ac:dyDescent="0.25">
      <c r="A12" s="97" t="str">
        <f>'Snapshot (Value)'!A16</f>
        <v>ADANIGREEN</v>
      </c>
      <c r="B12" s="140">
        <f>VLOOKUP($A12,'Data shares'!$C:$FB,7)</f>
        <v>822.9</v>
      </c>
      <c r="C12" s="140">
        <f>VLOOKUP($A12,'Data shares'!$C:$FB,3)</f>
        <v>825.8</v>
      </c>
      <c r="D12" s="140">
        <f>VLOOKUP($A12,'Data shares'!$C:$FB,4)</f>
        <v>804.4</v>
      </c>
      <c r="E12" s="50">
        <f t="shared" si="0"/>
        <v>2.6603679761312748</v>
      </c>
      <c r="F12" s="49">
        <f>VLOOKUP($A12,'Data shares'!$C:$FB,98)</f>
        <v>35011800</v>
      </c>
      <c r="G12" s="49">
        <f>VLOOKUP($A12,'Data shares'!$C:$FB,99)</f>
        <v>32832600</v>
      </c>
      <c r="H12" s="50">
        <f t="shared" si="1"/>
        <v>6.6373056047952339</v>
      </c>
      <c r="I12" s="49">
        <f>VLOOKUP($A12,'Data shares'!$C:$FB,66)</f>
        <v>22661400</v>
      </c>
      <c r="J12" s="49">
        <f>VLOOKUP($A12,'Data shares'!$C:$FB,67)</f>
        <v>97858200</v>
      </c>
      <c r="K12" s="50">
        <f t="shared" si="2"/>
        <v>-331.82768937488419</v>
      </c>
      <c r="L12" s="50">
        <f>VLOOKUP($A12,'Data shares'!$C:$FB,118)</f>
        <v>0.81</v>
      </c>
      <c r="M12" s="50">
        <f>VLOOKUP($A12,'Data shares'!$C:$FB,119)</f>
        <v>0.82</v>
      </c>
      <c r="N12" s="50">
        <f>VLOOKUP($A12,'Data shares'!$C:$FB,121)*100</f>
        <v>-1.22</v>
      </c>
      <c r="O12" s="50">
        <f>VLOOKUP($A12,'Data shares'!$C:$FB,124)</f>
        <v>0.51</v>
      </c>
      <c r="P12" s="50">
        <f>VLOOKUP($A12,'Data shares'!$C:$FB,125)</f>
        <v>0.59</v>
      </c>
      <c r="Q12" s="50">
        <f>VLOOKUP($A12,'Data shares'!$C:$FB,127)*100</f>
        <v>-13.56</v>
      </c>
    </row>
    <row r="13" spans="1:17" x14ac:dyDescent="0.25">
      <c r="A13" s="97" t="str">
        <f>'Snapshot (Value)'!A17</f>
        <v>ADANIPORTS</v>
      </c>
      <c r="B13" s="140">
        <f>VLOOKUP($A13,'Data shares'!$C:$FB,7)</f>
        <v>1381.9</v>
      </c>
      <c r="C13" s="140">
        <f>VLOOKUP($A13,'Data shares'!$C:$FB,3)</f>
        <v>1386.9</v>
      </c>
      <c r="D13" s="140">
        <f>VLOOKUP($A13,'Data shares'!$C:$FB,4)</f>
        <v>1371.3</v>
      </c>
      <c r="E13" s="50">
        <f t="shared" si="0"/>
        <v>1.1376066506235061</v>
      </c>
      <c r="F13" s="49">
        <f>VLOOKUP($A13,'Data shares'!$C:$FB,98)</f>
        <v>34035175</v>
      </c>
      <c r="G13" s="49">
        <f>VLOOKUP($A13,'Data shares'!$C:$FB,99)</f>
        <v>33219600</v>
      </c>
      <c r="H13" s="50">
        <f t="shared" si="1"/>
        <v>2.4551018073667352</v>
      </c>
      <c r="I13" s="49">
        <f>VLOOKUP($A13,'Data shares'!$C:$FB,66)</f>
        <v>15748150</v>
      </c>
      <c r="J13" s="49">
        <f>VLOOKUP($A13,'Data shares'!$C:$FB,67)</f>
        <v>58003675</v>
      </c>
      <c r="K13" s="50">
        <f t="shared" si="2"/>
        <v>-268.32056463775109</v>
      </c>
      <c r="L13" s="50">
        <f>VLOOKUP($A13,'Data shares'!$C:$FB,118)</f>
        <v>0.95</v>
      </c>
      <c r="M13" s="50">
        <f>VLOOKUP($A13,'Data shares'!$C:$FB,119)</f>
        <v>1.05</v>
      </c>
      <c r="N13" s="50">
        <f>VLOOKUP($A13,'Data shares'!$C:$FB,121)*100</f>
        <v>-9.5200000000000014</v>
      </c>
      <c r="O13" s="50">
        <f>VLOOKUP($A13,'Data shares'!$C:$FB,124)</f>
        <v>0.62</v>
      </c>
      <c r="P13" s="50">
        <f>VLOOKUP($A13,'Data shares'!$C:$FB,125)</f>
        <v>0.76</v>
      </c>
      <c r="Q13" s="50">
        <f>VLOOKUP($A13,'Data shares'!$C:$FB,127)*100</f>
        <v>-18.420000000000002</v>
      </c>
    </row>
    <row r="14" spans="1:17" x14ac:dyDescent="0.25">
      <c r="A14" s="97" t="str">
        <f>'Snapshot (Value)'!A18</f>
        <v>ALKEM</v>
      </c>
      <c r="B14" s="140">
        <f>VLOOKUP($A14,'Data shares'!$C:$FB,7)</f>
        <v>5722.5</v>
      </c>
      <c r="C14" s="140">
        <f>VLOOKUP($A14,'Data shares'!$C:$FB,3)</f>
        <v>5703</v>
      </c>
      <c r="D14" s="140">
        <f>VLOOKUP($A14,'Data shares'!$C:$FB,4)</f>
        <v>5750</v>
      </c>
      <c r="E14" s="50">
        <f>(C14-D14)/D14*100</f>
        <v>-0.81739130434782603</v>
      </c>
      <c r="F14" s="49">
        <f>VLOOKUP($A14,'Data shares'!$C:$FB,98)</f>
        <v>1361125</v>
      </c>
      <c r="G14" s="49">
        <f>VLOOKUP($A14,'Data shares'!$C:$FB,99)</f>
        <v>1331375</v>
      </c>
      <c r="H14" s="50">
        <f t="shared" si="1"/>
        <v>2.2345319688292178</v>
      </c>
      <c r="I14" s="49">
        <f>VLOOKUP($A14,'Data shares'!$C:$FB,66)</f>
        <v>335000</v>
      </c>
      <c r="J14" s="49">
        <f>VLOOKUP($A14,'Data shares'!$C:$FB,67)</f>
        <v>2296875</v>
      </c>
      <c r="K14" s="50">
        <f t="shared" si="2"/>
        <v>-585.6343283582089</v>
      </c>
      <c r="L14" s="50">
        <f>VLOOKUP($A14,'Data shares'!$C:$FB,118)</f>
        <v>0.92</v>
      </c>
      <c r="M14" s="50">
        <f>VLOOKUP($A14,'Data shares'!$C:$FB,119)</f>
        <v>0.8</v>
      </c>
      <c r="N14" s="50">
        <f>VLOOKUP($A14,'Data shares'!$C:$FB,121)*100</f>
        <v>15</v>
      </c>
      <c r="O14" s="50">
        <f>VLOOKUP($A14,'Data shares'!$C:$FB,124)</f>
        <v>0.85</v>
      </c>
      <c r="P14" s="50">
        <f>VLOOKUP($A14,'Data shares'!$C:$FB,125)</f>
        <v>1.73</v>
      </c>
      <c r="Q14" s="50">
        <f>VLOOKUP($A14,'Data shares'!$C:$FB,127)*100</f>
        <v>-50.870000000000005</v>
      </c>
    </row>
    <row r="15" spans="1:17" x14ac:dyDescent="0.25">
      <c r="A15" s="97" t="str">
        <f>'Snapshot (Value)'!A19</f>
        <v>AMBER</v>
      </c>
      <c r="B15" s="140">
        <f>VLOOKUP($A15,'Data shares'!$C:$FB,7)</f>
        <v>5614</v>
      </c>
      <c r="C15" s="140">
        <f>VLOOKUP($A15,'Data shares'!$C:$FB,3)</f>
        <v>5650</v>
      </c>
      <c r="D15" s="140">
        <f>VLOOKUP($A15,'Data shares'!$C:$FB,4)</f>
        <v>5555.5</v>
      </c>
      <c r="E15" s="50">
        <f t="shared" si="0"/>
        <v>1.7010170101701017</v>
      </c>
      <c r="F15" s="49">
        <f>VLOOKUP($A15,'Data shares'!$C:$FB,98)</f>
        <v>1534100</v>
      </c>
      <c r="G15" s="49">
        <f>VLOOKUP($A15,'Data shares'!$C:$FB,99)</f>
        <v>1485800</v>
      </c>
      <c r="H15" s="50">
        <f t="shared" si="1"/>
        <v>3.2507739938080498</v>
      </c>
      <c r="I15" s="49">
        <f>VLOOKUP($A15,'Data shares'!$C:$FB,66)</f>
        <v>437800</v>
      </c>
      <c r="J15" s="49">
        <f>VLOOKUP($A15,'Data shares'!$C:$FB,67)</f>
        <v>2451000</v>
      </c>
      <c r="K15" s="50">
        <f t="shared" si="2"/>
        <v>-459.84467793513016</v>
      </c>
      <c r="L15" s="50">
        <f>VLOOKUP($A15,'Data shares'!$C:$FB,118)</f>
        <v>0.81</v>
      </c>
      <c r="M15" s="50">
        <f>VLOOKUP($A15,'Data shares'!$C:$FB,119)</f>
        <v>0.94</v>
      </c>
      <c r="N15" s="50">
        <f>VLOOKUP($A15,'Data shares'!$C:$FB,121)*100</f>
        <v>-13.83</v>
      </c>
      <c r="O15" s="50">
        <f>VLOOKUP($A15,'Data shares'!$C:$FB,124)</f>
        <v>0.38</v>
      </c>
      <c r="P15" s="50">
        <f>VLOOKUP($A15,'Data shares'!$C:$FB,125)</f>
        <v>0.89</v>
      </c>
      <c r="Q15" s="50">
        <f>VLOOKUP($A15,'Data shares'!$C:$FB,127)*100</f>
        <v>-57.3</v>
      </c>
    </row>
    <row r="16" spans="1:17" x14ac:dyDescent="0.25">
      <c r="A16" s="97" t="str">
        <f>'Snapshot (Value)'!A20</f>
        <v>AMBUJACEM</v>
      </c>
      <c r="B16" s="140">
        <f>VLOOKUP($A16,'Data shares'!$C:$FB,7)</f>
        <v>533.95000000000005</v>
      </c>
      <c r="C16" s="140">
        <f>VLOOKUP($A16,'Data shares'!$C:$FB,3)</f>
        <v>537.25</v>
      </c>
      <c r="D16" s="140">
        <f>VLOOKUP($A16,'Data shares'!$C:$FB,4)</f>
        <v>536.15</v>
      </c>
      <c r="E16" s="50">
        <f t="shared" si="0"/>
        <v>0.2051664646087891</v>
      </c>
      <c r="F16" s="49">
        <f>VLOOKUP($A16,'Data shares'!$C:$FB,98)</f>
        <v>62665050</v>
      </c>
      <c r="G16" s="49">
        <f>VLOOKUP($A16,'Data shares'!$C:$FB,99)</f>
        <v>61562550</v>
      </c>
      <c r="H16" s="50">
        <f t="shared" si="1"/>
        <v>1.790861489655643</v>
      </c>
      <c r="I16" s="49">
        <f>VLOOKUP($A16,'Data shares'!$C:$FB,66)</f>
        <v>11273850</v>
      </c>
      <c r="J16" s="49">
        <f>VLOOKUP($A16,'Data shares'!$C:$FB,67)</f>
        <v>68856900</v>
      </c>
      <c r="K16" s="50">
        <f t="shared" si="2"/>
        <v>-510.76650833566174</v>
      </c>
      <c r="L16" s="50">
        <f>VLOOKUP($A16,'Data shares'!$C:$FB,118)</f>
        <v>1.1599999999999999</v>
      </c>
      <c r="M16" s="50">
        <f>VLOOKUP($A16,'Data shares'!$C:$FB,119)</f>
        <v>1.25</v>
      </c>
      <c r="N16" s="50">
        <f>VLOOKUP($A16,'Data shares'!$C:$FB,121)*100</f>
        <v>-7.1999999999999993</v>
      </c>
      <c r="O16" s="50">
        <f>VLOOKUP($A16,'Data shares'!$C:$FB,124)</f>
        <v>0.59</v>
      </c>
      <c r="P16" s="50">
        <f>VLOOKUP($A16,'Data shares'!$C:$FB,125)</f>
        <v>1.07</v>
      </c>
      <c r="Q16" s="50">
        <f>VLOOKUP($A16,'Data shares'!$C:$FB,127)*100</f>
        <v>-44.86</v>
      </c>
    </row>
    <row r="17" spans="1:17" x14ac:dyDescent="0.25">
      <c r="A17" s="97" t="str">
        <f>'Snapshot (Value)'!A21</f>
        <v>ANGELONE</v>
      </c>
      <c r="B17" s="140">
        <f>VLOOKUP($A17,'Data shares'!$C:$FB,7)</f>
        <v>2615.1</v>
      </c>
      <c r="C17" s="140">
        <f>VLOOKUP($A17,'Data shares'!$C:$FB,3)</f>
        <v>2629.1</v>
      </c>
      <c r="D17" s="140">
        <f>VLOOKUP($A17,'Data shares'!$C:$FB,4)</f>
        <v>2551.4</v>
      </c>
      <c r="E17" s="50">
        <f t="shared" si="0"/>
        <v>3.0453868464372427</v>
      </c>
      <c r="F17" s="49">
        <f>VLOOKUP($A17,'Data shares'!$C:$FB,98)</f>
        <v>4684000</v>
      </c>
      <c r="G17" s="49">
        <f>VLOOKUP($A17,'Data shares'!$C:$FB,99)</f>
        <v>4510250</v>
      </c>
      <c r="H17" s="50">
        <f t="shared" si="1"/>
        <v>3.8523363449919628</v>
      </c>
      <c r="I17" s="49">
        <f>VLOOKUP($A17,'Data shares'!$C:$FB,66)</f>
        <v>5631000</v>
      </c>
      <c r="J17" s="49">
        <f>VLOOKUP($A17,'Data shares'!$C:$FB,67)</f>
        <v>7826750</v>
      </c>
      <c r="K17" s="50">
        <f t="shared" si="2"/>
        <v>-38.993961996093056</v>
      </c>
      <c r="L17" s="50">
        <f>VLOOKUP($A17,'Data shares'!$C:$FB,118)</f>
        <v>0.72</v>
      </c>
      <c r="M17" s="50">
        <f>VLOOKUP($A17,'Data shares'!$C:$FB,119)</f>
        <v>0.96</v>
      </c>
      <c r="N17" s="50">
        <f>VLOOKUP($A17,'Data shares'!$C:$FB,121)*100</f>
        <v>-25</v>
      </c>
      <c r="O17" s="50">
        <f>VLOOKUP($A17,'Data shares'!$C:$FB,124)</f>
        <v>0.35</v>
      </c>
      <c r="P17" s="50">
        <f>VLOOKUP($A17,'Data shares'!$C:$FB,125)</f>
        <v>0.92</v>
      </c>
      <c r="Q17" s="50">
        <f>VLOOKUP($A17,'Data shares'!$C:$FB,127)*100</f>
        <v>-61.96</v>
      </c>
    </row>
    <row r="18" spans="1:17" x14ac:dyDescent="0.25">
      <c r="A18" s="97" t="str">
        <f>'Snapshot (Value)'!A22</f>
        <v>APLAPOLLO</v>
      </c>
      <c r="B18" s="140">
        <f>VLOOKUP($A18,'Data shares'!$C:$FB,7)</f>
        <v>2091</v>
      </c>
      <c r="C18" s="140">
        <f>VLOOKUP($A18,'Data shares'!$C:$FB,3)</f>
        <v>2098.5</v>
      </c>
      <c r="D18" s="140">
        <f>VLOOKUP($A18,'Data shares'!$C:$FB,4)</f>
        <v>2069.1999999999998</v>
      </c>
      <c r="E18" s="50">
        <f t="shared" si="0"/>
        <v>1.4160061859655995</v>
      </c>
      <c r="F18" s="49">
        <f>VLOOKUP($A18,'Data shares'!$C:$FB,98)</f>
        <v>11515350</v>
      </c>
      <c r="G18" s="49">
        <f>VLOOKUP($A18,'Data shares'!$C:$FB,99)</f>
        <v>11927650</v>
      </c>
      <c r="H18" s="50">
        <f t="shared" si="1"/>
        <v>-3.4566741981865663</v>
      </c>
      <c r="I18" s="49">
        <f>VLOOKUP($A18,'Data shares'!$C:$FB,66)</f>
        <v>4948300</v>
      </c>
      <c r="J18" s="49">
        <f>VLOOKUP($A18,'Data shares'!$C:$FB,67)</f>
        <v>25030250</v>
      </c>
      <c r="K18" s="50">
        <f t="shared" si="2"/>
        <v>-405.83533738859813</v>
      </c>
      <c r="L18" s="50">
        <f>VLOOKUP($A18,'Data shares'!$C:$FB,118)</f>
        <v>0.55000000000000004</v>
      </c>
      <c r="M18" s="50">
        <f>VLOOKUP($A18,'Data shares'!$C:$FB,119)</f>
        <v>0.48</v>
      </c>
      <c r="N18" s="50">
        <f>VLOOKUP($A18,'Data shares'!$C:$FB,121)*100</f>
        <v>14.580000000000002</v>
      </c>
      <c r="O18" s="50">
        <f>VLOOKUP($A18,'Data shares'!$C:$FB,124)</f>
        <v>0.32</v>
      </c>
      <c r="P18" s="50">
        <f>VLOOKUP($A18,'Data shares'!$C:$FB,125)</f>
        <v>0.39</v>
      </c>
      <c r="Q18" s="50">
        <f>VLOOKUP($A18,'Data shares'!$C:$FB,127)*100</f>
        <v>-17.95</v>
      </c>
    </row>
    <row r="19" spans="1:17" x14ac:dyDescent="0.25">
      <c r="A19" s="97" t="str">
        <f>'Snapshot (Value)'!A23</f>
        <v>APOLLOHOSP</v>
      </c>
      <c r="B19" s="140">
        <f>VLOOKUP($A19,'Data shares'!$C:$FB,7)</f>
        <v>6877.5</v>
      </c>
      <c r="C19" s="140">
        <f>VLOOKUP($A19,'Data shares'!$C:$FB,3)</f>
        <v>6892</v>
      </c>
      <c r="D19" s="140">
        <f>VLOOKUP($A19,'Data shares'!$C:$FB,4)</f>
        <v>6831.5</v>
      </c>
      <c r="E19" s="50">
        <f t="shared" si="0"/>
        <v>0.88560345458537659</v>
      </c>
      <c r="F19" s="49">
        <f>VLOOKUP($A19,'Data shares'!$C:$FB,98)</f>
        <v>4901125</v>
      </c>
      <c r="G19" s="49">
        <f>VLOOKUP($A19,'Data shares'!$C:$FB,99)</f>
        <v>4643500</v>
      </c>
      <c r="H19" s="50">
        <f t="shared" si="1"/>
        <v>5.5480779584365241</v>
      </c>
      <c r="I19" s="49">
        <f>VLOOKUP($A19,'Data shares'!$C:$FB,66)</f>
        <v>2540875</v>
      </c>
      <c r="J19" s="49">
        <f>VLOOKUP($A19,'Data shares'!$C:$FB,67)</f>
        <v>5283625</v>
      </c>
      <c r="K19" s="50">
        <f t="shared" si="2"/>
        <v>-107.94509765336744</v>
      </c>
      <c r="L19" s="50">
        <f>VLOOKUP($A19,'Data shares'!$C:$FB,118)</f>
        <v>0.76</v>
      </c>
      <c r="M19" s="50">
        <f>VLOOKUP($A19,'Data shares'!$C:$FB,119)</f>
        <v>0.8</v>
      </c>
      <c r="N19" s="50">
        <f>VLOOKUP($A19,'Data shares'!$C:$FB,121)*100</f>
        <v>-5</v>
      </c>
      <c r="O19" s="50">
        <f>VLOOKUP($A19,'Data shares'!$C:$FB,124)</f>
        <v>0.31</v>
      </c>
      <c r="P19" s="50">
        <f>VLOOKUP($A19,'Data shares'!$C:$FB,125)</f>
        <v>0.51</v>
      </c>
      <c r="Q19" s="50">
        <f>VLOOKUP($A19,'Data shares'!$C:$FB,127)*100</f>
        <v>-39.22</v>
      </c>
    </row>
    <row r="20" spans="1:17" x14ac:dyDescent="0.25">
      <c r="A20" s="97" t="str">
        <f>'Snapshot (Value)'!A24</f>
        <v>ASHOKLEY</v>
      </c>
      <c r="B20" s="140">
        <f>VLOOKUP($A20,'Data shares'!$C:$FB,7)</f>
        <v>195.33</v>
      </c>
      <c r="C20" s="140">
        <f>VLOOKUP($A20,'Data shares'!$C:$FB,3)</f>
        <v>193.64</v>
      </c>
      <c r="D20" s="140">
        <f>VLOOKUP($A20,'Data shares'!$C:$FB,4)</f>
        <v>192.87</v>
      </c>
      <c r="E20" s="50">
        <f t="shared" si="0"/>
        <v>0.39923264374966649</v>
      </c>
      <c r="F20" s="49">
        <f>VLOOKUP($A20,'Data shares'!$C:$FB,98)</f>
        <v>221265000</v>
      </c>
      <c r="G20" s="49">
        <f>VLOOKUP($A20,'Data shares'!$C:$FB,99)</f>
        <v>218860000</v>
      </c>
      <c r="H20" s="50">
        <f t="shared" si="1"/>
        <v>1.0988759937859818</v>
      </c>
      <c r="I20" s="49">
        <f>VLOOKUP($A20,'Data shares'!$C:$FB,66)</f>
        <v>169515000</v>
      </c>
      <c r="J20" s="49">
        <f>VLOOKUP($A20,'Data shares'!$C:$FB,67)</f>
        <v>212150000</v>
      </c>
      <c r="K20" s="50">
        <f t="shared" si="2"/>
        <v>-25.151166563430966</v>
      </c>
      <c r="L20" s="50">
        <f>VLOOKUP($A20,'Data shares'!$C:$FB,118)</f>
        <v>0.61</v>
      </c>
      <c r="M20" s="50">
        <f>VLOOKUP($A20,'Data shares'!$C:$FB,119)</f>
        <v>0.57999999999999996</v>
      </c>
      <c r="N20" s="50">
        <f>VLOOKUP($A20,'Data shares'!$C:$FB,121)*100</f>
        <v>5.17</v>
      </c>
      <c r="O20" s="50">
        <f>VLOOKUP($A20,'Data shares'!$C:$FB,124)</f>
        <v>0.36</v>
      </c>
      <c r="P20" s="50">
        <f>VLOOKUP($A20,'Data shares'!$C:$FB,125)</f>
        <v>0.49</v>
      </c>
      <c r="Q20" s="50">
        <f>VLOOKUP($A20,'Data shares'!$C:$FB,127)*100</f>
        <v>-26.529999999999998</v>
      </c>
    </row>
    <row r="21" spans="1:17" x14ac:dyDescent="0.25">
      <c r="A21" s="97" t="str">
        <f>'Snapshot (Value)'!A25</f>
        <v>ASIANPAINT</v>
      </c>
      <c r="B21" s="140">
        <f>VLOOKUP($A21,'Data shares'!$C:$FB,7)</f>
        <v>2511.8000000000002</v>
      </c>
      <c r="C21" s="140">
        <f>VLOOKUP($A21,'Data shares'!$C:$FB,3)</f>
        <v>2513.9</v>
      </c>
      <c r="D21" s="140">
        <f>VLOOKUP($A21,'Data shares'!$C:$FB,4)</f>
        <v>2630</v>
      </c>
      <c r="E21" s="50">
        <f t="shared" si="0"/>
        <v>-4.4144486692015175</v>
      </c>
      <c r="F21" s="49">
        <f>VLOOKUP($A21,'Data shares'!$C:$FB,98)</f>
        <v>22246750</v>
      </c>
      <c r="G21" s="49">
        <f>VLOOKUP($A21,'Data shares'!$C:$FB,99)</f>
        <v>18610500</v>
      </c>
      <c r="H21" s="50">
        <f t="shared" si="1"/>
        <v>19.538701270787996</v>
      </c>
      <c r="I21" s="49">
        <f>VLOOKUP($A21,'Data shares'!$C:$FB,66)</f>
        <v>49490250</v>
      </c>
      <c r="J21" s="49">
        <f>VLOOKUP($A21,'Data shares'!$C:$FB,67)</f>
        <v>66213750</v>
      </c>
      <c r="K21" s="50">
        <f t="shared" si="2"/>
        <v>-33.791504387227789</v>
      </c>
      <c r="L21" s="50">
        <f>VLOOKUP($A21,'Data shares'!$C:$FB,118)</f>
        <v>0.64</v>
      </c>
      <c r="M21" s="50">
        <f>VLOOKUP($A21,'Data shares'!$C:$FB,119)</f>
        <v>0.91</v>
      </c>
      <c r="N21" s="50">
        <f>VLOOKUP($A21,'Data shares'!$C:$FB,121)*100</f>
        <v>-29.67</v>
      </c>
      <c r="O21" s="50">
        <f>VLOOKUP($A21,'Data shares'!$C:$FB,124)</f>
        <v>0.7</v>
      </c>
      <c r="P21" s="50">
        <f>VLOOKUP($A21,'Data shares'!$C:$FB,125)</f>
        <v>0.97</v>
      </c>
      <c r="Q21" s="50">
        <f>VLOOKUP($A21,'Data shares'!$C:$FB,127)*100</f>
        <v>-27.839999999999996</v>
      </c>
    </row>
    <row r="22" spans="1:17" x14ac:dyDescent="0.25">
      <c r="A22" s="97" t="str">
        <f>'Snapshot (Value)'!A26</f>
        <v>ASTRAL</v>
      </c>
      <c r="B22" s="140">
        <f>VLOOKUP($A22,'Data shares'!$C:$FB,7)</f>
        <v>1452.9</v>
      </c>
      <c r="C22" s="140">
        <f>VLOOKUP($A22,'Data shares'!$C:$FB,3)</f>
        <v>1456.2</v>
      </c>
      <c r="D22" s="140">
        <f>VLOOKUP($A22,'Data shares'!$C:$FB,4)</f>
        <v>1397.7</v>
      </c>
      <c r="E22" s="50">
        <f t="shared" si="0"/>
        <v>4.1854475209272373</v>
      </c>
      <c r="F22" s="49">
        <f>VLOOKUP($A22,'Data shares'!$C:$FB,98)</f>
        <v>8994275</v>
      </c>
      <c r="G22" s="49">
        <f>VLOOKUP($A22,'Data shares'!$C:$FB,99)</f>
        <v>8590100</v>
      </c>
      <c r="H22" s="50">
        <f t="shared" si="1"/>
        <v>4.7051256679200471</v>
      </c>
      <c r="I22" s="49">
        <f>VLOOKUP($A22,'Data shares'!$C:$FB,66)</f>
        <v>4845425</v>
      </c>
      <c r="J22" s="49">
        <f>VLOOKUP($A22,'Data shares'!$C:$FB,67)</f>
        <v>6482950</v>
      </c>
      <c r="K22" s="50">
        <f t="shared" si="2"/>
        <v>-33.795281115691608</v>
      </c>
      <c r="L22" s="50">
        <f>VLOOKUP($A22,'Data shares'!$C:$FB,118)</f>
        <v>0.64</v>
      </c>
      <c r="M22" s="50">
        <f>VLOOKUP($A22,'Data shares'!$C:$FB,119)</f>
        <v>0.79</v>
      </c>
      <c r="N22" s="50">
        <f>VLOOKUP($A22,'Data shares'!$C:$FB,121)*100</f>
        <v>-18.990000000000002</v>
      </c>
      <c r="O22" s="50">
        <f>VLOOKUP($A22,'Data shares'!$C:$FB,124)</f>
        <v>0.56000000000000005</v>
      </c>
      <c r="P22" s="50">
        <f>VLOOKUP($A22,'Data shares'!$C:$FB,125)</f>
        <v>0.54</v>
      </c>
      <c r="Q22" s="50">
        <f>VLOOKUP($A22,'Data shares'!$C:$FB,127)*100</f>
        <v>3.6999999999999997</v>
      </c>
    </row>
    <row r="23" spans="1:17" x14ac:dyDescent="0.25">
      <c r="A23" s="97" t="str">
        <f>'Snapshot (Value)'!A27</f>
        <v>AUBANK</v>
      </c>
      <c r="B23" s="140">
        <f>VLOOKUP($A23,'Data shares'!$C:$FB,7)</f>
        <v>962.35</v>
      </c>
      <c r="C23" s="140">
        <f>VLOOKUP($A23,'Data shares'!$C:$FB,3)</f>
        <v>967.6</v>
      </c>
      <c r="D23" s="140">
        <f>VLOOKUP($A23,'Data shares'!$C:$FB,4)</f>
        <v>968.3</v>
      </c>
      <c r="E23" s="50">
        <f t="shared" si="0"/>
        <v>-7.2291645151289038E-2</v>
      </c>
      <c r="F23" s="49">
        <f>VLOOKUP($A23,'Data shares'!$C:$FB,98)</f>
        <v>30420000</v>
      </c>
      <c r="G23" s="49">
        <f>VLOOKUP($A23,'Data shares'!$C:$FB,99)</f>
        <v>29945000</v>
      </c>
      <c r="H23" s="50">
        <f t="shared" si="1"/>
        <v>1.586241442644849</v>
      </c>
      <c r="I23" s="49">
        <f>VLOOKUP($A23,'Data shares'!$C:$FB,66)</f>
        <v>10608000</v>
      </c>
      <c r="J23" s="49">
        <f>VLOOKUP($A23,'Data shares'!$C:$FB,67)</f>
        <v>34776000</v>
      </c>
      <c r="K23" s="50">
        <f t="shared" si="2"/>
        <v>-227.82805429864251</v>
      </c>
      <c r="L23" s="50">
        <f>VLOOKUP($A23,'Data shares'!$C:$FB,118)</f>
        <v>0.74</v>
      </c>
      <c r="M23" s="50">
        <f>VLOOKUP($A23,'Data shares'!$C:$FB,119)</f>
        <v>0.82</v>
      </c>
      <c r="N23" s="50">
        <f>VLOOKUP($A23,'Data shares'!$C:$FB,121)*100</f>
        <v>-9.76</v>
      </c>
      <c r="O23" s="50">
        <f>VLOOKUP($A23,'Data shares'!$C:$FB,124)</f>
        <v>0.5</v>
      </c>
      <c r="P23" s="50">
        <f>VLOOKUP($A23,'Data shares'!$C:$FB,125)</f>
        <v>0.95</v>
      </c>
      <c r="Q23" s="50">
        <f>VLOOKUP($A23,'Data shares'!$C:$FB,127)*100</f>
        <v>-47.370000000000005</v>
      </c>
    </row>
    <row r="24" spans="1:17" x14ac:dyDescent="0.25">
      <c r="A24" s="97" t="str">
        <f>'Snapshot (Value)'!A28</f>
        <v>AUROPHARMA</v>
      </c>
      <c r="B24" s="140">
        <f>VLOOKUP($A24,'Data shares'!$C:$FB,7)</f>
        <v>1139.9000000000001</v>
      </c>
      <c r="C24" s="140">
        <f>VLOOKUP($A24,'Data shares'!$C:$FB,3)</f>
        <v>1142</v>
      </c>
      <c r="D24" s="140">
        <f>VLOOKUP($A24,'Data shares'!$C:$FB,4)</f>
        <v>1136.4000000000001</v>
      </c>
      <c r="E24" s="50">
        <f t="shared" si="0"/>
        <v>0.49278423090460299</v>
      </c>
      <c r="F24" s="49">
        <f>VLOOKUP($A24,'Data shares'!$C:$FB,98)</f>
        <v>23772100</v>
      </c>
      <c r="G24" s="49">
        <f>VLOOKUP($A24,'Data shares'!$C:$FB,99)</f>
        <v>23370600</v>
      </c>
      <c r="H24" s="50">
        <f t="shared" si="1"/>
        <v>1.7179704414948698</v>
      </c>
      <c r="I24" s="49">
        <f>VLOOKUP($A24,'Data shares'!$C:$FB,66)</f>
        <v>2922150</v>
      </c>
      <c r="J24" s="49">
        <f>VLOOKUP($A24,'Data shares'!$C:$FB,67)</f>
        <v>12656050</v>
      </c>
      <c r="K24" s="50">
        <f t="shared" si="2"/>
        <v>-333.10747223790702</v>
      </c>
      <c r="L24" s="50">
        <f>VLOOKUP($A24,'Data shares'!$C:$FB,118)</f>
        <v>1.1599999999999999</v>
      </c>
      <c r="M24" s="50">
        <f>VLOOKUP($A24,'Data shares'!$C:$FB,119)</f>
        <v>1.27</v>
      </c>
      <c r="N24" s="50">
        <f>VLOOKUP($A24,'Data shares'!$C:$FB,121)*100</f>
        <v>-8.66</v>
      </c>
      <c r="O24" s="50">
        <f>VLOOKUP($A24,'Data shares'!$C:$FB,124)</f>
        <v>0.52</v>
      </c>
      <c r="P24" s="50">
        <f>VLOOKUP($A24,'Data shares'!$C:$FB,125)</f>
        <v>0.73</v>
      </c>
      <c r="Q24" s="50">
        <f>VLOOKUP($A24,'Data shares'!$C:$FB,127)*100</f>
        <v>-28.77</v>
      </c>
    </row>
    <row r="25" spans="1:17" x14ac:dyDescent="0.25">
      <c r="A25" s="97" t="str">
        <f>'Snapshot (Value)'!A29</f>
        <v>AXISBANK</v>
      </c>
      <c r="B25" s="140">
        <f>VLOOKUP($A25,'Data shares'!$C:$FB,7)</f>
        <v>1319.8</v>
      </c>
      <c r="C25" s="140">
        <f>VLOOKUP($A25,'Data shares'!$C:$FB,3)</f>
        <v>1323.6</v>
      </c>
      <c r="D25" s="140">
        <f>VLOOKUP($A25,'Data shares'!$C:$FB,4)</f>
        <v>1323</v>
      </c>
      <c r="E25" s="50">
        <f t="shared" si="0"/>
        <v>4.5351473922895617E-2</v>
      </c>
      <c r="F25" s="49">
        <f>VLOOKUP($A25,'Data shares'!$C:$FB,98)</f>
        <v>105440625</v>
      </c>
      <c r="G25" s="49">
        <f>VLOOKUP($A25,'Data shares'!$C:$FB,99)</f>
        <v>104461875</v>
      </c>
      <c r="H25" s="50">
        <f t="shared" si="1"/>
        <v>0.93694469872381658</v>
      </c>
      <c r="I25" s="49">
        <f>VLOOKUP($A25,'Data shares'!$C:$FB,66)</f>
        <v>107959375</v>
      </c>
      <c r="J25" s="49">
        <f>VLOOKUP($A25,'Data shares'!$C:$FB,67)</f>
        <v>389712500</v>
      </c>
      <c r="K25" s="50">
        <f t="shared" si="2"/>
        <v>-260.98069296899877</v>
      </c>
      <c r="L25" s="50">
        <f>VLOOKUP($A25,'Data shares'!$C:$FB,118)</f>
        <v>0.88</v>
      </c>
      <c r="M25" s="50">
        <f>VLOOKUP($A25,'Data shares'!$C:$FB,119)</f>
        <v>1.1499999999999999</v>
      </c>
      <c r="N25" s="50">
        <f>VLOOKUP($A25,'Data shares'!$C:$FB,121)*100</f>
        <v>-23.48</v>
      </c>
      <c r="O25" s="50">
        <f>VLOOKUP($A25,'Data shares'!$C:$FB,124)</f>
        <v>0.69</v>
      </c>
      <c r="P25" s="50">
        <f>VLOOKUP($A25,'Data shares'!$C:$FB,125)</f>
        <v>0.47</v>
      </c>
      <c r="Q25" s="50">
        <f>VLOOKUP($A25,'Data shares'!$C:$FB,127)*100</f>
        <v>46.81</v>
      </c>
    </row>
    <row r="26" spans="1:17" x14ac:dyDescent="0.25">
      <c r="A26" s="97" t="str">
        <f>'Snapshot (Value)'!A30</f>
        <v>BAJAJ-AUTO</v>
      </c>
      <c r="B26" s="140">
        <f>VLOOKUP($A26,'Data shares'!$C:$FB,7)</f>
        <v>9433.5</v>
      </c>
      <c r="C26" s="140">
        <f>VLOOKUP($A26,'Data shares'!$C:$FB,3)</f>
        <v>9459</v>
      </c>
      <c r="D26" s="140">
        <f>VLOOKUP($A26,'Data shares'!$C:$FB,4)</f>
        <v>9531.5</v>
      </c>
      <c r="E26" s="50">
        <f t="shared" si="0"/>
        <v>-0.76063578660231868</v>
      </c>
      <c r="F26" s="49">
        <f>VLOOKUP($A26,'Data shares'!$C:$FB,98)</f>
        <v>4241925</v>
      </c>
      <c r="G26" s="49">
        <f>VLOOKUP($A26,'Data shares'!$C:$FB,99)</f>
        <v>4057650</v>
      </c>
      <c r="H26" s="50">
        <f t="shared" si="1"/>
        <v>4.5414217588998556</v>
      </c>
      <c r="I26" s="49">
        <f>VLOOKUP($A26,'Data shares'!$C:$FB,66)</f>
        <v>3556350</v>
      </c>
      <c r="J26" s="49">
        <f>VLOOKUP($A26,'Data shares'!$C:$FB,67)</f>
        <v>4695075</v>
      </c>
      <c r="K26" s="50">
        <f t="shared" si="2"/>
        <v>-32.019486271036314</v>
      </c>
      <c r="L26" s="50">
        <f>VLOOKUP($A26,'Data shares'!$C:$FB,118)</f>
        <v>0.87</v>
      </c>
      <c r="M26" s="50">
        <f>VLOOKUP($A26,'Data shares'!$C:$FB,119)</f>
        <v>0.83</v>
      </c>
      <c r="N26" s="50">
        <f>VLOOKUP($A26,'Data shares'!$C:$FB,121)*100</f>
        <v>4.82</v>
      </c>
      <c r="O26" s="50">
        <f>VLOOKUP($A26,'Data shares'!$C:$FB,124)</f>
        <v>1.1200000000000001</v>
      </c>
      <c r="P26" s="50">
        <f>VLOOKUP($A26,'Data shares'!$C:$FB,125)</f>
        <v>0.62</v>
      </c>
      <c r="Q26" s="50">
        <f>VLOOKUP($A26,'Data shares'!$C:$FB,127)*100</f>
        <v>80.650000000000006</v>
      </c>
    </row>
    <row r="27" spans="1:17" x14ac:dyDescent="0.25">
      <c r="A27" s="97" t="str">
        <f>'Snapshot (Value)'!A31</f>
        <v>BAJAJFINSV</v>
      </c>
      <c r="B27" s="140">
        <f>VLOOKUP($A27,'Data shares'!$C:$FB,7)</f>
        <v>1940.3</v>
      </c>
      <c r="C27" s="140">
        <f>VLOOKUP($A27,'Data shares'!$C:$FB,3)</f>
        <v>1951.2</v>
      </c>
      <c r="D27" s="140">
        <f>VLOOKUP($A27,'Data shares'!$C:$FB,4)</f>
        <v>1927.7</v>
      </c>
      <c r="E27" s="50">
        <f t="shared" si="0"/>
        <v>1.2190693572651345</v>
      </c>
      <c r="F27" s="49">
        <f>VLOOKUP($A27,'Data shares'!$C:$FB,98)</f>
        <v>18607250</v>
      </c>
      <c r="G27" s="49">
        <f>VLOOKUP($A27,'Data shares'!$C:$FB,99)</f>
        <v>18219500</v>
      </c>
      <c r="H27" s="50">
        <f t="shared" si="1"/>
        <v>2.1282142759131699</v>
      </c>
      <c r="I27" s="49">
        <f>VLOOKUP($A27,'Data shares'!$C:$FB,66)</f>
        <v>4200250</v>
      </c>
      <c r="J27" s="49">
        <f>VLOOKUP($A27,'Data shares'!$C:$FB,67)</f>
        <v>19514250</v>
      </c>
      <c r="K27" s="50">
        <f t="shared" si="2"/>
        <v>-364.59734539610736</v>
      </c>
      <c r="L27" s="50">
        <f>VLOOKUP($A27,'Data shares'!$C:$FB,118)</f>
        <v>1.07</v>
      </c>
      <c r="M27" s="50">
        <f>VLOOKUP($A27,'Data shares'!$C:$FB,119)</f>
        <v>1.06</v>
      </c>
      <c r="N27" s="50">
        <f>VLOOKUP($A27,'Data shares'!$C:$FB,121)*100</f>
        <v>0.94000000000000006</v>
      </c>
      <c r="O27" s="50">
        <f>VLOOKUP($A27,'Data shares'!$C:$FB,124)</f>
        <v>0.56999999999999995</v>
      </c>
      <c r="P27" s="50">
        <f>VLOOKUP($A27,'Data shares'!$C:$FB,125)</f>
        <v>0.92</v>
      </c>
      <c r="Q27" s="50">
        <f>VLOOKUP($A27,'Data shares'!$C:$FB,127)*100</f>
        <v>-38.04</v>
      </c>
    </row>
    <row r="28" spans="1:17" x14ac:dyDescent="0.25">
      <c r="A28" s="97" t="str">
        <f>'Snapshot (Value)'!A32</f>
        <v>BAJAJHLDNG</v>
      </c>
      <c r="B28" s="140">
        <f>VLOOKUP($A28,'Data shares'!$C:$FB,7)</f>
        <v>10704</v>
      </c>
      <c r="C28" s="140">
        <f>VLOOKUP($A28,'Data shares'!$C:$FB,3)</f>
        <v>10732</v>
      </c>
      <c r="D28" s="140">
        <f>VLOOKUP($A28,'Data shares'!$C:$FB,4)</f>
        <v>10678</v>
      </c>
      <c r="E28" s="50">
        <f t="shared" si="0"/>
        <v>0.50571268027720551</v>
      </c>
      <c r="F28" s="49">
        <f>VLOOKUP($A28,'Data shares'!$C:$FB,98)</f>
        <v>253700</v>
      </c>
      <c r="G28" s="49">
        <f>VLOOKUP($A28,'Data shares'!$C:$FB,99)</f>
        <v>228500</v>
      </c>
      <c r="H28" s="50">
        <f t="shared" si="1"/>
        <v>11.028446389496718</v>
      </c>
      <c r="I28" s="49">
        <f>VLOOKUP($A28,'Data shares'!$C:$FB,66)</f>
        <v>92600</v>
      </c>
      <c r="J28" s="49">
        <f>VLOOKUP($A28,'Data shares'!$C:$FB,67)</f>
        <v>637250</v>
      </c>
      <c r="K28" s="50">
        <f t="shared" si="2"/>
        <v>-588.17494600431962</v>
      </c>
      <c r="L28" s="50">
        <f>VLOOKUP($A28,'Data shares'!$C:$FB,118)</f>
        <v>0.71</v>
      </c>
      <c r="M28" s="50">
        <f>VLOOKUP($A28,'Data shares'!$C:$FB,119)</f>
        <v>0.97</v>
      </c>
      <c r="N28" s="50">
        <f>VLOOKUP($A28,'Data shares'!$C:$FB,121)*100</f>
        <v>-26.8</v>
      </c>
      <c r="O28" s="50">
        <f>VLOOKUP($A28,'Data shares'!$C:$FB,124)</f>
        <v>0.36</v>
      </c>
      <c r="P28" s="50">
        <f>VLOOKUP($A28,'Data shares'!$C:$FB,125)</f>
        <v>1.96</v>
      </c>
      <c r="Q28" s="50">
        <f>VLOOKUP($A28,'Data shares'!$C:$FB,127)*100</f>
        <v>-81.63</v>
      </c>
    </row>
    <row r="29" spans="1:17" x14ac:dyDescent="0.25">
      <c r="A29" s="97" t="str">
        <f>'Snapshot (Value)'!A33</f>
        <v>BAJFINANCE</v>
      </c>
      <c r="B29" s="140">
        <f>VLOOKUP($A29,'Data shares'!$C:$FB,7)</f>
        <v>935.15</v>
      </c>
      <c r="C29" s="140">
        <f>VLOOKUP($A29,'Data shares'!$C:$FB,3)</f>
        <v>938.65</v>
      </c>
      <c r="D29" s="140">
        <f>VLOOKUP($A29,'Data shares'!$C:$FB,4)</f>
        <v>921.25</v>
      </c>
      <c r="E29" s="50">
        <f t="shared" si="0"/>
        <v>1.8887381275440953</v>
      </c>
      <c r="F29" s="49">
        <f>VLOOKUP($A29,'Data shares'!$C:$FB,98)</f>
        <v>115038750</v>
      </c>
      <c r="G29" s="49">
        <f>VLOOKUP($A29,'Data shares'!$C:$FB,99)</f>
        <v>114596250</v>
      </c>
      <c r="H29" s="50">
        <f t="shared" si="1"/>
        <v>0.38613828986550608</v>
      </c>
      <c r="I29" s="49">
        <f>VLOOKUP($A29,'Data shares'!$C:$FB,66)</f>
        <v>32041500</v>
      </c>
      <c r="J29" s="49">
        <f>VLOOKUP($A29,'Data shares'!$C:$FB,67)</f>
        <v>96206250</v>
      </c>
      <c r="K29" s="50">
        <f t="shared" si="2"/>
        <v>-200.25513786807733</v>
      </c>
      <c r="L29" s="50">
        <f>VLOOKUP($A29,'Data shares'!$C:$FB,118)</f>
        <v>1.1599999999999999</v>
      </c>
      <c r="M29" s="50">
        <f>VLOOKUP($A29,'Data shares'!$C:$FB,119)</f>
        <v>1.23</v>
      </c>
      <c r="N29" s="50">
        <f>VLOOKUP($A29,'Data shares'!$C:$FB,121)*100</f>
        <v>-5.6899999999999995</v>
      </c>
      <c r="O29" s="50">
        <f>VLOOKUP($A29,'Data shares'!$C:$FB,124)</f>
        <v>0.45</v>
      </c>
      <c r="P29" s="50">
        <f>VLOOKUP($A29,'Data shares'!$C:$FB,125)</f>
        <v>0.79</v>
      </c>
      <c r="Q29" s="50">
        <f>VLOOKUP($A29,'Data shares'!$C:$FB,127)*100</f>
        <v>-43.04</v>
      </c>
    </row>
    <row r="30" spans="1:17" x14ac:dyDescent="0.25">
      <c r="A30" s="97" t="str">
        <f>'Snapshot (Value)'!A34</f>
        <v>BANDHANBNK</v>
      </c>
      <c r="B30" s="176">
        <f>VLOOKUP($A30,'Data shares'!$C:$FB,7)</f>
        <v>153.35</v>
      </c>
      <c r="C30" s="176">
        <f>VLOOKUP($A30,'Data shares'!$C:$FB,3)</f>
        <v>154.37</v>
      </c>
      <c r="D30" s="176">
        <f>VLOOKUP($A30,'Data shares'!$C:$FB,4)</f>
        <v>149.81</v>
      </c>
      <c r="E30" s="50">
        <f t="shared" si="0"/>
        <v>3.0438555503637956</v>
      </c>
      <c r="F30" s="49">
        <f>VLOOKUP($A30,'Data shares'!$C:$FB,98)</f>
        <v>133322400</v>
      </c>
      <c r="G30" s="49">
        <f>VLOOKUP($A30,'Data shares'!$C:$FB,99)</f>
        <v>125524800</v>
      </c>
      <c r="H30" s="50">
        <f t="shared" si="1"/>
        <v>6.2119995411265343</v>
      </c>
      <c r="I30" s="49">
        <f>VLOOKUP($A30,'Data shares'!$C:$FB,66)</f>
        <v>66733200</v>
      </c>
      <c r="J30" s="49">
        <f>VLOOKUP($A30,'Data shares'!$C:$FB,67)</f>
        <v>182170800</v>
      </c>
      <c r="K30" s="50">
        <f t="shared" si="2"/>
        <v>-172.9837622053191</v>
      </c>
      <c r="L30" s="50">
        <f>VLOOKUP($A30,'Data shares'!$C:$FB,118)</f>
        <v>0.86</v>
      </c>
      <c r="M30" s="50">
        <f>VLOOKUP($A30,'Data shares'!$C:$FB,119)</f>
        <v>1.18</v>
      </c>
      <c r="N30" s="50">
        <f>VLOOKUP($A30,'Data shares'!$C:$FB,121)*100</f>
        <v>-27.12</v>
      </c>
      <c r="O30" s="50">
        <f>VLOOKUP($A30,'Data shares'!$C:$FB,124)</f>
        <v>0.32</v>
      </c>
      <c r="P30" s="50">
        <f>VLOOKUP($A30,'Data shares'!$C:$FB,125)</f>
        <v>0.86</v>
      </c>
      <c r="Q30" s="50">
        <f>VLOOKUP($A30,'Data shares'!$C:$FB,127)*100</f>
        <v>-62.79</v>
      </c>
    </row>
    <row r="31" spans="1:17" x14ac:dyDescent="0.25">
      <c r="A31" s="97" t="str">
        <f>'Snapshot (Value)'!A35</f>
        <v>BANKBARODA</v>
      </c>
      <c r="B31" s="140">
        <f>VLOOKUP($A31,'Data shares'!$C:$FB,7)</f>
        <v>306.2</v>
      </c>
      <c r="C31" s="140">
        <f>VLOOKUP($A31,'Data shares'!$C:$FB,3)</f>
        <v>308.2</v>
      </c>
      <c r="D31" s="140">
        <f>VLOOKUP($A31,'Data shares'!$C:$FB,4)</f>
        <v>304.10000000000002</v>
      </c>
      <c r="E31" s="50">
        <f t="shared" si="0"/>
        <v>1.3482407102926557</v>
      </c>
      <c r="F31" s="49">
        <f>VLOOKUP($A31,'Data shares'!$C:$FB,98)</f>
        <v>126240075</v>
      </c>
      <c r="G31" s="49">
        <f>VLOOKUP($A31,'Data shares'!$C:$FB,99)</f>
        <v>122958225</v>
      </c>
      <c r="H31" s="50">
        <f t="shared" si="1"/>
        <v>2.6690772414777455</v>
      </c>
      <c r="I31" s="49">
        <f>VLOOKUP($A31,'Data shares'!$C:$FB,66)</f>
        <v>67590900</v>
      </c>
      <c r="J31" s="49">
        <f>VLOOKUP($A31,'Data shares'!$C:$FB,67)</f>
        <v>126251775</v>
      </c>
      <c r="K31" s="50">
        <f t="shared" si="2"/>
        <v>-86.788125324562927</v>
      </c>
      <c r="L31" s="50">
        <f>VLOOKUP($A31,'Data shares'!$C:$FB,118)</f>
        <v>0.99</v>
      </c>
      <c r="M31" s="50">
        <f>VLOOKUP($A31,'Data shares'!$C:$FB,119)</f>
        <v>1.03</v>
      </c>
      <c r="N31" s="50">
        <f>VLOOKUP($A31,'Data shares'!$C:$FB,121)*100</f>
        <v>-3.88</v>
      </c>
      <c r="O31" s="50">
        <f>VLOOKUP($A31,'Data shares'!$C:$FB,124)</f>
        <v>0.45</v>
      </c>
      <c r="P31" s="50">
        <f>VLOOKUP($A31,'Data shares'!$C:$FB,125)</f>
        <v>0.71</v>
      </c>
      <c r="Q31" s="50">
        <f>VLOOKUP($A31,'Data shares'!$C:$FB,127)*100</f>
        <v>-36.620000000000005</v>
      </c>
    </row>
    <row r="32" spans="1:17" x14ac:dyDescent="0.25">
      <c r="A32" s="97" t="str">
        <f>'Snapshot (Value)'!A36</f>
        <v>BANKINDIA</v>
      </c>
      <c r="B32" s="140">
        <f>VLOOKUP($A32,'Data shares'!$C:$FB,7)</f>
        <v>167.34</v>
      </c>
      <c r="C32" s="140">
        <f>VLOOKUP($A32,'Data shares'!$C:$FB,3)</f>
        <v>167.87</v>
      </c>
      <c r="D32" s="140">
        <f>VLOOKUP($A32,'Data shares'!$C:$FB,4)</f>
        <v>164.13</v>
      </c>
      <c r="E32" s="50">
        <f t="shared" si="0"/>
        <v>2.2786815329312189</v>
      </c>
      <c r="F32" s="49">
        <f>VLOOKUP($A32,'Data shares'!$C:$FB,98)</f>
        <v>78114400</v>
      </c>
      <c r="G32" s="49">
        <f>VLOOKUP($A32,'Data shares'!$C:$FB,99)</f>
        <v>74120800</v>
      </c>
      <c r="H32" s="50">
        <f t="shared" si="1"/>
        <v>5.3879612740283429</v>
      </c>
      <c r="I32" s="49">
        <f>VLOOKUP($A32,'Data shares'!$C:$FB,66)</f>
        <v>63736400</v>
      </c>
      <c r="J32" s="49">
        <f>VLOOKUP($A32,'Data shares'!$C:$FB,67)</f>
        <v>81504800</v>
      </c>
      <c r="K32" s="50">
        <f t="shared" si="2"/>
        <v>-27.877947295423024</v>
      </c>
      <c r="L32" s="50">
        <f>VLOOKUP($A32,'Data shares'!$C:$FB,118)</f>
        <v>0.85</v>
      </c>
      <c r="M32" s="50">
        <f>VLOOKUP($A32,'Data shares'!$C:$FB,119)</f>
        <v>0.59</v>
      </c>
      <c r="N32" s="50">
        <f>VLOOKUP($A32,'Data shares'!$C:$FB,121)*100</f>
        <v>44.07</v>
      </c>
      <c r="O32" s="50">
        <f>VLOOKUP($A32,'Data shares'!$C:$FB,124)</f>
        <v>0.66</v>
      </c>
      <c r="P32" s="50">
        <f>VLOOKUP($A32,'Data shares'!$C:$FB,125)</f>
        <v>0.56000000000000005</v>
      </c>
      <c r="Q32" s="50">
        <f>VLOOKUP($A32,'Data shares'!$C:$FB,127)*100</f>
        <v>17.86</v>
      </c>
    </row>
    <row r="33" spans="1:17" x14ac:dyDescent="0.25">
      <c r="A33" s="97" t="str">
        <f>'Snapshot (Value)'!A37</f>
        <v>BANKNIFTY</v>
      </c>
      <c r="B33" s="140">
        <f>VLOOKUP($A33,'Data shares'!$C:$FB,7)</f>
        <v>59598.8</v>
      </c>
      <c r="C33" s="140">
        <f>VLOOKUP($A33,'Data shares'!$C:$FB,3)</f>
        <v>59866.400000000001</v>
      </c>
      <c r="D33" s="140">
        <f>VLOOKUP($A33,'Data shares'!$C:$FB,4)</f>
        <v>59629.599999999999</v>
      </c>
      <c r="E33" s="50">
        <f t="shared" si="0"/>
        <v>0.39711820974818363</v>
      </c>
      <c r="F33" s="49">
        <f>VLOOKUP($A33,'Data shares'!$C:$FB,98)</f>
        <v>18318670</v>
      </c>
      <c r="G33" s="49">
        <f>VLOOKUP($A33,'Data shares'!$C:$FB,99)</f>
        <v>14897030</v>
      </c>
      <c r="H33" s="50">
        <f t="shared" si="1"/>
        <v>22.968605151496639</v>
      </c>
      <c r="I33" s="49">
        <f>VLOOKUP($A33,'Data shares'!$C:$FB,66)</f>
        <v>55663590</v>
      </c>
      <c r="J33" s="49">
        <f>VLOOKUP($A33,'Data shares'!$C:$FB,67)</f>
        <v>2290711800</v>
      </c>
      <c r="K33" s="50">
        <f t="shared" si="2"/>
        <v>-4015.2785869542372</v>
      </c>
      <c r="L33" s="50">
        <f>VLOOKUP($A33,'Data shares'!$C:$FB,118)</f>
        <v>1.1399999999999999</v>
      </c>
      <c r="M33" s="50">
        <f>VLOOKUP($A33,'Data shares'!$C:$FB,119)</f>
        <v>1.1200000000000001</v>
      </c>
      <c r="N33" s="50">
        <f>VLOOKUP($A33,'Data shares'!$C:$FB,121)*100</f>
        <v>1.79</v>
      </c>
      <c r="O33" s="50">
        <f>VLOOKUP($A33,'Data shares'!$C:$FB,124)</f>
        <v>0.94</v>
      </c>
      <c r="P33" s="50">
        <f>VLOOKUP($A33,'Data shares'!$C:$FB,125)</f>
        <v>0.86</v>
      </c>
      <c r="Q33" s="50">
        <f>VLOOKUP($A33,'Data shares'!$C:$FB,127)*100</f>
        <v>9.3000000000000007</v>
      </c>
    </row>
    <row r="34" spans="1:17" x14ac:dyDescent="0.25">
      <c r="A34" s="97" t="str">
        <f>'Snapshot (Value)'!A38</f>
        <v>BDL</v>
      </c>
      <c r="B34" s="140">
        <f>VLOOKUP($A34,'Data shares'!$C:$FB,7)</f>
        <v>1570</v>
      </c>
      <c r="C34" s="140">
        <f>VLOOKUP($A34,'Data shares'!$C:$FB,3)</f>
        <v>1576.6</v>
      </c>
      <c r="D34" s="140">
        <f>VLOOKUP($A34,'Data shares'!$C:$FB,4)</f>
        <v>1474</v>
      </c>
      <c r="E34" s="50">
        <f t="shared" si="0"/>
        <v>6.9606512890094923</v>
      </c>
      <c r="F34" s="49">
        <f>VLOOKUP($A34,'Data shares'!$C:$FB,98)</f>
        <v>8643950</v>
      </c>
      <c r="G34" s="49">
        <f>VLOOKUP($A34,'Data shares'!$C:$FB,99)</f>
        <v>7109200</v>
      </c>
      <c r="H34" s="50">
        <f t="shared" si="1"/>
        <v>21.588223710122094</v>
      </c>
      <c r="I34" s="49">
        <f>VLOOKUP($A34,'Data shares'!$C:$FB,66)</f>
        <v>14856100</v>
      </c>
      <c r="J34" s="49">
        <f>VLOOKUP($A34,'Data shares'!$C:$FB,67)</f>
        <v>13368250</v>
      </c>
      <c r="K34" s="50">
        <f t="shared" si="2"/>
        <v>10.015077981435235</v>
      </c>
      <c r="L34" s="50">
        <f>VLOOKUP($A34,'Data shares'!$C:$FB,118)</f>
        <v>0.74</v>
      </c>
      <c r="M34" s="50">
        <f>VLOOKUP($A34,'Data shares'!$C:$FB,119)</f>
        <v>1</v>
      </c>
      <c r="N34" s="50">
        <f>VLOOKUP($A34,'Data shares'!$C:$FB,121)*100</f>
        <v>-26</v>
      </c>
      <c r="O34" s="50">
        <f>VLOOKUP($A34,'Data shares'!$C:$FB,124)</f>
        <v>0.22</v>
      </c>
      <c r="P34" s="50">
        <f>VLOOKUP($A34,'Data shares'!$C:$FB,125)</f>
        <v>0.41</v>
      </c>
      <c r="Q34" s="50">
        <f>VLOOKUP($A34,'Data shares'!$C:$FB,127)*100</f>
        <v>-46.339999999999996</v>
      </c>
    </row>
    <row r="35" spans="1:17" x14ac:dyDescent="0.25">
      <c r="A35" s="97" t="str">
        <f>'Snapshot (Value)'!A39</f>
        <v>BEL</v>
      </c>
      <c r="B35" s="140">
        <f>VLOOKUP($A35,'Data shares'!$C:$FB,7)</f>
        <v>453</v>
      </c>
      <c r="C35" s="140">
        <f>VLOOKUP($A35,'Data shares'!$C:$FB,3)</f>
        <v>455.95</v>
      </c>
      <c r="D35" s="140">
        <f>VLOOKUP($A35,'Data shares'!$C:$FB,4)</f>
        <v>417.4</v>
      </c>
      <c r="E35" s="50">
        <f t="shared" si="0"/>
        <v>9.2357450886439896</v>
      </c>
      <c r="F35" s="49">
        <f>VLOOKUP($A35,'Data shares'!$C:$FB,98)</f>
        <v>205500675</v>
      </c>
      <c r="G35" s="49">
        <f>VLOOKUP($A35,'Data shares'!$C:$FB,99)</f>
        <v>160882500</v>
      </c>
      <c r="H35" s="50">
        <f t="shared" si="1"/>
        <v>27.733392382639504</v>
      </c>
      <c r="I35" s="49">
        <f>VLOOKUP($A35,'Data shares'!$C:$FB,66)</f>
        <v>633298500</v>
      </c>
      <c r="J35" s="49">
        <f>VLOOKUP($A35,'Data shares'!$C:$FB,67)</f>
        <v>185040525</v>
      </c>
      <c r="K35" s="50">
        <f t="shared" si="2"/>
        <v>70.781467980738938</v>
      </c>
      <c r="L35" s="50">
        <f>VLOOKUP($A35,'Data shares'!$C:$FB,118)</f>
        <v>0.67</v>
      </c>
      <c r="M35" s="50">
        <f>VLOOKUP($A35,'Data shares'!$C:$FB,119)</f>
        <v>0.71</v>
      </c>
      <c r="N35" s="50">
        <f>VLOOKUP($A35,'Data shares'!$C:$FB,121)*100</f>
        <v>-5.63</v>
      </c>
      <c r="O35" s="50">
        <f>VLOOKUP($A35,'Data shares'!$C:$FB,124)</f>
        <v>0.38</v>
      </c>
      <c r="P35" s="50">
        <f>VLOOKUP($A35,'Data shares'!$C:$FB,125)</f>
        <v>0.47</v>
      </c>
      <c r="Q35" s="50">
        <f>VLOOKUP($A35,'Data shares'!$C:$FB,127)*100</f>
        <v>-19.149999999999999</v>
      </c>
    </row>
    <row r="36" spans="1:17" x14ac:dyDescent="0.25">
      <c r="A36" s="97" t="str">
        <f>'Snapshot (Value)'!A40</f>
        <v>BHARATFORG</v>
      </c>
      <c r="B36" s="140">
        <f>VLOOKUP($A36,'Data shares'!$C:$FB,7)</f>
        <v>1459.1</v>
      </c>
      <c r="C36" s="140">
        <f>VLOOKUP($A36,'Data shares'!$C:$FB,3)</f>
        <v>1461.1</v>
      </c>
      <c r="D36" s="140">
        <f>VLOOKUP($A36,'Data shares'!$C:$FB,4)</f>
        <v>1424.5</v>
      </c>
      <c r="E36" s="50">
        <f t="shared" si="0"/>
        <v>2.569322569322563</v>
      </c>
      <c r="F36" s="49">
        <f>VLOOKUP($A36,'Data shares'!$C:$FB,98)</f>
        <v>9242000</v>
      </c>
      <c r="G36" s="49">
        <f>VLOOKUP($A36,'Data shares'!$C:$FB,99)</f>
        <v>8328000</v>
      </c>
      <c r="H36" s="50">
        <f t="shared" si="1"/>
        <v>10.975024015369836</v>
      </c>
      <c r="I36" s="49">
        <f>VLOOKUP($A36,'Data shares'!$C:$FB,66)</f>
        <v>9592500</v>
      </c>
      <c r="J36" s="49">
        <f>VLOOKUP($A36,'Data shares'!$C:$FB,67)</f>
        <v>10868000</v>
      </c>
      <c r="K36" s="50">
        <f t="shared" si="2"/>
        <v>-13.296846494657286</v>
      </c>
      <c r="L36" s="50">
        <f>VLOOKUP($A36,'Data shares'!$C:$FB,118)</f>
        <v>0.7</v>
      </c>
      <c r="M36" s="50">
        <f>VLOOKUP($A36,'Data shares'!$C:$FB,119)</f>
        <v>0.91</v>
      </c>
      <c r="N36" s="50">
        <f>VLOOKUP($A36,'Data shares'!$C:$FB,121)*100</f>
        <v>-23.080000000000002</v>
      </c>
      <c r="O36" s="50">
        <f>VLOOKUP($A36,'Data shares'!$C:$FB,124)</f>
        <v>0.25</v>
      </c>
      <c r="P36" s="50">
        <f>VLOOKUP($A36,'Data shares'!$C:$FB,125)</f>
        <v>0.51</v>
      </c>
      <c r="Q36" s="50">
        <f>VLOOKUP($A36,'Data shares'!$C:$FB,127)*100</f>
        <v>-50.980000000000004</v>
      </c>
    </row>
    <row r="37" spans="1:17" x14ac:dyDescent="0.25">
      <c r="A37" s="97" t="str">
        <f>'Snapshot (Value)'!A41</f>
        <v>BHARTIARTL</v>
      </c>
      <c r="B37" s="140">
        <f>VLOOKUP($A37,'Data shares'!$C:$FB,7)</f>
        <v>1957.7</v>
      </c>
      <c r="C37" s="140">
        <f>VLOOKUP($A37,'Data shares'!$C:$FB,3)</f>
        <v>1968.8</v>
      </c>
      <c r="D37" s="140">
        <f>VLOOKUP($A37,'Data shares'!$C:$FB,4)</f>
        <v>1987.3</v>
      </c>
      <c r="E37" s="50">
        <f t="shared" si="0"/>
        <v>-0.93091128667035683</v>
      </c>
      <c r="F37" s="49">
        <f>VLOOKUP($A37,'Data shares'!$C:$FB,98)</f>
        <v>64732525</v>
      </c>
      <c r="G37" s="49">
        <f>VLOOKUP($A37,'Data shares'!$C:$FB,99)</f>
        <v>59911275</v>
      </c>
      <c r="H37" s="50">
        <f t="shared" si="1"/>
        <v>8.0473166361423623</v>
      </c>
      <c r="I37" s="49">
        <f>VLOOKUP($A37,'Data shares'!$C:$FB,66)</f>
        <v>24696675</v>
      </c>
      <c r="J37" s="49">
        <f>VLOOKUP($A37,'Data shares'!$C:$FB,67)</f>
        <v>46023225</v>
      </c>
      <c r="K37" s="50">
        <f t="shared" si="2"/>
        <v>-86.353932260111947</v>
      </c>
      <c r="L37" s="50">
        <f>VLOOKUP($A37,'Data shares'!$C:$FB,118)</f>
        <v>0.73</v>
      </c>
      <c r="M37" s="50">
        <f>VLOOKUP($A37,'Data shares'!$C:$FB,119)</f>
        <v>0.76</v>
      </c>
      <c r="N37" s="50">
        <f>VLOOKUP($A37,'Data shares'!$C:$FB,121)*100</f>
        <v>-3.95</v>
      </c>
      <c r="O37" s="50">
        <f>VLOOKUP($A37,'Data shares'!$C:$FB,124)</f>
        <v>0.48</v>
      </c>
      <c r="P37" s="50">
        <f>VLOOKUP($A37,'Data shares'!$C:$FB,125)</f>
        <v>0.54</v>
      </c>
      <c r="Q37" s="50">
        <f>VLOOKUP($A37,'Data shares'!$C:$FB,127)*100</f>
        <v>-11.110000000000001</v>
      </c>
    </row>
    <row r="38" spans="1:17" x14ac:dyDescent="0.25">
      <c r="A38" s="97" t="str">
        <f>'Snapshot (Value)'!A42</f>
        <v>BHEL</v>
      </c>
      <c r="B38" s="140">
        <f>VLOOKUP($A38,'Data shares'!$C:$FB,7)</f>
        <v>259.64999999999998</v>
      </c>
      <c r="C38" s="140">
        <f>VLOOKUP($A38,'Data shares'!$C:$FB,3)</f>
        <v>260.8</v>
      </c>
      <c r="D38" s="140">
        <f>VLOOKUP($A38,'Data shares'!$C:$FB,4)</f>
        <v>248.85</v>
      </c>
      <c r="E38" s="50">
        <f t="shared" si="0"/>
        <v>4.8020896122162018</v>
      </c>
      <c r="F38" s="49">
        <f>VLOOKUP($A38,'Data shares'!$C:$FB,98)</f>
        <v>139098750</v>
      </c>
      <c r="G38" s="49">
        <f>VLOOKUP($A38,'Data shares'!$C:$FB,99)</f>
        <v>126149625</v>
      </c>
      <c r="H38" s="50">
        <f t="shared" si="1"/>
        <v>10.264893771979109</v>
      </c>
      <c r="I38" s="49">
        <f>VLOOKUP($A38,'Data shares'!$C:$FB,66)</f>
        <v>133111125</v>
      </c>
      <c r="J38" s="49">
        <f>VLOOKUP($A38,'Data shares'!$C:$FB,67)</f>
        <v>163432500</v>
      </c>
      <c r="K38" s="50">
        <f t="shared" si="2"/>
        <v>-22.778993866966417</v>
      </c>
      <c r="L38" s="50">
        <f>VLOOKUP($A38,'Data shares'!$C:$FB,118)</f>
        <v>0.47</v>
      </c>
      <c r="M38" s="50">
        <f>VLOOKUP($A38,'Data shares'!$C:$FB,119)</f>
        <v>0.54</v>
      </c>
      <c r="N38" s="50">
        <f>VLOOKUP($A38,'Data shares'!$C:$FB,121)*100</f>
        <v>-12.959999999999999</v>
      </c>
      <c r="O38" s="50">
        <f>VLOOKUP($A38,'Data shares'!$C:$FB,124)</f>
        <v>0.28999999999999998</v>
      </c>
      <c r="P38" s="50">
        <f>VLOOKUP($A38,'Data shares'!$C:$FB,125)</f>
        <v>0.7</v>
      </c>
      <c r="Q38" s="50">
        <f>VLOOKUP($A38,'Data shares'!$C:$FB,127)*100</f>
        <v>-58.57</v>
      </c>
    </row>
    <row r="39" spans="1:17" x14ac:dyDescent="0.25">
      <c r="A39" s="97" t="str">
        <f>'Snapshot (Value)'!A43</f>
        <v>BIOCON</v>
      </c>
      <c r="B39" s="140">
        <f>VLOOKUP($A39,'Data shares'!$C:$FB,7)</f>
        <v>370.5</v>
      </c>
      <c r="C39" s="140">
        <f>VLOOKUP($A39,'Data shares'!$C:$FB,3)</f>
        <v>371.85</v>
      </c>
      <c r="D39" s="140">
        <f>VLOOKUP($A39,'Data shares'!$C:$FB,4)</f>
        <v>367</v>
      </c>
      <c r="E39" s="50">
        <f t="shared" si="0"/>
        <v>1.3215258855585892</v>
      </c>
      <c r="F39" s="49">
        <f>VLOOKUP($A39,'Data shares'!$C:$FB,98)</f>
        <v>55167500</v>
      </c>
      <c r="G39" s="49">
        <f>VLOOKUP($A39,'Data shares'!$C:$FB,99)</f>
        <v>53235000</v>
      </c>
      <c r="H39" s="50">
        <f t="shared" si="1"/>
        <v>3.6301305532074766</v>
      </c>
      <c r="I39" s="49">
        <f>VLOOKUP($A39,'Data shares'!$C:$FB,66)</f>
        <v>19767500</v>
      </c>
      <c r="J39" s="49">
        <f>VLOOKUP($A39,'Data shares'!$C:$FB,67)</f>
        <v>78322500</v>
      </c>
      <c r="K39" s="50">
        <f t="shared" si="2"/>
        <v>-296.21854053370436</v>
      </c>
      <c r="L39" s="50">
        <f>VLOOKUP($A39,'Data shares'!$C:$FB,118)</f>
        <v>0.98</v>
      </c>
      <c r="M39" s="50">
        <f>VLOOKUP($A39,'Data shares'!$C:$FB,119)</f>
        <v>1.03</v>
      </c>
      <c r="N39" s="50">
        <f>VLOOKUP($A39,'Data shares'!$C:$FB,121)*100</f>
        <v>-4.8500000000000005</v>
      </c>
      <c r="O39" s="50">
        <f>VLOOKUP($A39,'Data shares'!$C:$FB,124)</f>
        <v>0.39</v>
      </c>
      <c r="P39" s="50">
        <f>VLOOKUP($A39,'Data shares'!$C:$FB,125)</f>
        <v>0.69</v>
      </c>
      <c r="Q39" s="50">
        <f>VLOOKUP($A39,'Data shares'!$C:$FB,127)*100</f>
        <v>-43.480000000000004</v>
      </c>
    </row>
    <row r="40" spans="1:17" x14ac:dyDescent="0.25">
      <c r="A40" s="97" t="str">
        <f>'Snapshot (Value)'!A44</f>
        <v>BLUESTARCO</v>
      </c>
      <c r="B40" s="140">
        <f>VLOOKUP($A40,'Data shares'!$C:$FB,7)</f>
        <v>1701.5</v>
      </c>
      <c r="C40" s="140">
        <f>VLOOKUP($A40,'Data shares'!$C:$FB,3)</f>
        <v>1711.9</v>
      </c>
      <c r="D40" s="140">
        <f>VLOOKUP($A40,'Data shares'!$C:$FB,4)</f>
        <v>1675</v>
      </c>
      <c r="E40" s="50">
        <f t="shared" si="0"/>
        <v>2.2029850746268709</v>
      </c>
      <c r="F40" s="49">
        <f>VLOOKUP($A40,'Data shares'!$C:$FB,98)</f>
        <v>2916225</v>
      </c>
      <c r="G40" s="49">
        <f>VLOOKUP($A40,'Data shares'!$C:$FB,99)</f>
        <v>2608125</v>
      </c>
      <c r="H40" s="50">
        <f t="shared" si="1"/>
        <v>11.813084112149532</v>
      </c>
      <c r="I40" s="49">
        <f>VLOOKUP($A40,'Data shares'!$C:$FB,66)</f>
        <v>1390350</v>
      </c>
      <c r="J40" s="49">
        <f>VLOOKUP($A40,'Data shares'!$C:$FB,67)</f>
        <v>4286425</v>
      </c>
      <c r="K40" s="50">
        <f t="shared" si="2"/>
        <v>-208.29827021972886</v>
      </c>
      <c r="L40" s="50">
        <f>VLOOKUP($A40,'Data shares'!$C:$FB,118)</f>
        <v>1.01</v>
      </c>
      <c r="M40" s="50">
        <f>VLOOKUP($A40,'Data shares'!$C:$FB,119)</f>
        <v>1.39</v>
      </c>
      <c r="N40" s="50">
        <f>VLOOKUP($A40,'Data shares'!$C:$FB,121)*100</f>
        <v>-27.339999999999996</v>
      </c>
      <c r="O40" s="50">
        <f>VLOOKUP($A40,'Data shares'!$C:$FB,124)</f>
        <v>0.91</v>
      </c>
      <c r="P40" s="50">
        <f>VLOOKUP($A40,'Data shares'!$C:$FB,125)</f>
        <v>3.35</v>
      </c>
      <c r="Q40" s="50">
        <f>VLOOKUP($A40,'Data shares'!$C:$FB,127)*100</f>
        <v>-72.84</v>
      </c>
    </row>
    <row r="41" spans="1:17" x14ac:dyDescent="0.25">
      <c r="A41" s="97" t="str">
        <f>'Snapshot (Value)'!A45</f>
        <v>BOSCHLTD</v>
      </c>
      <c r="B41" s="140">
        <f>VLOOKUP($A41,'Data shares'!$C:$FB,7)</f>
        <v>36185</v>
      </c>
      <c r="C41" s="140">
        <f>VLOOKUP($A41,'Data shares'!$C:$FB,3)</f>
        <v>36100</v>
      </c>
      <c r="D41" s="140">
        <f>VLOOKUP($A41,'Data shares'!$C:$FB,4)</f>
        <v>35400</v>
      </c>
      <c r="E41" s="50">
        <f t="shared" si="0"/>
        <v>1.977401129943503</v>
      </c>
      <c r="F41" s="49">
        <f>VLOOKUP($A41,'Data shares'!$C:$FB,98)</f>
        <v>273350</v>
      </c>
      <c r="G41" s="49">
        <f>VLOOKUP($A41,'Data shares'!$C:$FB,99)</f>
        <v>247300</v>
      </c>
      <c r="H41" s="50">
        <f t="shared" si="1"/>
        <v>10.533764658309746</v>
      </c>
      <c r="I41" s="49">
        <f>VLOOKUP($A41,'Data shares'!$C:$FB,66)</f>
        <v>138625</v>
      </c>
      <c r="J41" s="49">
        <f>VLOOKUP($A41,'Data shares'!$C:$FB,67)</f>
        <v>647975</v>
      </c>
      <c r="K41" s="50">
        <f t="shared" si="2"/>
        <v>-367.4301172227232</v>
      </c>
      <c r="L41" s="50">
        <f>VLOOKUP($A41,'Data shares'!$C:$FB,118)</f>
        <v>0.74</v>
      </c>
      <c r="M41" s="50">
        <f>VLOOKUP($A41,'Data shares'!$C:$FB,119)</f>
        <v>0.79</v>
      </c>
      <c r="N41" s="50">
        <f>VLOOKUP($A41,'Data shares'!$C:$FB,121)*100</f>
        <v>-6.3299999999999992</v>
      </c>
      <c r="O41" s="50">
        <f>VLOOKUP($A41,'Data shares'!$C:$FB,124)</f>
        <v>0.34</v>
      </c>
      <c r="P41" s="50">
        <f>VLOOKUP($A41,'Data shares'!$C:$FB,125)</f>
        <v>0.21</v>
      </c>
      <c r="Q41" s="50">
        <f>VLOOKUP($A41,'Data shares'!$C:$FB,127)*100</f>
        <v>61.9</v>
      </c>
    </row>
    <row r="42" spans="1:17" x14ac:dyDescent="0.25">
      <c r="A42" s="97" t="str">
        <f>'Snapshot (Value)'!A46</f>
        <v>BPCL</v>
      </c>
      <c r="B42" s="140">
        <f>VLOOKUP($A42,'Data shares'!$C:$FB,7)</f>
        <v>362.35</v>
      </c>
      <c r="C42" s="140">
        <f>VLOOKUP($A42,'Data shares'!$C:$FB,3)</f>
        <v>364.5</v>
      </c>
      <c r="D42" s="140">
        <f>VLOOKUP($A42,'Data shares'!$C:$FB,4)</f>
        <v>359.05</v>
      </c>
      <c r="E42" s="50">
        <f t="shared" si="0"/>
        <v>1.5178944436707948</v>
      </c>
      <c r="F42" s="49">
        <f>VLOOKUP($A42,'Data shares'!$C:$FB,98)</f>
        <v>48687700</v>
      </c>
      <c r="G42" s="49">
        <f>VLOOKUP($A42,'Data shares'!$C:$FB,99)</f>
        <v>44455275</v>
      </c>
      <c r="H42" s="50">
        <f t="shared" si="1"/>
        <v>9.5206361899684566</v>
      </c>
      <c r="I42" s="49">
        <f>VLOOKUP($A42,'Data shares'!$C:$FB,66)</f>
        <v>45081350</v>
      </c>
      <c r="J42" s="49">
        <f>VLOOKUP($A42,'Data shares'!$C:$FB,67)</f>
        <v>100730925</v>
      </c>
      <c r="K42" s="50">
        <f t="shared" si="2"/>
        <v>-123.4425654954876</v>
      </c>
      <c r="L42" s="50">
        <f>VLOOKUP($A42,'Data shares'!$C:$FB,118)</f>
        <v>0.82</v>
      </c>
      <c r="M42" s="50">
        <f>VLOOKUP($A42,'Data shares'!$C:$FB,119)</f>
        <v>0.68</v>
      </c>
      <c r="N42" s="50">
        <f>VLOOKUP($A42,'Data shares'!$C:$FB,121)*100</f>
        <v>20.59</v>
      </c>
      <c r="O42" s="50">
        <f>VLOOKUP($A42,'Data shares'!$C:$FB,124)</f>
        <v>0.5</v>
      </c>
      <c r="P42" s="50">
        <f>VLOOKUP($A42,'Data shares'!$C:$FB,125)</f>
        <v>0.6</v>
      </c>
      <c r="Q42" s="50">
        <f>VLOOKUP($A42,'Data shares'!$C:$FB,127)*100</f>
        <v>-16.669999999999998</v>
      </c>
    </row>
    <row r="43" spans="1:17" x14ac:dyDescent="0.25">
      <c r="A43" s="97" t="str">
        <f>'Snapshot (Value)'!A47</f>
        <v>BRITANNIA</v>
      </c>
      <c r="B43" s="140">
        <f>VLOOKUP($A43,'Data shares'!$C:$FB,7)</f>
        <v>5748.5</v>
      </c>
      <c r="C43" s="140">
        <f>VLOOKUP($A43,'Data shares'!$C:$FB,3)</f>
        <v>5768.5</v>
      </c>
      <c r="D43" s="140">
        <f>VLOOKUP($A43,'Data shares'!$C:$FB,4)</f>
        <v>5927</v>
      </c>
      <c r="E43" s="50">
        <f t="shared" si="0"/>
        <v>-2.6742028007423655</v>
      </c>
      <c r="F43" s="49">
        <f>VLOOKUP($A43,'Data shares'!$C:$FB,98)</f>
        <v>3951000</v>
      </c>
      <c r="G43" s="49">
        <f>VLOOKUP($A43,'Data shares'!$C:$FB,99)</f>
        <v>3501625</v>
      </c>
      <c r="H43" s="50">
        <f t="shared" si="1"/>
        <v>12.833327383714705</v>
      </c>
      <c r="I43" s="49">
        <f>VLOOKUP($A43,'Data shares'!$C:$FB,66)</f>
        <v>2175625</v>
      </c>
      <c r="J43" s="49">
        <f>VLOOKUP($A43,'Data shares'!$C:$FB,67)</f>
        <v>3032000</v>
      </c>
      <c r="K43" s="50">
        <f t="shared" si="2"/>
        <v>-39.36225222637173</v>
      </c>
      <c r="L43" s="50">
        <f>VLOOKUP($A43,'Data shares'!$C:$FB,118)</f>
        <v>0.56999999999999995</v>
      </c>
      <c r="M43" s="50">
        <f>VLOOKUP($A43,'Data shares'!$C:$FB,119)</f>
        <v>0.69</v>
      </c>
      <c r="N43" s="50">
        <f>VLOOKUP($A43,'Data shares'!$C:$FB,121)*100</f>
        <v>-17.39</v>
      </c>
      <c r="O43" s="50">
        <f>VLOOKUP($A43,'Data shares'!$C:$FB,124)</f>
        <v>0.53</v>
      </c>
      <c r="P43" s="50">
        <f>VLOOKUP($A43,'Data shares'!$C:$FB,125)</f>
        <v>0.67</v>
      </c>
      <c r="Q43" s="50">
        <f>VLOOKUP($A43,'Data shares'!$C:$FB,127)*100</f>
        <v>-20.9</v>
      </c>
    </row>
    <row r="44" spans="1:17" x14ac:dyDescent="0.25">
      <c r="A44" s="97" t="str">
        <f>'Snapshot (Value)'!A48</f>
        <v>BSE</v>
      </c>
      <c r="B44" s="140">
        <f>VLOOKUP($A44,'Data shares'!$C:$FB,7)</f>
        <v>2821.5</v>
      </c>
      <c r="C44" s="140">
        <f>VLOOKUP($A44,'Data shares'!$C:$FB,3)</f>
        <v>2839.5</v>
      </c>
      <c r="D44" s="140">
        <f>VLOOKUP($A44,'Data shares'!$C:$FB,4)</f>
        <v>2780.6</v>
      </c>
      <c r="E44" s="50">
        <f t="shared" si="0"/>
        <v>2.1182478601740664</v>
      </c>
      <c r="F44" s="49">
        <f>VLOOKUP($A44,'Data shares'!$C:$FB,98)</f>
        <v>17042625</v>
      </c>
      <c r="G44" s="49">
        <f>VLOOKUP($A44,'Data shares'!$C:$FB,99)</f>
        <v>14544750</v>
      </c>
      <c r="H44" s="50">
        <f t="shared" si="1"/>
        <v>17.173722477182487</v>
      </c>
      <c r="I44" s="49">
        <f>VLOOKUP($A44,'Data shares'!$C:$FB,66)</f>
        <v>18267375</v>
      </c>
      <c r="J44" s="49">
        <f>VLOOKUP($A44,'Data shares'!$C:$FB,67)</f>
        <v>37440750</v>
      </c>
      <c r="K44" s="50">
        <f t="shared" si="2"/>
        <v>-104.95966169195081</v>
      </c>
      <c r="L44" s="50">
        <f>VLOOKUP($A44,'Data shares'!$C:$FB,118)</f>
        <v>0.66</v>
      </c>
      <c r="M44" s="50">
        <f>VLOOKUP($A44,'Data shares'!$C:$FB,119)</f>
        <v>0.8</v>
      </c>
      <c r="N44" s="50">
        <f>VLOOKUP($A44,'Data shares'!$C:$FB,121)*100</f>
        <v>-17.5</v>
      </c>
      <c r="O44" s="50">
        <f>VLOOKUP($A44,'Data shares'!$C:$FB,124)</f>
        <v>0.39</v>
      </c>
      <c r="P44" s="50">
        <f>VLOOKUP($A44,'Data shares'!$C:$FB,125)</f>
        <v>0.51</v>
      </c>
      <c r="Q44" s="50">
        <f>VLOOKUP($A44,'Data shares'!$C:$FB,127)*100</f>
        <v>-23.53</v>
      </c>
    </row>
    <row r="45" spans="1:17" x14ac:dyDescent="0.25">
      <c r="A45" s="97" t="str">
        <f>'Snapshot (Value)'!A49</f>
        <v>CAMS</v>
      </c>
      <c r="B45" s="140">
        <f>VLOOKUP($A45,'Data shares'!$C:$FB,7)</f>
        <v>709.4</v>
      </c>
      <c r="C45" s="140">
        <f>VLOOKUP($A45,'Data shares'!$C:$FB,3)</f>
        <v>710.65</v>
      </c>
      <c r="D45" s="140">
        <f>VLOOKUP($A45,'Data shares'!$C:$FB,4)</f>
        <v>698.35</v>
      </c>
      <c r="E45" s="50">
        <f t="shared" si="0"/>
        <v>1.7612944798453429</v>
      </c>
      <c r="F45" s="49">
        <f>VLOOKUP($A45,'Data shares'!$C:$FB,98)</f>
        <v>10354500</v>
      </c>
      <c r="G45" s="49">
        <f>VLOOKUP($A45,'Data shares'!$C:$FB,99)</f>
        <v>9646500</v>
      </c>
      <c r="H45" s="50">
        <f t="shared" si="1"/>
        <v>7.3394495412844041</v>
      </c>
      <c r="I45" s="49">
        <f>VLOOKUP($A45,'Data shares'!$C:$FB,66)</f>
        <v>4704000</v>
      </c>
      <c r="J45" s="49">
        <f>VLOOKUP($A45,'Data shares'!$C:$FB,67)</f>
        <v>18195000</v>
      </c>
      <c r="K45" s="50">
        <f t="shared" si="2"/>
        <v>-286.79846938775506</v>
      </c>
      <c r="L45" s="50">
        <f>VLOOKUP($A45,'Data shares'!$C:$FB,118)</f>
        <v>0.99</v>
      </c>
      <c r="M45" s="50">
        <f>VLOOKUP($A45,'Data shares'!$C:$FB,119)</f>
        <v>1.02</v>
      </c>
      <c r="N45" s="50">
        <f>VLOOKUP($A45,'Data shares'!$C:$FB,121)*100</f>
        <v>-2.94</v>
      </c>
      <c r="O45" s="50">
        <f>VLOOKUP($A45,'Data shares'!$C:$FB,124)</f>
        <v>0.55000000000000004</v>
      </c>
      <c r="P45" s="50">
        <f>VLOOKUP($A45,'Data shares'!$C:$FB,125)</f>
        <v>0.49</v>
      </c>
      <c r="Q45" s="50">
        <f>VLOOKUP($A45,'Data shares'!$C:$FB,127)*100</f>
        <v>12.24</v>
      </c>
    </row>
    <row r="46" spans="1:17" x14ac:dyDescent="0.25">
      <c r="A46" s="97" t="str">
        <f>'Snapshot (Value)'!A50</f>
        <v>CANBK</v>
      </c>
      <c r="B46" s="140">
        <f>VLOOKUP($A46,'Data shares'!$C:$FB,7)</f>
        <v>157.74</v>
      </c>
      <c r="C46" s="140">
        <f>VLOOKUP($A46,'Data shares'!$C:$FB,3)</f>
        <v>158.41999999999999</v>
      </c>
      <c r="D46" s="140">
        <f>VLOOKUP($A46,'Data shares'!$C:$FB,4)</f>
        <v>155.29</v>
      </c>
      <c r="E46" s="50">
        <f t="shared" si="0"/>
        <v>2.0155837465387312</v>
      </c>
      <c r="F46" s="49">
        <f>VLOOKUP($A46,'Data shares'!$C:$FB,98)</f>
        <v>250681500</v>
      </c>
      <c r="G46" s="49">
        <f>VLOOKUP($A46,'Data shares'!$C:$FB,99)</f>
        <v>219395250</v>
      </c>
      <c r="H46" s="50">
        <f t="shared" si="1"/>
        <v>14.260222133341538</v>
      </c>
      <c r="I46" s="49">
        <f>VLOOKUP($A46,'Data shares'!$C:$FB,66)</f>
        <v>267536250</v>
      </c>
      <c r="J46" s="49">
        <f>VLOOKUP($A46,'Data shares'!$C:$FB,67)</f>
        <v>318998250</v>
      </c>
      <c r="K46" s="50">
        <f t="shared" si="2"/>
        <v>-19.235524157941214</v>
      </c>
      <c r="L46" s="50">
        <f>VLOOKUP($A46,'Data shares'!$C:$FB,118)</f>
        <v>1.03</v>
      </c>
      <c r="M46" s="50">
        <f>VLOOKUP($A46,'Data shares'!$C:$FB,119)</f>
        <v>1.01</v>
      </c>
      <c r="N46" s="50">
        <f>VLOOKUP($A46,'Data shares'!$C:$FB,121)*100</f>
        <v>1.9800000000000002</v>
      </c>
      <c r="O46" s="50">
        <f>VLOOKUP($A46,'Data shares'!$C:$FB,124)</f>
        <v>0.56999999999999995</v>
      </c>
      <c r="P46" s="50">
        <f>VLOOKUP($A46,'Data shares'!$C:$FB,125)</f>
        <v>0.78</v>
      </c>
      <c r="Q46" s="50">
        <f>VLOOKUP($A46,'Data shares'!$C:$FB,127)*100</f>
        <v>-26.919999999999998</v>
      </c>
    </row>
    <row r="47" spans="1:17" x14ac:dyDescent="0.25">
      <c r="A47" s="97" t="str">
        <f>'Snapshot (Value)'!A51</f>
        <v>CDSL</v>
      </c>
      <c r="B47" s="140">
        <f>VLOOKUP($A47,'Data shares'!$C:$FB,7)</f>
        <v>1356.9</v>
      </c>
      <c r="C47" s="140">
        <f>VLOOKUP($A47,'Data shares'!$C:$FB,3)</f>
        <v>1365.5</v>
      </c>
      <c r="D47" s="140">
        <f>VLOOKUP($A47,'Data shares'!$C:$FB,4)</f>
        <v>1328.8</v>
      </c>
      <c r="E47" s="50">
        <f t="shared" si="0"/>
        <v>2.7618904274533449</v>
      </c>
      <c r="F47" s="49">
        <f>VLOOKUP($A47,'Data shares'!$C:$FB,98)</f>
        <v>19121125</v>
      </c>
      <c r="G47" s="49">
        <f>VLOOKUP($A47,'Data shares'!$C:$FB,99)</f>
        <v>17108075</v>
      </c>
      <c r="H47" s="50">
        <f t="shared" si="1"/>
        <v>11.766665741177777</v>
      </c>
      <c r="I47" s="49">
        <f>VLOOKUP($A47,'Data shares'!$C:$FB,66)</f>
        <v>12143375</v>
      </c>
      <c r="J47" s="49">
        <f>VLOOKUP($A47,'Data shares'!$C:$FB,67)</f>
        <v>25509875</v>
      </c>
      <c r="K47" s="50">
        <f t="shared" si="2"/>
        <v>-110.07236456092313</v>
      </c>
      <c r="L47" s="50">
        <f>VLOOKUP($A47,'Data shares'!$C:$FB,118)</f>
        <v>0.83</v>
      </c>
      <c r="M47" s="50">
        <f>VLOOKUP($A47,'Data shares'!$C:$FB,119)</f>
        <v>1</v>
      </c>
      <c r="N47" s="50">
        <f>VLOOKUP($A47,'Data shares'!$C:$FB,121)*100</f>
        <v>-17</v>
      </c>
      <c r="O47" s="50">
        <f>VLOOKUP($A47,'Data shares'!$C:$FB,124)</f>
        <v>0.32</v>
      </c>
      <c r="P47" s="50">
        <f>VLOOKUP($A47,'Data shares'!$C:$FB,125)</f>
        <v>0.94</v>
      </c>
      <c r="Q47" s="50">
        <f>VLOOKUP($A47,'Data shares'!$C:$FB,127)*100</f>
        <v>-65.959999999999994</v>
      </c>
    </row>
    <row r="48" spans="1:17" x14ac:dyDescent="0.25">
      <c r="A48" s="97" t="str">
        <f>'Snapshot (Value)'!A52</f>
        <v>CGPOWER</v>
      </c>
      <c r="B48" s="140">
        <f>VLOOKUP($A48,'Data shares'!$C:$FB,7)</f>
        <v>581.95000000000005</v>
      </c>
      <c r="C48" s="140">
        <f>VLOOKUP($A48,'Data shares'!$C:$FB,3)</f>
        <v>583.29999999999995</v>
      </c>
      <c r="D48" s="140">
        <f>VLOOKUP($A48,'Data shares'!$C:$FB,4)</f>
        <v>533.35</v>
      </c>
      <c r="E48" s="50">
        <f t="shared" si="0"/>
        <v>9.3653323333645684</v>
      </c>
      <c r="F48" s="49">
        <f>VLOOKUP($A48,'Data shares'!$C:$FB,98)</f>
        <v>30047500</v>
      </c>
      <c r="G48" s="49">
        <f>VLOOKUP($A48,'Data shares'!$C:$FB,99)</f>
        <v>27562950</v>
      </c>
      <c r="H48" s="50">
        <f t="shared" si="1"/>
        <v>9.0140931939433191</v>
      </c>
      <c r="I48" s="49">
        <f>VLOOKUP($A48,'Data shares'!$C:$FB,66)</f>
        <v>87938450</v>
      </c>
      <c r="J48" s="49">
        <f>VLOOKUP($A48,'Data shares'!$C:$FB,67)</f>
        <v>69323450</v>
      </c>
      <c r="K48" s="50">
        <f t="shared" si="2"/>
        <v>21.168214813884028</v>
      </c>
      <c r="L48" s="50">
        <f>VLOOKUP($A48,'Data shares'!$C:$FB,118)</f>
        <v>0.96</v>
      </c>
      <c r="M48" s="50">
        <f>VLOOKUP($A48,'Data shares'!$C:$FB,119)</f>
        <v>0.68</v>
      </c>
      <c r="N48" s="50">
        <f>VLOOKUP($A48,'Data shares'!$C:$FB,121)*100</f>
        <v>41.18</v>
      </c>
      <c r="O48" s="50">
        <f>VLOOKUP($A48,'Data shares'!$C:$FB,124)</f>
        <v>0.33</v>
      </c>
      <c r="P48" s="50">
        <f>VLOOKUP($A48,'Data shares'!$C:$FB,125)</f>
        <v>0.7</v>
      </c>
      <c r="Q48" s="50">
        <f>VLOOKUP($A48,'Data shares'!$C:$FB,127)*100</f>
        <v>-52.86</v>
      </c>
    </row>
    <row r="49" spans="1:17" x14ac:dyDescent="0.25">
      <c r="A49" s="97" t="str">
        <f>'Snapshot (Value)'!A53</f>
        <v>CHOLAFIN</v>
      </c>
      <c r="B49" s="140">
        <f>VLOOKUP($A49,'Data shares'!$C:$FB,7)</f>
        <v>1636.8</v>
      </c>
      <c r="C49" s="140">
        <f>VLOOKUP($A49,'Data shares'!$C:$FB,3)</f>
        <v>1646.4</v>
      </c>
      <c r="D49" s="140">
        <f>VLOOKUP($A49,'Data shares'!$C:$FB,4)</f>
        <v>1649.4</v>
      </c>
      <c r="E49" s="50">
        <f t="shared" si="0"/>
        <v>-0.18188432157148052</v>
      </c>
      <c r="F49" s="49">
        <f>VLOOKUP($A49,'Data shares'!$C:$FB,98)</f>
        <v>17715625</v>
      </c>
      <c r="G49" s="49">
        <f>VLOOKUP($A49,'Data shares'!$C:$FB,99)</f>
        <v>16855625</v>
      </c>
      <c r="H49" s="50">
        <f t="shared" si="1"/>
        <v>5.1021543253364978</v>
      </c>
      <c r="I49" s="49">
        <f>VLOOKUP($A49,'Data shares'!$C:$FB,66)</f>
        <v>3774375</v>
      </c>
      <c r="J49" s="49">
        <f>VLOOKUP($A49,'Data shares'!$C:$FB,67)</f>
        <v>13685625</v>
      </c>
      <c r="K49" s="50">
        <f t="shared" si="2"/>
        <v>-262.5931445603577</v>
      </c>
      <c r="L49" s="50">
        <f>VLOOKUP($A49,'Data shares'!$C:$FB,118)</f>
        <v>1.05</v>
      </c>
      <c r="M49" s="50">
        <f>VLOOKUP($A49,'Data shares'!$C:$FB,119)</f>
        <v>1.1100000000000001</v>
      </c>
      <c r="N49" s="50">
        <f>VLOOKUP($A49,'Data shares'!$C:$FB,121)*100</f>
        <v>-5.41</v>
      </c>
      <c r="O49" s="50">
        <f>VLOOKUP($A49,'Data shares'!$C:$FB,124)</f>
        <v>0.83</v>
      </c>
      <c r="P49" s="50">
        <f>VLOOKUP($A49,'Data shares'!$C:$FB,125)</f>
        <v>0.83</v>
      </c>
      <c r="Q49" s="50">
        <f>VLOOKUP($A49,'Data shares'!$C:$FB,127)*100</f>
        <v>0</v>
      </c>
    </row>
    <row r="50" spans="1:17" x14ac:dyDescent="0.25">
      <c r="A50" s="97" t="str">
        <f>'Snapshot (Value)'!A54</f>
        <v>CIPLA</v>
      </c>
      <c r="B50" s="140">
        <f>VLOOKUP($A50,'Data shares'!$C:$FB,7)</f>
        <v>1328.4</v>
      </c>
      <c r="C50" s="140">
        <f>VLOOKUP($A50,'Data shares'!$C:$FB,3)</f>
        <v>1334.3</v>
      </c>
      <c r="D50" s="140">
        <f>VLOOKUP($A50,'Data shares'!$C:$FB,4)</f>
        <v>1320.6</v>
      </c>
      <c r="E50" s="50">
        <f t="shared" si="0"/>
        <v>1.0374072391337306</v>
      </c>
      <c r="F50" s="49">
        <f>VLOOKUP($A50,'Data shares'!$C:$FB,98)</f>
        <v>21015000</v>
      </c>
      <c r="G50" s="49">
        <f>VLOOKUP($A50,'Data shares'!$C:$FB,99)</f>
        <v>20663625</v>
      </c>
      <c r="H50" s="50">
        <f t="shared" si="1"/>
        <v>1.7004518810228118</v>
      </c>
      <c r="I50" s="49">
        <f>VLOOKUP($A50,'Data shares'!$C:$FB,66)</f>
        <v>7660875</v>
      </c>
      <c r="J50" s="49">
        <f>VLOOKUP($A50,'Data shares'!$C:$FB,67)</f>
        <v>27522000</v>
      </c>
      <c r="K50" s="50">
        <f t="shared" si="2"/>
        <v>-259.25400166430074</v>
      </c>
      <c r="L50" s="50">
        <f>VLOOKUP($A50,'Data shares'!$C:$FB,118)</f>
        <v>0.83</v>
      </c>
      <c r="M50" s="50">
        <f>VLOOKUP($A50,'Data shares'!$C:$FB,119)</f>
        <v>0.91</v>
      </c>
      <c r="N50" s="50">
        <f>VLOOKUP($A50,'Data shares'!$C:$FB,121)*100</f>
        <v>-8.7900000000000009</v>
      </c>
      <c r="O50" s="50">
        <f>VLOOKUP($A50,'Data shares'!$C:$FB,124)</f>
        <v>0.53</v>
      </c>
      <c r="P50" s="50">
        <f>VLOOKUP($A50,'Data shares'!$C:$FB,125)</f>
        <v>0.91</v>
      </c>
      <c r="Q50" s="50">
        <f>VLOOKUP($A50,'Data shares'!$C:$FB,127)*100</f>
        <v>-41.760000000000005</v>
      </c>
    </row>
    <row r="51" spans="1:17" x14ac:dyDescent="0.25">
      <c r="A51" s="97" t="str">
        <f>'Snapshot (Value)'!A55</f>
        <v>COALINDIA</v>
      </c>
      <c r="B51" s="140">
        <f>VLOOKUP($A51,'Data shares'!$C:$FB,7)</f>
        <v>444.05</v>
      </c>
      <c r="C51" s="140">
        <f>VLOOKUP($A51,'Data shares'!$C:$FB,3)</f>
        <v>440.55</v>
      </c>
      <c r="D51" s="140">
        <f>VLOOKUP($A51,'Data shares'!$C:$FB,4)</f>
        <v>420.4</v>
      </c>
      <c r="E51" s="50">
        <f t="shared" si="0"/>
        <v>4.7930542340628062</v>
      </c>
      <c r="F51" s="49">
        <f>VLOOKUP($A51,'Data shares'!$C:$FB,98)</f>
        <v>71799750</v>
      </c>
      <c r="G51" s="49">
        <f>VLOOKUP($A51,'Data shares'!$C:$FB,99)</f>
        <v>63396000</v>
      </c>
      <c r="H51" s="50">
        <f t="shared" si="1"/>
        <v>13.25596252129472</v>
      </c>
      <c r="I51" s="49">
        <f>VLOOKUP($A51,'Data shares'!$C:$FB,66)</f>
        <v>139904550</v>
      </c>
      <c r="J51" s="49">
        <f>VLOOKUP($A51,'Data shares'!$C:$FB,67)</f>
        <v>89721000</v>
      </c>
      <c r="K51" s="50">
        <f t="shared" si="2"/>
        <v>35.869848407360585</v>
      </c>
      <c r="L51" s="50">
        <f>VLOOKUP($A51,'Data shares'!$C:$FB,118)</f>
        <v>0.61</v>
      </c>
      <c r="M51" s="50">
        <f>VLOOKUP($A51,'Data shares'!$C:$FB,119)</f>
        <v>0.6</v>
      </c>
      <c r="N51" s="50">
        <f>VLOOKUP($A51,'Data shares'!$C:$FB,121)*100</f>
        <v>1.67</v>
      </c>
      <c r="O51" s="50">
        <f>VLOOKUP($A51,'Data shares'!$C:$FB,124)</f>
        <v>0.3</v>
      </c>
      <c r="P51" s="50">
        <f>VLOOKUP($A51,'Data shares'!$C:$FB,125)</f>
        <v>0.52</v>
      </c>
      <c r="Q51" s="50">
        <f>VLOOKUP($A51,'Data shares'!$C:$FB,127)*100</f>
        <v>-42.309999999999995</v>
      </c>
    </row>
    <row r="52" spans="1:17" x14ac:dyDescent="0.25">
      <c r="A52" s="97" t="str">
        <f>'Snapshot (Value)'!A56</f>
        <v>COFORGE</v>
      </c>
      <c r="B52" s="140">
        <f>VLOOKUP($A52,'Data shares'!$C:$FB,7)</f>
        <v>1694.2</v>
      </c>
      <c r="C52" s="140">
        <f>VLOOKUP($A52,'Data shares'!$C:$FB,3)</f>
        <v>1693</v>
      </c>
      <c r="D52" s="140">
        <f>VLOOKUP($A52,'Data shares'!$C:$FB,4)</f>
        <v>1670.8</v>
      </c>
      <c r="E52" s="50">
        <f t="shared" si="0"/>
        <v>1.3287048120660789</v>
      </c>
      <c r="F52" s="49">
        <f>VLOOKUP($A52,'Data shares'!$C:$FB,98)</f>
        <v>17149500</v>
      </c>
      <c r="G52" s="49">
        <f>VLOOKUP($A52,'Data shares'!$C:$FB,99)</f>
        <v>16599375</v>
      </c>
      <c r="H52" s="50">
        <f t="shared" si="1"/>
        <v>3.3141308031175876</v>
      </c>
      <c r="I52" s="49">
        <f>VLOOKUP($A52,'Data shares'!$C:$FB,66)</f>
        <v>9853875</v>
      </c>
      <c r="J52" s="49">
        <f>VLOOKUP($A52,'Data shares'!$C:$FB,67)</f>
        <v>28062000</v>
      </c>
      <c r="K52" s="50">
        <f t="shared" si="2"/>
        <v>-184.78136773604291</v>
      </c>
      <c r="L52" s="50">
        <f>VLOOKUP($A52,'Data shares'!$C:$FB,118)</f>
        <v>0.73</v>
      </c>
      <c r="M52" s="50">
        <f>VLOOKUP($A52,'Data shares'!$C:$FB,119)</f>
        <v>0.81</v>
      </c>
      <c r="N52" s="50">
        <f>VLOOKUP($A52,'Data shares'!$C:$FB,121)*100</f>
        <v>-9.879999999999999</v>
      </c>
      <c r="O52" s="50">
        <f>VLOOKUP($A52,'Data shares'!$C:$FB,124)</f>
        <v>0.94</v>
      </c>
      <c r="P52" s="50">
        <f>VLOOKUP($A52,'Data shares'!$C:$FB,125)</f>
        <v>0.5</v>
      </c>
      <c r="Q52" s="50">
        <f>VLOOKUP($A52,'Data shares'!$C:$FB,127)*100</f>
        <v>88</v>
      </c>
    </row>
    <row r="53" spans="1:17" x14ac:dyDescent="0.25">
      <c r="A53" s="97" t="str">
        <f>'Snapshot (Value)'!A57</f>
        <v>COLPAL</v>
      </c>
      <c r="B53" s="140">
        <f>VLOOKUP($A53,'Data shares'!$C:$FB,7)</f>
        <v>2154.4</v>
      </c>
      <c r="C53" s="140">
        <f>VLOOKUP($A53,'Data shares'!$C:$FB,3)</f>
        <v>2160.6999999999998</v>
      </c>
      <c r="D53" s="140">
        <f>VLOOKUP($A53,'Data shares'!$C:$FB,4)</f>
        <v>2162.1999999999998</v>
      </c>
      <c r="E53" s="50">
        <f t="shared" si="0"/>
        <v>-6.9373785958745729E-2</v>
      </c>
      <c r="F53" s="49">
        <f>VLOOKUP($A53,'Data shares'!$C:$FB,98)</f>
        <v>6925725</v>
      </c>
      <c r="G53" s="49">
        <f>VLOOKUP($A53,'Data shares'!$C:$FB,99)</f>
        <v>6678000</v>
      </c>
      <c r="H53" s="50">
        <f t="shared" si="1"/>
        <v>3.7095687331536391</v>
      </c>
      <c r="I53" s="49">
        <f>VLOOKUP($A53,'Data shares'!$C:$FB,66)</f>
        <v>2545425</v>
      </c>
      <c r="J53" s="49">
        <f>VLOOKUP($A53,'Data shares'!$C:$FB,67)</f>
        <v>5704875</v>
      </c>
      <c r="K53" s="50">
        <f t="shared" si="2"/>
        <v>-124.12269070980288</v>
      </c>
      <c r="L53" s="50">
        <f>VLOOKUP($A53,'Data shares'!$C:$FB,118)</f>
        <v>0.99</v>
      </c>
      <c r="M53" s="50">
        <f>VLOOKUP($A53,'Data shares'!$C:$FB,119)</f>
        <v>0.92</v>
      </c>
      <c r="N53" s="50">
        <f>VLOOKUP($A53,'Data shares'!$C:$FB,121)*100</f>
        <v>7.61</v>
      </c>
      <c r="O53" s="50">
        <f>VLOOKUP($A53,'Data shares'!$C:$FB,124)</f>
        <v>0.68</v>
      </c>
      <c r="P53" s="50">
        <f>VLOOKUP($A53,'Data shares'!$C:$FB,125)</f>
        <v>0.56999999999999995</v>
      </c>
      <c r="Q53" s="50">
        <f>VLOOKUP($A53,'Data shares'!$C:$FB,127)*100</f>
        <v>19.3</v>
      </c>
    </row>
    <row r="54" spans="1:17" x14ac:dyDescent="0.25">
      <c r="A54" s="97" t="str">
        <f>'Snapshot (Value)'!A58</f>
        <v>CONCOR</v>
      </c>
      <c r="B54" s="140">
        <f>VLOOKUP($A54,'Data shares'!$C:$FB,7)</f>
        <v>496.35</v>
      </c>
      <c r="C54" s="140">
        <f>VLOOKUP($A54,'Data shares'!$C:$FB,3)</f>
        <v>496.4</v>
      </c>
      <c r="D54" s="140">
        <f>VLOOKUP($A54,'Data shares'!$C:$FB,4)</f>
        <v>484.2</v>
      </c>
      <c r="E54" s="50">
        <f t="shared" si="0"/>
        <v>2.5196199917389488</v>
      </c>
      <c r="F54" s="49">
        <f>VLOOKUP($A54,'Data shares'!$C:$FB,98)</f>
        <v>46328750</v>
      </c>
      <c r="G54" s="49">
        <f>VLOOKUP($A54,'Data shares'!$C:$FB,99)</f>
        <v>43927500</v>
      </c>
      <c r="H54" s="50">
        <f t="shared" si="1"/>
        <v>5.4663934892720967</v>
      </c>
      <c r="I54" s="49">
        <f>VLOOKUP($A54,'Data shares'!$C:$FB,66)</f>
        <v>16000000</v>
      </c>
      <c r="J54" s="49">
        <f>VLOOKUP($A54,'Data shares'!$C:$FB,67)</f>
        <v>39598750</v>
      </c>
      <c r="K54" s="50">
        <f t="shared" si="2"/>
        <v>-147.4921875</v>
      </c>
      <c r="L54" s="50">
        <f>VLOOKUP($A54,'Data shares'!$C:$FB,118)</f>
        <v>1.1100000000000001</v>
      </c>
      <c r="M54" s="50">
        <f>VLOOKUP($A54,'Data shares'!$C:$FB,119)</f>
        <v>1.21</v>
      </c>
      <c r="N54" s="50">
        <f>VLOOKUP($A54,'Data shares'!$C:$FB,121)*100</f>
        <v>-8.2600000000000016</v>
      </c>
      <c r="O54" s="50">
        <f>VLOOKUP($A54,'Data shares'!$C:$FB,124)</f>
        <v>0.36</v>
      </c>
      <c r="P54" s="50">
        <f>VLOOKUP($A54,'Data shares'!$C:$FB,125)</f>
        <v>0.89</v>
      </c>
      <c r="Q54" s="50">
        <f>VLOOKUP($A54,'Data shares'!$C:$FB,127)*100</f>
        <v>-59.550000000000004</v>
      </c>
    </row>
    <row r="55" spans="1:17" x14ac:dyDescent="0.25">
      <c r="A55" s="97" t="str">
        <f>'Snapshot (Value)'!A59</f>
        <v>CROMPTON</v>
      </c>
      <c r="B55" s="140">
        <f>VLOOKUP($A55,'Data shares'!$C:$FB,7)</f>
        <v>225.4</v>
      </c>
      <c r="C55" s="140">
        <f>VLOOKUP($A55,'Data shares'!$C:$FB,3)</f>
        <v>226.9</v>
      </c>
      <c r="D55" s="140">
        <f>VLOOKUP($A55,'Data shares'!$C:$FB,4)</f>
        <v>223.55</v>
      </c>
      <c r="E55" s="50">
        <f t="shared" si="0"/>
        <v>1.4985461865354481</v>
      </c>
      <c r="F55" s="49">
        <f>VLOOKUP($A55,'Data shares'!$C:$FB,98)</f>
        <v>67125600</v>
      </c>
      <c r="G55" s="49">
        <f>VLOOKUP($A55,'Data shares'!$C:$FB,99)</f>
        <v>64323000</v>
      </c>
      <c r="H55" s="50">
        <f t="shared" si="1"/>
        <v>4.3570728977193225</v>
      </c>
      <c r="I55" s="49">
        <f>VLOOKUP($A55,'Data shares'!$C:$FB,66)</f>
        <v>16848000</v>
      </c>
      <c r="J55" s="49">
        <f>VLOOKUP($A55,'Data shares'!$C:$FB,67)</f>
        <v>58194000</v>
      </c>
      <c r="K55" s="50">
        <f t="shared" si="2"/>
        <v>-245.40598290598291</v>
      </c>
      <c r="L55" s="50">
        <f>VLOOKUP($A55,'Data shares'!$C:$FB,118)</f>
        <v>0.63</v>
      </c>
      <c r="M55" s="50">
        <f>VLOOKUP($A55,'Data shares'!$C:$FB,119)</f>
        <v>0.69</v>
      </c>
      <c r="N55" s="50">
        <f>VLOOKUP($A55,'Data shares'!$C:$FB,121)*100</f>
        <v>-8.6999999999999993</v>
      </c>
      <c r="O55" s="50">
        <f>VLOOKUP($A55,'Data shares'!$C:$FB,124)</f>
        <v>0.36</v>
      </c>
      <c r="P55" s="50">
        <f>VLOOKUP($A55,'Data shares'!$C:$FB,125)</f>
        <v>1.43</v>
      </c>
      <c r="Q55" s="50">
        <f>VLOOKUP($A55,'Data shares'!$C:$FB,127)*100</f>
        <v>-74.83</v>
      </c>
    </row>
    <row r="56" spans="1:17" x14ac:dyDescent="0.25">
      <c r="A56" s="97" t="str">
        <f>'Snapshot (Value)'!A60</f>
        <v>CUMMINSIND</v>
      </c>
      <c r="B56" s="140">
        <f>VLOOKUP($A56,'Data shares'!$C:$FB,7)</f>
        <v>4024</v>
      </c>
      <c r="C56" s="140">
        <f>VLOOKUP($A56,'Data shares'!$C:$FB,3)</f>
        <v>4025.9</v>
      </c>
      <c r="D56" s="140">
        <f>VLOOKUP($A56,'Data shares'!$C:$FB,4)</f>
        <v>3934.4</v>
      </c>
      <c r="E56" s="50">
        <f t="shared" si="0"/>
        <v>2.3256405042700283</v>
      </c>
      <c r="F56" s="49">
        <f>VLOOKUP($A56,'Data shares'!$C:$FB,98)</f>
        <v>4070000</v>
      </c>
      <c r="G56" s="49">
        <f>VLOOKUP($A56,'Data shares'!$C:$FB,99)</f>
        <v>3901800</v>
      </c>
      <c r="H56" s="50">
        <f t="shared" si="1"/>
        <v>4.3108308985596393</v>
      </c>
      <c r="I56" s="49">
        <f>VLOOKUP($A56,'Data shares'!$C:$FB,66)</f>
        <v>1408600</v>
      </c>
      <c r="J56" s="49">
        <f>VLOOKUP($A56,'Data shares'!$C:$FB,67)</f>
        <v>4511000</v>
      </c>
      <c r="K56" s="50">
        <f t="shared" si="2"/>
        <v>-220.24705381229589</v>
      </c>
      <c r="L56" s="50">
        <f>VLOOKUP($A56,'Data shares'!$C:$FB,118)</f>
        <v>1.05</v>
      </c>
      <c r="M56" s="50">
        <f>VLOOKUP($A56,'Data shares'!$C:$FB,119)</f>
        <v>1.2</v>
      </c>
      <c r="N56" s="50">
        <f>VLOOKUP($A56,'Data shares'!$C:$FB,121)*100</f>
        <v>-12.5</v>
      </c>
      <c r="O56" s="50">
        <f>VLOOKUP($A56,'Data shares'!$C:$FB,124)</f>
        <v>0.44</v>
      </c>
      <c r="P56" s="50">
        <f>VLOOKUP($A56,'Data shares'!$C:$FB,125)</f>
        <v>0.77</v>
      </c>
      <c r="Q56" s="50">
        <f>VLOOKUP($A56,'Data shares'!$C:$FB,127)*100</f>
        <v>-42.86</v>
      </c>
    </row>
    <row r="57" spans="1:17" x14ac:dyDescent="0.25">
      <c r="A57" s="97" t="str">
        <f>'Snapshot (Value)'!A61</f>
        <v>DABUR</v>
      </c>
      <c r="B57" s="140">
        <f>VLOOKUP($A57,'Data shares'!$C:$FB,7)</f>
        <v>515.75</v>
      </c>
      <c r="C57" s="140">
        <f>VLOOKUP($A57,'Data shares'!$C:$FB,3)</f>
        <v>517.65</v>
      </c>
      <c r="D57" s="140">
        <f>VLOOKUP($A57,'Data shares'!$C:$FB,4)</f>
        <v>516.75</v>
      </c>
      <c r="E57" s="50">
        <f t="shared" si="0"/>
        <v>0.17416545718432072</v>
      </c>
      <c r="F57" s="49">
        <f>VLOOKUP($A57,'Data shares'!$C:$FB,98)</f>
        <v>32030000</v>
      </c>
      <c r="G57" s="49">
        <f>VLOOKUP($A57,'Data shares'!$C:$FB,99)</f>
        <v>28552500</v>
      </c>
      <c r="H57" s="50">
        <f t="shared" si="1"/>
        <v>12.179318798704141</v>
      </c>
      <c r="I57" s="49">
        <f>VLOOKUP($A57,'Data shares'!$C:$FB,66)</f>
        <v>18403750</v>
      </c>
      <c r="J57" s="49">
        <f>VLOOKUP($A57,'Data shares'!$C:$FB,67)</f>
        <v>21502500</v>
      </c>
      <c r="K57" s="50">
        <f t="shared" si="2"/>
        <v>-16.83760103239829</v>
      </c>
      <c r="L57" s="50">
        <f>VLOOKUP($A57,'Data shares'!$C:$FB,118)</f>
        <v>0.65</v>
      </c>
      <c r="M57" s="50">
        <f>VLOOKUP($A57,'Data shares'!$C:$FB,119)</f>
        <v>0.76</v>
      </c>
      <c r="N57" s="50">
        <f>VLOOKUP($A57,'Data shares'!$C:$FB,121)*100</f>
        <v>-14.469999999999999</v>
      </c>
      <c r="O57" s="50">
        <f>VLOOKUP($A57,'Data shares'!$C:$FB,124)</f>
        <v>0.51</v>
      </c>
      <c r="P57" s="50">
        <f>VLOOKUP($A57,'Data shares'!$C:$FB,125)</f>
        <v>0.62</v>
      </c>
      <c r="Q57" s="50">
        <f>VLOOKUP($A57,'Data shares'!$C:$FB,127)*100</f>
        <v>-17.740000000000002</v>
      </c>
    </row>
    <row r="58" spans="1:17" x14ac:dyDescent="0.25">
      <c r="A58" s="97" t="str">
        <f>'Snapshot (Value)'!A62</f>
        <v>DALBHARAT</v>
      </c>
      <c r="B58" s="140">
        <f>VLOOKUP($A58,'Data shares'!$C:$FB,7)</f>
        <v>2074.4</v>
      </c>
      <c r="C58" s="140">
        <f>VLOOKUP($A58,'Data shares'!$C:$FB,3)</f>
        <v>2087.5</v>
      </c>
      <c r="D58" s="140">
        <f>VLOOKUP($A58,'Data shares'!$C:$FB,4)</f>
        <v>2123.1999999999998</v>
      </c>
      <c r="E58" s="50">
        <f t="shared" si="0"/>
        <v>-1.6814242652599767</v>
      </c>
      <c r="F58" s="49">
        <f>VLOOKUP($A58,'Data shares'!$C:$FB,98)</f>
        <v>3726450</v>
      </c>
      <c r="G58" s="49">
        <f>VLOOKUP($A58,'Data shares'!$C:$FB,99)</f>
        <v>3569150</v>
      </c>
      <c r="H58" s="50">
        <f t="shared" si="1"/>
        <v>4.4072118011291206</v>
      </c>
      <c r="I58" s="49">
        <f>VLOOKUP($A58,'Data shares'!$C:$FB,66)</f>
        <v>1412450</v>
      </c>
      <c r="J58" s="49">
        <f>VLOOKUP($A58,'Data shares'!$C:$FB,67)</f>
        <v>4783675</v>
      </c>
      <c r="K58" s="50">
        <f t="shared" si="2"/>
        <v>-238.67924528301887</v>
      </c>
      <c r="L58" s="50">
        <f>VLOOKUP($A58,'Data shares'!$C:$FB,118)</f>
        <v>0.7</v>
      </c>
      <c r="M58" s="50">
        <f>VLOOKUP($A58,'Data shares'!$C:$FB,119)</f>
        <v>0.74</v>
      </c>
      <c r="N58" s="50">
        <f>VLOOKUP($A58,'Data shares'!$C:$FB,121)*100</f>
        <v>-5.41</v>
      </c>
      <c r="O58" s="50">
        <f>VLOOKUP($A58,'Data shares'!$C:$FB,124)</f>
        <v>1.1200000000000001</v>
      </c>
      <c r="P58" s="50">
        <f>VLOOKUP($A58,'Data shares'!$C:$FB,125)</f>
        <v>0.75</v>
      </c>
      <c r="Q58" s="50">
        <f>VLOOKUP($A58,'Data shares'!$C:$FB,127)*100</f>
        <v>49.33</v>
      </c>
    </row>
    <row r="59" spans="1:17" x14ac:dyDescent="0.25">
      <c r="A59" s="97" t="str">
        <f>'Snapshot (Value)'!A63</f>
        <v>DELHIVERY</v>
      </c>
      <c r="B59" s="140">
        <f>VLOOKUP($A59,'Data shares'!$C:$FB,7)</f>
        <v>407.75</v>
      </c>
      <c r="C59" s="140">
        <f>VLOOKUP($A59,'Data shares'!$C:$FB,3)</f>
        <v>410.35</v>
      </c>
      <c r="D59" s="140">
        <f>VLOOKUP($A59,'Data shares'!$C:$FB,4)</f>
        <v>403</v>
      </c>
      <c r="E59" s="50">
        <f t="shared" si="0"/>
        <v>1.8238213399503778</v>
      </c>
      <c r="F59" s="49">
        <f>VLOOKUP($A59,'Data shares'!$C:$FB,98)</f>
        <v>32546375</v>
      </c>
      <c r="G59" s="49">
        <f>VLOOKUP($A59,'Data shares'!$C:$FB,99)</f>
        <v>28859100</v>
      </c>
      <c r="H59" s="50">
        <f t="shared" si="1"/>
        <v>12.776819096922635</v>
      </c>
      <c r="I59" s="49">
        <f>VLOOKUP($A59,'Data shares'!$C:$FB,66)</f>
        <v>20069400</v>
      </c>
      <c r="J59" s="49">
        <f>VLOOKUP($A59,'Data shares'!$C:$FB,67)</f>
        <v>45056550</v>
      </c>
      <c r="K59" s="50">
        <f t="shared" si="2"/>
        <v>-124.50372208436724</v>
      </c>
      <c r="L59" s="50">
        <f>VLOOKUP($A59,'Data shares'!$C:$FB,118)</f>
        <v>0.89</v>
      </c>
      <c r="M59" s="50">
        <f>VLOOKUP($A59,'Data shares'!$C:$FB,119)</f>
        <v>1.23</v>
      </c>
      <c r="N59" s="50">
        <f>VLOOKUP($A59,'Data shares'!$C:$FB,121)*100</f>
        <v>-27.639999999999997</v>
      </c>
      <c r="O59" s="50">
        <f>VLOOKUP($A59,'Data shares'!$C:$FB,124)</f>
        <v>0.52</v>
      </c>
      <c r="P59" s="50">
        <f>VLOOKUP($A59,'Data shares'!$C:$FB,125)</f>
        <v>0.36</v>
      </c>
      <c r="Q59" s="50">
        <f>VLOOKUP($A59,'Data shares'!$C:$FB,127)*100</f>
        <v>44.440000000000005</v>
      </c>
    </row>
    <row r="60" spans="1:17" x14ac:dyDescent="0.25">
      <c r="A60" s="97" t="str">
        <f>'Snapshot (Value)'!A64</f>
        <v>DIVISLAB</v>
      </c>
      <c r="B60" s="140">
        <f>VLOOKUP($A60,'Data shares'!$C:$FB,7)</f>
        <v>6188</v>
      </c>
      <c r="C60" s="140">
        <f>VLOOKUP($A60,'Data shares'!$C:$FB,3)</f>
        <v>6220.5</v>
      </c>
      <c r="D60" s="140">
        <f>VLOOKUP($A60,'Data shares'!$C:$FB,4)</f>
        <v>6088</v>
      </c>
      <c r="E60" s="50">
        <f t="shared" si="0"/>
        <v>2.1764126149802889</v>
      </c>
      <c r="F60" s="49">
        <f>VLOOKUP($A60,'Data shares'!$C:$FB,98)</f>
        <v>4063900</v>
      </c>
      <c r="G60" s="49">
        <f>VLOOKUP($A60,'Data shares'!$C:$FB,99)</f>
        <v>3806300</v>
      </c>
      <c r="H60" s="50">
        <f t="shared" si="1"/>
        <v>6.7677271891338044</v>
      </c>
      <c r="I60" s="49">
        <f>VLOOKUP($A60,'Data shares'!$C:$FB,66)</f>
        <v>1400100</v>
      </c>
      <c r="J60" s="49">
        <f>VLOOKUP($A60,'Data shares'!$C:$FB,67)</f>
        <v>3134100</v>
      </c>
      <c r="K60" s="50">
        <f t="shared" si="2"/>
        <v>-123.8482965502464</v>
      </c>
      <c r="L60" s="50">
        <f>VLOOKUP($A60,'Data shares'!$C:$FB,118)</f>
        <v>0.63</v>
      </c>
      <c r="M60" s="50">
        <f>VLOOKUP($A60,'Data shares'!$C:$FB,119)</f>
        <v>0.87</v>
      </c>
      <c r="N60" s="50">
        <f>VLOOKUP($A60,'Data shares'!$C:$FB,121)*100</f>
        <v>-27.589999999999996</v>
      </c>
      <c r="O60" s="50">
        <f>VLOOKUP($A60,'Data shares'!$C:$FB,124)</f>
        <v>0.46</v>
      </c>
      <c r="P60" s="50">
        <f>VLOOKUP($A60,'Data shares'!$C:$FB,125)</f>
        <v>0.74</v>
      </c>
      <c r="Q60" s="50">
        <f>VLOOKUP($A60,'Data shares'!$C:$FB,127)*100</f>
        <v>-37.840000000000003</v>
      </c>
    </row>
    <row r="61" spans="1:17" x14ac:dyDescent="0.25">
      <c r="A61" s="97" t="str">
        <f>'Snapshot (Value)'!A65</f>
        <v>DIXON</v>
      </c>
      <c r="B61" s="140">
        <f>VLOOKUP($A61,'Data shares'!$C:$FB,7)</f>
        <v>10279</v>
      </c>
      <c r="C61" s="140">
        <f>VLOOKUP($A61,'Data shares'!$C:$FB,3)</f>
        <v>10324</v>
      </c>
      <c r="D61" s="140">
        <f>VLOOKUP($A61,'Data shares'!$C:$FB,4)</f>
        <v>10226</v>
      </c>
      <c r="E61" s="50">
        <f t="shared" si="0"/>
        <v>0.95834148249559947</v>
      </c>
      <c r="F61" s="49">
        <f>VLOOKUP($A61,'Data shares'!$C:$FB,98)</f>
        <v>4802450</v>
      </c>
      <c r="G61" s="49">
        <f>VLOOKUP($A61,'Data shares'!$C:$FB,99)</f>
        <v>4422350</v>
      </c>
      <c r="H61" s="50">
        <f t="shared" si="1"/>
        <v>8.5949777833052554</v>
      </c>
      <c r="I61" s="49">
        <f>VLOOKUP($A61,'Data shares'!$C:$FB,66)</f>
        <v>3072000</v>
      </c>
      <c r="J61" s="49">
        <f>VLOOKUP($A61,'Data shares'!$C:$FB,67)</f>
        <v>11831400</v>
      </c>
      <c r="K61" s="50">
        <f t="shared" si="2"/>
        <v>-285.13671875</v>
      </c>
      <c r="L61" s="50">
        <f>VLOOKUP($A61,'Data shares'!$C:$FB,118)</f>
        <v>0.88</v>
      </c>
      <c r="M61" s="50">
        <f>VLOOKUP($A61,'Data shares'!$C:$FB,119)</f>
        <v>0.92</v>
      </c>
      <c r="N61" s="50">
        <f>VLOOKUP($A61,'Data shares'!$C:$FB,121)*100</f>
        <v>-4.3499999999999996</v>
      </c>
      <c r="O61" s="50">
        <f>VLOOKUP($A61,'Data shares'!$C:$FB,124)</f>
        <v>0.51</v>
      </c>
      <c r="P61" s="50">
        <f>VLOOKUP($A61,'Data shares'!$C:$FB,125)</f>
        <v>0.61</v>
      </c>
      <c r="Q61" s="50">
        <f>VLOOKUP($A61,'Data shares'!$C:$FB,127)*100</f>
        <v>-16.39</v>
      </c>
    </row>
    <row r="62" spans="1:17" x14ac:dyDescent="0.25">
      <c r="A62" s="97" t="str">
        <f>'Snapshot (Value)'!A66</f>
        <v>DLF</v>
      </c>
      <c r="B62" s="140">
        <f>VLOOKUP($A62,'Data shares'!$C:$FB,7)</f>
        <v>625.54999999999995</v>
      </c>
      <c r="C62" s="140">
        <f>VLOOKUP($A62,'Data shares'!$C:$FB,3)</f>
        <v>628.4</v>
      </c>
      <c r="D62" s="140">
        <f>VLOOKUP($A62,'Data shares'!$C:$FB,4)</f>
        <v>612.1</v>
      </c>
      <c r="E62" s="50">
        <f t="shared" si="0"/>
        <v>2.6629635680444297</v>
      </c>
      <c r="F62" s="49">
        <f>VLOOKUP($A62,'Data shares'!$C:$FB,98)</f>
        <v>77661375</v>
      </c>
      <c r="G62" s="49">
        <f>VLOOKUP($A62,'Data shares'!$C:$FB,99)</f>
        <v>76443675</v>
      </c>
      <c r="H62" s="50">
        <f t="shared" si="1"/>
        <v>1.5929375451925878</v>
      </c>
      <c r="I62" s="49">
        <f>VLOOKUP($A62,'Data shares'!$C:$FB,66)</f>
        <v>43168950</v>
      </c>
      <c r="J62" s="49">
        <f>VLOOKUP($A62,'Data shares'!$C:$FB,67)</f>
        <v>83361300</v>
      </c>
      <c r="K62" s="50">
        <f t="shared" si="2"/>
        <v>-93.104766272980939</v>
      </c>
      <c r="L62" s="50">
        <f>VLOOKUP($A62,'Data shares'!$C:$FB,118)</f>
        <v>0.8</v>
      </c>
      <c r="M62" s="50">
        <f>VLOOKUP($A62,'Data shares'!$C:$FB,119)</f>
        <v>0.8</v>
      </c>
      <c r="N62" s="50">
        <f>VLOOKUP($A62,'Data shares'!$C:$FB,121)*100</f>
        <v>0</v>
      </c>
      <c r="O62" s="50">
        <f>VLOOKUP($A62,'Data shares'!$C:$FB,124)</f>
        <v>0.45</v>
      </c>
      <c r="P62" s="50">
        <f>VLOOKUP($A62,'Data shares'!$C:$FB,125)</f>
        <v>0.64</v>
      </c>
      <c r="Q62" s="50">
        <f>VLOOKUP($A62,'Data shares'!$C:$FB,127)*100</f>
        <v>-29.69</v>
      </c>
    </row>
    <row r="63" spans="1:17" x14ac:dyDescent="0.25">
      <c r="A63" s="97" t="str">
        <f>'Snapshot (Value)'!A67</f>
        <v>DMART</v>
      </c>
      <c r="B63" s="140">
        <f>VLOOKUP($A63,'Data shares'!$C:$FB,7)</f>
        <v>3735.7</v>
      </c>
      <c r="C63" s="140">
        <f>VLOOKUP($A63,'Data shares'!$C:$FB,3)</f>
        <v>3733.5</v>
      </c>
      <c r="D63" s="140">
        <f>VLOOKUP($A63,'Data shares'!$C:$FB,4)</f>
        <v>3679.5</v>
      </c>
      <c r="E63" s="50">
        <f t="shared" si="0"/>
        <v>1.4675907052588666</v>
      </c>
      <c r="F63" s="49">
        <f>VLOOKUP($A63,'Data shares'!$C:$FB,98)</f>
        <v>7014300</v>
      </c>
      <c r="G63" s="49">
        <f>VLOOKUP($A63,'Data shares'!$C:$FB,99)</f>
        <v>6261750</v>
      </c>
      <c r="H63" s="50">
        <f t="shared" si="1"/>
        <v>12.018205773146484</v>
      </c>
      <c r="I63" s="49">
        <f>VLOOKUP($A63,'Data shares'!$C:$FB,66)</f>
        <v>3515100</v>
      </c>
      <c r="J63" s="49">
        <f>VLOOKUP($A63,'Data shares'!$C:$FB,67)</f>
        <v>6192450</v>
      </c>
      <c r="K63" s="50">
        <f t="shared" si="2"/>
        <v>-76.167107621404796</v>
      </c>
      <c r="L63" s="50">
        <f>VLOOKUP($A63,'Data shares'!$C:$FB,118)</f>
        <v>0.56999999999999995</v>
      </c>
      <c r="M63" s="50">
        <f>VLOOKUP($A63,'Data shares'!$C:$FB,119)</f>
        <v>0.9</v>
      </c>
      <c r="N63" s="50">
        <f>VLOOKUP($A63,'Data shares'!$C:$FB,121)*100</f>
        <v>-36.67</v>
      </c>
      <c r="O63" s="50">
        <f>VLOOKUP($A63,'Data shares'!$C:$FB,124)</f>
        <v>0.24</v>
      </c>
      <c r="P63" s="50">
        <f>VLOOKUP($A63,'Data shares'!$C:$FB,125)</f>
        <v>0.41</v>
      </c>
      <c r="Q63" s="50">
        <f>VLOOKUP($A63,'Data shares'!$C:$FB,127)*100</f>
        <v>-41.46</v>
      </c>
    </row>
    <row r="64" spans="1:17" x14ac:dyDescent="0.25">
      <c r="A64" s="97" t="str">
        <f>'Snapshot (Value)'!A68</f>
        <v>DRREDDY</v>
      </c>
      <c r="B64" s="140">
        <f>VLOOKUP($A64,'Data shares'!$C:$FB,7)</f>
        <v>1222.5</v>
      </c>
      <c r="C64" s="140">
        <f>VLOOKUP($A64,'Data shares'!$C:$FB,3)</f>
        <v>1230.4000000000001</v>
      </c>
      <c r="D64" s="140">
        <f>VLOOKUP($A64,'Data shares'!$C:$FB,4)</f>
        <v>1248.3</v>
      </c>
      <c r="E64" s="50">
        <f t="shared" si="0"/>
        <v>-1.4339501722342278</v>
      </c>
      <c r="F64" s="49">
        <f>VLOOKUP($A64,'Data shares'!$C:$FB,98)</f>
        <v>19517500</v>
      </c>
      <c r="G64" s="49">
        <f>VLOOKUP($A64,'Data shares'!$C:$FB,99)</f>
        <v>18408750</v>
      </c>
      <c r="H64" s="50">
        <f t="shared" si="1"/>
        <v>6.0229510423032524</v>
      </c>
      <c r="I64" s="49">
        <f>VLOOKUP($A64,'Data shares'!$C:$FB,66)</f>
        <v>10651250</v>
      </c>
      <c r="J64" s="49">
        <f>VLOOKUP($A64,'Data shares'!$C:$FB,67)</f>
        <v>25051250</v>
      </c>
      <c r="K64" s="50">
        <f t="shared" si="2"/>
        <v>-135.19539960098581</v>
      </c>
      <c r="L64" s="50">
        <f>VLOOKUP($A64,'Data shares'!$C:$FB,118)</f>
        <v>0.89</v>
      </c>
      <c r="M64" s="50">
        <f>VLOOKUP($A64,'Data shares'!$C:$FB,119)</f>
        <v>0.9</v>
      </c>
      <c r="N64" s="50">
        <f>VLOOKUP($A64,'Data shares'!$C:$FB,121)*100</f>
        <v>-1.1100000000000001</v>
      </c>
      <c r="O64" s="50">
        <f>VLOOKUP($A64,'Data shares'!$C:$FB,124)</f>
        <v>1</v>
      </c>
      <c r="P64" s="50">
        <f>VLOOKUP($A64,'Data shares'!$C:$FB,125)</f>
        <v>0.81</v>
      </c>
      <c r="Q64" s="50">
        <f>VLOOKUP($A64,'Data shares'!$C:$FB,127)*100</f>
        <v>23.46</v>
      </c>
    </row>
    <row r="65" spans="1:17" x14ac:dyDescent="0.25">
      <c r="A65" s="97" t="str">
        <f>'Snapshot (Value)'!A69</f>
        <v>EICHERMOT</v>
      </c>
      <c r="B65" s="140">
        <f>VLOOKUP($A65,'Data shares'!$C:$FB,7)</f>
        <v>7071</v>
      </c>
      <c r="C65" s="140">
        <f>VLOOKUP($A65,'Data shares'!$C:$FB,3)</f>
        <v>7115.5</v>
      </c>
      <c r="D65" s="140">
        <f>VLOOKUP($A65,'Data shares'!$C:$FB,4)</f>
        <v>7189.5</v>
      </c>
      <c r="E65" s="50">
        <f t="shared" si="0"/>
        <v>-1.0292788093747827</v>
      </c>
      <c r="F65" s="49">
        <f>VLOOKUP($A65,'Data shares'!$C:$FB,98)</f>
        <v>4527900</v>
      </c>
      <c r="G65" s="49">
        <f>VLOOKUP($A65,'Data shares'!$C:$FB,99)</f>
        <v>4069000</v>
      </c>
      <c r="H65" s="50">
        <f t="shared" si="1"/>
        <v>11.277955271565496</v>
      </c>
      <c r="I65" s="49">
        <f>VLOOKUP($A65,'Data shares'!$C:$FB,66)</f>
        <v>6874900</v>
      </c>
      <c r="J65" s="49">
        <f>VLOOKUP($A65,'Data shares'!$C:$FB,67)</f>
        <v>4875300</v>
      </c>
      <c r="K65" s="50">
        <f t="shared" si="2"/>
        <v>29.085513971112309</v>
      </c>
      <c r="L65" s="50">
        <f>VLOOKUP($A65,'Data shares'!$C:$FB,118)</f>
        <v>1.03</v>
      </c>
      <c r="M65" s="50">
        <f>VLOOKUP($A65,'Data shares'!$C:$FB,119)</f>
        <v>1.04</v>
      </c>
      <c r="N65" s="50">
        <f>VLOOKUP($A65,'Data shares'!$C:$FB,121)*100</f>
        <v>-0.96</v>
      </c>
      <c r="O65" s="50">
        <f>VLOOKUP($A65,'Data shares'!$C:$FB,124)</f>
        <v>1.28</v>
      </c>
      <c r="P65" s="50">
        <f>VLOOKUP($A65,'Data shares'!$C:$FB,125)</f>
        <v>0.38</v>
      </c>
      <c r="Q65" s="50">
        <f>VLOOKUP($A65,'Data shares'!$C:$FB,127)*100</f>
        <v>236.83999999999997</v>
      </c>
    </row>
    <row r="66" spans="1:17" x14ac:dyDescent="0.25">
      <c r="A66" s="97" t="str">
        <f>'Snapshot (Value)'!A70</f>
        <v>ETERNAL</v>
      </c>
      <c r="B66" s="140">
        <f>VLOOKUP($A66,'Data shares'!$C:$FB,7)</f>
        <v>266.3</v>
      </c>
      <c r="C66" s="140">
        <f>VLOOKUP($A66,'Data shares'!$C:$FB,3)</f>
        <v>267.35000000000002</v>
      </c>
      <c r="D66" s="140">
        <f>VLOOKUP($A66,'Data shares'!$C:$FB,4)</f>
        <v>255.8</v>
      </c>
      <c r="E66" s="50">
        <f t="shared" si="0"/>
        <v>4.5152462861610676</v>
      </c>
      <c r="F66" s="49">
        <f>VLOOKUP($A66,'Data shares'!$C:$FB,98)</f>
        <v>430507825</v>
      </c>
      <c r="G66" s="49">
        <f>VLOOKUP($A66,'Data shares'!$C:$FB,99)</f>
        <v>433427525</v>
      </c>
      <c r="H66" s="50">
        <f t="shared" si="1"/>
        <v>-0.67363049912439221</v>
      </c>
      <c r="I66" s="49">
        <f>VLOOKUP($A66,'Data shares'!$C:$FB,66)</f>
        <v>291337075</v>
      </c>
      <c r="J66" s="49">
        <f>VLOOKUP($A66,'Data shares'!$C:$FB,67)</f>
        <v>495425075</v>
      </c>
      <c r="K66" s="50">
        <f t="shared" si="2"/>
        <v>-70.052189547107929</v>
      </c>
      <c r="L66" s="50">
        <f>VLOOKUP($A66,'Data shares'!$C:$FB,118)</f>
        <v>0.71</v>
      </c>
      <c r="M66" s="50">
        <f>VLOOKUP($A66,'Data shares'!$C:$FB,119)</f>
        <v>0.69</v>
      </c>
      <c r="N66" s="50">
        <f>VLOOKUP($A66,'Data shares'!$C:$FB,121)*100</f>
        <v>2.9000000000000004</v>
      </c>
      <c r="O66" s="50">
        <f>VLOOKUP($A66,'Data shares'!$C:$FB,124)</f>
        <v>0.56000000000000005</v>
      </c>
      <c r="P66" s="50">
        <f>VLOOKUP($A66,'Data shares'!$C:$FB,125)</f>
        <v>0.63</v>
      </c>
      <c r="Q66" s="50">
        <f>VLOOKUP($A66,'Data shares'!$C:$FB,127)*100</f>
        <v>-11.110000000000001</v>
      </c>
    </row>
    <row r="67" spans="1:17" x14ac:dyDescent="0.25">
      <c r="A67" s="97" t="str">
        <f>'Snapshot (Value)'!A71</f>
        <v>EXIDEIND</v>
      </c>
      <c r="B67" s="140">
        <f>VLOOKUP($A67,'Data shares'!$C:$FB,7)</f>
        <v>321.14999999999998</v>
      </c>
      <c r="C67" s="140">
        <f>VLOOKUP($A67,'Data shares'!$C:$FB,3)</f>
        <v>323.35000000000002</v>
      </c>
      <c r="D67" s="140">
        <f>VLOOKUP($A67,'Data shares'!$C:$FB,4)</f>
        <v>325.35000000000002</v>
      </c>
      <c r="E67" s="50">
        <f t="shared" si="0"/>
        <v>-0.61472260642385113</v>
      </c>
      <c r="F67" s="49">
        <f>VLOOKUP($A67,'Data shares'!$C:$FB,98)</f>
        <v>47230200</v>
      </c>
      <c r="G67" s="49">
        <f>VLOOKUP($A67,'Data shares'!$C:$FB,99)</f>
        <v>42498000</v>
      </c>
      <c r="H67" s="50">
        <f t="shared" si="1"/>
        <v>11.135112240576026</v>
      </c>
      <c r="I67" s="49">
        <f>VLOOKUP($A67,'Data shares'!$C:$FB,66)</f>
        <v>15634800</v>
      </c>
      <c r="J67" s="49">
        <f>VLOOKUP($A67,'Data shares'!$C:$FB,67)</f>
        <v>52356600</v>
      </c>
      <c r="K67" s="50">
        <f t="shared" si="2"/>
        <v>-234.87220815104766</v>
      </c>
      <c r="L67" s="50">
        <f>VLOOKUP($A67,'Data shares'!$C:$FB,118)</f>
        <v>1.06</v>
      </c>
      <c r="M67" s="50">
        <f>VLOOKUP($A67,'Data shares'!$C:$FB,119)</f>
        <v>1.24</v>
      </c>
      <c r="N67" s="50">
        <f>VLOOKUP($A67,'Data shares'!$C:$FB,121)*100</f>
        <v>-14.52</v>
      </c>
      <c r="O67" s="50">
        <f>VLOOKUP($A67,'Data shares'!$C:$FB,124)</f>
        <v>0.59</v>
      </c>
      <c r="P67" s="50">
        <f>VLOOKUP($A67,'Data shares'!$C:$FB,125)</f>
        <v>0.91</v>
      </c>
      <c r="Q67" s="50">
        <f>VLOOKUP($A67,'Data shares'!$C:$FB,127)*100</f>
        <v>-35.160000000000004</v>
      </c>
    </row>
    <row r="68" spans="1:17" x14ac:dyDescent="0.25">
      <c r="A68" s="97" t="str">
        <f>'Snapshot (Value)'!A72</f>
        <v>FEDERALBNK</v>
      </c>
      <c r="B68" s="140">
        <f>VLOOKUP($A68,'Data shares'!$C:$FB,7)</f>
        <v>284.45</v>
      </c>
      <c r="C68" s="140">
        <f>VLOOKUP($A68,'Data shares'!$C:$FB,3)</f>
        <v>286.10000000000002</v>
      </c>
      <c r="D68" s="140">
        <f>VLOOKUP($A68,'Data shares'!$C:$FB,4)</f>
        <v>286.3</v>
      </c>
      <c r="E68" s="50">
        <f t="shared" si="0"/>
        <v>-6.9856793573171025E-2</v>
      </c>
      <c r="F68" s="49">
        <f>VLOOKUP($A68,'Data shares'!$C:$FB,98)</f>
        <v>99485000</v>
      </c>
      <c r="G68" s="49">
        <f>VLOOKUP($A68,'Data shares'!$C:$FB,99)</f>
        <v>95870000</v>
      </c>
      <c r="H68" s="50">
        <f t="shared" si="1"/>
        <v>3.7707311984979661</v>
      </c>
      <c r="I68" s="49">
        <f>VLOOKUP($A68,'Data shares'!$C:$FB,66)</f>
        <v>71345000</v>
      </c>
      <c r="J68" s="49">
        <f>VLOOKUP($A68,'Data shares'!$C:$FB,67)</f>
        <v>137905000</v>
      </c>
      <c r="K68" s="50">
        <f t="shared" si="2"/>
        <v>-93.293152988997136</v>
      </c>
      <c r="L68" s="50">
        <f>VLOOKUP($A68,'Data shares'!$C:$FB,118)</f>
        <v>1.1399999999999999</v>
      </c>
      <c r="M68" s="50">
        <f>VLOOKUP($A68,'Data shares'!$C:$FB,119)</f>
        <v>1.1399999999999999</v>
      </c>
      <c r="N68" s="50">
        <f>VLOOKUP($A68,'Data shares'!$C:$FB,121)*100</f>
        <v>0</v>
      </c>
      <c r="O68" s="50">
        <f>VLOOKUP($A68,'Data shares'!$C:$FB,124)</f>
        <v>0.59</v>
      </c>
      <c r="P68" s="50">
        <f>VLOOKUP($A68,'Data shares'!$C:$FB,125)</f>
        <v>0.72</v>
      </c>
      <c r="Q68" s="50">
        <f>VLOOKUP($A68,'Data shares'!$C:$FB,127)*100</f>
        <v>-18.060000000000002</v>
      </c>
    </row>
    <row r="69" spans="1:17" x14ac:dyDescent="0.25">
      <c r="A69" s="97" t="str">
        <f>'Snapshot (Value)'!A73</f>
        <v>FINNIFTY</v>
      </c>
      <c r="B69" s="140">
        <f>VLOOKUP($A69,'Data shares'!$C:$FB,7)</f>
        <v>27335.200000000001</v>
      </c>
      <c r="C69" s="140">
        <f>VLOOKUP($A69,'Data shares'!$C:$FB,3)</f>
        <v>27445.4</v>
      </c>
      <c r="D69" s="140">
        <f>VLOOKUP($A69,'Data shares'!$C:$FB,4)</f>
        <v>27198.2</v>
      </c>
      <c r="E69" s="50">
        <f t="shared" si="0"/>
        <v>0.9088836761256287</v>
      </c>
      <c r="F69" s="49">
        <f>VLOOKUP($A69,'Data shares'!$C:$FB,98)</f>
        <v>265860</v>
      </c>
      <c r="G69" s="49">
        <f>VLOOKUP($A69,'Data shares'!$C:$FB,99)</f>
        <v>129420</v>
      </c>
      <c r="H69" s="50">
        <f t="shared" si="1"/>
        <v>105.42420027816412</v>
      </c>
      <c r="I69" s="49">
        <f>VLOOKUP($A69,'Data shares'!$C:$FB,66)</f>
        <v>1073220</v>
      </c>
      <c r="J69" s="49">
        <f>VLOOKUP($A69,'Data shares'!$C:$FB,67)</f>
        <v>244676640</v>
      </c>
      <c r="K69" s="50">
        <f t="shared" si="2"/>
        <v>-22698.36752949069</v>
      </c>
      <c r="L69" s="50">
        <f>VLOOKUP($A69,'Data shares'!$C:$FB,118)</f>
        <v>0.78</v>
      </c>
      <c r="M69" s="50">
        <f>VLOOKUP($A69,'Data shares'!$C:$FB,119)</f>
        <v>0.5</v>
      </c>
      <c r="N69" s="50">
        <f>VLOOKUP($A69,'Data shares'!$C:$FB,121)*100</f>
        <v>56.000000000000007</v>
      </c>
      <c r="O69" s="50">
        <f>VLOOKUP($A69,'Data shares'!$C:$FB,124)</f>
        <v>1.3</v>
      </c>
      <c r="P69" s="50">
        <f>VLOOKUP($A69,'Data shares'!$C:$FB,125)</f>
        <v>0.92</v>
      </c>
      <c r="Q69" s="50">
        <f>VLOOKUP($A69,'Data shares'!$C:$FB,127)*100</f>
        <v>41.3</v>
      </c>
    </row>
    <row r="70" spans="1:17" x14ac:dyDescent="0.25">
      <c r="A70" s="97" t="str">
        <f>'Snapshot (Value)'!A74</f>
        <v>FORTIS</v>
      </c>
      <c r="B70" s="140">
        <f>VLOOKUP($A70,'Data shares'!$C:$FB,7)</f>
        <v>849.05</v>
      </c>
      <c r="C70" s="140">
        <f>VLOOKUP($A70,'Data shares'!$C:$FB,3)</f>
        <v>852.15</v>
      </c>
      <c r="D70" s="140">
        <f>VLOOKUP($A70,'Data shares'!$C:$FB,4)</f>
        <v>844.25</v>
      </c>
      <c r="E70" s="50">
        <f t="shared" si="0"/>
        <v>0.93574178264731744</v>
      </c>
      <c r="F70" s="49">
        <f>VLOOKUP($A70,'Data shares'!$C:$FB,98)</f>
        <v>13844600</v>
      </c>
      <c r="G70" s="49">
        <f>VLOOKUP($A70,'Data shares'!$C:$FB,99)</f>
        <v>13347050</v>
      </c>
      <c r="H70" s="50">
        <f t="shared" si="1"/>
        <v>3.7277900360004645</v>
      </c>
      <c r="I70" s="49">
        <f>VLOOKUP($A70,'Data shares'!$C:$FB,66)</f>
        <v>3692875</v>
      </c>
      <c r="J70" s="49">
        <f>VLOOKUP($A70,'Data shares'!$C:$FB,67)</f>
        <v>13476475</v>
      </c>
      <c r="K70" s="50">
        <f t="shared" si="2"/>
        <v>-264.93179433368311</v>
      </c>
      <c r="L70" s="50">
        <f>VLOOKUP($A70,'Data shares'!$C:$FB,118)</f>
        <v>0.98</v>
      </c>
      <c r="M70" s="50">
        <f>VLOOKUP($A70,'Data shares'!$C:$FB,119)</f>
        <v>1.24</v>
      </c>
      <c r="N70" s="50">
        <f>VLOOKUP($A70,'Data shares'!$C:$FB,121)*100</f>
        <v>-20.97</v>
      </c>
      <c r="O70" s="50">
        <f>VLOOKUP($A70,'Data shares'!$C:$FB,124)</f>
        <v>0.46</v>
      </c>
      <c r="P70" s="50">
        <f>VLOOKUP($A70,'Data shares'!$C:$FB,125)</f>
        <v>1.17</v>
      </c>
      <c r="Q70" s="50">
        <f>VLOOKUP($A70,'Data shares'!$C:$FB,127)*100</f>
        <v>-60.68</v>
      </c>
    </row>
    <row r="71" spans="1:17" x14ac:dyDescent="0.25">
      <c r="A71" s="97" t="str">
        <f>'Snapshot (Value)'!A75</f>
        <v>GAIL</v>
      </c>
      <c r="B71" s="140">
        <f>VLOOKUP($A71,'Data shares'!$C:$FB,7)</f>
        <v>168.14</v>
      </c>
      <c r="C71" s="140">
        <f>VLOOKUP($A71,'Data shares'!$C:$FB,3)</f>
        <v>168.87</v>
      </c>
      <c r="D71" s="140">
        <f>VLOOKUP($A71,'Data shares'!$C:$FB,4)</f>
        <v>161.03</v>
      </c>
      <c r="E71" s="50">
        <f t="shared" si="0"/>
        <v>4.8686580140346543</v>
      </c>
      <c r="F71" s="49">
        <f>VLOOKUP($A71,'Data shares'!$C:$FB,98)</f>
        <v>144392850</v>
      </c>
      <c r="G71" s="49">
        <f>VLOOKUP($A71,'Data shares'!$C:$FB,99)</f>
        <v>133708050</v>
      </c>
      <c r="H71" s="50">
        <f t="shared" si="1"/>
        <v>7.9911418945979698</v>
      </c>
      <c r="I71" s="49">
        <f>VLOOKUP($A71,'Data shares'!$C:$FB,66)</f>
        <v>110105100</v>
      </c>
      <c r="J71" s="49">
        <f>VLOOKUP($A71,'Data shares'!$C:$FB,67)</f>
        <v>152781300</v>
      </c>
      <c r="K71" s="50">
        <f t="shared" si="2"/>
        <v>-38.759512502145675</v>
      </c>
      <c r="L71" s="50">
        <f>VLOOKUP($A71,'Data shares'!$C:$FB,118)</f>
        <v>0.98</v>
      </c>
      <c r="M71" s="50">
        <f>VLOOKUP($A71,'Data shares'!$C:$FB,119)</f>
        <v>1.23</v>
      </c>
      <c r="N71" s="50">
        <f>VLOOKUP($A71,'Data shares'!$C:$FB,121)*100</f>
        <v>-20.330000000000002</v>
      </c>
      <c r="O71" s="50">
        <f>VLOOKUP($A71,'Data shares'!$C:$FB,124)</f>
        <v>0.38</v>
      </c>
      <c r="P71" s="50">
        <f>VLOOKUP($A71,'Data shares'!$C:$FB,125)</f>
        <v>0.85</v>
      </c>
      <c r="Q71" s="50">
        <f>VLOOKUP($A71,'Data shares'!$C:$FB,127)*100</f>
        <v>-55.289999999999992</v>
      </c>
    </row>
    <row r="72" spans="1:17" x14ac:dyDescent="0.25">
      <c r="A72" s="97" t="str">
        <f>'Snapshot (Value)'!A76</f>
        <v>GLENMARK</v>
      </c>
      <c r="B72" s="140">
        <f>VLOOKUP($A72,'Data shares'!$C:$FB,7)</f>
        <v>1993.5</v>
      </c>
      <c r="C72" s="140">
        <f>VLOOKUP($A72,'Data shares'!$C:$FB,3)</f>
        <v>2001.1</v>
      </c>
      <c r="D72" s="140">
        <f>VLOOKUP($A72,'Data shares'!$C:$FB,4)</f>
        <v>2012.6</v>
      </c>
      <c r="E72" s="50">
        <f t="shared" ref="E72:E135" si="3">(C72-D72)/D72*100</f>
        <v>-0.57140017887309957</v>
      </c>
      <c r="F72" s="49">
        <f>VLOOKUP($A72,'Data shares'!$C:$FB,98)</f>
        <v>13351125</v>
      </c>
      <c r="G72" s="49">
        <f>VLOOKUP($A72,'Data shares'!$C:$FB,99)</f>
        <v>12949125</v>
      </c>
      <c r="H72" s="50">
        <f t="shared" ref="H72:H135" si="4">(F72-G72)/G72*100</f>
        <v>3.1044568648460804</v>
      </c>
      <c r="I72" s="49">
        <f>VLOOKUP($A72,'Data shares'!$C:$FB,66)</f>
        <v>2760375</v>
      </c>
      <c r="J72" s="49">
        <f>VLOOKUP($A72,'Data shares'!$C:$FB,67)</f>
        <v>11940000</v>
      </c>
      <c r="K72" s="50">
        <f t="shared" ref="K72:K135" si="5">(I72-J72)/I72*100</f>
        <v>-332.54992528189103</v>
      </c>
      <c r="L72" s="50">
        <f>VLOOKUP($A72,'Data shares'!$C:$FB,118)</f>
        <v>0.72</v>
      </c>
      <c r="M72" s="50">
        <f>VLOOKUP($A72,'Data shares'!$C:$FB,119)</f>
        <v>0.75</v>
      </c>
      <c r="N72" s="50">
        <f>VLOOKUP($A72,'Data shares'!$C:$FB,121)*100</f>
        <v>-4</v>
      </c>
      <c r="O72" s="50">
        <f>VLOOKUP($A72,'Data shares'!$C:$FB,124)</f>
        <v>0.56999999999999995</v>
      </c>
      <c r="P72" s="50">
        <f>VLOOKUP($A72,'Data shares'!$C:$FB,125)</f>
        <v>0.55000000000000004</v>
      </c>
      <c r="Q72" s="50">
        <f>VLOOKUP($A72,'Data shares'!$C:$FB,127)*100</f>
        <v>3.64</v>
      </c>
    </row>
    <row r="73" spans="1:17" x14ac:dyDescent="0.25">
      <c r="A73" s="97" t="str">
        <f>'Snapshot (Value)'!A77</f>
        <v>GMRAIRPORT</v>
      </c>
      <c r="B73" s="140">
        <f>VLOOKUP($A73,'Data shares'!$C:$FB,7)</f>
        <v>93.91</v>
      </c>
      <c r="C73" s="140">
        <f>VLOOKUP($A73,'Data shares'!$C:$FB,3)</f>
        <v>94.57</v>
      </c>
      <c r="D73" s="140">
        <f>VLOOKUP($A73,'Data shares'!$C:$FB,4)</f>
        <v>93.31</v>
      </c>
      <c r="E73" s="50">
        <f t="shared" si="3"/>
        <v>1.3503375843960892</v>
      </c>
      <c r="F73" s="49">
        <f>VLOOKUP($A73,'Data shares'!$C:$FB,98)</f>
        <v>253499400</v>
      </c>
      <c r="G73" s="49">
        <f>VLOOKUP($A73,'Data shares'!$C:$FB,99)</f>
        <v>246963825</v>
      </c>
      <c r="H73" s="50">
        <f t="shared" si="4"/>
        <v>2.6463693619905668</v>
      </c>
      <c r="I73" s="49">
        <f>VLOOKUP($A73,'Data shares'!$C:$FB,66)</f>
        <v>80812350</v>
      </c>
      <c r="J73" s="49">
        <f>VLOOKUP($A73,'Data shares'!$C:$FB,67)</f>
        <v>268767675</v>
      </c>
      <c r="K73" s="50">
        <f t="shared" si="5"/>
        <v>-232.58242706715004</v>
      </c>
      <c r="L73" s="50">
        <f>VLOOKUP($A73,'Data shares'!$C:$FB,118)</f>
        <v>0.87</v>
      </c>
      <c r="M73" s="50">
        <f>VLOOKUP($A73,'Data shares'!$C:$FB,119)</f>
        <v>0.88</v>
      </c>
      <c r="N73" s="50">
        <f>VLOOKUP($A73,'Data shares'!$C:$FB,121)*100</f>
        <v>-1.1400000000000001</v>
      </c>
      <c r="O73" s="50">
        <f>VLOOKUP($A73,'Data shares'!$C:$FB,124)</f>
        <v>0.21</v>
      </c>
      <c r="P73" s="50">
        <f>VLOOKUP($A73,'Data shares'!$C:$FB,125)</f>
        <v>0.67</v>
      </c>
      <c r="Q73" s="50">
        <f>VLOOKUP($A73,'Data shares'!$C:$FB,127)*100</f>
        <v>-68.66</v>
      </c>
    </row>
    <row r="74" spans="1:17" x14ac:dyDescent="0.25">
      <c r="A74" s="97" t="str">
        <f>'Snapshot (Value)'!A78</f>
        <v>GODREJCP</v>
      </c>
      <c r="B74" s="140">
        <f>VLOOKUP($A74,'Data shares'!$C:$FB,7)</f>
        <v>1171.8</v>
      </c>
      <c r="C74" s="140">
        <f>VLOOKUP($A74,'Data shares'!$C:$FB,3)</f>
        <v>1173.2</v>
      </c>
      <c r="D74" s="140">
        <f>VLOOKUP($A74,'Data shares'!$C:$FB,4)</f>
        <v>1173.9000000000001</v>
      </c>
      <c r="E74" s="50">
        <f t="shared" si="3"/>
        <v>-5.9630292188435588E-2</v>
      </c>
      <c r="F74" s="49">
        <f>VLOOKUP($A74,'Data shares'!$C:$FB,98)</f>
        <v>10306500</v>
      </c>
      <c r="G74" s="49">
        <f>VLOOKUP($A74,'Data shares'!$C:$FB,99)</f>
        <v>9672000</v>
      </c>
      <c r="H74" s="50">
        <f t="shared" si="4"/>
        <v>6.5601736972704714</v>
      </c>
      <c r="I74" s="49">
        <f>VLOOKUP($A74,'Data shares'!$C:$FB,66)</f>
        <v>6128000</v>
      </c>
      <c r="J74" s="49">
        <f>VLOOKUP($A74,'Data shares'!$C:$FB,67)</f>
        <v>23313500</v>
      </c>
      <c r="K74" s="50">
        <f t="shared" si="5"/>
        <v>-280.44223237597913</v>
      </c>
      <c r="L74" s="50">
        <f>VLOOKUP($A74,'Data shares'!$C:$FB,118)</f>
        <v>0.99</v>
      </c>
      <c r="M74" s="50">
        <f>VLOOKUP($A74,'Data shares'!$C:$FB,119)</f>
        <v>0.76</v>
      </c>
      <c r="N74" s="50">
        <f>VLOOKUP($A74,'Data shares'!$C:$FB,121)*100</f>
        <v>30.259999999999998</v>
      </c>
      <c r="O74" s="50">
        <f>VLOOKUP($A74,'Data shares'!$C:$FB,124)</f>
        <v>0.91</v>
      </c>
      <c r="P74" s="50">
        <f>VLOOKUP($A74,'Data shares'!$C:$FB,125)</f>
        <v>1.38</v>
      </c>
      <c r="Q74" s="50">
        <f>VLOOKUP($A74,'Data shares'!$C:$FB,127)*100</f>
        <v>-34.06</v>
      </c>
    </row>
    <row r="75" spans="1:17" x14ac:dyDescent="0.25">
      <c r="A75" s="97" t="str">
        <f>'Snapshot (Value)'!A79</f>
        <v>GODREJPROP</v>
      </c>
      <c r="B75" s="140">
        <f>VLOOKUP($A75,'Data shares'!$C:$FB,7)</f>
        <v>1550.3</v>
      </c>
      <c r="C75" s="140">
        <f>VLOOKUP($A75,'Data shares'!$C:$FB,3)</f>
        <v>1560.7</v>
      </c>
      <c r="D75" s="140">
        <f>VLOOKUP($A75,'Data shares'!$C:$FB,4)</f>
        <v>1529</v>
      </c>
      <c r="E75" s="50">
        <f t="shared" si="3"/>
        <v>2.0732504905166804</v>
      </c>
      <c r="F75" s="49">
        <f>VLOOKUP($A75,'Data shares'!$C:$FB,98)</f>
        <v>19662775</v>
      </c>
      <c r="G75" s="49">
        <f>VLOOKUP($A75,'Data shares'!$C:$FB,99)</f>
        <v>18543800</v>
      </c>
      <c r="H75" s="50">
        <f t="shared" si="4"/>
        <v>6.0342270731996672</v>
      </c>
      <c r="I75" s="49">
        <f>VLOOKUP($A75,'Data shares'!$C:$FB,66)</f>
        <v>9728950</v>
      </c>
      <c r="J75" s="49">
        <f>VLOOKUP($A75,'Data shares'!$C:$FB,67)</f>
        <v>27090800</v>
      </c>
      <c r="K75" s="50">
        <f t="shared" si="5"/>
        <v>-178.45553733958957</v>
      </c>
      <c r="L75" s="50">
        <f>VLOOKUP($A75,'Data shares'!$C:$FB,118)</f>
        <v>0.61</v>
      </c>
      <c r="M75" s="50">
        <f>VLOOKUP($A75,'Data shares'!$C:$FB,119)</f>
        <v>0.57999999999999996</v>
      </c>
      <c r="N75" s="50">
        <f>VLOOKUP($A75,'Data shares'!$C:$FB,121)*100</f>
        <v>5.17</v>
      </c>
      <c r="O75" s="50">
        <f>VLOOKUP($A75,'Data shares'!$C:$FB,124)</f>
        <v>0.32</v>
      </c>
      <c r="P75" s="50">
        <f>VLOOKUP($A75,'Data shares'!$C:$FB,125)</f>
        <v>0.69</v>
      </c>
      <c r="Q75" s="50">
        <f>VLOOKUP($A75,'Data shares'!$C:$FB,127)*100</f>
        <v>-53.620000000000005</v>
      </c>
    </row>
    <row r="76" spans="1:17" x14ac:dyDescent="0.25">
      <c r="A76" s="97" t="str">
        <f>'Snapshot (Value)'!A80</f>
        <v>GRASIM</v>
      </c>
      <c r="B76" s="140">
        <f>VLOOKUP($A76,'Data shares'!$C:$FB,7)</f>
        <v>2839.1</v>
      </c>
      <c r="C76" s="140">
        <f>VLOOKUP($A76,'Data shares'!$C:$FB,3)</f>
        <v>2856.2</v>
      </c>
      <c r="D76" s="140">
        <f>VLOOKUP($A76,'Data shares'!$C:$FB,4)</f>
        <v>2876.5</v>
      </c>
      <c r="E76" s="50">
        <f t="shared" si="3"/>
        <v>-0.70571875543195495</v>
      </c>
      <c r="F76" s="49">
        <f>VLOOKUP($A76,'Data shares'!$C:$FB,98)</f>
        <v>17317750</v>
      </c>
      <c r="G76" s="49">
        <f>VLOOKUP($A76,'Data shares'!$C:$FB,99)</f>
        <v>16858750</v>
      </c>
      <c r="H76" s="50">
        <f t="shared" si="4"/>
        <v>2.7226217839400904</v>
      </c>
      <c r="I76" s="49">
        <f>VLOOKUP($A76,'Data shares'!$C:$FB,66)</f>
        <v>3221750</v>
      </c>
      <c r="J76" s="49">
        <f>VLOOKUP($A76,'Data shares'!$C:$FB,67)</f>
        <v>13785000</v>
      </c>
      <c r="K76" s="50">
        <f t="shared" si="5"/>
        <v>-327.87305036082876</v>
      </c>
      <c r="L76" s="50">
        <f>VLOOKUP($A76,'Data shares'!$C:$FB,118)</f>
        <v>0.99</v>
      </c>
      <c r="M76" s="50">
        <f>VLOOKUP($A76,'Data shares'!$C:$FB,119)</f>
        <v>0.96</v>
      </c>
      <c r="N76" s="50">
        <f>VLOOKUP($A76,'Data shares'!$C:$FB,121)*100</f>
        <v>3.1300000000000003</v>
      </c>
      <c r="O76" s="50">
        <f>VLOOKUP($A76,'Data shares'!$C:$FB,124)</f>
        <v>0.62</v>
      </c>
      <c r="P76" s="50">
        <f>VLOOKUP($A76,'Data shares'!$C:$FB,125)</f>
        <v>0.7</v>
      </c>
      <c r="Q76" s="50">
        <f>VLOOKUP($A76,'Data shares'!$C:$FB,127)*100</f>
        <v>-11.43</v>
      </c>
    </row>
    <row r="77" spans="1:17" x14ac:dyDescent="0.25">
      <c r="A77" s="97" t="str">
        <f>'Snapshot (Value)'!A81</f>
        <v>HAL</v>
      </c>
      <c r="B77" s="140">
        <f>VLOOKUP($A77,'Data shares'!$C:$FB,7)</f>
        <v>4624</v>
      </c>
      <c r="C77" s="140">
        <f>VLOOKUP($A77,'Data shares'!$C:$FB,3)</f>
        <v>4639.5</v>
      </c>
      <c r="D77" s="140">
        <f>VLOOKUP($A77,'Data shares'!$C:$FB,4)</f>
        <v>4350.6000000000004</v>
      </c>
      <c r="E77" s="50">
        <f t="shared" si="3"/>
        <v>6.6404633843607686</v>
      </c>
      <c r="F77" s="49">
        <f>VLOOKUP($A77,'Data shares'!$C:$FB,98)</f>
        <v>14548200</v>
      </c>
      <c r="G77" s="49">
        <f>VLOOKUP($A77,'Data shares'!$C:$FB,99)</f>
        <v>13265550</v>
      </c>
      <c r="H77" s="50">
        <f t="shared" si="4"/>
        <v>9.6690299309112699</v>
      </c>
      <c r="I77" s="49">
        <f>VLOOKUP($A77,'Data shares'!$C:$FB,66)</f>
        <v>21934950</v>
      </c>
      <c r="J77" s="49">
        <f>VLOOKUP($A77,'Data shares'!$C:$FB,67)</f>
        <v>19661850</v>
      </c>
      <c r="K77" s="50">
        <f t="shared" si="5"/>
        <v>10.362913979744654</v>
      </c>
      <c r="L77" s="50">
        <f>VLOOKUP($A77,'Data shares'!$C:$FB,118)</f>
        <v>0.8</v>
      </c>
      <c r="M77" s="50">
        <f>VLOOKUP($A77,'Data shares'!$C:$FB,119)</f>
        <v>0.93</v>
      </c>
      <c r="N77" s="50">
        <f>VLOOKUP($A77,'Data shares'!$C:$FB,121)*100</f>
        <v>-13.98</v>
      </c>
      <c r="O77" s="50">
        <f>VLOOKUP($A77,'Data shares'!$C:$FB,124)</f>
        <v>0.25</v>
      </c>
      <c r="P77" s="50">
        <f>VLOOKUP($A77,'Data shares'!$C:$FB,125)</f>
        <v>0.47</v>
      </c>
      <c r="Q77" s="50">
        <f>VLOOKUP($A77,'Data shares'!$C:$FB,127)*100</f>
        <v>-46.81</v>
      </c>
    </row>
    <row r="78" spans="1:17" x14ac:dyDescent="0.25">
      <c r="A78" s="97" t="str">
        <f>'Snapshot (Value)'!A82</f>
        <v>HAVELLS</v>
      </c>
      <c r="B78" s="140">
        <f>VLOOKUP($A78,'Data shares'!$C:$FB,7)</f>
        <v>1286.8</v>
      </c>
      <c r="C78" s="140">
        <f>VLOOKUP($A78,'Data shares'!$C:$FB,3)</f>
        <v>1295.5</v>
      </c>
      <c r="D78" s="140">
        <f>VLOOKUP($A78,'Data shares'!$C:$FB,4)</f>
        <v>1295.7</v>
      </c>
      <c r="E78" s="50">
        <f t="shared" si="3"/>
        <v>-1.543567183762024E-2</v>
      </c>
      <c r="F78" s="49">
        <f>VLOOKUP($A78,'Data shares'!$C:$FB,98)</f>
        <v>12961000</v>
      </c>
      <c r="G78" s="49">
        <f>VLOOKUP($A78,'Data shares'!$C:$FB,99)</f>
        <v>12161500</v>
      </c>
      <c r="H78" s="50">
        <f t="shared" si="4"/>
        <v>6.5740245857830031</v>
      </c>
      <c r="I78" s="49">
        <f>VLOOKUP($A78,'Data shares'!$C:$FB,66)</f>
        <v>3292000</v>
      </c>
      <c r="J78" s="49">
        <f>VLOOKUP($A78,'Data shares'!$C:$FB,67)</f>
        <v>16292500</v>
      </c>
      <c r="K78" s="50">
        <f t="shared" si="5"/>
        <v>-394.91190765492104</v>
      </c>
      <c r="L78" s="50">
        <f>VLOOKUP($A78,'Data shares'!$C:$FB,118)</f>
        <v>0.94</v>
      </c>
      <c r="M78" s="50">
        <f>VLOOKUP($A78,'Data shares'!$C:$FB,119)</f>
        <v>0.94</v>
      </c>
      <c r="N78" s="50">
        <f>VLOOKUP($A78,'Data shares'!$C:$FB,121)*100</f>
        <v>0</v>
      </c>
      <c r="O78" s="50">
        <f>VLOOKUP($A78,'Data shares'!$C:$FB,124)</f>
        <v>0.52</v>
      </c>
      <c r="P78" s="50">
        <f>VLOOKUP($A78,'Data shares'!$C:$FB,125)</f>
        <v>1.02</v>
      </c>
      <c r="Q78" s="50">
        <f>VLOOKUP($A78,'Data shares'!$C:$FB,127)*100</f>
        <v>-49.02</v>
      </c>
    </row>
    <row r="79" spans="1:17" x14ac:dyDescent="0.25">
      <c r="A79" s="97" t="str">
        <f>'Snapshot (Value)'!A83</f>
        <v>HCLTECH</v>
      </c>
      <c r="B79" s="140">
        <f>VLOOKUP($A79,'Data shares'!$C:$FB,7)</f>
        <v>1729.6</v>
      </c>
      <c r="C79" s="140">
        <f>VLOOKUP($A79,'Data shares'!$C:$FB,3)</f>
        <v>1735.8</v>
      </c>
      <c r="D79" s="140">
        <f>VLOOKUP($A79,'Data shares'!$C:$FB,4)</f>
        <v>1728.2</v>
      </c>
      <c r="E79" s="50">
        <f t="shared" si="3"/>
        <v>0.43976391621339589</v>
      </c>
      <c r="F79" s="49">
        <f>VLOOKUP($A79,'Data shares'!$C:$FB,98)</f>
        <v>21103250</v>
      </c>
      <c r="G79" s="49">
        <f>VLOOKUP($A79,'Data shares'!$C:$FB,99)</f>
        <v>20304550</v>
      </c>
      <c r="H79" s="50">
        <f t="shared" si="4"/>
        <v>3.9336010894109945</v>
      </c>
      <c r="I79" s="49">
        <f>VLOOKUP($A79,'Data shares'!$C:$FB,66)</f>
        <v>10789100</v>
      </c>
      <c r="J79" s="49">
        <f>VLOOKUP($A79,'Data shares'!$C:$FB,67)</f>
        <v>19979750</v>
      </c>
      <c r="K79" s="50">
        <f t="shared" si="5"/>
        <v>-85.184584441705056</v>
      </c>
      <c r="L79" s="50">
        <f>VLOOKUP($A79,'Data shares'!$C:$FB,118)</f>
        <v>0.83</v>
      </c>
      <c r="M79" s="50">
        <f>VLOOKUP($A79,'Data shares'!$C:$FB,119)</f>
        <v>0.77</v>
      </c>
      <c r="N79" s="50">
        <f>VLOOKUP($A79,'Data shares'!$C:$FB,121)*100</f>
        <v>7.79</v>
      </c>
      <c r="O79" s="50">
        <f>VLOOKUP($A79,'Data shares'!$C:$FB,124)</f>
        <v>0.56000000000000005</v>
      </c>
      <c r="P79" s="50">
        <f>VLOOKUP($A79,'Data shares'!$C:$FB,125)</f>
        <v>0.61</v>
      </c>
      <c r="Q79" s="50">
        <f>VLOOKUP($A79,'Data shares'!$C:$FB,127)*100</f>
        <v>-8.2000000000000011</v>
      </c>
    </row>
    <row r="80" spans="1:17" x14ac:dyDescent="0.25">
      <c r="A80" s="97" t="str">
        <f>'Snapshot (Value)'!A84</f>
        <v>HDFCAMC</v>
      </c>
      <c r="B80" s="140">
        <f>VLOOKUP($A80,'Data shares'!$C:$FB,7)</f>
        <v>2477.6</v>
      </c>
      <c r="C80" s="140">
        <f>VLOOKUP($A80,'Data shares'!$C:$FB,3)</f>
        <v>2489.8000000000002</v>
      </c>
      <c r="D80" s="140">
        <f>VLOOKUP($A80,'Data shares'!$C:$FB,4)</f>
        <v>2452.6</v>
      </c>
      <c r="E80" s="50">
        <f t="shared" si="3"/>
        <v>1.5167577264943437</v>
      </c>
      <c r="F80" s="49">
        <f>VLOOKUP($A80,'Data shares'!$C:$FB,98)</f>
        <v>8881200</v>
      </c>
      <c r="G80" s="49">
        <f>VLOOKUP($A80,'Data shares'!$C:$FB,99)</f>
        <v>8375400</v>
      </c>
      <c r="H80" s="50">
        <f t="shared" si="4"/>
        <v>6.0391145497528473</v>
      </c>
      <c r="I80" s="49">
        <f>VLOOKUP($A80,'Data shares'!$C:$FB,66)</f>
        <v>2917500</v>
      </c>
      <c r="J80" s="49">
        <f>VLOOKUP($A80,'Data shares'!$C:$FB,67)</f>
        <v>5674800</v>
      </c>
      <c r="K80" s="50">
        <f t="shared" si="5"/>
        <v>-94.508997429305907</v>
      </c>
      <c r="L80" s="50">
        <f>VLOOKUP($A80,'Data shares'!$C:$FB,118)</f>
        <v>0.63</v>
      </c>
      <c r="M80" s="50">
        <f>VLOOKUP($A80,'Data shares'!$C:$FB,119)</f>
        <v>0.64</v>
      </c>
      <c r="N80" s="50">
        <f>VLOOKUP($A80,'Data shares'!$C:$FB,121)*100</f>
        <v>-1.5599999999999998</v>
      </c>
      <c r="O80" s="50">
        <f>VLOOKUP($A80,'Data shares'!$C:$FB,124)</f>
        <v>0.28999999999999998</v>
      </c>
      <c r="P80" s="50">
        <f>VLOOKUP($A80,'Data shares'!$C:$FB,125)</f>
        <v>0.71</v>
      </c>
      <c r="Q80" s="50">
        <f>VLOOKUP($A80,'Data shares'!$C:$FB,127)*100</f>
        <v>-59.150000000000006</v>
      </c>
    </row>
    <row r="81" spans="1:17" x14ac:dyDescent="0.25">
      <c r="A81" s="97" t="str">
        <f>'Snapshot (Value)'!A85</f>
        <v>HDFCBANK</v>
      </c>
      <c r="B81" s="140">
        <f>VLOOKUP($A81,'Data shares'!$C:$FB,7)</f>
        <v>932.7</v>
      </c>
      <c r="C81" s="140">
        <f>VLOOKUP($A81,'Data shares'!$C:$FB,3)</f>
        <v>936.2</v>
      </c>
      <c r="D81" s="140">
        <f>VLOOKUP($A81,'Data shares'!$C:$FB,4)</f>
        <v>932.8</v>
      </c>
      <c r="E81" s="50">
        <f t="shared" si="3"/>
        <v>0.36449399656947806</v>
      </c>
      <c r="F81" s="49">
        <f>VLOOKUP($A81,'Data shares'!$C:$FB,98)</f>
        <v>320298000</v>
      </c>
      <c r="G81" s="49">
        <f>VLOOKUP($A81,'Data shares'!$C:$FB,99)</f>
        <v>321142250</v>
      </c>
      <c r="H81" s="50">
        <f t="shared" si="4"/>
        <v>-0.26288973188672621</v>
      </c>
      <c r="I81" s="49">
        <f>VLOOKUP($A81,'Data shares'!$C:$FB,66)</f>
        <v>135216950</v>
      </c>
      <c r="J81" s="49">
        <f>VLOOKUP($A81,'Data shares'!$C:$FB,67)</f>
        <v>240249900</v>
      </c>
      <c r="K81" s="50">
        <f t="shared" si="5"/>
        <v>-77.677354799083986</v>
      </c>
      <c r="L81" s="50">
        <f>VLOOKUP($A81,'Data shares'!$C:$FB,118)</f>
        <v>0.71</v>
      </c>
      <c r="M81" s="50">
        <f>VLOOKUP($A81,'Data shares'!$C:$FB,119)</f>
        <v>0.69</v>
      </c>
      <c r="N81" s="50">
        <f>VLOOKUP($A81,'Data shares'!$C:$FB,121)*100</f>
        <v>2.9000000000000004</v>
      </c>
      <c r="O81" s="50">
        <f>VLOOKUP($A81,'Data shares'!$C:$FB,124)</f>
        <v>0.6</v>
      </c>
      <c r="P81" s="50">
        <f>VLOOKUP($A81,'Data shares'!$C:$FB,125)</f>
        <v>0.65</v>
      </c>
      <c r="Q81" s="50">
        <f>VLOOKUP($A81,'Data shares'!$C:$FB,127)*100</f>
        <v>-7.6899999999999995</v>
      </c>
    </row>
    <row r="82" spans="1:17" x14ac:dyDescent="0.25">
      <c r="A82" s="97" t="str">
        <f>'Snapshot (Value)'!A86</f>
        <v>HDFCLIFE</v>
      </c>
      <c r="B82" s="140">
        <f>VLOOKUP($A82,'Data shares'!$C:$FB,7)</f>
        <v>728.6</v>
      </c>
      <c r="C82" s="140">
        <f>VLOOKUP($A82,'Data shares'!$C:$FB,3)</f>
        <v>730.5</v>
      </c>
      <c r="D82" s="140">
        <f>VLOOKUP($A82,'Data shares'!$C:$FB,4)</f>
        <v>724.4</v>
      </c>
      <c r="E82" s="50">
        <f t="shared" si="3"/>
        <v>0.84207620099392921</v>
      </c>
      <c r="F82" s="49">
        <f>VLOOKUP($A82,'Data shares'!$C:$FB,98)</f>
        <v>41780200</v>
      </c>
      <c r="G82" s="49">
        <f>VLOOKUP($A82,'Data shares'!$C:$FB,99)</f>
        <v>40023500</v>
      </c>
      <c r="H82" s="50">
        <f t="shared" si="4"/>
        <v>4.3891713618249275</v>
      </c>
      <c r="I82" s="49">
        <f>VLOOKUP($A82,'Data shares'!$C:$FB,66)</f>
        <v>16353700</v>
      </c>
      <c r="J82" s="49">
        <f>VLOOKUP($A82,'Data shares'!$C:$FB,67)</f>
        <v>28641800</v>
      </c>
      <c r="K82" s="50">
        <f t="shared" si="5"/>
        <v>-75.139570861639868</v>
      </c>
      <c r="L82" s="50">
        <f>VLOOKUP($A82,'Data shares'!$C:$FB,118)</f>
        <v>0.59</v>
      </c>
      <c r="M82" s="50">
        <f>VLOOKUP($A82,'Data shares'!$C:$FB,119)</f>
        <v>0.86</v>
      </c>
      <c r="N82" s="50">
        <f>VLOOKUP($A82,'Data shares'!$C:$FB,121)*100</f>
        <v>-31.4</v>
      </c>
      <c r="O82" s="50">
        <f>VLOOKUP($A82,'Data shares'!$C:$FB,124)</f>
        <v>0.31</v>
      </c>
      <c r="P82" s="50">
        <f>VLOOKUP($A82,'Data shares'!$C:$FB,125)</f>
        <v>0.65</v>
      </c>
      <c r="Q82" s="50">
        <f>VLOOKUP($A82,'Data shares'!$C:$FB,127)*100</f>
        <v>-52.31</v>
      </c>
    </row>
    <row r="83" spans="1:17" x14ac:dyDescent="0.25">
      <c r="A83" s="97" t="str">
        <f>'Snapshot (Value)'!A87</f>
        <v>HEROMOTOCO</v>
      </c>
      <c r="B83" s="140">
        <f>VLOOKUP($A83,'Data shares'!$C:$FB,7)</f>
        <v>5512.5</v>
      </c>
      <c r="C83" s="140">
        <f>VLOOKUP($A83,'Data shares'!$C:$FB,3)</f>
        <v>5511</v>
      </c>
      <c r="D83" s="140">
        <f>VLOOKUP($A83,'Data shares'!$C:$FB,4)</f>
        <v>5366.5</v>
      </c>
      <c r="E83" s="50">
        <f t="shared" si="3"/>
        <v>2.6926302059070157</v>
      </c>
      <c r="F83" s="49">
        <f>VLOOKUP($A83,'Data shares'!$C:$FB,98)</f>
        <v>5125050</v>
      </c>
      <c r="G83" s="49">
        <f>VLOOKUP($A83,'Data shares'!$C:$FB,99)</f>
        <v>4900950</v>
      </c>
      <c r="H83" s="50">
        <f t="shared" si="4"/>
        <v>4.5725828665870907</v>
      </c>
      <c r="I83" s="49">
        <f>VLOOKUP($A83,'Data shares'!$C:$FB,66)</f>
        <v>4766550</v>
      </c>
      <c r="J83" s="49">
        <f>VLOOKUP($A83,'Data shares'!$C:$FB,67)</f>
        <v>7159500</v>
      </c>
      <c r="K83" s="50">
        <f t="shared" si="5"/>
        <v>-50.20297699594046</v>
      </c>
      <c r="L83" s="50">
        <f>VLOOKUP($A83,'Data shares'!$C:$FB,118)</f>
        <v>0.74</v>
      </c>
      <c r="M83" s="50">
        <f>VLOOKUP($A83,'Data shares'!$C:$FB,119)</f>
        <v>0.76</v>
      </c>
      <c r="N83" s="50">
        <f>VLOOKUP($A83,'Data shares'!$C:$FB,121)*100</f>
        <v>-2.63</v>
      </c>
      <c r="O83" s="50">
        <f>VLOOKUP($A83,'Data shares'!$C:$FB,124)</f>
        <v>0.46</v>
      </c>
      <c r="P83" s="50">
        <f>VLOOKUP($A83,'Data shares'!$C:$FB,125)</f>
        <v>0.51</v>
      </c>
      <c r="Q83" s="50">
        <f>VLOOKUP($A83,'Data shares'!$C:$FB,127)*100</f>
        <v>-9.8000000000000007</v>
      </c>
    </row>
    <row r="84" spans="1:17" x14ac:dyDescent="0.25">
      <c r="A84" s="97" t="str">
        <f>'Snapshot (Value)'!A88</f>
        <v>HINDALCO</v>
      </c>
      <c r="B84" s="140">
        <f>VLOOKUP($A84,'Data shares'!$C:$FB,7)</f>
        <v>998.2</v>
      </c>
      <c r="C84" s="140">
        <f>VLOOKUP($A84,'Data shares'!$C:$FB,3)</f>
        <v>998.85</v>
      </c>
      <c r="D84" s="140">
        <f>VLOOKUP($A84,'Data shares'!$C:$FB,4)</f>
        <v>963.65</v>
      </c>
      <c r="E84" s="50">
        <f t="shared" si="3"/>
        <v>3.6527784984174798</v>
      </c>
      <c r="F84" s="49">
        <f>VLOOKUP($A84,'Data shares'!$C:$FB,98)</f>
        <v>57048600</v>
      </c>
      <c r="G84" s="49">
        <f>VLOOKUP($A84,'Data shares'!$C:$FB,99)</f>
        <v>55309800</v>
      </c>
      <c r="H84" s="50">
        <f t="shared" si="4"/>
        <v>3.1437466778039331</v>
      </c>
      <c r="I84" s="49">
        <f>VLOOKUP($A84,'Data shares'!$C:$FB,66)</f>
        <v>74535300</v>
      </c>
      <c r="J84" s="49">
        <f>VLOOKUP($A84,'Data shares'!$C:$FB,67)</f>
        <v>69287400</v>
      </c>
      <c r="K84" s="50">
        <f t="shared" si="5"/>
        <v>7.0408249513988679</v>
      </c>
      <c r="L84" s="50">
        <f>VLOOKUP($A84,'Data shares'!$C:$FB,118)</f>
        <v>0.89</v>
      </c>
      <c r="M84" s="50">
        <f>VLOOKUP($A84,'Data shares'!$C:$FB,119)</f>
        <v>0.81</v>
      </c>
      <c r="N84" s="50">
        <f>VLOOKUP($A84,'Data shares'!$C:$FB,121)*100</f>
        <v>9.879999999999999</v>
      </c>
      <c r="O84" s="50">
        <f>VLOOKUP($A84,'Data shares'!$C:$FB,124)</f>
        <v>0.43</v>
      </c>
      <c r="P84" s="50">
        <f>VLOOKUP($A84,'Data shares'!$C:$FB,125)</f>
        <v>0.55000000000000004</v>
      </c>
      <c r="Q84" s="50">
        <f>VLOOKUP($A84,'Data shares'!$C:$FB,127)*100</f>
        <v>-21.82</v>
      </c>
    </row>
    <row r="85" spans="1:17" x14ac:dyDescent="0.25">
      <c r="A85" s="97" t="str">
        <f>'Snapshot (Value)'!A89</f>
        <v>HINDPETRO</v>
      </c>
      <c r="B85" s="140">
        <f>VLOOKUP($A85,'Data shares'!$C:$FB,7)</f>
        <v>433.25</v>
      </c>
      <c r="C85" s="140">
        <f>VLOOKUP($A85,'Data shares'!$C:$FB,3)</f>
        <v>434.75</v>
      </c>
      <c r="D85" s="140">
        <f>VLOOKUP($A85,'Data shares'!$C:$FB,4)</f>
        <v>421.85</v>
      </c>
      <c r="E85" s="50">
        <f t="shared" si="3"/>
        <v>3.0579589901623745</v>
      </c>
      <c r="F85" s="49">
        <f>VLOOKUP($A85,'Data shares'!$C:$FB,98)</f>
        <v>52048575</v>
      </c>
      <c r="G85" s="49">
        <f>VLOOKUP($A85,'Data shares'!$C:$FB,99)</f>
        <v>49685400</v>
      </c>
      <c r="H85" s="50">
        <f t="shared" si="4"/>
        <v>4.7562764916856866</v>
      </c>
      <c r="I85" s="49">
        <f>VLOOKUP($A85,'Data shares'!$C:$FB,66)</f>
        <v>39799350</v>
      </c>
      <c r="J85" s="49">
        <f>VLOOKUP($A85,'Data shares'!$C:$FB,67)</f>
        <v>51260850</v>
      </c>
      <c r="K85" s="50">
        <f t="shared" si="5"/>
        <v>-28.79820901597639</v>
      </c>
      <c r="L85" s="50">
        <f>VLOOKUP($A85,'Data shares'!$C:$FB,118)</f>
        <v>0.9</v>
      </c>
      <c r="M85" s="50">
        <f>VLOOKUP($A85,'Data shares'!$C:$FB,119)</f>
        <v>0.96</v>
      </c>
      <c r="N85" s="50">
        <f>VLOOKUP($A85,'Data shares'!$C:$FB,121)*100</f>
        <v>-6.25</v>
      </c>
      <c r="O85" s="50">
        <f>VLOOKUP($A85,'Data shares'!$C:$FB,124)</f>
        <v>0.44</v>
      </c>
      <c r="P85" s="50">
        <f>VLOOKUP($A85,'Data shares'!$C:$FB,125)</f>
        <v>0.66</v>
      </c>
      <c r="Q85" s="50">
        <f>VLOOKUP($A85,'Data shares'!$C:$FB,127)*100</f>
        <v>-33.33</v>
      </c>
    </row>
    <row r="86" spans="1:17" x14ac:dyDescent="0.25">
      <c r="A86" s="97" t="str">
        <f>'Snapshot (Value)'!A90</f>
        <v>HINDUNILVR</v>
      </c>
      <c r="B86" s="140">
        <f>VLOOKUP($A86,'Data shares'!$C:$FB,7)</f>
        <v>2378.4</v>
      </c>
      <c r="C86" s="140">
        <f>VLOOKUP($A86,'Data shares'!$C:$FB,3)</f>
        <v>2382.4</v>
      </c>
      <c r="D86" s="140">
        <f>VLOOKUP($A86,'Data shares'!$C:$FB,4)</f>
        <v>2417.6999999999998</v>
      </c>
      <c r="E86" s="50">
        <f t="shared" si="3"/>
        <v>-1.4600653513669906</v>
      </c>
      <c r="F86" s="49">
        <f>VLOOKUP($A86,'Data shares'!$C:$FB,98)</f>
        <v>18249900</v>
      </c>
      <c r="G86" s="49">
        <f>VLOOKUP($A86,'Data shares'!$C:$FB,99)</f>
        <v>16654200</v>
      </c>
      <c r="H86" s="50">
        <f t="shared" si="4"/>
        <v>9.5813668624130841</v>
      </c>
      <c r="I86" s="49">
        <f>VLOOKUP($A86,'Data shares'!$C:$FB,66)</f>
        <v>11094900</v>
      </c>
      <c r="J86" s="49">
        <f>VLOOKUP($A86,'Data shares'!$C:$FB,67)</f>
        <v>17518500</v>
      </c>
      <c r="K86" s="50">
        <f t="shared" si="5"/>
        <v>-57.896871535570391</v>
      </c>
      <c r="L86" s="50">
        <f>VLOOKUP($A86,'Data shares'!$C:$FB,118)</f>
        <v>1.02</v>
      </c>
      <c r="M86" s="50">
        <f>VLOOKUP($A86,'Data shares'!$C:$FB,119)</f>
        <v>0.86</v>
      </c>
      <c r="N86" s="50">
        <f>VLOOKUP($A86,'Data shares'!$C:$FB,121)*100</f>
        <v>18.600000000000001</v>
      </c>
      <c r="O86" s="50">
        <f>VLOOKUP($A86,'Data shares'!$C:$FB,124)</f>
        <v>0.8</v>
      </c>
      <c r="P86" s="50">
        <f>VLOOKUP($A86,'Data shares'!$C:$FB,125)</f>
        <v>0.56999999999999995</v>
      </c>
      <c r="Q86" s="50">
        <f>VLOOKUP($A86,'Data shares'!$C:$FB,127)*100</f>
        <v>40.35</v>
      </c>
    </row>
    <row r="87" spans="1:17" x14ac:dyDescent="0.25">
      <c r="A87" s="97" t="str">
        <f>'Snapshot (Value)'!A91</f>
        <v>HINDZINC</v>
      </c>
      <c r="B87" s="140">
        <f>VLOOKUP($A87,'Data shares'!$C:$FB,7)</f>
        <v>708.2</v>
      </c>
      <c r="C87" s="140">
        <f>VLOOKUP($A87,'Data shares'!$C:$FB,3)</f>
        <v>706.35</v>
      </c>
      <c r="D87" s="140">
        <f>VLOOKUP($A87,'Data shares'!$C:$FB,4)</f>
        <v>725.9</v>
      </c>
      <c r="E87" s="50">
        <f t="shared" si="3"/>
        <v>-2.6932084309133431</v>
      </c>
      <c r="F87" s="49">
        <f>VLOOKUP($A87,'Data shares'!$C:$FB,98)</f>
        <v>95443425</v>
      </c>
      <c r="G87" s="49">
        <f>VLOOKUP($A87,'Data shares'!$C:$FB,99)</f>
        <v>75393850</v>
      </c>
      <c r="H87" s="50">
        <f t="shared" si="4"/>
        <v>26.593117343125467</v>
      </c>
      <c r="I87" s="49">
        <f>VLOOKUP($A87,'Data shares'!$C:$FB,66)</f>
        <v>283234700</v>
      </c>
      <c r="J87" s="49">
        <f>VLOOKUP($A87,'Data shares'!$C:$FB,67)</f>
        <v>290348275</v>
      </c>
      <c r="K87" s="50">
        <f t="shared" si="5"/>
        <v>-2.5115478435375325</v>
      </c>
      <c r="L87" s="50">
        <f>VLOOKUP($A87,'Data shares'!$C:$FB,118)</f>
        <v>0.73</v>
      </c>
      <c r="M87" s="50">
        <f>VLOOKUP($A87,'Data shares'!$C:$FB,119)</f>
        <v>0.59</v>
      </c>
      <c r="N87" s="50">
        <f>VLOOKUP($A87,'Data shares'!$C:$FB,121)*100</f>
        <v>23.73</v>
      </c>
      <c r="O87" s="50">
        <f>VLOOKUP($A87,'Data shares'!$C:$FB,124)</f>
        <v>0.38</v>
      </c>
      <c r="P87" s="50">
        <f>VLOOKUP($A87,'Data shares'!$C:$FB,125)</f>
        <v>0.49</v>
      </c>
      <c r="Q87" s="50">
        <f>VLOOKUP($A87,'Data shares'!$C:$FB,127)*100</f>
        <v>-22.45</v>
      </c>
    </row>
    <row r="88" spans="1:17" x14ac:dyDescent="0.25">
      <c r="A88" s="97" t="str">
        <f>'Snapshot (Value)'!A92</f>
        <v>HUDCO</v>
      </c>
      <c r="B88" s="140">
        <f>VLOOKUP($A88,'Data shares'!$C:$FB,7)</f>
        <v>204.33</v>
      </c>
      <c r="C88" s="140">
        <f>VLOOKUP($A88,'Data shares'!$C:$FB,3)</f>
        <v>204.7</v>
      </c>
      <c r="D88" s="140">
        <f>VLOOKUP($A88,'Data shares'!$C:$FB,4)</f>
        <v>198.39</v>
      </c>
      <c r="E88" s="50">
        <f t="shared" si="3"/>
        <v>3.1806038610817091</v>
      </c>
      <c r="F88" s="140">
        <f>VLOOKUP($A88,'Data shares'!$C:$FB,98)</f>
        <v>60680925</v>
      </c>
      <c r="G88" s="140">
        <f>VLOOKUP($A88,'Data shares'!$C:$FB,99)</f>
        <v>56313075</v>
      </c>
      <c r="H88" s="50">
        <f t="shared" si="4"/>
        <v>7.7563691913467698</v>
      </c>
      <c r="I88" s="49">
        <f>VLOOKUP($A88,'Data shares'!$C:$FB,66)</f>
        <v>33169575</v>
      </c>
      <c r="J88" s="49">
        <f>VLOOKUP($A88,'Data shares'!$C:$FB,67)</f>
        <v>85889025</v>
      </c>
      <c r="K88" s="50">
        <f t="shared" si="5"/>
        <v>-158.93917844892496</v>
      </c>
      <c r="L88" s="50">
        <f>VLOOKUP($A88,'Data shares'!$C:$FB,118)</f>
        <v>0.95</v>
      </c>
      <c r="M88" s="50">
        <f>VLOOKUP($A88,'Data shares'!$C:$FB,119)</f>
        <v>0.98</v>
      </c>
      <c r="N88" s="50">
        <f>VLOOKUP($A88,'Data shares'!$C:$FB,121)*100</f>
        <v>-3.06</v>
      </c>
      <c r="O88" s="50">
        <f>VLOOKUP($A88,'Data shares'!$C:$FB,124)</f>
        <v>0.51</v>
      </c>
      <c r="P88" s="50">
        <f>VLOOKUP($A88,'Data shares'!$C:$FB,125)</f>
        <v>0.94</v>
      </c>
      <c r="Q88" s="50">
        <f>VLOOKUP($A88,'Data shares'!$C:$FB,127)*100</f>
        <v>-45.739999999999995</v>
      </c>
    </row>
    <row r="89" spans="1:17" x14ac:dyDescent="0.25">
      <c r="A89" s="97" t="str">
        <f>'Snapshot (Value)'!A93</f>
        <v>ICICIBANK</v>
      </c>
      <c r="B89" s="140">
        <f>VLOOKUP($A89,'Data shares'!$C:$FB,7)</f>
        <v>1367.7</v>
      </c>
      <c r="C89" s="140">
        <f>VLOOKUP($A89,'Data shares'!$C:$FB,3)</f>
        <v>1373.2</v>
      </c>
      <c r="D89" s="140">
        <f>VLOOKUP($A89,'Data shares'!$C:$FB,4)</f>
        <v>1371.1</v>
      </c>
      <c r="E89" s="50">
        <f t="shared" si="3"/>
        <v>0.15316169498943449</v>
      </c>
      <c r="F89" s="49">
        <f>VLOOKUP($A89,'Data shares'!$C:$FB,98)</f>
        <v>159618900</v>
      </c>
      <c r="G89" s="49">
        <f>VLOOKUP($A89,'Data shares'!$C:$FB,99)</f>
        <v>158027100</v>
      </c>
      <c r="H89" s="50">
        <f t="shared" si="4"/>
        <v>1.0072955841118389</v>
      </c>
      <c r="I89" s="49">
        <f>VLOOKUP($A89,'Data shares'!$C:$FB,66)</f>
        <v>65291800</v>
      </c>
      <c r="J89" s="49">
        <f>VLOOKUP($A89,'Data shares'!$C:$FB,67)</f>
        <v>161403200</v>
      </c>
      <c r="K89" s="50">
        <f t="shared" si="5"/>
        <v>-147.20286467825977</v>
      </c>
      <c r="L89" s="50">
        <f>VLOOKUP($A89,'Data shares'!$C:$FB,118)</f>
        <v>0.99</v>
      </c>
      <c r="M89" s="50">
        <f>VLOOKUP($A89,'Data shares'!$C:$FB,119)</f>
        <v>0.97</v>
      </c>
      <c r="N89" s="50">
        <f>VLOOKUP($A89,'Data shares'!$C:$FB,121)*100</f>
        <v>2.06</v>
      </c>
      <c r="O89" s="50">
        <f>VLOOKUP($A89,'Data shares'!$C:$FB,124)</f>
        <v>0.68</v>
      </c>
      <c r="P89" s="50">
        <f>VLOOKUP($A89,'Data shares'!$C:$FB,125)</f>
        <v>0.6</v>
      </c>
      <c r="Q89" s="50">
        <f>VLOOKUP($A89,'Data shares'!$C:$FB,127)*100</f>
        <v>13.33</v>
      </c>
    </row>
    <row r="90" spans="1:17" x14ac:dyDescent="0.25">
      <c r="A90" s="97" t="str">
        <f>'Snapshot (Value)'!A94</f>
        <v>ICICIGI</v>
      </c>
      <c r="B90" s="140">
        <f>VLOOKUP($A90,'Data shares'!$C:$FB,7)</f>
        <v>1822.2</v>
      </c>
      <c r="C90" s="140">
        <f>VLOOKUP($A90,'Data shares'!$C:$FB,3)</f>
        <v>1826</v>
      </c>
      <c r="D90" s="140">
        <f>VLOOKUP($A90,'Data shares'!$C:$FB,4)</f>
        <v>1817.7</v>
      </c>
      <c r="E90" s="50">
        <f t="shared" si="3"/>
        <v>0.45662100456620752</v>
      </c>
      <c r="F90" s="49">
        <f>VLOOKUP($A90,'Data shares'!$C:$FB,98)</f>
        <v>6205550</v>
      </c>
      <c r="G90" s="49">
        <f>VLOOKUP($A90,'Data shares'!$C:$FB,99)</f>
        <v>6096025</v>
      </c>
      <c r="H90" s="50">
        <f t="shared" si="4"/>
        <v>1.7966625793037267</v>
      </c>
      <c r="I90" s="49">
        <f>VLOOKUP($A90,'Data shares'!$C:$FB,66)</f>
        <v>963950</v>
      </c>
      <c r="J90" s="49">
        <f>VLOOKUP($A90,'Data shares'!$C:$FB,67)</f>
        <v>4083950</v>
      </c>
      <c r="K90" s="50">
        <f t="shared" si="5"/>
        <v>-323.66824005394471</v>
      </c>
      <c r="L90" s="50">
        <f>VLOOKUP($A90,'Data shares'!$C:$FB,118)</f>
        <v>1.24</v>
      </c>
      <c r="M90" s="50">
        <f>VLOOKUP($A90,'Data shares'!$C:$FB,119)</f>
        <v>1.39</v>
      </c>
      <c r="N90" s="50">
        <f>VLOOKUP($A90,'Data shares'!$C:$FB,121)*100</f>
        <v>-10.79</v>
      </c>
      <c r="O90" s="50">
        <f>VLOOKUP($A90,'Data shares'!$C:$FB,124)</f>
        <v>1.05</v>
      </c>
      <c r="P90" s="50">
        <f>VLOOKUP($A90,'Data shares'!$C:$FB,125)</f>
        <v>1.45</v>
      </c>
      <c r="Q90" s="50">
        <f>VLOOKUP($A90,'Data shares'!$C:$FB,127)*100</f>
        <v>-27.589999999999996</v>
      </c>
    </row>
    <row r="91" spans="1:17" x14ac:dyDescent="0.25">
      <c r="A91" s="97" t="str">
        <f>'Snapshot (Value)'!A95</f>
        <v>ICICIPRULI</v>
      </c>
      <c r="B91" s="140">
        <f>VLOOKUP($A91,'Data shares'!$C:$FB,7)</f>
        <v>642.4</v>
      </c>
      <c r="C91" s="140">
        <f>VLOOKUP($A91,'Data shares'!$C:$FB,3)</f>
        <v>644.95000000000005</v>
      </c>
      <c r="D91" s="140">
        <f>VLOOKUP($A91,'Data shares'!$C:$FB,4)</f>
        <v>648.35</v>
      </c>
      <c r="E91" s="50">
        <f t="shared" si="3"/>
        <v>-0.52440811290197842</v>
      </c>
      <c r="F91" s="49">
        <f>VLOOKUP($A91,'Data shares'!$C:$FB,98)</f>
        <v>16112575</v>
      </c>
      <c r="G91" s="49">
        <f>VLOOKUP($A91,'Data shares'!$C:$FB,99)</f>
        <v>15347600</v>
      </c>
      <c r="H91" s="50">
        <f t="shared" si="4"/>
        <v>4.9843297974927676</v>
      </c>
      <c r="I91" s="49">
        <f>VLOOKUP($A91,'Data shares'!$C:$FB,66)</f>
        <v>3725900</v>
      </c>
      <c r="J91" s="49">
        <f>VLOOKUP($A91,'Data shares'!$C:$FB,67)</f>
        <v>9929875</v>
      </c>
      <c r="K91" s="50">
        <f t="shared" si="5"/>
        <v>-166.50943396226415</v>
      </c>
      <c r="L91" s="50">
        <f>VLOOKUP($A91,'Data shares'!$C:$FB,118)</f>
        <v>0.96</v>
      </c>
      <c r="M91" s="50">
        <f>VLOOKUP($A91,'Data shares'!$C:$FB,119)</f>
        <v>0.81</v>
      </c>
      <c r="N91" s="50">
        <f>VLOOKUP($A91,'Data shares'!$C:$FB,121)*100</f>
        <v>18.52</v>
      </c>
      <c r="O91" s="50">
        <f>VLOOKUP($A91,'Data shares'!$C:$FB,124)</f>
        <v>0.88</v>
      </c>
      <c r="P91" s="50">
        <f>VLOOKUP($A91,'Data shares'!$C:$FB,125)</f>
        <v>0.86</v>
      </c>
      <c r="Q91" s="50">
        <f>VLOOKUP($A91,'Data shares'!$C:$FB,127)*100</f>
        <v>2.33</v>
      </c>
    </row>
    <row r="92" spans="1:17" x14ac:dyDescent="0.25">
      <c r="A92" s="97" t="str">
        <f>'Snapshot (Value)'!A96</f>
        <v>IDEA</v>
      </c>
      <c r="B92" s="140">
        <f>VLOOKUP($A92,'Data shares'!$C:$FB,7)</f>
        <v>9.9499999999999993</v>
      </c>
      <c r="C92" s="140">
        <f>VLOOKUP($A92,'Data shares'!$C:$FB,3)</f>
        <v>10.01</v>
      </c>
      <c r="D92" s="140">
        <f>VLOOKUP($A92,'Data shares'!$C:$FB,4)</f>
        <v>9.9</v>
      </c>
      <c r="E92" s="50">
        <f t="shared" si="3"/>
        <v>1.1111111111111052</v>
      </c>
      <c r="F92" s="49">
        <f>VLOOKUP($A92,'Data shares'!$C:$FB,98)</f>
        <v>9150801300</v>
      </c>
      <c r="G92" s="49">
        <f>VLOOKUP($A92,'Data shares'!$C:$FB,99)</f>
        <v>8779560150</v>
      </c>
      <c r="H92" s="50">
        <f t="shared" si="4"/>
        <v>4.2284709445267596</v>
      </c>
      <c r="I92" s="49">
        <f>VLOOKUP($A92,'Data shares'!$C:$FB,66)</f>
        <v>2994302175</v>
      </c>
      <c r="J92" s="49">
        <f>VLOOKUP($A92,'Data shares'!$C:$FB,67)</f>
        <v>7865680800</v>
      </c>
      <c r="K92" s="50">
        <f t="shared" si="5"/>
        <v>-162.68827727782684</v>
      </c>
      <c r="L92" s="50">
        <f>VLOOKUP($A92,'Data shares'!$C:$FB,118)</f>
        <v>0.72</v>
      </c>
      <c r="M92" s="50">
        <f>VLOOKUP($A92,'Data shares'!$C:$FB,119)</f>
        <v>0.75</v>
      </c>
      <c r="N92" s="50">
        <f>VLOOKUP($A92,'Data shares'!$C:$FB,121)*100</f>
        <v>-4</v>
      </c>
      <c r="O92" s="50">
        <f>VLOOKUP($A92,'Data shares'!$C:$FB,124)</f>
        <v>0.26</v>
      </c>
      <c r="P92" s="50">
        <f>VLOOKUP($A92,'Data shares'!$C:$FB,125)</f>
        <v>0.76</v>
      </c>
      <c r="Q92" s="50">
        <f>VLOOKUP($A92,'Data shares'!$C:$FB,127)*100</f>
        <v>-65.790000000000006</v>
      </c>
    </row>
    <row r="93" spans="1:17" x14ac:dyDescent="0.25">
      <c r="A93" s="97" t="str">
        <f>'Snapshot (Value)'!A97</f>
        <v>IDFCFIRSTB</v>
      </c>
      <c r="B93" s="140">
        <f>VLOOKUP($A93,'Data shares'!$C:$FB,7)</f>
        <v>82.93</v>
      </c>
      <c r="C93" s="140">
        <f>VLOOKUP($A93,'Data shares'!$C:$FB,3)</f>
        <v>83.23</v>
      </c>
      <c r="D93" s="140">
        <f>VLOOKUP($A93,'Data shares'!$C:$FB,4)</f>
        <v>83.81</v>
      </c>
      <c r="E93" s="50">
        <f t="shared" si="3"/>
        <v>-0.69204152249134743</v>
      </c>
      <c r="F93" s="49">
        <f>VLOOKUP($A93,'Data shares'!$C:$FB,98)</f>
        <v>440543950</v>
      </c>
      <c r="G93" s="49">
        <f>VLOOKUP($A93,'Data shares'!$C:$FB,99)</f>
        <v>406217175</v>
      </c>
      <c r="H93" s="50">
        <f t="shared" si="4"/>
        <v>8.4503504806265273</v>
      </c>
      <c r="I93" s="49">
        <f>VLOOKUP($A93,'Data shares'!$C:$FB,66)</f>
        <v>153399225</v>
      </c>
      <c r="J93" s="49">
        <f>VLOOKUP($A93,'Data shares'!$C:$FB,67)</f>
        <v>340067875</v>
      </c>
      <c r="K93" s="50">
        <f t="shared" si="5"/>
        <v>-121.68813108410423</v>
      </c>
      <c r="L93" s="50">
        <f>VLOOKUP($A93,'Data shares'!$C:$FB,118)</f>
        <v>0.87</v>
      </c>
      <c r="M93" s="50">
        <f>VLOOKUP($A93,'Data shares'!$C:$FB,119)</f>
        <v>0.75</v>
      </c>
      <c r="N93" s="50">
        <f>VLOOKUP($A93,'Data shares'!$C:$FB,121)*100</f>
        <v>16</v>
      </c>
      <c r="O93" s="50">
        <f>VLOOKUP($A93,'Data shares'!$C:$FB,124)</f>
        <v>0.72</v>
      </c>
      <c r="P93" s="50">
        <f>VLOOKUP($A93,'Data shares'!$C:$FB,125)</f>
        <v>0.76</v>
      </c>
      <c r="Q93" s="50">
        <f>VLOOKUP($A93,'Data shares'!$C:$FB,127)*100</f>
        <v>-5.26</v>
      </c>
    </row>
    <row r="94" spans="1:17" x14ac:dyDescent="0.25">
      <c r="A94" s="97" t="str">
        <f>'Snapshot (Value)'!A98</f>
        <v>IEX</v>
      </c>
      <c r="B94" s="140">
        <f>VLOOKUP($A94,'Data shares'!$C:$FB,7)</f>
        <v>128.71</v>
      </c>
      <c r="C94" s="140">
        <f>VLOOKUP($A94,'Data shares'!$C:$FB,3)</f>
        <v>128.31</v>
      </c>
      <c r="D94" s="140">
        <f>VLOOKUP($A94,'Data shares'!$C:$FB,4)</f>
        <v>127.05</v>
      </c>
      <c r="E94" s="50">
        <f t="shared" si="3"/>
        <v>0.99173553719008667</v>
      </c>
      <c r="F94" s="49">
        <f>VLOOKUP($A94,'Data shares'!$C:$FB,98)</f>
        <v>136365000</v>
      </c>
      <c r="G94" s="49">
        <f>VLOOKUP($A94,'Data shares'!$C:$FB,99)</f>
        <v>128865000</v>
      </c>
      <c r="H94" s="50">
        <f t="shared" si="4"/>
        <v>5.8200442323361656</v>
      </c>
      <c r="I94" s="49">
        <f>VLOOKUP($A94,'Data shares'!$C:$FB,66)</f>
        <v>43331250</v>
      </c>
      <c r="J94" s="49">
        <f>VLOOKUP($A94,'Data shares'!$C:$FB,67)</f>
        <v>164696250</v>
      </c>
      <c r="K94" s="50">
        <f t="shared" si="5"/>
        <v>-280.08654262224144</v>
      </c>
      <c r="L94" s="50">
        <f>VLOOKUP($A94,'Data shares'!$C:$FB,118)</f>
        <v>0.93</v>
      </c>
      <c r="M94" s="50">
        <f>VLOOKUP($A94,'Data shares'!$C:$FB,119)</f>
        <v>1.03</v>
      </c>
      <c r="N94" s="50">
        <f>VLOOKUP($A94,'Data shares'!$C:$FB,121)*100</f>
        <v>-9.7100000000000009</v>
      </c>
      <c r="O94" s="50">
        <f>VLOOKUP($A94,'Data shares'!$C:$FB,124)</f>
        <v>0.42</v>
      </c>
      <c r="P94" s="50">
        <f>VLOOKUP($A94,'Data shares'!$C:$FB,125)</f>
        <v>0.7</v>
      </c>
      <c r="Q94" s="50">
        <f>VLOOKUP($A94,'Data shares'!$C:$FB,127)*100</f>
        <v>-40</v>
      </c>
    </row>
    <row r="95" spans="1:17" x14ac:dyDescent="0.25">
      <c r="A95" s="97" t="str">
        <f>'Snapshot (Value)'!A99</f>
        <v>INDHOTEL</v>
      </c>
      <c r="B95" s="140">
        <f>VLOOKUP($A95,'Data shares'!$C:$FB,7)</f>
        <v>656.2</v>
      </c>
      <c r="C95" s="140">
        <f>VLOOKUP($A95,'Data shares'!$C:$FB,3)</f>
        <v>659.3</v>
      </c>
      <c r="D95" s="140">
        <f>VLOOKUP($A95,'Data shares'!$C:$FB,4)</f>
        <v>656.15</v>
      </c>
      <c r="E95" s="50">
        <f t="shared" si="3"/>
        <v>0.4800731540044163</v>
      </c>
      <c r="F95" s="49">
        <f>VLOOKUP($A95,'Data shares'!$C:$FB,98)</f>
        <v>38901000</v>
      </c>
      <c r="G95" s="49">
        <f>VLOOKUP($A95,'Data shares'!$C:$FB,99)</f>
        <v>38166000</v>
      </c>
      <c r="H95" s="50">
        <f t="shared" si="4"/>
        <v>1.9257978305297911</v>
      </c>
      <c r="I95" s="49">
        <f>VLOOKUP($A95,'Data shares'!$C:$FB,66)</f>
        <v>7786000</v>
      </c>
      <c r="J95" s="49">
        <f>VLOOKUP($A95,'Data shares'!$C:$FB,67)</f>
        <v>38683000</v>
      </c>
      <c r="K95" s="50">
        <f t="shared" si="5"/>
        <v>-396.82763935268429</v>
      </c>
      <c r="L95" s="50">
        <f>VLOOKUP($A95,'Data shares'!$C:$FB,118)</f>
        <v>1.05</v>
      </c>
      <c r="M95" s="50">
        <f>VLOOKUP($A95,'Data shares'!$C:$FB,119)</f>
        <v>1.1000000000000001</v>
      </c>
      <c r="N95" s="50">
        <f>VLOOKUP($A95,'Data shares'!$C:$FB,121)*100</f>
        <v>-4.55</v>
      </c>
      <c r="O95" s="50">
        <f>VLOOKUP($A95,'Data shares'!$C:$FB,124)</f>
        <v>0.37</v>
      </c>
      <c r="P95" s="50">
        <f>VLOOKUP($A95,'Data shares'!$C:$FB,125)</f>
        <v>0.89</v>
      </c>
      <c r="Q95" s="50">
        <f>VLOOKUP($A95,'Data shares'!$C:$FB,127)*100</f>
        <v>-58.430000000000007</v>
      </c>
    </row>
    <row r="96" spans="1:17" x14ac:dyDescent="0.25">
      <c r="A96" s="97" t="str">
        <f>'Snapshot (Value)'!A100</f>
        <v>INDIANB</v>
      </c>
      <c r="B96" s="140">
        <f>VLOOKUP($A96,'Data shares'!$C:$FB,7)</f>
        <v>898.35</v>
      </c>
      <c r="C96" s="140">
        <f>VLOOKUP($A96,'Data shares'!$C:$FB,3)</f>
        <v>901</v>
      </c>
      <c r="D96" s="140">
        <f>VLOOKUP($A96,'Data shares'!$C:$FB,4)</f>
        <v>883</v>
      </c>
      <c r="E96" s="50">
        <f t="shared" si="3"/>
        <v>2.0385050962627407</v>
      </c>
      <c r="F96" s="49">
        <f>VLOOKUP($A96,'Data shares'!$C:$FB,98)</f>
        <v>14033000</v>
      </c>
      <c r="G96" s="49">
        <f>VLOOKUP($A96,'Data shares'!$C:$FB,99)</f>
        <v>13170000</v>
      </c>
      <c r="H96" s="50">
        <f t="shared" si="4"/>
        <v>6.5527714502657552</v>
      </c>
      <c r="I96" s="49">
        <f>VLOOKUP($A96,'Data shares'!$C:$FB,66)</f>
        <v>9002000</v>
      </c>
      <c r="J96" s="49">
        <f>VLOOKUP($A96,'Data shares'!$C:$FB,67)</f>
        <v>17774000</v>
      </c>
      <c r="K96" s="50">
        <f t="shared" si="5"/>
        <v>-97.445012219506779</v>
      </c>
      <c r="L96" s="50">
        <f>VLOOKUP($A96,'Data shares'!$C:$FB,118)</f>
        <v>0.66</v>
      </c>
      <c r="M96" s="50">
        <f>VLOOKUP($A96,'Data shares'!$C:$FB,119)</f>
        <v>0.62</v>
      </c>
      <c r="N96" s="50">
        <f>VLOOKUP($A96,'Data shares'!$C:$FB,121)*100</f>
        <v>6.45</v>
      </c>
      <c r="O96" s="50">
        <f>VLOOKUP($A96,'Data shares'!$C:$FB,124)</f>
        <v>0.3</v>
      </c>
      <c r="P96" s="50">
        <f>VLOOKUP($A96,'Data shares'!$C:$FB,125)</f>
        <v>0.57999999999999996</v>
      </c>
      <c r="Q96" s="50">
        <f>VLOOKUP($A96,'Data shares'!$C:$FB,127)*100</f>
        <v>-48.28</v>
      </c>
    </row>
    <row r="97" spans="1:17" x14ac:dyDescent="0.25">
      <c r="A97" s="97" t="str">
        <f>'Snapshot (Value)'!A101</f>
        <v>INDIAVIX</v>
      </c>
      <c r="B97" s="140">
        <f>VLOOKUP($A97,'Data shares'!$C:$FB,7)</f>
        <v>13.53</v>
      </c>
      <c r="C97" s="140">
        <f>VLOOKUP($A97,'Data shares'!$C:$FB,3)</f>
        <v>13.53</v>
      </c>
      <c r="D97" s="140">
        <f>VLOOKUP($A97,'Data shares'!$C:$FB,4)</f>
        <v>0</v>
      </c>
      <c r="E97" s="50" t="e">
        <f t="shared" si="3"/>
        <v>#DIV/0!</v>
      </c>
      <c r="F97" s="49">
        <f>VLOOKUP($A97,'Data shares'!$C:$FB,98)</f>
        <v>0</v>
      </c>
      <c r="G97" s="49">
        <f>VLOOKUP($A97,'Data shares'!$C:$FB,99)</f>
        <v>0</v>
      </c>
      <c r="H97" s="50" t="e">
        <f t="shared" si="4"/>
        <v>#DIV/0!</v>
      </c>
      <c r="I97" s="49">
        <f>VLOOKUP($A97,'Data shares'!$C:$FB,66)</f>
        <v>0</v>
      </c>
      <c r="J97" s="49">
        <f>VLOOKUP($A97,'Data shares'!$C:$FB,67)</f>
        <v>0</v>
      </c>
      <c r="K97" s="50" t="e">
        <f t="shared" si="5"/>
        <v>#DIV/0!</v>
      </c>
      <c r="L97" s="50">
        <f>VLOOKUP($A97,'Data shares'!$C:$FB,118)</f>
        <v>0</v>
      </c>
      <c r="M97" s="50">
        <f>VLOOKUP($A97,'Data shares'!$C:$FB,119)</f>
        <v>0</v>
      </c>
      <c r="N97" s="50">
        <f>VLOOKUP($A97,'Data shares'!$C:$FB,121)*100</f>
        <v>0</v>
      </c>
      <c r="O97" s="50">
        <f>VLOOKUP($A97,'Data shares'!$C:$FB,124)</f>
        <v>0</v>
      </c>
      <c r="P97" s="50">
        <f>VLOOKUP($A97,'Data shares'!$C:$FB,125)</f>
        <v>0</v>
      </c>
      <c r="Q97" s="50">
        <f>VLOOKUP($A97,'Data shares'!$C:$FB,127)*100</f>
        <v>0</v>
      </c>
    </row>
    <row r="98" spans="1:17" x14ac:dyDescent="0.25">
      <c r="A98" s="97" t="str">
        <f>'Snapshot (Value)'!A102</f>
        <v>INDIGO</v>
      </c>
      <c r="B98" s="140">
        <f>VLOOKUP($A98,'Data shares'!$C:$FB,7)</f>
        <v>4749</v>
      </c>
      <c r="C98" s="140">
        <f>VLOOKUP($A98,'Data shares'!$C:$FB,3)</f>
        <v>4780</v>
      </c>
      <c r="D98" s="140">
        <f>VLOOKUP($A98,'Data shares'!$C:$FB,4)</f>
        <v>4803</v>
      </c>
      <c r="E98" s="50">
        <f t="shared" si="3"/>
        <v>-0.47886737455756823</v>
      </c>
      <c r="F98" s="49">
        <f>VLOOKUP($A98,'Data shares'!$C:$FB,98)</f>
        <v>12474000</v>
      </c>
      <c r="G98" s="49">
        <f>VLOOKUP($A98,'Data shares'!$C:$FB,99)</f>
        <v>11562150</v>
      </c>
      <c r="H98" s="50">
        <f t="shared" si="4"/>
        <v>7.8865089970290985</v>
      </c>
      <c r="I98" s="49">
        <f>VLOOKUP($A98,'Data shares'!$C:$FB,66)</f>
        <v>5868450</v>
      </c>
      <c r="J98" s="49">
        <f>VLOOKUP($A98,'Data shares'!$C:$FB,67)</f>
        <v>17053950</v>
      </c>
      <c r="K98" s="50">
        <f t="shared" si="5"/>
        <v>-190.6039925363597</v>
      </c>
      <c r="L98" s="50">
        <f>VLOOKUP($A98,'Data shares'!$C:$FB,118)</f>
        <v>0.9</v>
      </c>
      <c r="M98" s="50">
        <f>VLOOKUP($A98,'Data shares'!$C:$FB,119)</f>
        <v>0.89</v>
      </c>
      <c r="N98" s="50">
        <f>VLOOKUP($A98,'Data shares'!$C:$FB,121)*100</f>
        <v>1.1199999999999999</v>
      </c>
      <c r="O98" s="50">
        <f>VLOOKUP($A98,'Data shares'!$C:$FB,124)</f>
        <v>0.83</v>
      </c>
      <c r="P98" s="50">
        <f>VLOOKUP($A98,'Data shares'!$C:$FB,125)</f>
        <v>0.81</v>
      </c>
      <c r="Q98" s="50">
        <f>VLOOKUP($A98,'Data shares'!$C:$FB,127)*100</f>
        <v>2.4699999999999998</v>
      </c>
    </row>
    <row r="99" spans="1:17" x14ac:dyDescent="0.25">
      <c r="A99" s="97" t="str">
        <f>'Snapshot (Value)'!A103</f>
        <v>INDUSINDBK</v>
      </c>
      <c r="B99" s="140">
        <f>VLOOKUP($A99,'Data shares'!$C:$FB,7)</f>
        <v>901.7</v>
      </c>
      <c r="C99" s="140">
        <f>VLOOKUP($A99,'Data shares'!$C:$FB,3)</f>
        <v>903.85</v>
      </c>
      <c r="D99" s="140">
        <f>VLOOKUP($A99,'Data shares'!$C:$FB,4)</f>
        <v>899.5</v>
      </c>
      <c r="E99" s="50">
        <f t="shared" si="3"/>
        <v>0.48360200111173129</v>
      </c>
      <c r="F99" s="49">
        <f>VLOOKUP($A99,'Data shares'!$C:$FB,98)</f>
        <v>47147800</v>
      </c>
      <c r="G99" s="49">
        <f>VLOOKUP($A99,'Data shares'!$C:$FB,99)</f>
        <v>45907400</v>
      </c>
      <c r="H99" s="50">
        <f t="shared" si="4"/>
        <v>2.70196090390656</v>
      </c>
      <c r="I99" s="49">
        <f>VLOOKUP($A99,'Data shares'!$C:$FB,66)</f>
        <v>22726900</v>
      </c>
      <c r="J99" s="49">
        <f>VLOOKUP($A99,'Data shares'!$C:$FB,67)</f>
        <v>100676800</v>
      </c>
      <c r="K99" s="50">
        <f t="shared" si="5"/>
        <v>-342.98518495703331</v>
      </c>
      <c r="L99" s="50">
        <f>VLOOKUP($A99,'Data shares'!$C:$FB,118)</f>
        <v>0.83</v>
      </c>
      <c r="M99" s="50">
        <f>VLOOKUP($A99,'Data shares'!$C:$FB,119)</f>
        <v>0.87</v>
      </c>
      <c r="N99" s="50">
        <f>VLOOKUP($A99,'Data shares'!$C:$FB,121)*100</f>
        <v>-4.5999999999999996</v>
      </c>
      <c r="O99" s="50">
        <f>VLOOKUP($A99,'Data shares'!$C:$FB,124)</f>
        <v>0.69</v>
      </c>
      <c r="P99" s="50">
        <f>VLOOKUP($A99,'Data shares'!$C:$FB,125)</f>
        <v>0.87</v>
      </c>
      <c r="Q99" s="50">
        <f>VLOOKUP($A99,'Data shares'!$C:$FB,127)*100</f>
        <v>-20.69</v>
      </c>
    </row>
    <row r="100" spans="1:17" x14ac:dyDescent="0.25">
      <c r="A100" s="97" t="str">
        <f>'Snapshot (Value)'!A104</f>
        <v>INDUSTOWER</v>
      </c>
      <c r="B100" s="140">
        <f>VLOOKUP($A100,'Data shares'!$C:$FB,7)</f>
        <v>425.3</v>
      </c>
      <c r="C100" s="140">
        <f>VLOOKUP($A100,'Data shares'!$C:$FB,3)</f>
        <v>426.95</v>
      </c>
      <c r="D100" s="140">
        <f>VLOOKUP($A100,'Data shares'!$C:$FB,4)</f>
        <v>424.55</v>
      </c>
      <c r="E100" s="50">
        <f t="shared" si="3"/>
        <v>0.56530443999528379</v>
      </c>
      <c r="F100" s="49">
        <f>VLOOKUP($A100,'Data shares'!$C:$FB,98)</f>
        <v>109745200</v>
      </c>
      <c r="G100" s="49">
        <f>VLOOKUP($A100,'Data shares'!$C:$FB,99)</f>
        <v>108230500</v>
      </c>
      <c r="H100" s="50">
        <f t="shared" si="4"/>
        <v>1.3995130762585408</v>
      </c>
      <c r="I100" s="49">
        <f>VLOOKUP($A100,'Data shares'!$C:$FB,66)</f>
        <v>28240400</v>
      </c>
      <c r="J100" s="49">
        <f>VLOOKUP($A100,'Data shares'!$C:$FB,67)</f>
        <v>91601100</v>
      </c>
      <c r="K100" s="50">
        <f t="shared" si="5"/>
        <v>-224.36190705514085</v>
      </c>
      <c r="L100" s="50">
        <f>VLOOKUP($A100,'Data shares'!$C:$FB,118)</f>
        <v>0.7</v>
      </c>
      <c r="M100" s="50">
        <f>VLOOKUP($A100,'Data shares'!$C:$FB,119)</f>
        <v>0.75</v>
      </c>
      <c r="N100" s="50">
        <f>VLOOKUP($A100,'Data shares'!$C:$FB,121)*100</f>
        <v>-6.67</v>
      </c>
      <c r="O100" s="50">
        <f>VLOOKUP($A100,'Data shares'!$C:$FB,124)</f>
        <v>0.53</v>
      </c>
      <c r="P100" s="50">
        <f>VLOOKUP($A100,'Data shares'!$C:$FB,125)</f>
        <v>0.66</v>
      </c>
      <c r="Q100" s="50">
        <f>VLOOKUP($A100,'Data shares'!$C:$FB,127)*100</f>
        <v>-19.7</v>
      </c>
    </row>
    <row r="101" spans="1:17" x14ac:dyDescent="0.25">
      <c r="A101" s="97" t="str">
        <f>'Snapshot (Value)'!A105</f>
        <v>INFY</v>
      </c>
      <c r="B101" s="140">
        <f>VLOOKUP($A101,'Data shares'!$C:$FB,7)</f>
        <v>1666.5</v>
      </c>
      <c r="C101" s="140">
        <f>VLOOKUP($A101,'Data shares'!$C:$FB,3)</f>
        <v>1673.2</v>
      </c>
      <c r="D101" s="140">
        <f>VLOOKUP($A101,'Data shares'!$C:$FB,4)</f>
        <v>1695.6</v>
      </c>
      <c r="E101" s="50">
        <f t="shared" si="3"/>
        <v>-1.3210662892191476</v>
      </c>
      <c r="F101" s="49">
        <f>VLOOKUP($A101,'Data shares'!$C:$FB,98)</f>
        <v>78214800</v>
      </c>
      <c r="G101" s="49">
        <f>VLOOKUP($A101,'Data shares'!$C:$FB,99)</f>
        <v>76092800</v>
      </c>
      <c r="H101" s="50">
        <f t="shared" si="4"/>
        <v>2.7887001135455654</v>
      </c>
      <c r="I101" s="49">
        <f>VLOOKUP($A101,'Data shares'!$C:$FB,66)</f>
        <v>38088400</v>
      </c>
      <c r="J101" s="49">
        <f>VLOOKUP($A101,'Data shares'!$C:$FB,67)</f>
        <v>83403200</v>
      </c>
      <c r="K101" s="50">
        <f t="shared" si="5"/>
        <v>-118.97270560065532</v>
      </c>
      <c r="L101" s="50">
        <f>VLOOKUP($A101,'Data shares'!$C:$FB,118)</f>
        <v>0.76</v>
      </c>
      <c r="M101" s="50">
        <f>VLOOKUP($A101,'Data shares'!$C:$FB,119)</f>
        <v>0.84</v>
      </c>
      <c r="N101" s="50">
        <f>VLOOKUP($A101,'Data shares'!$C:$FB,121)*100</f>
        <v>-9.5200000000000014</v>
      </c>
      <c r="O101" s="50">
        <f>VLOOKUP($A101,'Data shares'!$C:$FB,124)</f>
        <v>0.64</v>
      </c>
      <c r="P101" s="50">
        <f>VLOOKUP($A101,'Data shares'!$C:$FB,125)</f>
        <v>0.52</v>
      </c>
      <c r="Q101" s="50">
        <f>VLOOKUP($A101,'Data shares'!$C:$FB,127)*100</f>
        <v>23.080000000000002</v>
      </c>
    </row>
    <row r="102" spans="1:17" x14ac:dyDescent="0.25">
      <c r="A102" s="97" t="str">
        <f>'Snapshot (Value)'!A106</f>
        <v>INOXWIND</v>
      </c>
      <c r="B102" s="140">
        <f>VLOOKUP($A102,'Data shares'!$C:$FB,7)</f>
        <v>109.25</v>
      </c>
      <c r="C102" s="140">
        <f>VLOOKUP($A102,'Data shares'!$C:$FB,3)</f>
        <v>109.79</v>
      </c>
      <c r="D102" s="140">
        <f>VLOOKUP($A102,'Data shares'!$C:$FB,4)</f>
        <v>105.16</v>
      </c>
      <c r="E102" s="50">
        <f t="shared" si="3"/>
        <v>4.4028147584633031</v>
      </c>
      <c r="F102" s="49">
        <f>VLOOKUP($A102,'Data shares'!$C:$FB,98)</f>
        <v>119394275</v>
      </c>
      <c r="G102" s="49">
        <f>VLOOKUP($A102,'Data shares'!$C:$FB,99)</f>
        <v>113138025</v>
      </c>
      <c r="H102" s="50">
        <f t="shared" si="4"/>
        <v>5.5297500552975007</v>
      </c>
      <c r="I102" s="49">
        <f>VLOOKUP($A102,'Data shares'!$C:$FB,66)</f>
        <v>34588125</v>
      </c>
      <c r="J102" s="49">
        <f>VLOOKUP($A102,'Data shares'!$C:$FB,67)</f>
        <v>145234375</v>
      </c>
      <c r="K102" s="50">
        <f t="shared" si="5"/>
        <v>-319.89664082687341</v>
      </c>
      <c r="L102" s="50">
        <f>VLOOKUP($A102,'Data shares'!$C:$FB,118)</f>
        <v>1.1200000000000001</v>
      </c>
      <c r="M102" s="50">
        <f>VLOOKUP($A102,'Data shares'!$C:$FB,119)</f>
        <v>1.1599999999999999</v>
      </c>
      <c r="N102" s="50">
        <f>VLOOKUP($A102,'Data shares'!$C:$FB,121)*100</f>
        <v>-3.45</v>
      </c>
      <c r="O102" s="50">
        <f>VLOOKUP($A102,'Data shares'!$C:$FB,124)</f>
        <v>0.51</v>
      </c>
      <c r="P102" s="50">
        <f>VLOOKUP($A102,'Data shares'!$C:$FB,125)</f>
        <v>1.0900000000000001</v>
      </c>
      <c r="Q102" s="50">
        <f>VLOOKUP($A102,'Data shares'!$C:$FB,127)*100</f>
        <v>-53.21</v>
      </c>
    </row>
    <row r="103" spans="1:17" x14ac:dyDescent="0.25">
      <c r="A103" s="97" t="str">
        <f>'Snapshot (Value)'!A107</f>
        <v>IOC</v>
      </c>
      <c r="B103" s="140">
        <f>VLOOKUP($A103,'Data shares'!$C:$FB,7)</f>
        <v>162.85</v>
      </c>
      <c r="C103" s="140">
        <f>VLOOKUP($A103,'Data shares'!$C:$FB,3)</f>
        <v>163.75</v>
      </c>
      <c r="D103" s="140">
        <f>VLOOKUP($A103,'Data shares'!$C:$FB,4)</f>
        <v>159.63</v>
      </c>
      <c r="E103" s="50">
        <f t="shared" si="3"/>
        <v>2.5809684896322778</v>
      </c>
      <c r="F103" s="49">
        <f>VLOOKUP($A103,'Data shares'!$C:$FB,98)</f>
        <v>131644500</v>
      </c>
      <c r="G103" s="49">
        <f>VLOOKUP($A103,'Data shares'!$C:$FB,99)</f>
        <v>119544750</v>
      </c>
      <c r="H103" s="50">
        <f t="shared" si="4"/>
        <v>10.121523529891526</v>
      </c>
      <c r="I103" s="49">
        <f>VLOOKUP($A103,'Data shares'!$C:$FB,66)</f>
        <v>108298125</v>
      </c>
      <c r="J103" s="49">
        <f>VLOOKUP($A103,'Data shares'!$C:$FB,67)</f>
        <v>109170750</v>
      </c>
      <c r="K103" s="50">
        <f t="shared" si="5"/>
        <v>-0.80576187260859788</v>
      </c>
      <c r="L103" s="50">
        <f>VLOOKUP($A103,'Data shares'!$C:$FB,118)</f>
        <v>0.83</v>
      </c>
      <c r="M103" s="50">
        <f>VLOOKUP($A103,'Data shares'!$C:$FB,119)</f>
        <v>0.99</v>
      </c>
      <c r="N103" s="50">
        <f>VLOOKUP($A103,'Data shares'!$C:$FB,121)*100</f>
        <v>-16.16</v>
      </c>
      <c r="O103" s="50">
        <f>VLOOKUP($A103,'Data shares'!$C:$FB,124)</f>
        <v>0.37</v>
      </c>
      <c r="P103" s="50">
        <f>VLOOKUP($A103,'Data shares'!$C:$FB,125)</f>
        <v>0.51</v>
      </c>
      <c r="Q103" s="50">
        <f>VLOOKUP($A103,'Data shares'!$C:$FB,127)*100</f>
        <v>-27.450000000000003</v>
      </c>
    </row>
    <row r="104" spans="1:17" x14ac:dyDescent="0.25">
      <c r="A104" s="97" t="str">
        <f>'Snapshot (Value)'!A108</f>
        <v>IRCTC</v>
      </c>
      <c r="B104" s="140">
        <f>VLOOKUP($A104,'Data shares'!$C:$FB,7)</f>
        <v>625.1</v>
      </c>
      <c r="C104" s="140">
        <f>VLOOKUP($A104,'Data shares'!$C:$FB,3)</f>
        <v>623.35</v>
      </c>
      <c r="D104" s="140">
        <f>VLOOKUP($A104,'Data shares'!$C:$FB,4)</f>
        <v>609.04999999999995</v>
      </c>
      <c r="E104" s="50">
        <f t="shared" si="3"/>
        <v>2.3479188900747179</v>
      </c>
      <c r="F104" s="49">
        <f>VLOOKUP($A104,'Data shares'!$C:$FB,98)</f>
        <v>35960750</v>
      </c>
      <c r="G104" s="49">
        <f>VLOOKUP($A104,'Data shares'!$C:$FB,99)</f>
        <v>34451375</v>
      </c>
      <c r="H104" s="50">
        <f t="shared" si="4"/>
        <v>4.3811749168211715</v>
      </c>
      <c r="I104" s="49">
        <f>VLOOKUP($A104,'Data shares'!$C:$FB,66)</f>
        <v>18474750</v>
      </c>
      <c r="J104" s="49">
        <f>VLOOKUP($A104,'Data shares'!$C:$FB,67)</f>
        <v>35112000</v>
      </c>
      <c r="K104" s="50">
        <f t="shared" si="5"/>
        <v>-90.053992611537367</v>
      </c>
      <c r="L104" s="50">
        <f>VLOOKUP($A104,'Data shares'!$C:$FB,118)</f>
        <v>0.78</v>
      </c>
      <c r="M104" s="50">
        <f>VLOOKUP($A104,'Data shares'!$C:$FB,119)</f>
        <v>0.85</v>
      </c>
      <c r="N104" s="50">
        <f>VLOOKUP($A104,'Data shares'!$C:$FB,121)*100</f>
        <v>-8.24</v>
      </c>
      <c r="O104" s="50">
        <f>VLOOKUP($A104,'Data shares'!$C:$FB,124)</f>
        <v>0.31</v>
      </c>
      <c r="P104" s="50">
        <f>VLOOKUP($A104,'Data shares'!$C:$FB,125)</f>
        <v>0.6</v>
      </c>
      <c r="Q104" s="50">
        <f>VLOOKUP($A104,'Data shares'!$C:$FB,127)*100</f>
        <v>-48.33</v>
      </c>
    </row>
    <row r="105" spans="1:17" x14ac:dyDescent="0.25">
      <c r="A105" s="97" t="str">
        <f>'Snapshot (Value)'!A109</f>
        <v>IREDA</v>
      </c>
      <c r="B105" s="140">
        <f>VLOOKUP($A105,'Data shares'!$C:$FB,7)</f>
        <v>133.87</v>
      </c>
      <c r="C105" s="140">
        <f>VLOOKUP($A105,'Data shares'!$C:$FB,3)</f>
        <v>131.54</v>
      </c>
      <c r="D105" s="140">
        <f>VLOOKUP($A105,'Data shares'!$C:$FB,4)</f>
        <v>127.71</v>
      </c>
      <c r="E105" s="50">
        <f t="shared" si="3"/>
        <v>2.9989820687495095</v>
      </c>
      <c r="F105" s="49">
        <f>VLOOKUP($A105,'Data shares'!$C:$FB,98)</f>
        <v>99052950</v>
      </c>
      <c r="G105" s="49">
        <f>VLOOKUP($A105,'Data shares'!$C:$FB,99)</f>
        <v>89865600</v>
      </c>
      <c r="H105" s="50">
        <f t="shared" si="4"/>
        <v>10.22343366093366</v>
      </c>
      <c r="I105" s="49">
        <f>VLOOKUP($A105,'Data shares'!$C:$FB,66)</f>
        <v>64197600</v>
      </c>
      <c r="J105" s="49">
        <f>VLOOKUP($A105,'Data shares'!$C:$FB,67)</f>
        <v>91908000</v>
      </c>
      <c r="K105" s="50">
        <f t="shared" si="5"/>
        <v>-43.164230438521066</v>
      </c>
      <c r="L105" s="50">
        <f>VLOOKUP($A105,'Data shares'!$C:$FB,118)</f>
        <v>0.75</v>
      </c>
      <c r="M105" s="50">
        <f>VLOOKUP($A105,'Data shares'!$C:$FB,119)</f>
        <v>0.77</v>
      </c>
      <c r="N105" s="50">
        <f>VLOOKUP($A105,'Data shares'!$C:$FB,121)*100</f>
        <v>-2.6</v>
      </c>
      <c r="O105" s="50">
        <f>VLOOKUP($A105,'Data shares'!$C:$FB,124)</f>
        <v>0.32</v>
      </c>
      <c r="P105" s="50">
        <f>VLOOKUP($A105,'Data shares'!$C:$FB,125)</f>
        <v>0.54</v>
      </c>
      <c r="Q105" s="50">
        <f>VLOOKUP($A105,'Data shares'!$C:$FB,127)*100</f>
        <v>-40.739999999999995</v>
      </c>
    </row>
    <row r="106" spans="1:17" x14ac:dyDescent="0.25">
      <c r="A106" s="97" t="str">
        <f>'Snapshot (Value)'!A110</f>
        <v>IRFC</v>
      </c>
      <c r="B106" s="140">
        <f>VLOOKUP($A106,'Data shares'!$C:$FB,7)</f>
        <v>120.15</v>
      </c>
      <c r="C106" s="140">
        <f>VLOOKUP($A106,'Data shares'!$C:$FB,3)</f>
        <v>120.33</v>
      </c>
      <c r="D106" s="140">
        <f>VLOOKUP($A106,'Data shares'!$C:$FB,4)</f>
        <v>115.18</v>
      </c>
      <c r="E106" s="50">
        <f t="shared" si="3"/>
        <v>4.4712623719395657</v>
      </c>
      <c r="F106" s="49">
        <f>VLOOKUP($A106,'Data shares'!$C:$FB,98)</f>
        <v>133683750</v>
      </c>
      <c r="G106" s="49">
        <f>VLOOKUP($A106,'Data shares'!$C:$FB,99)</f>
        <v>118230750</v>
      </c>
      <c r="H106" s="50">
        <f t="shared" si="4"/>
        <v>13.070203817534779</v>
      </c>
      <c r="I106" s="49">
        <f>VLOOKUP($A106,'Data shares'!$C:$FB,66)</f>
        <v>152201000</v>
      </c>
      <c r="J106" s="49">
        <f>VLOOKUP($A106,'Data shares'!$C:$FB,67)</f>
        <v>174407250</v>
      </c>
      <c r="K106" s="50">
        <f t="shared" si="5"/>
        <v>-14.590081536915001</v>
      </c>
      <c r="L106" s="50">
        <f>VLOOKUP($A106,'Data shares'!$C:$FB,118)</f>
        <v>0.62</v>
      </c>
      <c r="M106" s="50">
        <f>VLOOKUP($A106,'Data shares'!$C:$FB,119)</f>
        <v>0.64</v>
      </c>
      <c r="N106" s="50">
        <f>VLOOKUP($A106,'Data shares'!$C:$FB,121)*100</f>
        <v>-3.1300000000000003</v>
      </c>
      <c r="O106" s="50">
        <f>VLOOKUP($A106,'Data shares'!$C:$FB,124)</f>
        <v>0.23</v>
      </c>
      <c r="P106" s="50">
        <f>VLOOKUP($A106,'Data shares'!$C:$FB,125)</f>
        <v>0.43</v>
      </c>
      <c r="Q106" s="50">
        <f>VLOOKUP($A106,'Data shares'!$C:$FB,127)*100</f>
        <v>-46.51</v>
      </c>
    </row>
    <row r="107" spans="1:17" x14ac:dyDescent="0.25">
      <c r="A107" s="97" t="str">
        <f>'Snapshot (Value)'!A111</f>
        <v>ITC</v>
      </c>
      <c r="B107" s="140">
        <f>VLOOKUP($A107,'Data shares'!$C:$FB,7)</f>
        <v>321.14999999999998</v>
      </c>
      <c r="C107" s="140">
        <f>VLOOKUP($A107,'Data shares'!$C:$FB,3)</f>
        <v>322.75</v>
      </c>
      <c r="D107" s="140">
        <f>VLOOKUP($A107,'Data shares'!$C:$FB,4)</f>
        <v>320.45</v>
      </c>
      <c r="E107" s="50">
        <f t="shared" si="3"/>
        <v>0.71774067717272938</v>
      </c>
      <c r="F107" s="49">
        <f>VLOOKUP($A107,'Data shares'!$C:$FB,98)</f>
        <v>337249600</v>
      </c>
      <c r="G107" s="49">
        <f>VLOOKUP($A107,'Data shares'!$C:$FB,99)</f>
        <v>317992000</v>
      </c>
      <c r="H107" s="50">
        <f t="shared" si="4"/>
        <v>6.0560014088404737</v>
      </c>
      <c r="I107" s="49">
        <f>VLOOKUP($A107,'Data shares'!$C:$FB,66)</f>
        <v>151667200</v>
      </c>
      <c r="J107" s="49">
        <f>VLOOKUP($A107,'Data shares'!$C:$FB,67)</f>
        <v>437452800</v>
      </c>
      <c r="K107" s="50">
        <f t="shared" si="5"/>
        <v>-188.42940332517512</v>
      </c>
      <c r="L107" s="50">
        <f>VLOOKUP($A107,'Data shares'!$C:$FB,118)</f>
        <v>0.75</v>
      </c>
      <c r="M107" s="50">
        <f>VLOOKUP($A107,'Data shares'!$C:$FB,119)</f>
        <v>0.83</v>
      </c>
      <c r="N107" s="50">
        <f>VLOOKUP($A107,'Data shares'!$C:$FB,121)*100</f>
        <v>-9.64</v>
      </c>
      <c r="O107" s="50">
        <f>VLOOKUP($A107,'Data shares'!$C:$FB,124)</f>
        <v>0.51</v>
      </c>
      <c r="P107" s="50">
        <f>VLOOKUP($A107,'Data shares'!$C:$FB,125)</f>
        <v>0.99</v>
      </c>
      <c r="Q107" s="50">
        <f>VLOOKUP($A107,'Data shares'!$C:$FB,127)*100</f>
        <v>-48.480000000000004</v>
      </c>
    </row>
    <row r="108" spans="1:17" x14ac:dyDescent="0.25">
      <c r="A108" s="97" t="str">
        <f>'Snapshot (Value)'!A112</f>
        <v>JINDALSTEL</v>
      </c>
      <c r="B108" s="140">
        <f>VLOOKUP($A108,'Data shares'!$C:$FB,7)</f>
        <v>1119.4000000000001</v>
      </c>
      <c r="C108" s="140">
        <f>VLOOKUP($A108,'Data shares'!$C:$FB,3)</f>
        <v>1123.9000000000001</v>
      </c>
      <c r="D108" s="140">
        <f>VLOOKUP($A108,'Data shares'!$C:$FB,4)</f>
        <v>1088.5999999999999</v>
      </c>
      <c r="E108" s="50">
        <f t="shared" si="3"/>
        <v>3.2426970420724039</v>
      </c>
      <c r="F108" s="49">
        <f>VLOOKUP($A108,'Data shares'!$C:$FB,98)</f>
        <v>14973125</v>
      </c>
      <c r="G108" s="49">
        <f>VLOOKUP($A108,'Data shares'!$C:$FB,99)</f>
        <v>13751250</v>
      </c>
      <c r="H108" s="50">
        <f t="shared" si="4"/>
        <v>8.8855558585583125</v>
      </c>
      <c r="I108" s="49">
        <f>VLOOKUP($A108,'Data shares'!$C:$FB,66)</f>
        <v>16938125</v>
      </c>
      <c r="J108" s="49">
        <f>VLOOKUP($A108,'Data shares'!$C:$FB,67)</f>
        <v>14326250</v>
      </c>
      <c r="K108" s="50">
        <f t="shared" si="5"/>
        <v>15.420095199439135</v>
      </c>
      <c r="L108" s="50">
        <f>VLOOKUP($A108,'Data shares'!$C:$FB,118)</f>
        <v>0.81</v>
      </c>
      <c r="M108" s="50">
        <f>VLOOKUP($A108,'Data shares'!$C:$FB,119)</f>
        <v>0.71</v>
      </c>
      <c r="N108" s="50">
        <f>VLOOKUP($A108,'Data shares'!$C:$FB,121)*100</f>
        <v>14.08</v>
      </c>
      <c r="O108" s="50">
        <f>VLOOKUP($A108,'Data shares'!$C:$FB,124)</f>
        <v>0.34</v>
      </c>
      <c r="P108" s="50">
        <f>VLOOKUP($A108,'Data shares'!$C:$FB,125)</f>
        <v>0.55000000000000004</v>
      </c>
      <c r="Q108" s="50">
        <f>VLOOKUP($A108,'Data shares'!$C:$FB,127)*100</f>
        <v>-38.18</v>
      </c>
    </row>
    <row r="109" spans="1:17" x14ac:dyDescent="0.25">
      <c r="A109" s="97" t="str">
        <f>'Snapshot (Value)'!A113</f>
        <v>JIOFIN</v>
      </c>
      <c r="B109" s="140">
        <f>VLOOKUP($A109,'Data shares'!$C:$FB,7)</f>
        <v>255.2</v>
      </c>
      <c r="C109" s="140">
        <f>VLOOKUP($A109,'Data shares'!$C:$FB,3)</f>
        <v>256.95</v>
      </c>
      <c r="D109" s="140">
        <f>VLOOKUP($A109,'Data shares'!$C:$FB,4)</f>
        <v>257.3</v>
      </c>
      <c r="E109" s="50">
        <f t="shared" si="3"/>
        <v>-0.13602798289934814</v>
      </c>
      <c r="F109" s="49">
        <f>VLOOKUP($A109,'Data shares'!$C:$FB,98)</f>
        <v>260605600</v>
      </c>
      <c r="G109" s="49">
        <f>VLOOKUP($A109,'Data shares'!$C:$FB,99)</f>
        <v>242752650</v>
      </c>
      <c r="H109" s="50">
        <f t="shared" si="4"/>
        <v>7.3543790356150591</v>
      </c>
      <c r="I109" s="49">
        <f>VLOOKUP($A109,'Data shares'!$C:$FB,66)</f>
        <v>121513800</v>
      </c>
      <c r="J109" s="49">
        <f>VLOOKUP($A109,'Data shares'!$C:$FB,67)</f>
        <v>237436950</v>
      </c>
      <c r="K109" s="50">
        <f t="shared" si="5"/>
        <v>-95.399164539336269</v>
      </c>
      <c r="L109" s="50">
        <f>VLOOKUP($A109,'Data shares'!$C:$FB,118)</f>
        <v>0.72</v>
      </c>
      <c r="M109" s="50">
        <f>VLOOKUP($A109,'Data shares'!$C:$FB,119)</f>
        <v>0.84</v>
      </c>
      <c r="N109" s="50">
        <f>VLOOKUP($A109,'Data shares'!$C:$FB,121)*100</f>
        <v>-14.29</v>
      </c>
      <c r="O109" s="50">
        <f>VLOOKUP($A109,'Data shares'!$C:$FB,124)</f>
        <v>0.36</v>
      </c>
      <c r="P109" s="50">
        <f>VLOOKUP($A109,'Data shares'!$C:$FB,125)</f>
        <v>0.67</v>
      </c>
      <c r="Q109" s="50">
        <f>VLOOKUP($A109,'Data shares'!$C:$FB,127)*100</f>
        <v>-46.27</v>
      </c>
    </row>
    <row r="110" spans="1:17" x14ac:dyDescent="0.25">
      <c r="A110" s="97" t="str">
        <f>'Snapshot (Value)'!A114</f>
        <v>JSWENERGY</v>
      </c>
      <c r="B110" s="140">
        <f>VLOOKUP($A110,'Data shares'!$C:$FB,7)</f>
        <v>446.25</v>
      </c>
      <c r="C110" s="140">
        <f>VLOOKUP($A110,'Data shares'!$C:$FB,3)</f>
        <v>449.35</v>
      </c>
      <c r="D110" s="140">
        <f>VLOOKUP($A110,'Data shares'!$C:$FB,4)</f>
        <v>441.7</v>
      </c>
      <c r="E110" s="50">
        <f t="shared" si="3"/>
        <v>1.7319447588861294</v>
      </c>
      <c r="F110" s="49">
        <f>VLOOKUP($A110,'Data shares'!$C:$FB,98)</f>
        <v>47700000</v>
      </c>
      <c r="G110" s="49">
        <f>VLOOKUP($A110,'Data shares'!$C:$FB,99)</f>
        <v>46798000</v>
      </c>
      <c r="H110" s="50">
        <f t="shared" si="4"/>
        <v>1.9274327962733449</v>
      </c>
      <c r="I110" s="49">
        <f>VLOOKUP($A110,'Data shares'!$C:$FB,66)</f>
        <v>24244000</v>
      </c>
      <c r="J110" s="49">
        <f>VLOOKUP($A110,'Data shares'!$C:$FB,67)</f>
        <v>114437000</v>
      </c>
      <c r="K110" s="50">
        <f t="shared" si="5"/>
        <v>-372.02194357366773</v>
      </c>
      <c r="L110" s="50">
        <f>VLOOKUP($A110,'Data shares'!$C:$FB,118)</f>
        <v>0.98</v>
      </c>
      <c r="M110" s="50">
        <f>VLOOKUP($A110,'Data shares'!$C:$FB,119)</f>
        <v>1.05</v>
      </c>
      <c r="N110" s="50">
        <f>VLOOKUP($A110,'Data shares'!$C:$FB,121)*100</f>
        <v>-6.67</v>
      </c>
      <c r="O110" s="50">
        <f>VLOOKUP($A110,'Data shares'!$C:$FB,124)</f>
        <v>0.49</v>
      </c>
      <c r="P110" s="50">
        <f>VLOOKUP($A110,'Data shares'!$C:$FB,125)</f>
        <v>1.1599999999999999</v>
      </c>
      <c r="Q110" s="50">
        <f>VLOOKUP($A110,'Data shares'!$C:$FB,127)*100</f>
        <v>-57.76</v>
      </c>
    </row>
    <row r="111" spans="1:17" x14ac:dyDescent="0.25">
      <c r="A111" s="97" t="str">
        <f>'Snapshot (Value)'!A115</f>
        <v>JSWSTEEL</v>
      </c>
      <c r="B111" s="140">
        <f>VLOOKUP($A111,'Data shares'!$C:$FB,7)</f>
        <v>1218.7</v>
      </c>
      <c r="C111" s="140">
        <f>VLOOKUP($A111,'Data shares'!$C:$FB,3)</f>
        <v>1223.5999999999999</v>
      </c>
      <c r="D111" s="140">
        <f>VLOOKUP($A111,'Data shares'!$C:$FB,4)</f>
        <v>1231.4000000000001</v>
      </c>
      <c r="E111" s="50">
        <f t="shared" si="3"/>
        <v>-0.63342536949814698</v>
      </c>
      <c r="F111" s="49">
        <f>VLOOKUP($A111,'Data shares'!$C:$FB,98)</f>
        <v>57711825</v>
      </c>
      <c r="G111" s="49">
        <f>VLOOKUP($A111,'Data shares'!$C:$FB,99)</f>
        <v>56376000</v>
      </c>
      <c r="H111" s="50">
        <f t="shared" si="4"/>
        <v>2.3694923371647509</v>
      </c>
      <c r="I111" s="49">
        <f>VLOOKUP($A111,'Data shares'!$C:$FB,66)</f>
        <v>18998550</v>
      </c>
      <c r="J111" s="49">
        <f>VLOOKUP($A111,'Data shares'!$C:$FB,67)</f>
        <v>63485775</v>
      </c>
      <c r="K111" s="50">
        <f t="shared" si="5"/>
        <v>-234.16115966744832</v>
      </c>
      <c r="L111" s="50">
        <f>VLOOKUP($A111,'Data shares'!$C:$FB,118)</f>
        <v>0.68</v>
      </c>
      <c r="M111" s="50">
        <f>VLOOKUP($A111,'Data shares'!$C:$FB,119)</f>
        <v>0.73</v>
      </c>
      <c r="N111" s="50">
        <f>VLOOKUP($A111,'Data shares'!$C:$FB,121)*100</f>
        <v>-6.8500000000000005</v>
      </c>
      <c r="O111" s="50">
        <f>VLOOKUP($A111,'Data shares'!$C:$FB,124)</f>
        <v>0.39</v>
      </c>
      <c r="P111" s="50">
        <f>VLOOKUP($A111,'Data shares'!$C:$FB,125)</f>
        <v>0.53</v>
      </c>
      <c r="Q111" s="50">
        <f>VLOOKUP($A111,'Data shares'!$C:$FB,127)*100</f>
        <v>-26.419999999999998</v>
      </c>
    </row>
    <row r="112" spans="1:17" x14ac:dyDescent="0.25">
      <c r="A112" s="97" t="str">
        <f>'Snapshot (Value)'!A116</f>
        <v>JUBLFOOD</v>
      </c>
      <c r="B112" s="140">
        <f>VLOOKUP($A112,'Data shares'!$C:$FB,7)</f>
        <v>493.65</v>
      </c>
      <c r="C112" s="140">
        <f>VLOOKUP($A112,'Data shares'!$C:$FB,3)</f>
        <v>494.15</v>
      </c>
      <c r="D112" s="140">
        <f>VLOOKUP($A112,'Data shares'!$C:$FB,4)</f>
        <v>491.3</v>
      </c>
      <c r="E112" s="50">
        <f t="shared" si="3"/>
        <v>0.58009362914715368</v>
      </c>
      <c r="F112" s="49">
        <f>VLOOKUP($A112,'Data shares'!$C:$FB,98)</f>
        <v>31161250</v>
      </c>
      <c r="G112" s="49">
        <f>VLOOKUP($A112,'Data shares'!$C:$FB,99)</f>
        <v>29718750</v>
      </c>
      <c r="H112" s="50">
        <f t="shared" si="4"/>
        <v>4.8538380651945321</v>
      </c>
      <c r="I112" s="49">
        <f>VLOOKUP($A112,'Data shares'!$C:$FB,66)</f>
        <v>8723750</v>
      </c>
      <c r="J112" s="49">
        <f>VLOOKUP($A112,'Data shares'!$C:$FB,67)</f>
        <v>33492500</v>
      </c>
      <c r="K112" s="50">
        <f t="shared" si="5"/>
        <v>-283.92319816592635</v>
      </c>
      <c r="L112" s="50">
        <f>VLOOKUP($A112,'Data shares'!$C:$FB,118)</f>
        <v>0.69</v>
      </c>
      <c r="M112" s="50">
        <f>VLOOKUP($A112,'Data shares'!$C:$FB,119)</f>
        <v>0.76</v>
      </c>
      <c r="N112" s="50">
        <f>VLOOKUP($A112,'Data shares'!$C:$FB,121)*100</f>
        <v>-9.2100000000000009</v>
      </c>
      <c r="O112" s="50">
        <f>VLOOKUP($A112,'Data shares'!$C:$FB,124)</f>
        <v>0.51</v>
      </c>
      <c r="P112" s="50">
        <f>VLOOKUP($A112,'Data shares'!$C:$FB,125)</f>
        <v>1.33</v>
      </c>
      <c r="Q112" s="50">
        <f>VLOOKUP($A112,'Data shares'!$C:$FB,127)*100</f>
        <v>-61.650000000000006</v>
      </c>
    </row>
    <row r="113" spans="1:17" x14ac:dyDescent="0.25">
      <c r="A113" s="97" t="str">
        <f>'Snapshot (Value)'!A117</f>
        <v>KALYANKJIL</v>
      </c>
      <c r="B113" s="140">
        <f>VLOOKUP($A113,'Data shares'!$C:$FB,7)</f>
        <v>367.95</v>
      </c>
      <c r="C113" s="140">
        <f>VLOOKUP($A113,'Data shares'!$C:$FB,3)</f>
        <v>370.35</v>
      </c>
      <c r="D113" s="140">
        <f>VLOOKUP($A113,'Data shares'!$C:$FB,4)</f>
        <v>371.4</v>
      </c>
      <c r="E113" s="50">
        <f t="shared" si="3"/>
        <v>-0.28271405492728985</v>
      </c>
      <c r="F113" s="49">
        <f>VLOOKUP($A113,'Data shares'!$C:$FB,98)</f>
        <v>55457650</v>
      </c>
      <c r="G113" s="49">
        <f>VLOOKUP($A113,'Data shares'!$C:$FB,99)</f>
        <v>53272150</v>
      </c>
      <c r="H113" s="50">
        <f t="shared" si="4"/>
        <v>4.1025188583528172</v>
      </c>
      <c r="I113" s="49">
        <f>VLOOKUP($A113,'Data shares'!$C:$FB,66)</f>
        <v>25705475</v>
      </c>
      <c r="J113" s="49">
        <f>VLOOKUP($A113,'Data shares'!$C:$FB,67)</f>
        <v>96879925</v>
      </c>
      <c r="K113" s="50">
        <f t="shared" si="5"/>
        <v>-276.88439914064998</v>
      </c>
      <c r="L113" s="50">
        <f>VLOOKUP($A113,'Data shares'!$C:$FB,118)</f>
        <v>0.74</v>
      </c>
      <c r="M113" s="50">
        <f>VLOOKUP($A113,'Data shares'!$C:$FB,119)</f>
        <v>0.81</v>
      </c>
      <c r="N113" s="50">
        <f>VLOOKUP($A113,'Data shares'!$C:$FB,121)*100</f>
        <v>-8.64</v>
      </c>
      <c r="O113" s="50">
        <f>VLOOKUP($A113,'Data shares'!$C:$FB,124)</f>
        <v>0.59</v>
      </c>
      <c r="P113" s="50">
        <f>VLOOKUP($A113,'Data shares'!$C:$FB,125)</f>
        <v>0.84</v>
      </c>
      <c r="Q113" s="50">
        <f>VLOOKUP($A113,'Data shares'!$C:$FB,127)*100</f>
        <v>-29.759999999999998</v>
      </c>
    </row>
    <row r="114" spans="1:17" x14ac:dyDescent="0.25">
      <c r="A114" s="97" t="str">
        <f>'Snapshot (Value)'!A118</f>
        <v>KAYNES</v>
      </c>
      <c r="B114" s="140">
        <f>VLOOKUP($A114,'Data shares'!$C:$FB,7)</f>
        <v>3490.6</v>
      </c>
      <c r="C114" s="140">
        <f>VLOOKUP($A114,'Data shares'!$C:$FB,3)</f>
        <v>3503.6</v>
      </c>
      <c r="D114" s="140">
        <f>VLOOKUP($A114,'Data shares'!$C:$FB,4)</f>
        <v>3350.8</v>
      </c>
      <c r="E114" s="50">
        <f t="shared" si="3"/>
        <v>4.5601050495404003</v>
      </c>
      <c r="F114" s="49">
        <f>VLOOKUP($A114,'Data shares'!$C:$FB,98)</f>
        <v>4953700</v>
      </c>
      <c r="G114" s="49">
        <f>VLOOKUP($A114,'Data shares'!$C:$FB,99)</f>
        <v>4701800</v>
      </c>
      <c r="H114" s="50">
        <f t="shared" si="4"/>
        <v>5.3575226508996554</v>
      </c>
      <c r="I114" s="49">
        <f>VLOOKUP($A114,'Data shares'!$C:$FB,66)</f>
        <v>3192900</v>
      </c>
      <c r="J114" s="49">
        <f>VLOOKUP($A114,'Data shares'!$C:$FB,67)</f>
        <v>8590100</v>
      </c>
      <c r="K114" s="50">
        <f t="shared" si="5"/>
        <v>-169.03755206865233</v>
      </c>
      <c r="L114" s="50">
        <f>VLOOKUP($A114,'Data shares'!$C:$FB,118)</f>
        <v>0.89</v>
      </c>
      <c r="M114" s="50">
        <f>VLOOKUP($A114,'Data shares'!$C:$FB,119)</f>
        <v>0.89</v>
      </c>
      <c r="N114" s="50">
        <f>VLOOKUP($A114,'Data shares'!$C:$FB,121)*100</f>
        <v>0</v>
      </c>
      <c r="O114" s="50">
        <f>VLOOKUP($A114,'Data shares'!$C:$FB,124)</f>
        <v>0.43</v>
      </c>
      <c r="P114" s="50">
        <f>VLOOKUP($A114,'Data shares'!$C:$FB,125)</f>
        <v>0.64</v>
      </c>
      <c r="Q114" s="50">
        <f>VLOOKUP($A114,'Data shares'!$C:$FB,127)*100</f>
        <v>-32.81</v>
      </c>
    </row>
    <row r="115" spans="1:17" x14ac:dyDescent="0.25">
      <c r="A115" s="97" t="str">
        <f>'Snapshot (Value)'!A119</f>
        <v>KEI</v>
      </c>
      <c r="B115" s="140">
        <f>VLOOKUP($A115,'Data shares'!$C:$FB,7)</f>
        <v>3879.1</v>
      </c>
      <c r="C115" s="140">
        <f>VLOOKUP($A115,'Data shares'!$C:$FB,3)</f>
        <v>3871.2</v>
      </c>
      <c r="D115" s="140">
        <f>VLOOKUP($A115,'Data shares'!$C:$FB,4)</f>
        <v>3761.7</v>
      </c>
      <c r="E115" s="50">
        <f t="shared" si="3"/>
        <v>2.9109179360395565</v>
      </c>
      <c r="F115" s="49">
        <f>VLOOKUP($A115,'Data shares'!$C:$FB,98)</f>
        <v>1549975</v>
      </c>
      <c r="G115" s="49">
        <f>VLOOKUP($A115,'Data shares'!$C:$FB,99)</f>
        <v>1491175</v>
      </c>
      <c r="H115" s="50">
        <f t="shared" si="4"/>
        <v>3.9431991550287524</v>
      </c>
      <c r="I115" s="49">
        <f>VLOOKUP($A115,'Data shares'!$C:$FB,66)</f>
        <v>867825</v>
      </c>
      <c r="J115" s="49">
        <f>VLOOKUP($A115,'Data shares'!$C:$FB,67)</f>
        <v>2851100</v>
      </c>
      <c r="K115" s="50">
        <f t="shared" si="5"/>
        <v>-228.53397862472272</v>
      </c>
      <c r="L115" s="50">
        <f>VLOOKUP($A115,'Data shares'!$C:$FB,118)</f>
        <v>0.89</v>
      </c>
      <c r="M115" s="50">
        <f>VLOOKUP($A115,'Data shares'!$C:$FB,119)</f>
        <v>0.76</v>
      </c>
      <c r="N115" s="50">
        <f>VLOOKUP($A115,'Data shares'!$C:$FB,121)*100</f>
        <v>17.11</v>
      </c>
      <c r="O115" s="50">
        <f>VLOOKUP($A115,'Data shares'!$C:$FB,124)</f>
        <v>0.36</v>
      </c>
      <c r="P115" s="50">
        <f>VLOOKUP($A115,'Data shares'!$C:$FB,125)</f>
        <v>0.46</v>
      </c>
      <c r="Q115" s="50">
        <f>VLOOKUP($A115,'Data shares'!$C:$FB,127)*100</f>
        <v>-21.740000000000002</v>
      </c>
    </row>
    <row r="116" spans="1:17" x14ac:dyDescent="0.25">
      <c r="A116" s="97" t="str">
        <f>'Snapshot (Value)'!A120</f>
        <v>KFINTECH</v>
      </c>
      <c r="B116" s="140">
        <f>VLOOKUP($A116,'Data shares'!$C:$FB,7)</f>
        <v>1022.1</v>
      </c>
      <c r="C116" s="140">
        <f>VLOOKUP($A116,'Data shares'!$C:$FB,3)</f>
        <v>1000.9</v>
      </c>
      <c r="D116" s="140">
        <f>VLOOKUP($A116,'Data shares'!$C:$FB,4)</f>
        <v>986.3</v>
      </c>
      <c r="E116" s="50">
        <f t="shared" si="3"/>
        <v>1.4802798337219936</v>
      </c>
      <c r="F116" s="49">
        <f>VLOOKUP($A116,'Data shares'!$C:$FB,98)</f>
        <v>6685000</v>
      </c>
      <c r="G116" s="49">
        <f>VLOOKUP($A116,'Data shares'!$C:$FB,99)</f>
        <v>6576000</v>
      </c>
      <c r="H116" s="50">
        <f t="shared" si="4"/>
        <v>1.6575425790754259</v>
      </c>
      <c r="I116" s="49">
        <f>VLOOKUP($A116,'Data shares'!$C:$FB,66)</f>
        <v>2047500</v>
      </c>
      <c r="J116" s="49">
        <f>VLOOKUP($A116,'Data shares'!$C:$FB,67)</f>
        <v>8057500</v>
      </c>
      <c r="K116" s="50">
        <f t="shared" si="5"/>
        <v>-293.52869352869351</v>
      </c>
      <c r="L116" s="50">
        <f>VLOOKUP($A116,'Data shares'!$C:$FB,118)</f>
        <v>1</v>
      </c>
      <c r="M116" s="50">
        <f>VLOOKUP($A116,'Data shares'!$C:$FB,119)</f>
        <v>1.1000000000000001</v>
      </c>
      <c r="N116" s="50">
        <f>VLOOKUP($A116,'Data shares'!$C:$FB,121)*100</f>
        <v>-9.09</v>
      </c>
      <c r="O116" s="50">
        <f>VLOOKUP($A116,'Data shares'!$C:$FB,124)</f>
        <v>0.48</v>
      </c>
      <c r="P116" s="50">
        <f>VLOOKUP($A116,'Data shares'!$C:$FB,125)</f>
        <v>1.03</v>
      </c>
      <c r="Q116" s="50">
        <f>VLOOKUP($A116,'Data shares'!$C:$FB,127)*100</f>
        <v>-53.400000000000006</v>
      </c>
    </row>
    <row r="117" spans="1:17" x14ac:dyDescent="0.25">
      <c r="A117" s="97" t="str">
        <f>'Snapshot (Value)'!A121</f>
        <v>KOTAKBANK</v>
      </c>
      <c r="B117" s="140">
        <f>VLOOKUP($A117,'Data shares'!$C:$FB,7)</f>
        <v>412.4</v>
      </c>
      <c r="C117" s="140">
        <f>VLOOKUP($A117,'Data shares'!$C:$FB,3)</f>
        <v>413.8</v>
      </c>
      <c r="D117" s="140">
        <f>VLOOKUP($A117,'Data shares'!$C:$FB,4)</f>
        <v>411.4</v>
      </c>
      <c r="E117" s="50">
        <f t="shared" si="3"/>
        <v>0.58337384540593928</v>
      </c>
      <c r="F117" s="49">
        <f>VLOOKUP($A117,'Data shares'!$C:$FB,98)</f>
        <v>236018000</v>
      </c>
      <c r="G117" s="49">
        <f>VLOOKUP($A117,'Data shares'!$C:$FB,99)</f>
        <v>229722000</v>
      </c>
      <c r="H117" s="50">
        <f t="shared" si="4"/>
        <v>2.7407039813339602</v>
      </c>
      <c r="I117" s="49">
        <f>VLOOKUP($A117,'Data shares'!$C:$FB,66)</f>
        <v>65484000</v>
      </c>
      <c r="J117" s="49">
        <f>VLOOKUP($A117,'Data shares'!$C:$FB,67)</f>
        <v>237682000</v>
      </c>
      <c r="K117" s="50">
        <f t="shared" si="5"/>
        <v>-262.96194490257159</v>
      </c>
      <c r="L117" s="50">
        <f>VLOOKUP($A117,'Data shares'!$C:$FB,118)</f>
        <v>0.93</v>
      </c>
      <c r="M117" s="50">
        <f>VLOOKUP($A117,'Data shares'!$C:$FB,119)</f>
        <v>1.1000000000000001</v>
      </c>
      <c r="N117" s="50">
        <f>VLOOKUP($A117,'Data shares'!$C:$FB,121)*100</f>
        <v>-15.45</v>
      </c>
      <c r="O117" s="50">
        <f>VLOOKUP($A117,'Data shares'!$C:$FB,124)</f>
        <v>0.49</v>
      </c>
      <c r="P117" s="50">
        <f>VLOOKUP($A117,'Data shares'!$C:$FB,125)</f>
        <v>0.85</v>
      </c>
      <c r="Q117" s="50">
        <f>VLOOKUP($A117,'Data shares'!$C:$FB,127)*100</f>
        <v>-42.35</v>
      </c>
    </row>
    <row r="118" spans="1:17" x14ac:dyDescent="0.25">
      <c r="A118" s="97" t="str">
        <f>'Snapshot (Value)'!A122</f>
        <v>KPITTECH</v>
      </c>
      <c r="B118" s="140">
        <f>VLOOKUP($A118,'Data shares'!$C:$FB,7)</f>
        <v>1105.8</v>
      </c>
      <c r="C118" s="140">
        <f>VLOOKUP($A118,'Data shares'!$C:$FB,3)</f>
        <v>1104.8</v>
      </c>
      <c r="D118" s="140">
        <f>VLOOKUP($A118,'Data shares'!$C:$FB,4)</f>
        <v>1110</v>
      </c>
      <c r="E118" s="50">
        <f t="shared" si="3"/>
        <v>-0.46846846846847251</v>
      </c>
      <c r="F118" s="49">
        <f>VLOOKUP($A118,'Data shares'!$C:$FB,98)</f>
        <v>5490150</v>
      </c>
      <c r="G118" s="49">
        <f>VLOOKUP($A118,'Data shares'!$C:$FB,99)</f>
        <v>4983125</v>
      </c>
      <c r="H118" s="50">
        <f t="shared" si="4"/>
        <v>10.174840085287846</v>
      </c>
      <c r="I118" s="49">
        <f>VLOOKUP($A118,'Data shares'!$C:$FB,66)</f>
        <v>2410175</v>
      </c>
      <c r="J118" s="49">
        <f>VLOOKUP($A118,'Data shares'!$C:$FB,67)</f>
        <v>6495275</v>
      </c>
      <c r="K118" s="50">
        <f t="shared" si="5"/>
        <v>-169.4939164168577</v>
      </c>
      <c r="L118" s="50">
        <f>VLOOKUP($A118,'Data shares'!$C:$FB,118)</f>
        <v>0.91</v>
      </c>
      <c r="M118" s="50">
        <f>VLOOKUP($A118,'Data shares'!$C:$FB,119)</f>
        <v>1.1299999999999999</v>
      </c>
      <c r="N118" s="50">
        <f>VLOOKUP($A118,'Data shares'!$C:$FB,121)*100</f>
        <v>-19.470000000000002</v>
      </c>
      <c r="O118" s="50">
        <f>VLOOKUP($A118,'Data shares'!$C:$FB,124)</f>
        <v>0.75</v>
      </c>
      <c r="P118" s="50">
        <f>VLOOKUP($A118,'Data shares'!$C:$FB,125)</f>
        <v>1.38</v>
      </c>
      <c r="Q118" s="50">
        <f>VLOOKUP($A118,'Data shares'!$C:$FB,127)*100</f>
        <v>-45.65</v>
      </c>
    </row>
    <row r="119" spans="1:17" x14ac:dyDescent="0.25">
      <c r="A119" s="97" t="str">
        <f>'Snapshot (Value)'!A123</f>
        <v>LAURUSLABS</v>
      </c>
      <c r="B119" s="140">
        <f>VLOOKUP($A119,'Data shares'!$C:$FB,7)</f>
        <v>999</v>
      </c>
      <c r="C119" s="140">
        <f>VLOOKUP($A119,'Data shares'!$C:$FB,3)</f>
        <v>1005.7</v>
      </c>
      <c r="D119" s="140">
        <f>VLOOKUP($A119,'Data shares'!$C:$FB,4)</f>
        <v>1007.4</v>
      </c>
      <c r="E119" s="50">
        <f t="shared" si="3"/>
        <v>-0.16875124081794043</v>
      </c>
      <c r="F119" s="49">
        <f>VLOOKUP($A119,'Data shares'!$C:$FB,98)</f>
        <v>30712200</v>
      </c>
      <c r="G119" s="49">
        <f>VLOOKUP($A119,'Data shares'!$C:$FB,99)</f>
        <v>28395950</v>
      </c>
      <c r="H119" s="50">
        <f t="shared" si="4"/>
        <v>8.1569730894722667</v>
      </c>
      <c r="I119" s="49">
        <f>VLOOKUP($A119,'Data shares'!$C:$FB,66)</f>
        <v>14736450</v>
      </c>
      <c r="J119" s="49">
        <f>VLOOKUP($A119,'Data shares'!$C:$FB,67)</f>
        <v>62359400</v>
      </c>
      <c r="K119" s="50">
        <f t="shared" si="5"/>
        <v>-323.16433062236831</v>
      </c>
      <c r="L119" s="50">
        <f>VLOOKUP($A119,'Data shares'!$C:$FB,118)</f>
        <v>0.61</v>
      </c>
      <c r="M119" s="50">
        <f>VLOOKUP($A119,'Data shares'!$C:$FB,119)</f>
        <v>0.61</v>
      </c>
      <c r="N119" s="50">
        <f>VLOOKUP($A119,'Data shares'!$C:$FB,121)*100</f>
        <v>0</v>
      </c>
      <c r="O119" s="50">
        <f>VLOOKUP($A119,'Data shares'!$C:$FB,124)</f>
        <v>0.45</v>
      </c>
      <c r="P119" s="50">
        <f>VLOOKUP($A119,'Data shares'!$C:$FB,125)</f>
        <v>0.66</v>
      </c>
      <c r="Q119" s="50">
        <f>VLOOKUP($A119,'Data shares'!$C:$FB,127)*100</f>
        <v>-31.819999999999997</v>
      </c>
    </row>
    <row r="120" spans="1:17" x14ac:dyDescent="0.25">
      <c r="A120" s="97" t="str">
        <f>'Snapshot (Value)'!A124</f>
        <v>LICHSGFIN</v>
      </c>
      <c r="B120" s="140">
        <f>VLOOKUP($A120,'Data shares'!$C:$FB,7)</f>
        <v>519</v>
      </c>
      <c r="C120" s="140">
        <f>VLOOKUP($A120,'Data shares'!$C:$FB,3)</f>
        <v>521.20000000000005</v>
      </c>
      <c r="D120" s="140">
        <f>VLOOKUP($A120,'Data shares'!$C:$FB,4)</f>
        <v>512.79999999999995</v>
      </c>
      <c r="E120" s="50">
        <f t="shared" si="3"/>
        <v>1.6380655226209226</v>
      </c>
      <c r="F120" s="49">
        <f>VLOOKUP($A120,'Data shares'!$C:$FB,98)</f>
        <v>42423000</v>
      </c>
      <c r="G120" s="49">
        <f>VLOOKUP($A120,'Data shares'!$C:$FB,99)</f>
        <v>41098000</v>
      </c>
      <c r="H120" s="50">
        <f t="shared" si="4"/>
        <v>3.2240011679400458</v>
      </c>
      <c r="I120" s="49">
        <f>VLOOKUP($A120,'Data shares'!$C:$FB,66)</f>
        <v>8617000</v>
      </c>
      <c r="J120" s="49">
        <f>VLOOKUP($A120,'Data shares'!$C:$FB,67)</f>
        <v>47187000</v>
      </c>
      <c r="K120" s="50">
        <f t="shared" si="5"/>
        <v>-447.60357432981317</v>
      </c>
      <c r="L120" s="50">
        <f>VLOOKUP($A120,'Data shares'!$C:$FB,118)</f>
        <v>1.06</v>
      </c>
      <c r="M120" s="50">
        <f>VLOOKUP($A120,'Data shares'!$C:$FB,119)</f>
        <v>1.1200000000000001</v>
      </c>
      <c r="N120" s="50">
        <f>VLOOKUP($A120,'Data shares'!$C:$FB,121)*100</f>
        <v>-5.36</v>
      </c>
      <c r="O120" s="50">
        <f>VLOOKUP($A120,'Data shares'!$C:$FB,124)</f>
        <v>0.44</v>
      </c>
      <c r="P120" s="50">
        <f>VLOOKUP($A120,'Data shares'!$C:$FB,125)</f>
        <v>0.73</v>
      </c>
      <c r="Q120" s="50">
        <f>VLOOKUP($A120,'Data shares'!$C:$FB,127)*100</f>
        <v>-39.729999999999997</v>
      </c>
    </row>
    <row r="121" spans="1:17" x14ac:dyDescent="0.25">
      <c r="A121" s="97" t="str">
        <f>'Snapshot (Value)'!A125</f>
        <v>LICI</v>
      </c>
      <c r="B121" s="140">
        <f>VLOOKUP($A121,'Data shares'!$C:$FB,7)</f>
        <v>822.15</v>
      </c>
      <c r="C121" s="140">
        <f>VLOOKUP($A121,'Data shares'!$C:$FB,3)</f>
        <v>827</v>
      </c>
      <c r="D121" s="140">
        <f>VLOOKUP($A121,'Data shares'!$C:$FB,4)</f>
        <v>811.9</v>
      </c>
      <c r="E121" s="50">
        <f t="shared" si="3"/>
        <v>1.8598349550437276</v>
      </c>
      <c r="F121" s="49">
        <f>VLOOKUP($A121,'Data shares'!$C:$FB,98)</f>
        <v>15231300</v>
      </c>
      <c r="G121" s="49">
        <f>VLOOKUP($A121,'Data shares'!$C:$FB,99)</f>
        <v>14362600</v>
      </c>
      <c r="H121" s="50">
        <f t="shared" si="4"/>
        <v>6.048347792182474</v>
      </c>
      <c r="I121" s="49">
        <f>VLOOKUP($A121,'Data shares'!$C:$FB,66)</f>
        <v>4849600</v>
      </c>
      <c r="J121" s="49">
        <f>VLOOKUP($A121,'Data shares'!$C:$FB,67)</f>
        <v>17919300</v>
      </c>
      <c r="K121" s="50">
        <f t="shared" si="5"/>
        <v>-269.50057736720555</v>
      </c>
      <c r="L121" s="50">
        <f>VLOOKUP($A121,'Data shares'!$C:$FB,118)</f>
        <v>0.88</v>
      </c>
      <c r="M121" s="50">
        <f>VLOOKUP($A121,'Data shares'!$C:$FB,119)</f>
        <v>0.93</v>
      </c>
      <c r="N121" s="50">
        <f>VLOOKUP($A121,'Data shares'!$C:$FB,121)*100</f>
        <v>-5.38</v>
      </c>
      <c r="O121" s="50">
        <f>VLOOKUP($A121,'Data shares'!$C:$FB,124)</f>
        <v>0.52</v>
      </c>
      <c r="P121" s="50">
        <f>VLOOKUP($A121,'Data shares'!$C:$FB,125)</f>
        <v>0.67</v>
      </c>
      <c r="Q121" s="50">
        <f>VLOOKUP($A121,'Data shares'!$C:$FB,127)*100</f>
        <v>-22.39</v>
      </c>
    </row>
    <row r="122" spans="1:17" x14ac:dyDescent="0.25">
      <c r="A122" s="97" t="str">
        <f>'Snapshot (Value)'!A126</f>
        <v>LODHA</v>
      </c>
      <c r="B122" s="140">
        <f>VLOOKUP($A122,'Data shares'!$C:$FB,7)</f>
        <v>929.1</v>
      </c>
      <c r="C122" s="140">
        <f>VLOOKUP($A122,'Data shares'!$C:$FB,3)</f>
        <v>931.9</v>
      </c>
      <c r="D122" s="140">
        <f>VLOOKUP($A122,'Data shares'!$C:$FB,4)</f>
        <v>912</v>
      </c>
      <c r="E122" s="50">
        <f t="shared" si="3"/>
        <v>2.1820175438596467</v>
      </c>
      <c r="F122" s="49">
        <f>VLOOKUP($A122,'Data shares'!$C:$FB,98)</f>
        <v>16369650</v>
      </c>
      <c r="G122" s="49">
        <f>VLOOKUP($A122,'Data shares'!$C:$FB,99)</f>
        <v>14826150</v>
      </c>
      <c r="H122" s="50">
        <f t="shared" si="4"/>
        <v>10.410659544116307</v>
      </c>
      <c r="I122" s="49">
        <f>VLOOKUP($A122,'Data shares'!$C:$FB,66)</f>
        <v>9164700</v>
      </c>
      <c r="J122" s="49">
        <f>VLOOKUP($A122,'Data shares'!$C:$FB,67)</f>
        <v>23605650</v>
      </c>
      <c r="K122" s="50">
        <f t="shared" si="5"/>
        <v>-157.57144260041244</v>
      </c>
      <c r="L122" s="50">
        <f>VLOOKUP($A122,'Data shares'!$C:$FB,118)</f>
        <v>0.99</v>
      </c>
      <c r="M122" s="50">
        <f>VLOOKUP($A122,'Data shares'!$C:$FB,119)</f>
        <v>1.06</v>
      </c>
      <c r="N122" s="50">
        <f>VLOOKUP($A122,'Data shares'!$C:$FB,121)*100</f>
        <v>-6.6000000000000005</v>
      </c>
      <c r="O122" s="50">
        <f>VLOOKUP($A122,'Data shares'!$C:$FB,124)</f>
        <v>0.6</v>
      </c>
      <c r="P122" s="50">
        <f>VLOOKUP($A122,'Data shares'!$C:$FB,125)</f>
        <v>1.4</v>
      </c>
      <c r="Q122" s="50">
        <f>VLOOKUP($A122,'Data shares'!$C:$FB,127)*100</f>
        <v>-57.14</v>
      </c>
    </row>
    <row r="123" spans="1:17" x14ac:dyDescent="0.25">
      <c r="A123" s="97" t="str">
        <f>'Snapshot (Value)'!A127</f>
        <v>LT</v>
      </c>
      <c r="B123" s="140">
        <f>VLOOKUP($A123,'Data shares'!$C:$FB,7)</f>
        <v>3794</v>
      </c>
      <c r="C123" s="140">
        <f>VLOOKUP($A123,'Data shares'!$C:$FB,3)</f>
        <v>3815.8</v>
      </c>
      <c r="D123" s="140">
        <f>VLOOKUP($A123,'Data shares'!$C:$FB,4)</f>
        <v>3808.7</v>
      </c>
      <c r="E123" s="50">
        <f t="shared" si="3"/>
        <v>0.18641531231129688</v>
      </c>
      <c r="F123" s="49">
        <f>VLOOKUP($A123,'Data shares'!$C:$FB,98)</f>
        <v>22885800</v>
      </c>
      <c r="G123" s="49">
        <f>VLOOKUP($A123,'Data shares'!$C:$FB,99)</f>
        <v>19292525</v>
      </c>
      <c r="H123" s="50">
        <f t="shared" si="4"/>
        <v>18.625218834755948</v>
      </c>
      <c r="I123" s="49">
        <f>VLOOKUP($A123,'Data shares'!$C:$FB,66)</f>
        <v>16404675</v>
      </c>
      <c r="J123" s="49">
        <f>VLOOKUP($A123,'Data shares'!$C:$FB,67)</f>
        <v>19664400</v>
      </c>
      <c r="K123" s="50">
        <f t="shared" si="5"/>
        <v>-19.87070758792844</v>
      </c>
      <c r="L123" s="50">
        <f>VLOOKUP($A123,'Data shares'!$C:$FB,118)</f>
        <v>0.74</v>
      </c>
      <c r="M123" s="50">
        <f>VLOOKUP($A123,'Data shares'!$C:$FB,119)</f>
        <v>0.93</v>
      </c>
      <c r="N123" s="50">
        <f>VLOOKUP($A123,'Data shares'!$C:$FB,121)*100</f>
        <v>-20.43</v>
      </c>
      <c r="O123" s="50">
        <f>VLOOKUP($A123,'Data shares'!$C:$FB,124)</f>
        <v>0.41</v>
      </c>
      <c r="P123" s="50">
        <f>VLOOKUP($A123,'Data shares'!$C:$FB,125)</f>
        <v>0.53</v>
      </c>
      <c r="Q123" s="50">
        <f>VLOOKUP($A123,'Data shares'!$C:$FB,127)*100</f>
        <v>-22.64</v>
      </c>
    </row>
    <row r="124" spans="1:17" x14ac:dyDescent="0.25">
      <c r="A124" s="97" t="str">
        <f>'Snapshot (Value)'!A128</f>
        <v>LTF</v>
      </c>
      <c r="B124" s="140">
        <f>VLOOKUP($A124,'Data shares'!$C:$FB,7)</f>
        <v>289.39999999999998</v>
      </c>
      <c r="C124" s="140">
        <f>VLOOKUP($A124,'Data shares'!$C:$FB,3)</f>
        <v>290.85000000000002</v>
      </c>
      <c r="D124" s="140">
        <f>VLOOKUP($A124,'Data shares'!$C:$FB,4)</f>
        <v>287.25</v>
      </c>
      <c r="E124" s="50">
        <f t="shared" si="3"/>
        <v>1.2532637075718094</v>
      </c>
      <c r="F124" s="49">
        <f>VLOOKUP($A124,'Data shares'!$C:$FB,98)</f>
        <v>76038750</v>
      </c>
      <c r="G124" s="49">
        <f>VLOOKUP($A124,'Data shares'!$C:$FB,99)</f>
        <v>73005750</v>
      </c>
      <c r="H124" s="50">
        <f t="shared" si="4"/>
        <v>4.154467285111104</v>
      </c>
      <c r="I124" s="49">
        <f>VLOOKUP($A124,'Data shares'!$C:$FB,66)</f>
        <v>26466750</v>
      </c>
      <c r="J124" s="49">
        <f>VLOOKUP($A124,'Data shares'!$C:$FB,67)</f>
        <v>128164500</v>
      </c>
      <c r="K124" s="50">
        <f t="shared" si="5"/>
        <v>-384.24721584629771</v>
      </c>
      <c r="L124" s="50">
        <f>VLOOKUP($A124,'Data shares'!$C:$FB,118)</f>
        <v>0.73</v>
      </c>
      <c r="M124" s="50">
        <f>VLOOKUP($A124,'Data shares'!$C:$FB,119)</f>
        <v>0.75</v>
      </c>
      <c r="N124" s="50">
        <f>VLOOKUP($A124,'Data shares'!$C:$FB,121)*100</f>
        <v>-2.67</v>
      </c>
      <c r="O124" s="50">
        <f>VLOOKUP($A124,'Data shares'!$C:$FB,124)</f>
        <v>0.61</v>
      </c>
      <c r="P124" s="50">
        <f>VLOOKUP($A124,'Data shares'!$C:$FB,125)</f>
        <v>0.44</v>
      </c>
      <c r="Q124" s="50">
        <f>VLOOKUP($A124,'Data shares'!$C:$FB,127)*100</f>
        <v>38.64</v>
      </c>
    </row>
    <row r="125" spans="1:17" x14ac:dyDescent="0.25">
      <c r="A125" s="97" t="str">
        <f>'Snapshot (Value)'!A129</f>
        <v>LTIM</v>
      </c>
      <c r="B125" s="140">
        <f>VLOOKUP($A125,'Data shares'!$C:$FB,7)</f>
        <v>6015.5</v>
      </c>
      <c r="C125" s="140">
        <f>VLOOKUP($A125,'Data shares'!$C:$FB,3)</f>
        <v>6047</v>
      </c>
      <c r="D125" s="140">
        <f>VLOOKUP($A125,'Data shares'!$C:$FB,4)</f>
        <v>5982.5</v>
      </c>
      <c r="E125" s="50">
        <f t="shared" si="3"/>
        <v>1.0781445883827832</v>
      </c>
      <c r="F125" s="49">
        <f>VLOOKUP($A125,'Data shares'!$C:$FB,98)</f>
        <v>3135300</v>
      </c>
      <c r="G125" s="49">
        <f>VLOOKUP($A125,'Data shares'!$C:$FB,99)</f>
        <v>3033600</v>
      </c>
      <c r="H125" s="50">
        <f t="shared" si="4"/>
        <v>3.3524525316455693</v>
      </c>
      <c r="I125" s="49">
        <f>VLOOKUP($A125,'Data shares'!$C:$FB,66)</f>
        <v>1479450</v>
      </c>
      <c r="J125" s="49">
        <f>VLOOKUP($A125,'Data shares'!$C:$FB,67)</f>
        <v>4590000</v>
      </c>
      <c r="K125" s="50">
        <f t="shared" si="5"/>
        <v>-210.25043090337627</v>
      </c>
      <c r="L125" s="50">
        <f>VLOOKUP($A125,'Data shares'!$C:$FB,118)</f>
        <v>0.74</v>
      </c>
      <c r="M125" s="50">
        <f>VLOOKUP($A125,'Data shares'!$C:$FB,119)</f>
        <v>0.69</v>
      </c>
      <c r="N125" s="50">
        <f>VLOOKUP($A125,'Data shares'!$C:$FB,121)*100</f>
        <v>7.2499999999999991</v>
      </c>
      <c r="O125" s="50">
        <f>VLOOKUP($A125,'Data shares'!$C:$FB,124)</f>
        <v>0.31</v>
      </c>
      <c r="P125" s="50">
        <f>VLOOKUP($A125,'Data shares'!$C:$FB,125)</f>
        <v>0.63</v>
      </c>
      <c r="Q125" s="50">
        <f>VLOOKUP($A125,'Data shares'!$C:$FB,127)*100</f>
        <v>-50.79</v>
      </c>
    </row>
    <row r="126" spans="1:17" x14ac:dyDescent="0.25">
      <c r="A126" s="97" t="str">
        <f>'Snapshot (Value)'!A130</f>
        <v>LUPIN</v>
      </c>
      <c r="B126" s="140">
        <f>VLOOKUP($A126,'Data shares'!$C:$FB,7)</f>
        <v>2129.5</v>
      </c>
      <c r="C126" s="140">
        <f>VLOOKUP($A126,'Data shares'!$C:$FB,3)</f>
        <v>2135.5</v>
      </c>
      <c r="D126" s="140">
        <f>VLOOKUP($A126,'Data shares'!$C:$FB,4)</f>
        <v>2158.1</v>
      </c>
      <c r="E126" s="50">
        <f t="shared" si="3"/>
        <v>-1.0472174598025998</v>
      </c>
      <c r="F126" s="49">
        <f>VLOOKUP($A126,'Data shares'!$C:$FB,98)</f>
        <v>8199525</v>
      </c>
      <c r="G126" s="49">
        <f>VLOOKUP($A126,'Data shares'!$C:$FB,99)</f>
        <v>7638100</v>
      </c>
      <c r="H126" s="50">
        <f t="shared" si="4"/>
        <v>7.3503227242377029</v>
      </c>
      <c r="I126" s="49">
        <f>VLOOKUP($A126,'Data shares'!$C:$FB,66)</f>
        <v>3095275</v>
      </c>
      <c r="J126" s="49">
        <f>VLOOKUP($A126,'Data shares'!$C:$FB,67)</f>
        <v>7964925</v>
      </c>
      <c r="K126" s="50">
        <f t="shared" si="5"/>
        <v>-157.32527804476177</v>
      </c>
      <c r="L126" s="50">
        <f>VLOOKUP($A126,'Data shares'!$C:$FB,118)</f>
        <v>0.63</v>
      </c>
      <c r="M126" s="50">
        <f>VLOOKUP($A126,'Data shares'!$C:$FB,119)</f>
        <v>0.67</v>
      </c>
      <c r="N126" s="50">
        <f>VLOOKUP($A126,'Data shares'!$C:$FB,121)*100</f>
        <v>-5.9700000000000006</v>
      </c>
      <c r="O126" s="50">
        <f>VLOOKUP($A126,'Data shares'!$C:$FB,124)</f>
        <v>0.42</v>
      </c>
      <c r="P126" s="50">
        <f>VLOOKUP($A126,'Data shares'!$C:$FB,125)</f>
        <v>0.26</v>
      </c>
      <c r="Q126" s="50">
        <f>VLOOKUP($A126,'Data shares'!$C:$FB,127)*100</f>
        <v>61.539999999999992</v>
      </c>
    </row>
    <row r="127" spans="1:17" x14ac:dyDescent="0.25">
      <c r="A127" s="97" t="str">
        <f>'Snapshot (Value)'!A131</f>
        <v>M&amp;M</v>
      </c>
      <c r="B127" s="140">
        <f>VLOOKUP($A127,'Data shares'!$C:$FB,7)</f>
        <v>3449.2</v>
      </c>
      <c r="C127" s="140">
        <f>VLOOKUP($A127,'Data shares'!$C:$FB,3)</f>
        <v>3470.4</v>
      </c>
      <c r="D127" s="140">
        <f>VLOOKUP($A127,'Data shares'!$C:$FB,4)</f>
        <v>3417.3</v>
      </c>
      <c r="E127" s="50">
        <f t="shared" si="3"/>
        <v>1.5538583091914642</v>
      </c>
      <c r="F127" s="49">
        <f>VLOOKUP($A127,'Data shares'!$C:$FB,98)</f>
        <v>22986600</v>
      </c>
      <c r="G127" s="49">
        <f>VLOOKUP($A127,'Data shares'!$C:$FB,99)</f>
        <v>21799400</v>
      </c>
      <c r="H127" s="50">
        <f t="shared" si="4"/>
        <v>5.4460214501316546</v>
      </c>
      <c r="I127" s="49">
        <f>VLOOKUP($A127,'Data shares'!$C:$FB,66)</f>
        <v>13588200</v>
      </c>
      <c r="J127" s="49">
        <f>VLOOKUP($A127,'Data shares'!$C:$FB,67)</f>
        <v>34479000</v>
      </c>
      <c r="K127" s="50">
        <f t="shared" si="5"/>
        <v>-153.74221751225326</v>
      </c>
      <c r="L127" s="50">
        <f>VLOOKUP($A127,'Data shares'!$C:$FB,118)</f>
        <v>1.1399999999999999</v>
      </c>
      <c r="M127" s="50">
        <f>VLOOKUP($A127,'Data shares'!$C:$FB,119)</f>
        <v>1.1200000000000001</v>
      </c>
      <c r="N127" s="50">
        <f>VLOOKUP($A127,'Data shares'!$C:$FB,121)*100</f>
        <v>1.79</v>
      </c>
      <c r="O127" s="50">
        <f>VLOOKUP($A127,'Data shares'!$C:$FB,124)</f>
        <v>0.84</v>
      </c>
      <c r="P127" s="50">
        <f>VLOOKUP($A127,'Data shares'!$C:$FB,125)</f>
        <v>1.1200000000000001</v>
      </c>
      <c r="Q127" s="50">
        <f>VLOOKUP($A127,'Data shares'!$C:$FB,127)*100</f>
        <v>-25</v>
      </c>
    </row>
    <row r="128" spans="1:17" x14ac:dyDescent="0.25">
      <c r="A128" s="97" t="str">
        <f>'Snapshot (Value)'!A132</f>
        <v>MANAPPURAM</v>
      </c>
      <c r="B128" s="140">
        <f>VLOOKUP($A128,'Data shares'!$C:$FB,7)</f>
        <v>291.7</v>
      </c>
      <c r="C128" s="140">
        <f>VLOOKUP($A128,'Data shares'!$C:$FB,3)</f>
        <v>292.45</v>
      </c>
      <c r="D128" s="140">
        <f>VLOOKUP($A128,'Data shares'!$C:$FB,4)</f>
        <v>296.95</v>
      </c>
      <c r="E128" s="50">
        <f t="shared" si="3"/>
        <v>-1.5154066341134871</v>
      </c>
      <c r="F128" s="49">
        <f>VLOOKUP($A128,'Data shares'!$C:$FB,98)</f>
        <v>62955000</v>
      </c>
      <c r="G128" s="49">
        <f>VLOOKUP($A128,'Data shares'!$C:$FB,99)</f>
        <v>57288000</v>
      </c>
      <c r="H128" s="50">
        <f t="shared" si="4"/>
        <v>9.892124005027231</v>
      </c>
      <c r="I128" s="49">
        <f>VLOOKUP($A128,'Data shares'!$C:$FB,66)</f>
        <v>45483000</v>
      </c>
      <c r="J128" s="49">
        <f>VLOOKUP($A128,'Data shares'!$C:$FB,67)</f>
        <v>72567000</v>
      </c>
      <c r="K128" s="50">
        <f t="shared" si="5"/>
        <v>-59.547523250445224</v>
      </c>
      <c r="L128" s="50">
        <f>VLOOKUP($A128,'Data shares'!$C:$FB,118)</f>
        <v>0.85</v>
      </c>
      <c r="M128" s="50">
        <f>VLOOKUP($A128,'Data shares'!$C:$FB,119)</f>
        <v>0.83</v>
      </c>
      <c r="N128" s="50">
        <f>VLOOKUP($A128,'Data shares'!$C:$FB,121)*100</f>
        <v>2.41</v>
      </c>
      <c r="O128" s="50">
        <f>VLOOKUP($A128,'Data shares'!$C:$FB,124)</f>
        <v>0.66</v>
      </c>
      <c r="P128" s="50">
        <f>VLOOKUP($A128,'Data shares'!$C:$FB,125)</f>
        <v>0.9</v>
      </c>
      <c r="Q128" s="50">
        <f>VLOOKUP($A128,'Data shares'!$C:$FB,127)*100</f>
        <v>-26.669999999999998</v>
      </c>
    </row>
    <row r="129" spans="1:17" x14ac:dyDescent="0.25">
      <c r="A129" s="97" t="str">
        <f>'Snapshot (Value)'!A133</f>
        <v>MANKIND</v>
      </c>
      <c r="B129" s="140">
        <f>VLOOKUP($A129,'Data shares'!$C:$FB,7)</f>
        <v>2116.9</v>
      </c>
      <c r="C129" s="140">
        <f>VLOOKUP($A129,'Data shares'!$C:$FB,3)</f>
        <v>2122.5</v>
      </c>
      <c r="D129" s="140">
        <f>VLOOKUP($A129,'Data shares'!$C:$FB,4)</f>
        <v>2106.6999999999998</v>
      </c>
      <c r="E129" s="50">
        <f t="shared" si="3"/>
        <v>0.74998813309916856</v>
      </c>
      <c r="F129" s="49">
        <f>VLOOKUP($A129,'Data shares'!$C:$FB,98)</f>
        <v>2531475</v>
      </c>
      <c r="G129" s="49">
        <f>VLOOKUP($A129,'Data shares'!$C:$FB,99)</f>
        <v>2260575</v>
      </c>
      <c r="H129" s="50">
        <f t="shared" si="4"/>
        <v>11.983676719418732</v>
      </c>
      <c r="I129" s="49">
        <f>VLOOKUP($A129,'Data shares'!$C:$FB,66)</f>
        <v>1291500</v>
      </c>
      <c r="J129" s="49">
        <f>VLOOKUP($A129,'Data shares'!$C:$FB,67)</f>
        <v>2526975</v>
      </c>
      <c r="K129" s="50">
        <f t="shared" si="5"/>
        <v>-95.662020905923342</v>
      </c>
      <c r="L129" s="50">
        <f>VLOOKUP($A129,'Data shares'!$C:$FB,118)</f>
        <v>1.1399999999999999</v>
      </c>
      <c r="M129" s="50">
        <f>VLOOKUP($A129,'Data shares'!$C:$FB,119)</f>
        <v>1.63</v>
      </c>
      <c r="N129" s="50">
        <f>VLOOKUP($A129,'Data shares'!$C:$FB,121)*100</f>
        <v>-30.06</v>
      </c>
      <c r="O129" s="50">
        <f>VLOOKUP($A129,'Data shares'!$C:$FB,124)</f>
        <v>0.63</v>
      </c>
      <c r="P129" s="50">
        <f>VLOOKUP($A129,'Data shares'!$C:$FB,125)</f>
        <v>0.51</v>
      </c>
      <c r="Q129" s="50">
        <f>VLOOKUP($A129,'Data shares'!$C:$FB,127)*100</f>
        <v>23.53</v>
      </c>
    </row>
    <row r="130" spans="1:17" x14ac:dyDescent="0.25">
      <c r="A130" s="97" t="str">
        <f>'Snapshot (Value)'!A134</f>
        <v>MARICO</v>
      </c>
      <c r="B130" s="140">
        <f>VLOOKUP($A130,'Data shares'!$C:$FB,7)</f>
        <v>736.65</v>
      </c>
      <c r="C130" s="140">
        <f>VLOOKUP($A130,'Data shares'!$C:$FB,3)</f>
        <v>741.65</v>
      </c>
      <c r="D130" s="140">
        <f>VLOOKUP($A130,'Data shares'!$C:$FB,4)</f>
        <v>750.85</v>
      </c>
      <c r="E130" s="50">
        <f t="shared" si="3"/>
        <v>-1.2252780182459939</v>
      </c>
      <c r="F130" s="49">
        <f>VLOOKUP($A130,'Data shares'!$C:$FB,98)</f>
        <v>35424000</v>
      </c>
      <c r="G130" s="49">
        <f>VLOOKUP($A130,'Data shares'!$C:$FB,99)</f>
        <v>33195600</v>
      </c>
      <c r="H130" s="50">
        <f t="shared" si="4"/>
        <v>6.7129378592343567</v>
      </c>
      <c r="I130" s="49">
        <f>VLOOKUP($A130,'Data shares'!$C:$FB,66)</f>
        <v>37267200</v>
      </c>
      <c r="J130" s="49">
        <f>VLOOKUP($A130,'Data shares'!$C:$FB,67)</f>
        <v>29494800</v>
      </c>
      <c r="K130" s="50">
        <f t="shared" si="5"/>
        <v>20.855873261205566</v>
      </c>
      <c r="L130" s="50">
        <f>VLOOKUP($A130,'Data shares'!$C:$FB,118)</f>
        <v>0.77</v>
      </c>
      <c r="M130" s="50">
        <f>VLOOKUP($A130,'Data shares'!$C:$FB,119)</f>
        <v>0.91</v>
      </c>
      <c r="N130" s="50">
        <f>VLOOKUP($A130,'Data shares'!$C:$FB,121)*100</f>
        <v>-15.379999999999999</v>
      </c>
      <c r="O130" s="50">
        <f>VLOOKUP($A130,'Data shares'!$C:$FB,124)</f>
        <v>0.77</v>
      </c>
      <c r="P130" s="50">
        <f>VLOOKUP($A130,'Data shares'!$C:$FB,125)</f>
        <v>0.61</v>
      </c>
      <c r="Q130" s="50">
        <f>VLOOKUP($A130,'Data shares'!$C:$FB,127)*100</f>
        <v>26.229999999999997</v>
      </c>
    </row>
    <row r="131" spans="1:17" x14ac:dyDescent="0.25">
      <c r="A131" s="97" t="str">
        <f>'Snapshot (Value)'!A135</f>
        <v>MARUTI</v>
      </c>
      <c r="B131" s="140">
        <f>VLOOKUP($A131,'Data shares'!$C:$FB,7)</f>
        <v>14877</v>
      </c>
      <c r="C131" s="140">
        <f>VLOOKUP($A131,'Data shares'!$C:$FB,3)</f>
        <v>14950</v>
      </c>
      <c r="D131" s="140">
        <f>VLOOKUP($A131,'Data shares'!$C:$FB,4)</f>
        <v>15341</v>
      </c>
      <c r="E131" s="50">
        <f t="shared" si="3"/>
        <v>-2.5487256371814091</v>
      </c>
      <c r="F131" s="49">
        <f>VLOOKUP($A131,'Data shares'!$C:$FB,98)</f>
        <v>6144900</v>
      </c>
      <c r="G131" s="49">
        <f>VLOOKUP($A131,'Data shares'!$C:$FB,99)</f>
        <v>4083950</v>
      </c>
      <c r="H131" s="50">
        <f t="shared" si="4"/>
        <v>50.464623709888713</v>
      </c>
      <c r="I131" s="49">
        <f>VLOOKUP($A131,'Data shares'!$C:$FB,66)</f>
        <v>23870300</v>
      </c>
      <c r="J131" s="49">
        <f>VLOOKUP($A131,'Data shares'!$C:$FB,67)</f>
        <v>13489800</v>
      </c>
      <c r="K131" s="50">
        <f t="shared" si="5"/>
        <v>43.487094841707055</v>
      </c>
      <c r="L131" s="50">
        <f>VLOOKUP($A131,'Data shares'!$C:$FB,118)</f>
        <v>0.59</v>
      </c>
      <c r="M131" s="50">
        <f>VLOOKUP($A131,'Data shares'!$C:$FB,119)</f>
        <v>0.76</v>
      </c>
      <c r="N131" s="50">
        <f>VLOOKUP($A131,'Data shares'!$C:$FB,121)*100</f>
        <v>-22.37</v>
      </c>
      <c r="O131" s="50">
        <f>VLOOKUP($A131,'Data shares'!$C:$FB,124)</f>
        <v>0.62</v>
      </c>
      <c r="P131" s="50">
        <f>VLOOKUP($A131,'Data shares'!$C:$FB,125)</f>
        <v>0.89</v>
      </c>
      <c r="Q131" s="50">
        <f>VLOOKUP($A131,'Data shares'!$C:$FB,127)*100</f>
        <v>-30.34</v>
      </c>
    </row>
    <row r="132" spans="1:17" x14ac:dyDescent="0.25">
      <c r="A132" s="97" t="str">
        <f>'Snapshot (Value)'!A136</f>
        <v>MAXHEALTH</v>
      </c>
      <c r="B132" s="140">
        <f>VLOOKUP($A132,'Data shares'!$C:$FB,7)</f>
        <v>958.6</v>
      </c>
      <c r="C132" s="140">
        <f>VLOOKUP($A132,'Data shares'!$C:$FB,3)</f>
        <v>964</v>
      </c>
      <c r="D132" s="140">
        <f>VLOOKUP($A132,'Data shares'!$C:$FB,4)</f>
        <v>982.6</v>
      </c>
      <c r="E132" s="50">
        <f t="shared" si="3"/>
        <v>-1.8929371056381052</v>
      </c>
      <c r="F132" s="49">
        <f>VLOOKUP($A132,'Data shares'!$C:$FB,98)</f>
        <v>21025200</v>
      </c>
      <c r="G132" s="49">
        <f>VLOOKUP($A132,'Data shares'!$C:$FB,99)</f>
        <v>19980450</v>
      </c>
      <c r="H132" s="50">
        <f t="shared" si="4"/>
        <v>5.2288612118345688</v>
      </c>
      <c r="I132" s="49">
        <f>VLOOKUP($A132,'Data shares'!$C:$FB,66)</f>
        <v>6370875</v>
      </c>
      <c r="J132" s="49">
        <f>VLOOKUP($A132,'Data shares'!$C:$FB,67)</f>
        <v>12871950</v>
      </c>
      <c r="K132" s="50">
        <f t="shared" si="5"/>
        <v>-102.04367531932428</v>
      </c>
      <c r="L132" s="50">
        <f>VLOOKUP($A132,'Data shares'!$C:$FB,118)</f>
        <v>0.98</v>
      </c>
      <c r="M132" s="50">
        <f>VLOOKUP($A132,'Data shares'!$C:$FB,119)</f>
        <v>1.0900000000000001</v>
      </c>
      <c r="N132" s="50">
        <f>VLOOKUP($A132,'Data shares'!$C:$FB,121)*100</f>
        <v>-10.09</v>
      </c>
      <c r="O132" s="50">
        <f>VLOOKUP($A132,'Data shares'!$C:$FB,124)</f>
        <v>0.71</v>
      </c>
      <c r="P132" s="50">
        <f>VLOOKUP($A132,'Data shares'!$C:$FB,125)</f>
        <v>1.18</v>
      </c>
      <c r="Q132" s="50">
        <f>VLOOKUP($A132,'Data shares'!$C:$FB,127)*100</f>
        <v>-39.83</v>
      </c>
    </row>
    <row r="133" spans="1:17" x14ac:dyDescent="0.25">
      <c r="A133" s="97" t="str">
        <f>'Snapshot (Value)'!A137</f>
        <v>MAZDOCK</v>
      </c>
      <c r="B133" s="140">
        <f>VLOOKUP($A133,'Data shares'!$C:$FB,7)</f>
        <v>2505.6</v>
      </c>
      <c r="C133" s="140">
        <f>VLOOKUP($A133,'Data shares'!$C:$FB,3)</f>
        <v>2518.1999999999998</v>
      </c>
      <c r="D133" s="140">
        <f>VLOOKUP($A133,'Data shares'!$C:$FB,4)</f>
        <v>2342.5</v>
      </c>
      <c r="E133" s="50">
        <f t="shared" si="3"/>
        <v>7.5005336179295545</v>
      </c>
      <c r="F133" s="49">
        <f>VLOOKUP($A133,'Data shares'!$C:$FB,98)</f>
        <v>7220400</v>
      </c>
      <c r="G133" s="49">
        <f>VLOOKUP($A133,'Data shares'!$C:$FB,99)</f>
        <v>6353800</v>
      </c>
      <c r="H133" s="50">
        <f t="shared" si="4"/>
        <v>13.639082124083227</v>
      </c>
      <c r="I133" s="49">
        <f>VLOOKUP($A133,'Data shares'!$C:$FB,66)</f>
        <v>11001600</v>
      </c>
      <c r="J133" s="49">
        <f>VLOOKUP($A133,'Data shares'!$C:$FB,67)</f>
        <v>11042600</v>
      </c>
      <c r="K133" s="50">
        <f t="shared" si="5"/>
        <v>-0.37267306573589298</v>
      </c>
      <c r="L133" s="50">
        <f>VLOOKUP($A133,'Data shares'!$C:$FB,118)</f>
        <v>0.75</v>
      </c>
      <c r="M133" s="50">
        <f>VLOOKUP($A133,'Data shares'!$C:$FB,119)</f>
        <v>0.94</v>
      </c>
      <c r="N133" s="50">
        <f>VLOOKUP($A133,'Data shares'!$C:$FB,121)*100</f>
        <v>-20.21</v>
      </c>
      <c r="O133" s="50">
        <f>VLOOKUP($A133,'Data shares'!$C:$FB,124)</f>
        <v>0.19</v>
      </c>
      <c r="P133" s="50">
        <f>VLOOKUP($A133,'Data shares'!$C:$FB,125)</f>
        <v>0.54</v>
      </c>
      <c r="Q133" s="50">
        <f>VLOOKUP($A133,'Data shares'!$C:$FB,127)*100</f>
        <v>-64.81</v>
      </c>
    </row>
    <row r="134" spans="1:17" x14ac:dyDescent="0.25">
      <c r="A134" s="97" t="str">
        <f>'Snapshot (Value)'!A138</f>
        <v>MCX</v>
      </c>
      <c r="B134" s="140">
        <f>VLOOKUP($A134,'Data shares'!$C:$FB,7)</f>
        <v>2593</v>
      </c>
      <c r="C134" s="140">
        <f>VLOOKUP($A134,'Data shares'!$C:$FB,3)</f>
        <v>2605</v>
      </c>
      <c r="D134" s="140">
        <f>VLOOKUP($A134,'Data shares'!$C:$FB,4)</f>
        <v>2437</v>
      </c>
      <c r="E134" s="50">
        <f t="shared" si="3"/>
        <v>6.8937217890849407</v>
      </c>
      <c r="F134" s="49">
        <f>VLOOKUP($A134,'Data shares'!$C:$FB,98)</f>
        <v>24893125</v>
      </c>
      <c r="G134" s="49">
        <f>VLOOKUP($A134,'Data shares'!$C:$FB,99)</f>
        <v>22806875</v>
      </c>
      <c r="H134" s="50">
        <f t="shared" si="4"/>
        <v>9.1474610177852078</v>
      </c>
      <c r="I134" s="49">
        <f>VLOOKUP($A134,'Data shares'!$C:$FB,66)</f>
        <v>64013750</v>
      </c>
      <c r="J134" s="49">
        <f>VLOOKUP($A134,'Data shares'!$C:$FB,67)</f>
        <v>115851250</v>
      </c>
      <c r="K134" s="50">
        <f t="shared" si="5"/>
        <v>-80.978695983284837</v>
      </c>
      <c r="L134" s="50">
        <f>VLOOKUP($A134,'Data shares'!$C:$FB,118)</f>
        <v>0.88</v>
      </c>
      <c r="M134" s="50">
        <f>VLOOKUP($A134,'Data shares'!$C:$FB,119)</f>
        <v>0.67</v>
      </c>
      <c r="N134" s="50">
        <f>VLOOKUP($A134,'Data shares'!$C:$FB,121)*100</f>
        <v>31.34</v>
      </c>
      <c r="O134" s="50">
        <f>VLOOKUP($A134,'Data shares'!$C:$FB,124)</f>
        <v>0.52</v>
      </c>
      <c r="P134" s="50">
        <f>VLOOKUP($A134,'Data shares'!$C:$FB,125)</f>
        <v>0.32</v>
      </c>
      <c r="Q134" s="50">
        <f>VLOOKUP($A134,'Data shares'!$C:$FB,127)*100</f>
        <v>62.5</v>
      </c>
    </row>
    <row r="135" spans="1:17" x14ac:dyDescent="0.25">
      <c r="A135" s="97" t="str">
        <f>'Snapshot (Value)'!A139</f>
        <v>MFSL</v>
      </c>
      <c r="B135" s="140">
        <f>VLOOKUP($A135,'Data shares'!$C:$FB,7)</f>
        <v>1623.9</v>
      </c>
      <c r="C135" s="140">
        <f>VLOOKUP($A135,'Data shares'!$C:$FB,3)</f>
        <v>1629.7</v>
      </c>
      <c r="D135" s="140">
        <f>VLOOKUP($A135,'Data shares'!$C:$FB,4)</f>
        <v>1589.7</v>
      </c>
      <c r="E135" s="50">
        <f t="shared" si="3"/>
        <v>2.5161980247845506</v>
      </c>
      <c r="F135" s="49">
        <f>VLOOKUP($A135,'Data shares'!$C:$FB,98)</f>
        <v>9769200</v>
      </c>
      <c r="G135" s="49">
        <f>VLOOKUP($A135,'Data shares'!$C:$FB,99)</f>
        <v>9376000</v>
      </c>
      <c r="H135" s="50">
        <f t="shared" si="4"/>
        <v>4.1936860068259385</v>
      </c>
      <c r="I135" s="49">
        <f>VLOOKUP($A135,'Data shares'!$C:$FB,66)</f>
        <v>2902800</v>
      </c>
      <c r="J135" s="49">
        <f>VLOOKUP($A135,'Data shares'!$C:$FB,67)</f>
        <v>5722000</v>
      </c>
      <c r="K135" s="50">
        <f t="shared" si="5"/>
        <v>-97.120022047678106</v>
      </c>
      <c r="L135" s="50">
        <f>VLOOKUP($A135,'Data shares'!$C:$FB,118)</f>
        <v>0.81</v>
      </c>
      <c r="M135" s="50">
        <f>VLOOKUP($A135,'Data shares'!$C:$FB,119)</f>
        <v>0.99</v>
      </c>
      <c r="N135" s="50">
        <f>VLOOKUP($A135,'Data shares'!$C:$FB,121)*100</f>
        <v>-18.18</v>
      </c>
      <c r="O135" s="50">
        <f>VLOOKUP($A135,'Data shares'!$C:$FB,124)</f>
        <v>0.56999999999999995</v>
      </c>
      <c r="P135" s="50">
        <f>VLOOKUP($A135,'Data shares'!$C:$FB,125)</f>
        <v>2.02</v>
      </c>
      <c r="Q135" s="50">
        <f>VLOOKUP($A135,'Data shares'!$C:$FB,127)*100</f>
        <v>-71.78</v>
      </c>
    </row>
    <row r="136" spans="1:17" x14ac:dyDescent="0.25">
      <c r="A136" s="97" t="str">
        <f>'Snapshot (Value)'!A140</f>
        <v>MIDCPNIFTY</v>
      </c>
      <c r="B136" s="140">
        <f>VLOOKUP($A136,'Data shares'!$C:$FB,7)</f>
        <v>13381.9</v>
      </c>
      <c r="C136" s="140">
        <f>VLOOKUP($A136,'Data shares'!$C:$FB,3)</f>
        <v>13409.05</v>
      </c>
      <c r="D136" s="140">
        <f>VLOOKUP($A136,'Data shares'!$C:$FB,4)</f>
        <v>13216.2</v>
      </c>
      <c r="E136" s="50">
        <f t="shared" ref="E136:E172" si="6">(C136-D136)/D136*100</f>
        <v>1.4591940194609534</v>
      </c>
      <c r="F136" s="49">
        <f>VLOOKUP($A136,'Data shares'!$C:$FB,98)</f>
        <v>10161120</v>
      </c>
      <c r="G136" s="49">
        <f>VLOOKUP($A136,'Data shares'!$C:$FB,99)</f>
        <v>6535920</v>
      </c>
      <c r="H136" s="50">
        <f t="shared" ref="H136:H172" si="7">(F136-G136)/G136*100</f>
        <v>55.465795174971547</v>
      </c>
      <c r="I136" s="49">
        <f>VLOOKUP($A136,'Data shares'!$C:$FB,66)</f>
        <v>28191720</v>
      </c>
      <c r="J136" s="49">
        <f>VLOOKUP($A136,'Data shares'!$C:$FB,67)</f>
        <v>1145465400</v>
      </c>
      <c r="K136" s="50">
        <f t="shared" ref="K136:K172" si="8">(I136-J136)/I136*100</f>
        <v>-3963.1270458134518</v>
      </c>
      <c r="L136" s="50">
        <f>VLOOKUP($A136,'Data shares'!$C:$FB,118)</f>
        <v>1.1399999999999999</v>
      </c>
      <c r="M136" s="50">
        <f>VLOOKUP($A136,'Data shares'!$C:$FB,119)</f>
        <v>1.06</v>
      </c>
      <c r="N136" s="50">
        <f>VLOOKUP($A136,'Data shares'!$C:$FB,121)*100</f>
        <v>7.55</v>
      </c>
      <c r="O136" s="50">
        <f>VLOOKUP($A136,'Data shares'!$C:$FB,124)</f>
        <v>0.86</v>
      </c>
      <c r="P136" s="50">
        <f>VLOOKUP($A136,'Data shares'!$C:$FB,125)</f>
        <v>0.88</v>
      </c>
      <c r="Q136" s="50">
        <f>VLOOKUP($A136,'Data shares'!$C:$FB,127)*100</f>
        <v>-2.27</v>
      </c>
    </row>
    <row r="137" spans="1:17" x14ac:dyDescent="0.25">
      <c r="A137" s="97" t="str">
        <f>'Snapshot (Value)'!A141</f>
        <v>MOTHERSON</v>
      </c>
      <c r="B137" s="140">
        <f>VLOOKUP($A137,'Data shares'!$C:$FB,7)</f>
        <v>111.43</v>
      </c>
      <c r="C137" s="140">
        <f>VLOOKUP($A137,'Data shares'!$C:$FB,3)</f>
        <v>111.88</v>
      </c>
      <c r="D137" s="140">
        <f>VLOOKUP($A137,'Data shares'!$C:$FB,4)</f>
        <v>110.23</v>
      </c>
      <c r="E137" s="50">
        <f t="shared" si="6"/>
        <v>1.4968701805316078</v>
      </c>
      <c r="F137" s="49">
        <f>VLOOKUP($A137,'Data shares'!$C:$FB,98)</f>
        <v>214315200</v>
      </c>
      <c r="G137" s="49">
        <f>VLOOKUP($A137,'Data shares'!$C:$FB,99)</f>
        <v>210194700</v>
      </c>
      <c r="H137" s="50">
        <f t="shared" si="7"/>
        <v>1.960325355491837</v>
      </c>
      <c r="I137" s="49">
        <f>VLOOKUP($A137,'Data shares'!$C:$FB,66)</f>
        <v>63240450</v>
      </c>
      <c r="J137" s="49">
        <f>VLOOKUP($A137,'Data shares'!$C:$FB,67)</f>
        <v>169020450</v>
      </c>
      <c r="K137" s="50">
        <f t="shared" si="8"/>
        <v>-167.26636195662746</v>
      </c>
      <c r="L137" s="50">
        <f>VLOOKUP($A137,'Data shares'!$C:$FB,118)</f>
        <v>0.81</v>
      </c>
      <c r="M137" s="50">
        <f>VLOOKUP($A137,'Data shares'!$C:$FB,119)</f>
        <v>0.8</v>
      </c>
      <c r="N137" s="50">
        <f>VLOOKUP($A137,'Data shares'!$C:$FB,121)*100</f>
        <v>1.25</v>
      </c>
      <c r="O137" s="50">
        <f>VLOOKUP($A137,'Data shares'!$C:$FB,124)</f>
        <v>0.33</v>
      </c>
      <c r="P137" s="50">
        <f>VLOOKUP($A137,'Data shares'!$C:$FB,125)</f>
        <v>0.52</v>
      </c>
      <c r="Q137" s="50">
        <f>VLOOKUP($A137,'Data shares'!$C:$FB,127)*100</f>
        <v>-36.54</v>
      </c>
    </row>
    <row r="138" spans="1:17" x14ac:dyDescent="0.25">
      <c r="A138" s="97" t="str">
        <f>'Snapshot (Value)'!A142</f>
        <v>MPHASIS</v>
      </c>
      <c r="B138" s="140">
        <f>VLOOKUP($A138,'Data shares'!$C:$FB,7)</f>
        <v>2833.7</v>
      </c>
      <c r="C138" s="140">
        <f>VLOOKUP($A138,'Data shares'!$C:$FB,3)</f>
        <v>2843.6</v>
      </c>
      <c r="D138" s="140">
        <f>VLOOKUP($A138,'Data shares'!$C:$FB,4)</f>
        <v>2826</v>
      </c>
      <c r="E138" s="50">
        <f t="shared" si="6"/>
        <v>0.62278839348902715</v>
      </c>
      <c r="F138" s="49">
        <f>VLOOKUP($A138,'Data shares'!$C:$FB,98)</f>
        <v>5375700</v>
      </c>
      <c r="G138" s="49">
        <f>VLOOKUP($A138,'Data shares'!$C:$FB,99)</f>
        <v>5267625</v>
      </c>
      <c r="H138" s="50">
        <f t="shared" si="7"/>
        <v>2.0516836335160531</v>
      </c>
      <c r="I138" s="49">
        <f>VLOOKUP($A138,'Data shares'!$C:$FB,66)</f>
        <v>1558975</v>
      </c>
      <c r="J138" s="49">
        <f>VLOOKUP($A138,'Data shares'!$C:$FB,67)</f>
        <v>5592950</v>
      </c>
      <c r="K138" s="50">
        <f t="shared" si="8"/>
        <v>-258.75815840536251</v>
      </c>
      <c r="L138" s="50">
        <f>VLOOKUP($A138,'Data shares'!$C:$FB,118)</f>
        <v>0.74</v>
      </c>
      <c r="M138" s="50">
        <f>VLOOKUP($A138,'Data shares'!$C:$FB,119)</f>
        <v>0.71</v>
      </c>
      <c r="N138" s="50">
        <f>VLOOKUP($A138,'Data shares'!$C:$FB,121)*100</f>
        <v>4.2299999999999995</v>
      </c>
      <c r="O138" s="50">
        <f>VLOOKUP($A138,'Data shares'!$C:$FB,124)</f>
        <v>0.52</v>
      </c>
      <c r="P138" s="50">
        <f>VLOOKUP($A138,'Data shares'!$C:$FB,125)</f>
        <v>0.62</v>
      </c>
      <c r="Q138" s="50">
        <f>VLOOKUP($A138,'Data shares'!$C:$FB,127)*100</f>
        <v>-16.13</v>
      </c>
    </row>
    <row r="139" spans="1:17" x14ac:dyDescent="0.25">
      <c r="A139" s="97" t="str">
        <f>'Snapshot (Value)'!A143</f>
        <v>MUTHOOTFIN</v>
      </c>
      <c r="B139" s="140">
        <f>VLOOKUP($A139,'Data shares'!$C:$FB,7)</f>
        <v>3955.5</v>
      </c>
      <c r="C139" s="140">
        <f>VLOOKUP($A139,'Data shares'!$C:$FB,3)</f>
        <v>3986.5</v>
      </c>
      <c r="D139" s="140">
        <f>VLOOKUP($A139,'Data shares'!$C:$FB,4)</f>
        <v>3889.7</v>
      </c>
      <c r="E139" s="50">
        <f t="shared" si="6"/>
        <v>2.4886238013214435</v>
      </c>
      <c r="F139" s="49">
        <f>VLOOKUP($A139,'Data shares'!$C:$FB,98)</f>
        <v>5564075</v>
      </c>
      <c r="G139" s="49">
        <f>VLOOKUP($A139,'Data shares'!$C:$FB,99)</f>
        <v>5047350</v>
      </c>
      <c r="H139" s="50">
        <f t="shared" si="7"/>
        <v>10.237550397733465</v>
      </c>
      <c r="I139" s="49">
        <f>VLOOKUP($A139,'Data shares'!$C:$FB,66)</f>
        <v>3042875</v>
      </c>
      <c r="J139" s="49">
        <f>VLOOKUP($A139,'Data shares'!$C:$FB,67)</f>
        <v>7177775</v>
      </c>
      <c r="K139" s="50">
        <f t="shared" si="8"/>
        <v>-135.88793492995933</v>
      </c>
      <c r="L139" s="50">
        <f>VLOOKUP($A139,'Data shares'!$C:$FB,118)</f>
        <v>0.69</v>
      </c>
      <c r="M139" s="50">
        <f>VLOOKUP($A139,'Data shares'!$C:$FB,119)</f>
        <v>0.72</v>
      </c>
      <c r="N139" s="50">
        <f>VLOOKUP($A139,'Data shares'!$C:$FB,121)*100</f>
        <v>-4.17</v>
      </c>
      <c r="O139" s="50">
        <f>VLOOKUP($A139,'Data shares'!$C:$FB,124)</f>
        <v>0.44</v>
      </c>
      <c r="P139" s="50">
        <f>VLOOKUP($A139,'Data shares'!$C:$FB,125)</f>
        <v>0.65</v>
      </c>
      <c r="Q139" s="50">
        <f>VLOOKUP($A139,'Data shares'!$C:$FB,127)*100</f>
        <v>-32.31</v>
      </c>
    </row>
    <row r="140" spans="1:17" x14ac:dyDescent="0.25">
      <c r="A140" s="97" t="str">
        <f>'Snapshot (Value)'!A144</f>
        <v>NATIONALUM</v>
      </c>
      <c r="B140" s="140">
        <f>VLOOKUP($A140,'Data shares'!$C:$FB,7)</f>
        <v>406.15</v>
      </c>
      <c r="C140" s="140">
        <f>VLOOKUP($A140,'Data shares'!$C:$FB,3)</f>
        <v>404.05</v>
      </c>
      <c r="D140" s="140">
        <f>VLOOKUP($A140,'Data shares'!$C:$FB,4)</f>
        <v>382.05</v>
      </c>
      <c r="E140" s="50">
        <f t="shared" si="6"/>
        <v>5.7584085852637088</v>
      </c>
      <c r="F140" s="49">
        <f>VLOOKUP($A140,'Data shares'!$C:$FB,98)</f>
        <v>89250000</v>
      </c>
      <c r="G140" s="49">
        <f>VLOOKUP($A140,'Data shares'!$C:$FB,99)</f>
        <v>82188750</v>
      </c>
      <c r="H140" s="50">
        <f t="shared" si="7"/>
        <v>8.5915043117214935</v>
      </c>
      <c r="I140" s="49">
        <f>VLOOKUP($A140,'Data shares'!$C:$FB,66)</f>
        <v>168078750</v>
      </c>
      <c r="J140" s="49">
        <f>VLOOKUP($A140,'Data shares'!$C:$FB,67)</f>
        <v>166905000</v>
      </c>
      <c r="K140" s="50">
        <f t="shared" si="8"/>
        <v>0.69833337051828392</v>
      </c>
      <c r="L140" s="50">
        <f>VLOOKUP($A140,'Data shares'!$C:$FB,118)</f>
        <v>0.87</v>
      </c>
      <c r="M140" s="50">
        <f>VLOOKUP($A140,'Data shares'!$C:$FB,119)</f>
        <v>0.78</v>
      </c>
      <c r="N140" s="50">
        <f>VLOOKUP($A140,'Data shares'!$C:$FB,121)*100</f>
        <v>11.540000000000001</v>
      </c>
      <c r="O140" s="50">
        <f>VLOOKUP($A140,'Data shares'!$C:$FB,124)</f>
        <v>0.43</v>
      </c>
      <c r="P140" s="50">
        <f>VLOOKUP($A140,'Data shares'!$C:$FB,125)</f>
        <v>0.5</v>
      </c>
      <c r="Q140" s="50">
        <f>VLOOKUP($A140,'Data shares'!$C:$FB,127)*100</f>
        <v>-14.000000000000002</v>
      </c>
    </row>
    <row r="141" spans="1:17" x14ac:dyDescent="0.25">
      <c r="A141" s="97" t="str">
        <f>'Snapshot (Value)'!A145</f>
        <v>NAUKRI</v>
      </c>
      <c r="B141" s="140">
        <f>VLOOKUP($A141,'Data shares'!$C:$FB,7)</f>
        <v>1299.9000000000001</v>
      </c>
      <c r="C141" s="140">
        <f>VLOOKUP($A141,'Data shares'!$C:$FB,3)</f>
        <v>1307.7</v>
      </c>
      <c r="D141" s="140">
        <f>VLOOKUP($A141,'Data shares'!$C:$FB,4)</f>
        <v>1286.2</v>
      </c>
      <c r="E141" s="50">
        <f t="shared" si="6"/>
        <v>1.6715907323899861</v>
      </c>
      <c r="F141" s="49">
        <f>VLOOKUP($A141,'Data shares'!$C:$FB,98)</f>
        <v>10153500</v>
      </c>
      <c r="G141" s="49">
        <f>VLOOKUP($A141,'Data shares'!$C:$FB,99)</f>
        <v>9574875</v>
      </c>
      <c r="H141" s="50">
        <f t="shared" si="7"/>
        <v>6.0431598323737905</v>
      </c>
      <c r="I141" s="49">
        <f>VLOOKUP($A141,'Data shares'!$C:$FB,66)</f>
        <v>4099875</v>
      </c>
      <c r="J141" s="49">
        <f>VLOOKUP($A141,'Data shares'!$C:$FB,67)</f>
        <v>9632250</v>
      </c>
      <c r="K141" s="50">
        <f t="shared" si="8"/>
        <v>-134.94008963687918</v>
      </c>
      <c r="L141" s="50">
        <f>VLOOKUP($A141,'Data shares'!$C:$FB,118)</f>
        <v>0.88</v>
      </c>
      <c r="M141" s="50">
        <f>VLOOKUP($A141,'Data shares'!$C:$FB,119)</f>
        <v>0.96</v>
      </c>
      <c r="N141" s="50">
        <f>VLOOKUP($A141,'Data shares'!$C:$FB,121)*100</f>
        <v>-8.33</v>
      </c>
      <c r="O141" s="50">
        <f>VLOOKUP($A141,'Data shares'!$C:$FB,124)</f>
        <v>0.62</v>
      </c>
      <c r="P141" s="50">
        <f>VLOOKUP($A141,'Data shares'!$C:$FB,125)</f>
        <v>1.1200000000000001</v>
      </c>
      <c r="Q141" s="50">
        <f>VLOOKUP($A141,'Data shares'!$C:$FB,127)*100</f>
        <v>-44.64</v>
      </c>
    </row>
    <row r="142" spans="1:17" x14ac:dyDescent="0.25">
      <c r="A142" s="97" t="str">
        <f>'Snapshot (Value)'!A146</f>
        <v>NBCC</v>
      </c>
      <c r="B142" s="140">
        <f>VLOOKUP($A142,'Data shares'!$C:$FB,7)</f>
        <v>99.53</v>
      </c>
      <c r="C142" s="140">
        <f>VLOOKUP($A142,'Data shares'!$C:$FB,3)</f>
        <v>99.8</v>
      </c>
      <c r="D142" s="140">
        <f>VLOOKUP($A142,'Data shares'!$C:$FB,4)</f>
        <v>97.23</v>
      </c>
      <c r="E142" s="50">
        <f t="shared" si="6"/>
        <v>2.6432171140594396</v>
      </c>
      <c r="F142" s="49">
        <f>VLOOKUP($A142,'Data shares'!$C:$FB,98)</f>
        <v>123259500</v>
      </c>
      <c r="G142" s="49">
        <f>VLOOKUP($A142,'Data shares'!$C:$FB,99)</f>
        <v>118417000</v>
      </c>
      <c r="H142" s="50">
        <f t="shared" si="7"/>
        <v>4.0893621692831266</v>
      </c>
      <c r="I142" s="49">
        <f>VLOOKUP($A142,'Data shares'!$C:$FB,66)</f>
        <v>57252000</v>
      </c>
      <c r="J142" s="49">
        <f>VLOOKUP($A142,'Data shares'!$C:$FB,67)</f>
        <v>137527000</v>
      </c>
      <c r="K142" s="50">
        <f t="shared" si="8"/>
        <v>-140.21344232515895</v>
      </c>
      <c r="L142" s="50">
        <f>VLOOKUP($A142,'Data shares'!$C:$FB,118)</f>
        <v>0.82</v>
      </c>
      <c r="M142" s="50">
        <f>VLOOKUP($A142,'Data shares'!$C:$FB,119)</f>
        <v>0.9</v>
      </c>
      <c r="N142" s="50">
        <f>VLOOKUP($A142,'Data shares'!$C:$FB,121)*100</f>
        <v>-8.89</v>
      </c>
      <c r="O142" s="50">
        <f>VLOOKUP($A142,'Data shares'!$C:$FB,124)</f>
        <v>0.35</v>
      </c>
      <c r="P142" s="50">
        <f>VLOOKUP($A142,'Data shares'!$C:$FB,125)</f>
        <v>0.69</v>
      </c>
      <c r="Q142" s="50">
        <f>VLOOKUP($A142,'Data shares'!$C:$FB,127)*100</f>
        <v>-49.28</v>
      </c>
    </row>
    <row r="143" spans="1:17" x14ac:dyDescent="0.25">
      <c r="A143" s="97" t="str">
        <f>'Snapshot (Value)'!A147</f>
        <v>NESTLEIND</v>
      </c>
      <c r="B143" s="140">
        <f>VLOOKUP($A143,'Data shares'!$C:$FB,7)</f>
        <v>1292.4000000000001</v>
      </c>
      <c r="C143" s="140">
        <f>VLOOKUP($A143,'Data shares'!$C:$FB,3)</f>
        <v>1288.5999999999999</v>
      </c>
      <c r="D143" s="140">
        <f>VLOOKUP($A143,'Data shares'!$C:$FB,4)</f>
        <v>1304.5999999999999</v>
      </c>
      <c r="E143" s="50">
        <f t="shared" si="6"/>
        <v>-1.2264295569523227</v>
      </c>
      <c r="F143" s="49">
        <f>VLOOKUP($A143,'Data shares'!$C:$FB,98)</f>
        <v>20366000</v>
      </c>
      <c r="G143" s="49">
        <f>VLOOKUP($A143,'Data shares'!$C:$FB,99)</f>
        <v>19201500</v>
      </c>
      <c r="H143" s="50">
        <f t="shared" si="7"/>
        <v>6.0646303674192117</v>
      </c>
      <c r="I143" s="49">
        <f>VLOOKUP($A143,'Data shares'!$C:$FB,66)</f>
        <v>6934000</v>
      </c>
      <c r="J143" s="49">
        <f>VLOOKUP($A143,'Data shares'!$C:$FB,67)</f>
        <v>12493000</v>
      </c>
      <c r="K143" s="50">
        <f t="shared" si="8"/>
        <v>-80.170175944620709</v>
      </c>
      <c r="L143" s="50">
        <f>VLOOKUP($A143,'Data shares'!$C:$FB,118)</f>
        <v>0.72</v>
      </c>
      <c r="M143" s="50">
        <f>VLOOKUP($A143,'Data shares'!$C:$FB,119)</f>
        <v>0.85</v>
      </c>
      <c r="N143" s="50">
        <f>VLOOKUP($A143,'Data shares'!$C:$FB,121)*100</f>
        <v>-15.290000000000001</v>
      </c>
      <c r="O143" s="50">
        <f>VLOOKUP($A143,'Data shares'!$C:$FB,124)</f>
        <v>0.59</v>
      </c>
      <c r="P143" s="50">
        <f>VLOOKUP($A143,'Data shares'!$C:$FB,125)</f>
        <v>0.67</v>
      </c>
      <c r="Q143" s="50">
        <f>VLOOKUP($A143,'Data shares'!$C:$FB,127)*100</f>
        <v>-11.940000000000001</v>
      </c>
    </row>
    <row r="144" spans="1:17" x14ac:dyDescent="0.25">
      <c r="A144" s="97" t="str">
        <f>'Snapshot (Value)'!A148</f>
        <v>NHPC</v>
      </c>
      <c r="B144" s="140">
        <f>VLOOKUP($A144,'Data shares'!$C:$FB,7)</f>
        <v>78.89</v>
      </c>
      <c r="C144" s="140">
        <f>VLOOKUP($A144,'Data shares'!$C:$FB,3)</f>
        <v>78.38</v>
      </c>
      <c r="D144" s="140">
        <f>VLOOKUP($A144,'Data shares'!$C:$FB,4)</f>
        <v>75.08</v>
      </c>
      <c r="E144" s="50">
        <f t="shared" si="6"/>
        <v>4.3953116675546049</v>
      </c>
      <c r="F144" s="49">
        <f>VLOOKUP($A144,'Data shares'!$C:$FB,98)</f>
        <v>97248000</v>
      </c>
      <c r="G144" s="49">
        <f>VLOOKUP($A144,'Data shares'!$C:$FB,99)</f>
        <v>93414400</v>
      </c>
      <c r="H144" s="50">
        <f t="shared" si="7"/>
        <v>4.1038640723485882</v>
      </c>
      <c r="I144" s="49">
        <f>VLOOKUP($A144,'Data shares'!$C:$FB,66)</f>
        <v>54905600</v>
      </c>
      <c r="J144" s="49">
        <f>VLOOKUP($A144,'Data shares'!$C:$FB,67)</f>
        <v>131699200</v>
      </c>
      <c r="K144" s="50">
        <f t="shared" si="8"/>
        <v>-139.8647861056067</v>
      </c>
      <c r="L144" s="50">
        <f>VLOOKUP($A144,'Data shares'!$C:$FB,118)</f>
        <v>0.89</v>
      </c>
      <c r="M144" s="50">
        <f>VLOOKUP($A144,'Data shares'!$C:$FB,119)</f>
        <v>0.93</v>
      </c>
      <c r="N144" s="50">
        <f>VLOOKUP($A144,'Data shares'!$C:$FB,121)*100</f>
        <v>-4.3</v>
      </c>
      <c r="O144" s="50">
        <f>VLOOKUP($A144,'Data shares'!$C:$FB,124)</f>
        <v>0.6</v>
      </c>
      <c r="P144" s="50">
        <f>VLOOKUP($A144,'Data shares'!$C:$FB,125)</f>
        <v>0.79</v>
      </c>
      <c r="Q144" s="50">
        <f>VLOOKUP($A144,'Data shares'!$C:$FB,127)*100</f>
        <v>-24.05</v>
      </c>
    </row>
    <row r="145" spans="1:17" x14ac:dyDescent="0.25">
      <c r="A145" s="97" t="str">
        <f>'Snapshot (Value)'!A149</f>
        <v>NIFTY</v>
      </c>
      <c r="B145" s="140">
        <f>VLOOKUP($A145,'Data shares'!$C:$FB,7)</f>
        <v>25342.75</v>
      </c>
      <c r="C145" s="140">
        <f>VLOOKUP($A145,'Data shares'!$C:$FB,3)</f>
        <v>25450.400000000001</v>
      </c>
      <c r="D145" s="140">
        <f>VLOOKUP($A145,'Data shares'!$C:$FB,4)</f>
        <v>25382.6</v>
      </c>
      <c r="E145" s="50">
        <f t="shared" si="6"/>
        <v>0.26711211617408348</v>
      </c>
      <c r="F145" s="49">
        <f>VLOOKUP($A145,'Data shares'!$C:$FB,98)</f>
        <v>345134455</v>
      </c>
      <c r="G145" s="49">
        <f>VLOOKUP($A145,'Data shares'!$C:$FB,99)</f>
        <v>256725655</v>
      </c>
      <c r="H145" s="50">
        <f t="shared" si="7"/>
        <v>34.437072523975061</v>
      </c>
      <c r="I145" s="49">
        <f>VLOOKUP($A145,'Data shares'!$C:$FB,66)</f>
        <v>3139393335</v>
      </c>
      <c r="J145" s="49">
        <f>VLOOKUP($A145,'Data shares'!$C:$FB,67)</f>
        <v>26260068900</v>
      </c>
      <c r="K145" s="50">
        <f t="shared" si="8"/>
        <v>-736.4695371948352</v>
      </c>
      <c r="L145" s="50">
        <f>VLOOKUP($A145,'Data shares'!$C:$FB,118)</f>
        <v>0.97</v>
      </c>
      <c r="M145" s="50">
        <f>VLOOKUP($A145,'Data shares'!$C:$FB,119)</f>
        <v>1.02</v>
      </c>
      <c r="N145" s="50">
        <f>VLOOKUP($A145,'Data shares'!$C:$FB,121)*100</f>
        <v>-4.9000000000000004</v>
      </c>
      <c r="O145" s="50">
        <f>VLOOKUP($A145,'Data shares'!$C:$FB,124)</f>
        <v>0.93</v>
      </c>
      <c r="P145" s="50">
        <f>VLOOKUP($A145,'Data shares'!$C:$FB,125)</f>
        <v>0.92</v>
      </c>
      <c r="Q145" s="50">
        <f>VLOOKUP($A145,'Data shares'!$C:$FB,127)*100</f>
        <v>1.0900000000000001</v>
      </c>
    </row>
    <row r="146" spans="1:17" x14ac:dyDescent="0.25">
      <c r="A146" s="97" t="str">
        <f>'Snapshot (Value)'!A150</f>
        <v>NIFTYNXT50</v>
      </c>
      <c r="B146" s="140">
        <f>VLOOKUP($A146,'Data shares'!$C:$FB,7)</f>
        <v>68205.649999999994</v>
      </c>
      <c r="C146" s="140">
        <f>VLOOKUP($A146,'Data shares'!$C:$FB,3)</f>
        <v>68402.8</v>
      </c>
      <c r="D146" s="140">
        <f>VLOOKUP($A146,'Data shares'!$C:$FB,4)</f>
        <v>67036.399999999994</v>
      </c>
      <c r="E146" s="50">
        <f t="shared" si="6"/>
        <v>2.0382956125329055</v>
      </c>
      <c r="F146" s="49">
        <f>VLOOKUP($A146,'Data shares'!$C:$FB,98)</f>
        <v>25325</v>
      </c>
      <c r="G146" s="49">
        <f>VLOOKUP($A146,'Data shares'!$C:$FB,99)</f>
        <v>20475</v>
      </c>
      <c r="H146" s="50">
        <f t="shared" si="7"/>
        <v>23.687423687423685</v>
      </c>
      <c r="I146" s="49">
        <f>VLOOKUP($A146,'Data shares'!$C:$FB,66)</f>
        <v>23800</v>
      </c>
      <c r="J146" s="49">
        <f>VLOOKUP($A146,'Data shares'!$C:$FB,67)</f>
        <v>409975</v>
      </c>
      <c r="K146" s="50">
        <f t="shared" si="8"/>
        <v>-1622.5840336134454</v>
      </c>
      <c r="L146" s="50">
        <f>VLOOKUP($A146,'Data shares'!$C:$FB,118)</f>
        <v>0.75</v>
      </c>
      <c r="M146" s="50">
        <f>VLOOKUP($A146,'Data shares'!$C:$FB,119)</f>
        <v>22</v>
      </c>
      <c r="N146" s="50">
        <f>VLOOKUP($A146,'Data shares'!$C:$FB,121)*100</f>
        <v>-96.59</v>
      </c>
      <c r="O146" s="50">
        <f>VLOOKUP($A146,'Data shares'!$C:$FB,124)</f>
        <v>0.65</v>
      </c>
      <c r="P146" s="50">
        <f>VLOOKUP($A146,'Data shares'!$C:$FB,125)</f>
        <v>0.33</v>
      </c>
      <c r="Q146" s="50">
        <f>VLOOKUP($A146,'Data shares'!$C:$FB,127)*100</f>
        <v>96.97</v>
      </c>
    </row>
    <row r="147" spans="1:17" x14ac:dyDescent="0.25">
      <c r="A147" s="97" t="str">
        <f>'Snapshot (Value)'!A151</f>
        <v>NMDC</v>
      </c>
      <c r="B147" s="140">
        <f>VLOOKUP($A147,'Data shares'!$C:$FB,7)</f>
        <v>81.52</v>
      </c>
      <c r="C147" s="140">
        <f>VLOOKUP($A147,'Data shares'!$C:$FB,3)</f>
        <v>81.69</v>
      </c>
      <c r="D147" s="140">
        <f>VLOOKUP($A147,'Data shares'!$C:$FB,4)</f>
        <v>79.42</v>
      </c>
      <c r="E147" s="50">
        <f t="shared" si="6"/>
        <v>2.8582221102996677</v>
      </c>
      <c r="F147" s="49">
        <f>VLOOKUP($A147,'Data shares'!$C:$FB,98)</f>
        <v>428834250</v>
      </c>
      <c r="G147" s="49">
        <f>VLOOKUP($A147,'Data shares'!$C:$FB,99)</f>
        <v>417035250</v>
      </c>
      <c r="H147" s="50">
        <f t="shared" si="7"/>
        <v>2.8292572390463397</v>
      </c>
      <c r="I147" s="49">
        <f>VLOOKUP($A147,'Data shares'!$C:$FB,66)</f>
        <v>177673500</v>
      </c>
      <c r="J147" s="49">
        <f>VLOOKUP($A147,'Data shares'!$C:$FB,67)</f>
        <v>291640500</v>
      </c>
      <c r="K147" s="50">
        <f t="shared" si="8"/>
        <v>-64.144062001367672</v>
      </c>
      <c r="L147" s="50">
        <f>VLOOKUP($A147,'Data shares'!$C:$FB,118)</f>
        <v>0.6</v>
      </c>
      <c r="M147" s="50">
        <f>VLOOKUP($A147,'Data shares'!$C:$FB,119)</f>
        <v>0.69</v>
      </c>
      <c r="N147" s="50">
        <f>VLOOKUP($A147,'Data shares'!$C:$FB,121)*100</f>
        <v>-13.04</v>
      </c>
      <c r="O147" s="50">
        <f>VLOOKUP($A147,'Data shares'!$C:$FB,124)</f>
        <v>0.28000000000000003</v>
      </c>
      <c r="P147" s="50">
        <f>VLOOKUP($A147,'Data shares'!$C:$FB,125)</f>
        <v>0.49</v>
      </c>
      <c r="Q147" s="50">
        <f>VLOOKUP($A147,'Data shares'!$C:$FB,127)*100</f>
        <v>-42.86</v>
      </c>
    </row>
    <row r="148" spans="1:17" x14ac:dyDescent="0.25">
      <c r="A148" s="97" t="str">
        <f>'Snapshot (Value)'!A152</f>
        <v>NTPC</v>
      </c>
      <c r="B148" s="140">
        <f>VLOOKUP($A148,'Data shares'!$C:$FB,7)</f>
        <v>348.05</v>
      </c>
      <c r="C148" s="140">
        <f>VLOOKUP($A148,'Data shares'!$C:$FB,3)</f>
        <v>347.5</v>
      </c>
      <c r="D148" s="140">
        <f>VLOOKUP($A148,'Data shares'!$C:$FB,4)</f>
        <v>343.5</v>
      </c>
      <c r="E148" s="50">
        <f t="shared" si="6"/>
        <v>1.1644832605531297</v>
      </c>
      <c r="F148" s="49">
        <f>VLOOKUP($A148,'Data shares'!$C:$FB,98)</f>
        <v>115327500</v>
      </c>
      <c r="G148" s="49">
        <f>VLOOKUP($A148,'Data shares'!$C:$FB,99)</f>
        <v>107226000</v>
      </c>
      <c r="H148" s="50">
        <f t="shared" si="7"/>
        <v>7.5555369033629898</v>
      </c>
      <c r="I148" s="49">
        <f>VLOOKUP($A148,'Data shares'!$C:$FB,66)</f>
        <v>80911500</v>
      </c>
      <c r="J148" s="49">
        <f>VLOOKUP($A148,'Data shares'!$C:$FB,67)</f>
        <v>127557000</v>
      </c>
      <c r="K148" s="50">
        <f t="shared" si="8"/>
        <v>-57.650025027344689</v>
      </c>
      <c r="L148" s="50">
        <f>VLOOKUP($A148,'Data shares'!$C:$FB,118)</f>
        <v>0.81</v>
      </c>
      <c r="M148" s="50">
        <f>VLOOKUP($A148,'Data shares'!$C:$FB,119)</f>
        <v>0.86</v>
      </c>
      <c r="N148" s="50">
        <f>VLOOKUP($A148,'Data shares'!$C:$FB,121)*100</f>
        <v>-5.81</v>
      </c>
      <c r="O148" s="50">
        <f>VLOOKUP($A148,'Data shares'!$C:$FB,124)</f>
        <v>0.41</v>
      </c>
      <c r="P148" s="50">
        <f>VLOOKUP($A148,'Data shares'!$C:$FB,125)</f>
        <v>0.56000000000000005</v>
      </c>
      <c r="Q148" s="50">
        <f>VLOOKUP($A148,'Data shares'!$C:$FB,127)*100</f>
        <v>-26.790000000000003</v>
      </c>
    </row>
    <row r="149" spans="1:17" x14ac:dyDescent="0.25">
      <c r="A149" s="97" t="str">
        <f>'Snapshot (Value)'!A153</f>
        <v>NUVAMA</v>
      </c>
      <c r="B149" s="140">
        <f>VLOOKUP($A149,'Data shares'!$C:$FB,7)</f>
        <v>1322.5</v>
      </c>
      <c r="C149" s="140">
        <f>VLOOKUP($A149,'Data shares'!$C:$FB,3)</f>
        <v>1332.7</v>
      </c>
      <c r="D149" s="140">
        <f>VLOOKUP($A149,'Data shares'!$C:$FB,4)</f>
        <v>1276.5</v>
      </c>
      <c r="E149" s="50">
        <f t="shared" si="6"/>
        <v>4.4026635330983197</v>
      </c>
      <c r="F149" s="49">
        <f>VLOOKUP($A149,'Data shares'!$C:$FB,98)</f>
        <v>3843000</v>
      </c>
      <c r="G149" s="49">
        <f>VLOOKUP($A149,'Data shares'!$C:$FB,99)</f>
        <v>3528000</v>
      </c>
      <c r="H149" s="50">
        <f t="shared" si="7"/>
        <v>8.9285714285714288</v>
      </c>
      <c r="I149" s="49">
        <f>VLOOKUP($A149,'Data shares'!$C:$FB,66)</f>
        <v>4374000</v>
      </c>
      <c r="J149" s="49">
        <f>VLOOKUP($A149,'Data shares'!$C:$FB,67)</f>
        <v>7621000</v>
      </c>
      <c r="K149" s="50">
        <f t="shared" si="8"/>
        <v>-74.234110653863738</v>
      </c>
      <c r="L149" s="50">
        <f>VLOOKUP($A149,'Data shares'!$C:$FB,118)</f>
        <v>0.88</v>
      </c>
      <c r="M149" s="50">
        <f>VLOOKUP($A149,'Data shares'!$C:$FB,119)</f>
        <v>0.92</v>
      </c>
      <c r="N149" s="50">
        <f>VLOOKUP($A149,'Data shares'!$C:$FB,121)*100</f>
        <v>-4.3499999999999996</v>
      </c>
      <c r="O149" s="50">
        <f>VLOOKUP($A149,'Data shares'!$C:$FB,124)</f>
        <v>0.45</v>
      </c>
      <c r="P149" s="50">
        <f>VLOOKUP($A149,'Data shares'!$C:$FB,125)</f>
        <v>0.91</v>
      </c>
      <c r="Q149" s="50">
        <f>VLOOKUP($A149,'Data shares'!$C:$FB,127)*100</f>
        <v>-50.55</v>
      </c>
    </row>
    <row r="150" spans="1:17" x14ac:dyDescent="0.25">
      <c r="A150" s="97" t="str">
        <f>'Snapshot (Value)'!A154</f>
        <v>NYKAA</v>
      </c>
      <c r="B150" s="140">
        <f>VLOOKUP($A150,'Data shares'!$C:$FB,7)</f>
        <v>237.2</v>
      </c>
      <c r="C150" s="140">
        <f>VLOOKUP($A150,'Data shares'!$C:$FB,3)</f>
        <v>238.8</v>
      </c>
      <c r="D150" s="140">
        <f>VLOOKUP($A150,'Data shares'!$C:$FB,4)</f>
        <v>238.3</v>
      </c>
      <c r="E150" s="50">
        <f t="shared" si="6"/>
        <v>0.20981955518254303</v>
      </c>
      <c r="F150" s="49">
        <f>VLOOKUP($A150,'Data shares'!$C:$FB,98)</f>
        <v>49581250</v>
      </c>
      <c r="G150" s="49">
        <f>VLOOKUP($A150,'Data shares'!$C:$FB,99)</f>
        <v>46912500</v>
      </c>
      <c r="H150" s="50">
        <f t="shared" si="7"/>
        <v>5.6887823074873438</v>
      </c>
      <c r="I150" s="49">
        <f>VLOOKUP($A150,'Data shares'!$C:$FB,66)</f>
        <v>14734375</v>
      </c>
      <c r="J150" s="49">
        <f>VLOOKUP($A150,'Data shares'!$C:$FB,67)</f>
        <v>49846875</v>
      </c>
      <c r="K150" s="50">
        <f t="shared" si="8"/>
        <v>-238.30328738069989</v>
      </c>
      <c r="L150" s="50">
        <f>VLOOKUP($A150,'Data shares'!$C:$FB,118)</f>
        <v>1.22</v>
      </c>
      <c r="M150" s="50">
        <f>VLOOKUP($A150,'Data shares'!$C:$FB,119)</f>
        <v>1.23</v>
      </c>
      <c r="N150" s="50">
        <f>VLOOKUP($A150,'Data shares'!$C:$FB,121)*100</f>
        <v>-0.80999999999999994</v>
      </c>
      <c r="O150" s="50">
        <f>VLOOKUP($A150,'Data shares'!$C:$FB,124)</f>
        <v>0.9</v>
      </c>
      <c r="P150" s="50">
        <f>VLOOKUP($A150,'Data shares'!$C:$FB,125)</f>
        <v>1.3</v>
      </c>
      <c r="Q150" s="50">
        <f>VLOOKUP($A150,'Data shares'!$C:$FB,127)*100</f>
        <v>-30.769999999999996</v>
      </c>
    </row>
    <row r="151" spans="1:17" x14ac:dyDescent="0.25">
      <c r="A151" s="97" t="str">
        <f>'Snapshot (Value)'!A155</f>
        <v>OBEROIRLTY</v>
      </c>
      <c r="B151" s="140">
        <f>VLOOKUP($A151,'Data shares'!$C:$FB,7)</f>
        <v>1483.2</v>
      </c>
      <c r="C151" s="140">
        <f>VLOOKUP($A151,'Data shares'!$C:$FB,3)</f>
        <v>1488.5</v>
      </c>
      <c r="D151" s="140">
        <f>VLOOKUP($A151,'Data shares'!$C:$FB,4)</f>
        <v>1476.8</v>
      </c>
      <c r="E151" s="50">
        <f t="shared" si="6"/>
        <v>0.79225352112676362</v>
      </c>
      <c r="F151" s="49">
        <f>VLOOKUP($A151,'Data shares'!$C:$FB,98)</f>
        <v>7218400</v>
      </c>
      <c r="G151" s="49">
        <f>VLOOKUP($A151,'Data shares'!$C:$FB,99)</f>
        <v>6707750</v>
      </c>
      <c r="H151" s="50">
        <f t="shared" si="7"/>
        <v>7.6128358987738061</v>
      </c>
      <c r="I151" s="49">
        <f>VLOOKUP($A151,'Data shares'!$C:$FB,66)</f>
        <v>2671550</v>
      </c>
      <c r="J151" s="49">
        <f>VLOOKUP($A151,'Data shares'!$C:$FB,67)</f>
        <v>6055000</v>
      </c>
      <c r="K151" s="50">
        <f t="shared" si="8"/>
        <v>-126.64745185379273</v>
      </c>
      <c r="L151" s="50">
        <f>VLOOKUP($A151,'Data shares'!$C:$FB,118)</f>
        <v>1.39</v>
      </c>
      <c r="M151" s="50">
        <f>VLOOKUP($A151,'Data shares'!$C:$FB,119)</f>
        <v>1.29</v>
      </c>
      <c r="N151" s="50">
        <f>VLOOKUP($A151,'Data shares'!$C:$FB,121)*100</f>
        <v>7.75</v>
      </c>
      <c r="O151" s="50">
        <f>VLOOKUP($A151,'Data shares'!$C:$FB,124)</f>
        <v>0.76</v>
      </c>
      <c r="P151" s="50">
        <f>VLOOKUP($A151,'Data shares'!$C:$FB,125)</f>
        <v>0.67</v>
      </c>
      <c r="Q151" s="50">
        <f>VLOOKUP($A151,'Data shares'!$C:$FB,127)*100</f>
        <v>13.43</v>
      </c>
    </row>
    <row r="152" spans="1:17" x14ac:dyDescent="0.25">
      <c r="A152" s="97" t="str">
        <f>'Snapshot (Value)'!A156</f>
        <v>OFSS</v>
      </c>
      <c r="B152" s="140">
        <f>VLOOKUP($A152,'Data shares'!$C:$FB,7)</f>
        <v>8012.5</v>
      </c>
      <c r="C152" s="140">
        <f>VLOOKUP($A152,'Data shares'!$C:$FB,3)</f>
        <v>8059</v>
      </c>
      <c r="D152" s="140">
        <f>VLOOKUP($A152,'Data shares'!$C:$FB,4)</f>
        <v>8041.5</v>
      </c>
      <c r="E152" s="50">
        <f t="shared" si="6"/>
        <v>0.21762109059255114</v>
      </c>
      <c r="F152" s="49">
        <f>VLOOKUP($A152,'Data shares'!$C:$FB,98)</f>
        <v>1530825</v>
      </c>
      <c r="G152" s="49">
        <f>VLOOKUP($A152,'Data shares'!$C:$FB,99)</f>
        <v>1464075</v>
      </c>
      <c r="H152" s="50">
        <f t="shared" si="7"/>
        <v>4.5591926643102294</v>
      </c>
      <c r="I152" s="49">
        <f>VLOOKUP($A152,'Data shares'!$C:$FB,66)</f>
        <v>569250</v>
      </c>
      <c r="J152" s="49">
        <f>VLOOKUP($A152,'Data shares'!$C:$FB,67)</f>
        <v>2415675</v>
      </c>
      <c r="K152" s="50">
        <f t="shared" si="8"/>
        <v>-324.36100131752306</v>
      </c>
      <c r="L152" s="50">
        <f>VLOOKUP($A152,'Data shares'!$C:$FB,118)</f>
        <v>0.82</v>
      </c>
      <c r="M152" s="50">
        <f>VLOOKUP($A152,'Data shares'!$C:$FB,119)</f>
        <v>0.82</v>
      </c>
      <c r="N152" s="50">
        <f>VLOOKUP($A152,'Data shares'!$C:$FB,121)*100</f>
        <v>0</v>
      </c>
      <c r="O152" s="50">
        <f>VLOOKUP($A152,'Data shares'!$C:$FB,124)</f>
        <v>0.48</v>
      </c>
      <c r="P152" s="50">
        <f>VLOOKUP($A152,'Data shares'!$C:$FB,125)</f>
        <v>0.78</v>
      </c>
      <c r="Q152" s="50">
        <f>VLOOKUP($A152,'Data shares'!$C:$FB,127)*100</f>
        <v>-38.46</v>
      </c>
    </row>
    <row r="153" spans="1:17" x14ac:dyDescent="0.25">
      <c r="A153" s="97" t="str">
        <f>'Snapshot (Value)'!A157</f>
        <v>OIL</v>
      </c>
      <c r="B153" s="140">
        <f>VLOOKUP($A153,'Data shares'!$C:$FB,7)</f>
        <v>490.5</v>
      </c>
      <c r="C153" s="140">
        <f>VLOOKUP($A153,'Data shares'!$C:$FB,3)</f>
        <v>490.5</v>
      </c>
      <c r="D153" s="140">
        <f>VLOOKUP($A153,'Data shares'!$C:$FB,4)</f>
        <v>446.3</v>
      </c>
      <c r="E153" s="50">
        <f t="shared" si="6"/>
        <v>9.9036522518485306</v>
      </c>
      <c r="F153" s="49">
        <f>VLOOKUP($A153,'Data shares'!$C:$FB,98)</f>
        <v>23265200</v>
      </c>
      <c r="G153" s="49">
        <f>VLOOKUP($A153,'Data shares'!$C:$FB,99)</f>
        <v>17031000</v>
      </c>
      <c r="H153" s="50">
        <f t="shared" si="7"/>
        <v>36.605014385532264</v>
      </c>
      <c r="I153" s="49">
        <f>VLOOKUP($A153,'Data shares'!$C:$FB,66)</f>
        <v>94413200</v>
      </c>
      <c r="J153" s="49">
        <f>VLOOKUP($A153,'Data shares'!$C:$FB,67)</f>
        <v>24861200</v>
      </c>
      <c r="K153" s="50">
        <f t="shared" si="8"/>
        <v>73.667665114623802</v>
      </c>
      <c r="L153" s="50">
        <f>VLOOKUP($A153,'Data shares'!$C:$FB,118)</f>
        <v>0.84</v>
      </c>
      <c r="M153" s="50">
        <f>VLOOKUP($A153,'Data shares'!$C:$FB,119)</f>
        <v>0.6</v>
      </c>
      <c r="N153" s="50">
        <f>VLOOKUP($A153,'Data shares'!$C:$FB,121)*100</f>
        <v>40</v>
      </c>
      <c r="O153" s="50">
        <f>VLOOKUP($A153,'Data shares'!$C:$FB,124)</f>
        <v>0.3</v>
      </c>
      <c r="P153" s="50">
        <f>VLOOKUP($A153,'Data shares'!$C:$FB,125)</f>
        <v>0.18</v>
      </c>
      <c r="Q153" s="50">
        <f>VLOOKUP($A153,'Data shares'!$C:$FB,127)*100</f>
        <v>66.67</v>
      </c>
    </row>
    <row r="154" spans="1:17" x14ac:dyDescent="0.25">
      <c r="A154" s="97" t="str">
        <f>'Snapshot (Value)'!A158</f>
        <v>ONGC</v>
      </c>
      <c r="B154" s="140">
        <f>VLOOKUP($A154,'Data shares'!$C:$FB,7)</f>
        <v>268.58</v>
      </c>
      <c r="C154" s="140">
        <f>VLOOKUP($A154,'Data shares'!$C:$FB,3)</f>
        <v>267.95</v>
      </c>
      <c r="D154" s="140">
        <f>VLOOKUP($A154,'Data shares'!$C:$FB,4)</f>
        <v>247.87</v>
      </c>
      <c r="E154" s="50">
        <f t="shared" si="6"/>
        <v>8.101020696332748</v>
      </c>
      <c r="F154" s="49">
        <f>VLOOKUP($A154,'Data shares'!$C:$FB,98)</f>
        <v>144087750</v>
      </c>
      <c r="G154" s="49">
        <f>VLOOKUP($A154,'Data shares'!$C:$FB,99)</f>
        <v>112227750</v>
      </c>
      <c r="H154" s="50">
        <f t="shared" si="7"/>
        <v>28.388700655586518</v>
      </c>
      <c r="I154" s="49">
        <f>VLOOKUP($A154,'Data shares'!$C:$FB,66)</f>
        <v>371331000</v>
      </c>
      <c r="J154" s="49">
        <f>VLOOKUP($A154,'Data shares'!$C:$FB,67)</f>
        <v>238380750</v>
      </c>
      <c r="K154" s="50">
        <f t="shared" si="8"/>
        <v>35.803703434402188</v>
      </c>
      <c r="L154" s="50">
        <f>VLOOKUP($A154,'Data shares'!$C:$FB,118)</f>
        <v>0.88</v>
      </c>
      <c r="M154" s="50">
        <f>VLOOKUP($A154,'Data shares'!$C:$FB,119)</f>
        <v>0.82</v>
      </c>
      <c r="N154" s="50">
        <f>VLOOKUP($A154,'Data shares'!$C:$FB,121)*100</f>
        <v>7.32</v>
      </c>
      <c r="O154" s="50">
        <f>VLOOKUP($A154,'Data shares'!$C:$FB,124)</f>
        <v>0.35</v>
      </c>
      <c r="P154" s="50">
        <f>VLOOKUP($A154,'Data shares'!$C:$FB,125)</f>
        <v>0.37</v>
      </c>
      <c r="Q154" s="50">
        <f>VLOOKUP($A154,'Data shares'!$C:$FB,127)*100</f>
        <v>-5.41</v>
      </c>
    </row>
    <row r="155" spans="1:17" x14ac:dyDescent="0.25">
      <c r="A155" s="97" t="str">
        <f>'Snapshot (Value)'!A159</f>
        <v>PAGEIND</v>
      </c>
      <c r="B155" s="140">
        <f>VLOOKUP($A155,'Data shares'!$C:$FB,7)</f>
        <v>32615</v>
      </c>
      <c r="C155" s="140">
        <f>VLOOKUP($A155,'Data shares'!$C:$FB,3)</f>
        <v>32065</v>
      </c>
      <c r="D155" s="140">
        <f>VLOOKUP($A155,'Data shares'!$C:$FB,4)</f>
        <v>31785</v>
      </c>
      <c r="E155" s="50">
        <f t="shared" si="6"/>
        <v>0.88091867232971532</v>
      </c>
      <c r="F155" s="49">
        <f>VLOOKUP($A155,'Data shares'!$C:$FB,98)</f>
        <v>351150</v>
      </c>
      <c r="G155" s="49">
        <f>VLOOKUP($A155,'Data shares'!$C:$FB,99)</f>
        <v>333060</v>
      </c>
      <c r="H155" s="50">
        <f t="shared" si="7"/>
        <v>5.4314537921095303</v>
      </c>
      <c r="I155" s="49">
        <f>VLOOKUP($A155,'Data shares'!$C:$FB,66)</f>
        <v>120435</v>
      </c>
      <c r="J155" s="49">
        <f>VLOOKUP($A155,'Data shares'!$C:$FB,67)</f>
        <v>361065</v>
      </c>
      <c r="K155" s="50">
        <f t="shared" si="8"/>
        <v>-199.80072238136754</v>
      </c>
      <c r="L155" s="50">
        <f>VLOOKUP($A155,'Data shares'!$C:$FB,118)</f>
        <v>0.68</v>
      </c>
      <c r="M155" s="50">
        <f>VLOOKUP($A155,'Data shares'!$C:$FB,119)</f>
        <v>0.66</v>
      </c>
      <c r="N155" s="50">
        <f>VLOOKUP($A155,'Data shares'!$C:$FB,121)*100</f>
        <v>3.0300000000000002</v>
      </c>
      <c r="O155" s="50">
        <f>VLOOKUP($A155,'Data shares'!$C:$FB,124)</f>
        <v>0.25</v>
      </c>
      <c r="P155" s="50">
        <f>VLOOKUP($A155,'Data shares'!$C:$FB,125)</f>
        <v>0.41</v>
      </c>
      <c r="Q155" s="50">
        <f>VLOOKUP($A155,'Data shares'!$C:$FB,127)*100</f>
        <v>-39.019999999999996</v>
      </c>
    </row>
    <row r="156" spans="1:17" x14ac:dyDescent="0.25">
      <c r="A156" s="97" t="str">
        <f>'Snapshot (Value)'!A160</f>
        <v>PATANJALI</v>
      </c>
      <c r="B156" s="140">
        <f>VLOOKUP($A156,'Data shares'!$C:$FB,7)</f>
        <v>505.75</v>
      </c>
      <c r="C156" s="140">
        <f>VLOOKUP($A156,'Data shares'!$C:$FB,3)</f>
        <v>507.45</v>
      </c>
      <c r="D156" s="140">
        <f>VLOOKUP($A156,'Data shares'!$C:$FB,4)</f>
        <v>503.05</v>
      </c>
      <c r="E156" s="50">
        <f t="shared" si="6"/>
        <v>0.87466454626776213</v>
      </c>
      <c r="F156" s="49">
        <f>VLOOKUP($A156,'Data shares'!$C:$FB,98)</f>
        <v>39532500</v>
      </c>
      <c r="G156" s="49">
        <f>VLOOKUP($A156,'Data shares'!$C:$FB,99)</f>
        <v>38854800</v>
      </c>
      <c r="H156" s="50">
        <f t="shared" si="7"/>
        <v>1.7441860465116279</v>
      </c>
      <c r="I156" s="49">
        <f>VLOOKUP($A156,'Data shares'!$C:$FB,66)</f>
        <v>8676000</v>
      </c>
      <c r="J156" s="49">
        <f>VLOOKUP($A156,'Data shares'!$C:$FB,67)</f>
        <v>16218000</v>
      </c>
      <c r="K156" s="50">
        <f t="shared" si="8"/>
        <v>-86.92946058091286</v>
      </c>
      <c r="L156" s="50">
        <f>VLOOKUP($A156,'Data shares'!$C:$FB,118)</f>
        <v>1.02</v>
      </c>
      <c r="M156" s="50">
        <f>VLOOKUP($A156,'Data shares'!$C:$FB,119)</f>
        <v>1.05</v>
      </c>
      <c r="N156" s="50">
        <f>VLOOKUP($A156,'Data shares'!$C:$FB,121)*100</f>
        <v>-2.86</v>
      </c>
      <c r="O156" s="50">
        <f>VLOOKUP($A156,'Data shares'!$C:$FB,124)</f>
        <v>0.68</v>
      </c>
      <c r="P156" s="50">
        <f>VLOOKUP($A156,'Data shares'!$C:$FB,125)</f>
        <v>0.96</v>
      </c>
      <c r="Q156" s="50">
        <f>VLOOKUP($A156,'Data shares'!$C:$FB,127)*100</f>
        <v>-29.17</v>
      </c>
    </row>
    <row r="157" spans="1:17" x14ac:dyDescent="0.25">
      <c r="A157" s="97" t="str">
        <f>'Snapshot (Value)'!A161</f>
        <v>PAYTM</v>
      </c>
      <c r="B157" s="140">
        <f>VLOOKUP($A157,'Data shares'!$C:$FB,7)</f>
        <v>1177</v>
      </c>
      <c r="C157" s="140">
        <f>VLOOKUP($A157,'Data shares'!$C:$FB,3)</f>
        <v>1184.7</v>
      </c>
      <c r="D157" s="140">
        <f>VLOOKUP($A157,'Data shares'!$C:$FB,4)</f>
        <v>1154.0999999999999</v>
      </c>
      <c r="E157" s="50">
        <f t="shared" si="6"/>
        <v>2.6514166883285797</v>
      </c>
      <c r="F157" s="49">
        <f>VLOOKUP($A157,'Data shares'!$C:$FB,98)</f>
        <v>27030900</v>
      </c>
      <c r="G157" s="49">
        <f>VLOOKUP($A157,'Data shares'!$C:$FB,99)</f>
        <v>25965150</v>
      </c>
      <c r="H157" s="50">
        <f t="shared" si="7"/>
        <v>4.104540123973865</v>
      </c>
      <c r="I157" s="49">
        <f>VLOOKUP($A157,'Data shares'!$C:$FB,66)</f>
        <v>17607350</v>
      </c>
      <c r="J157" s="49">
        <f>VLOOKUP($A157,'Data shares'!$C:$FB,67)</f>
        <v>55388550</v>
      </c>
      <c r="K157" s="50">
        <f t="shared" si="8"/>
        <v>-214.57629910236352</v>
      </c>
      <c r="L157" s="50">
        <f>VLOOKUP($A157,'Data shares'!$C:$FB,118)</f>
        <v>0.69</v>
      </c>
      <c r="M157" s="50">
        <f>VLOOKUP($A157,'Data shares'!$C:$FB,119)</f>
        <v>0.77</v>
      </c>
      <c r="N157" s="50">
        <f>VLOOKUP($A157,'Data shares'!$C:$FB,121)*100</f>
        <v>-10.39</v>
      </c>
      <c r="O157" s="50">
        <f>VLOOKUP($A157,'Data shares'!$C:$FB,124)</f>
        <v>0.35</v>
      </c>
      <c r="P157" s="50">
        <f>VLOOKUP($A157,'Data shares'!$C:$FB,125)</f>
        <v>0.73</v>
      </c>
      <c r="Q157" s="50">
        <f>VLOOKUP($A157,'Data shares'!$C:$FB,127)*100</f>
        <v>-52.05</v>
      </c>
    </row>
    <row r="158" spans="1:17" x14ac:dyDescent="0.25">
      <c r="A158" s="97" t="str">
        <f>'Snapshot (Value)'!A162</f>
        <v>PERSISTENT</v>
      </c>
      <c r="B158" s="140">
        <f>VLOOKUP($A158,'Data shares'!$C:$FB,7)</f>
        <v>6213</v>
      </c>
      <c r="C158" s="140">
        <f>VLOOKUP($A158,'Data shares'!$C:$FB,3)</f>
        <v>6235.5</v>
      </c>
      <c r="D158" s="140">
        <f>VLOOKUP($A158,'Data shares'!$C:$FB,4)</f>
        <v>6252.5</v>
      </c>
      <c r="E158" s="50">
        <f t="shared" si="6"/>
        <v>-0.27189124350259897</v>
      </c>
      <c r="F158" s="49">
        <f>VLOOKUP($A158,'Data shares'!$C:$FB,98)</f>
        <v>2863300</v>
      </c>
      <c r="G158" s="49">
        <f>VLOOKUP($A158,'Data shares'!$C:$FB,99)</f>
        <v>2583200</v>
      </c>
      <c r="H158" s="50">
        <f t="shared" si="7"/>
        <v>10.8431402911118</v>
      </c>
      <c r="I158" s="49">
        <f>VLOOKUP($A158,'Data shares'!$C:$FB,66)</f>
        <v>2584000</v>
      </c>
      <c r="J158" s="49">
        <f>VLOOKUP($A158,'Data shares'!$C:$FB,67)</f>
        <v>4157900</v>
      </c>
      <c r="K158" s="50">
        <f t="shared" si="8"/>
        <v>-60.909442724458209</v>
      </c>
      <c r="L158" s="50">
        <f>VLOOKUP($A158,'Data shares'!$C:$FB,118)</f>
        <v>0.75</v>
      </c>
      <c r="M158" s="50">
        <f>VLOOKUP($A158,'Data shares'!$C:$FB,119)</f>
        <v>0.96</v>
      </c>
      <c r="N158" s="50">
        <f>VLOOKUP($A158,'Data shares'!$C:$FB,121)*100</f>
        <v>-21.87</v>
      </c>
      <c r="O158" s="50">
        <f>VLOOKUP($A158,'Data shares'!$C:$FB,124)</f>
        <v>0.46</v>
      </c>
      <c r="P158" s="50">
        <f>VLOOKUP($A158,'Data shares'!$C:$FB,125)</f>
        <v>0.63</v>
      </c>
      <c r="Q158" s="50">
        <f>VLOOKUP($A158,'Data shares'!$C:$FB,127)*100</f>
        <v>-26.979999999999997</v>
      </c>
    </row>
    <row r="159" spans="1:17" x14ac:dyDescent="0.25">
      <c r="A159" s="97" t="str">
        <f>'Snapshot (Value)'!A163</f>
        <v>PETRONET</v>
      </c>
      <c r="B159" s="140">
        <f>VLOOKUP($A159,'Data shares'!$C:$FB,7)</f>
        <v>290.64999999999998</v>
      </c>
      <c r="C159" s="140">
        <f>VLOOKUP($A159,'Data shares'!$C:$FB,3)</f>
        <v>292.64999999999998</v>
      </c>
      <c r="D159" s="140">
        <f>VLOOKUP($A159,'Data shares'!$C:$FB,4)</f>
        <v>279.64999999999998</v>
      </c>
      <c r="E159" s="50">
        <f t="shared" si="6"/>
        <v>4.6486679778294304</v>
      </c>
      <c r="F159" s="49">
        <f>VLOOKUP($A159,'Data shares'!$C:$FB,98)</f>
        <v>60496000</v>
      </c>
      <c r="G159" s="49">
        <f>VLOOKUP($A159,'Data shares'!$C:$FB,99)</f>
        <v>55445800</v>
      </c>
      <c r="H159" s="50">
        <f t="shared" si="7"/>
        <v>9.1083544650812147</v>
      </c>
      <c r="I159" s="49">
        <f>VLOOKUP($A159,'Data shares'!$C:$FB,66)</f>
        <v>39124800</v>
      </c>
      <c r="J159" s="49">
        <f>VLOOKUP($A159,'Data shares'!$C:$FB,67)</f>
        <v>75525000</v>
      </c>
      <c r="K159" s="50">
        <f t="shared" si="8"/>
        <v>-93.036130536130528</v>
      </c>
      <c r="L159" s="50">
        <f>VLOOKUP($A159,'Data shares'!$C:$FB,118)</f>
        <v>1.01</v>
      </c>
      <c r="M159" s="50">
        <f>VLOOKUP($A159,'Data shares'!$C:$FB,119)</f>
        <v>1.4</v>
      </c>
      <c r="N159" s="50">
        <f>VLOOKUP($A159,'Data shares'!$C:$FB,121)*100</f>
        <v>-27.860000000000003</v>
      </c>
      <c r="O159" s="50">
        <f>VLOOKUP($A159,'Data shares'!$C:$FB,124)</f>
        <v>0.25</v>
      </c>
      <c r="P159" s="50">
        <f>VLOOKUP($A159,'Data shares'!$C:$FB,125)</f>
        <v>1.64</v>
      </c>
      <c r="Q159" s="50">
        <f>VLOOKUP($A159,'Data shares'!$C:$FB,127)*100</f>
        <v>-84.76</v>
      </c>
    </row>
    <row r="160" spans="1:17" x14ac:dyDescent="0.25">
      <c r="A160" s="97" t="str">
        <f>'Snapshot (Value)'!A164</f>
        <v>PFC</v>
      </c>
      <c r="B160" s="140">
        <f>VLOOKUP($A160,'Data shares'!$C:$FB,7)</f>
        <v>383.05</v>
      </c>
      <c r="C160" s="140">
        <f>VLOOKUP($A160,'Data shares'!$C:$FB,3)</f>
        <v>382.5</v>
      </c>
      <c r="D160" s="140">
        <f>VLOOKUP($A160,'Data shares'!$C:$FB,4)</f>
        <v>362.5</v>
      </c>
      <c r="E160" s="50">
        <f t="shared" si="6"/>
        <v>5.5172413793103452</v>
      </c>
      <c r="F160" s="49">
        <f>VLOOKUP($A160,'Data shares'!$C:$FB,98)</f>
        <v>95925700</v>
      </c>
      <c r="G160" s="49">
        <f>VLOOKUP($A160,'Data shares'!$C:$FB,99)</f>
        <v>92010100</v>
      </c>
      <c r="H160" s="50">
        <f t="shared" si="7"/>
        <v>4.2556197634824873</v>
      </c>
      <c r="I160" s="49">
        <f>VLOOKUP($A160,'Data shares'!$C:$FB,66)</f>
        <v>67899000</v>
      </c>
      <c r="J160" s="49">
        <f>VLOOKUP($A160,'Data shares'!$C:$FB,67)</f>
        <v>101805600</v>
      </c>
      <c r="K160" s="50">
        <f t="shared" si="8"/>
        <v>-49.936817920735209</v>
      </c>
      <c r="L160" s="50">
        <f>VLOOKUP($A160,'Data shares'!$C:$FB,118)</f>
        <v>0.99</v>
      </c>
      <c r="M160" s="50">
        <f>VLOOKUP($A160,'Data shares'!$C:$FB,119)</f>
        <v>1.06</v>
      </c>
      <c r="N160" s="50">
        <f>VLOOKUP($A160,'Data shares'!$C:$FB,121)*100</f>
        <v>-6.6000000000000005</v>
      </c>
      <c r="O160" s="50">
        <f>VLOOKUP($A160,'Data shares'!$C:$FB,124)</f>
        <v>0.35</v>
      </c>
      <c r="P160" s="50">
        <f>VLOOKUP($A160,'Data shares'!$C:$FB,125)</f>
        <v>0.84</v>
      </c>
      <c r="Q160" s="50">
        <f>VLOOKUP($A160,'Data shares'!$C:$FB,127)*100</f>
        <v>-58.330000000000005</v>
      </c>
    </row>
    <row r="161" spans="1:17" x14ac:dyDescent="0.25">
      <c r="A161" s="97" t="str">
        <f>'Snapshot (Value)'!A165</f>
        <v>PGEL</v>
      </c>
      <c r="B161" s="140">
        <f>VLOOKUP($A161,'Data shares'!$C:$FB,7)</f>
        <v>540.04999999999995</v>
      </c>
      <c r="C161" s="140">
        <f>VLOOKUP($A161,'Data shares'!$C:$FB,3)</f>
        <v>544.1</v>
      </c>
      <c r="D161" s="140">
        <f>VLOOKUP($A161,'Data shares'!$C:$FB,4)</f>
        <v>521.6</v>
      </c>
      <c r="E161" s="50">
        <f t="shared" si="6"/>
        <v>4.3136503067484666</v>
      </c>
      <c r="F161" s="49">
        <f>VLOOKUP($A161,'Data shares'!$C:$FB,98)</f>
        <v>16932800</v>
      </c>
      <c r="G161" s="49">
        <f>VLOOKUP($A161,'Data shares'!$C:$FB,99)</f>
        <v>15970450</v>
      </c>
      <c r="H161" s="50">
        <f t="shared" si="7"/>
        <v>6.0258164297186365</v>
      </c>
      <c r="I161" s="49">
        <f>VLOOKUP($A161,'Data shares'!$C:$FB,66)</f>
        <v>8330550</v>
      </c>
      <c r="J161" s="49">
        <f>VLOOKUP($A161,'Data shares'!$C:$FB,67)</f>
        <v>19988000</v>
      </c>
      <c r="K161" s="50">
        <f t="shared" si="8"/>
        <v>-139.9361386703159</v>
      </c>
      <c r="L161" s="50">
        <f>VLOOKUP($A161,'Data shares'!$C:$FB,118)</f>
        <v>0.86</v>
      </c>
      <c r="M161" s="50">
        <f>VLOOKUP($A161,'Data shares'!$C:$FB,119)</f>
        <v>0.8</v>
      </c>
      <c r="N161" s="50">
        <f>VLOOKUP($A161,'Data shares'!$C:$FB,121)*100</f>
        <v>7.5</v>
      </c>
      <c r="O161" s="50">
        <f>VLOOKUP($A161,'Data shares'!$C:$FB,124)</f>
        <v>0.61</v>
      </c>
      <c r="P161" s="50">
        <f>VLOOKUP($A161,'Data shares'!$C:$FB,125)</f>
        <v>0.78</v>
      </c>
      <c r="Q161" s="50">
        <f>VLOOKUP($A161,'Data shares'!$C:$FB,127)*100</f>
        <v>-21.790000000000003</v>
      </c>
    </row>
    <row r="162" spans="1:17" x14ac:dyDescent="0.25">
      <c r="A162" s="97" t="str">
        <f>'Snapshot (Value)'!A166</f>
        <v>PHOENIXLTD</v>
      </c>
      <c r="B162" s="140">
        <f>VLOOKUP($A162,'Data shares'!$C:$FB,7)</f>
        <v>1726.2</v>
      </c>
      <c r="C162" s="140">
        <f>VLOOKUP($A162,'Data shares'!$C:$FB,3)</f>
        <v>1735.9</v>
      </c>
      <c r="D162" s="140">
        <f>VLOOKUP($A162,'Data shares'!$C:$FB,4)</f>
        <v>1739</v>
      </c>
      <c r="E162" s="50">
        <f t="shared" si="6"/>
        <v>-0.17826336975272625</v>
      </c>
      <c r="F162" s="49">
        <f>VLOOKUP($A162,'Data shares'!$C:$FB,98)</f>
        <v>5003600</v>
      </c>
      <c r="G162" s="49">
        <f>VLOOKUP($A162,'Data shares'!$C:$FB,99)</f>
        <v>4485250</v>
      </c>
      <c r="H162" s="50">
        <f t="shared" si="7"/>
        <v>11.556769410846664</v>
      </c>
      <c r="I162" s="49">
        <f>VLOOKUP($A162,'Data shares'!$C:$FB,66)</f>
        <v>2615900</v>
      </c>
      <c r="J162" s="49">
        <f>VLOOKUP($A162,'Data shares'!$C:$FB,67)</f>
        <v>3652600</v>
      </c>
      <c r="K162" s="50">
        <f t="shared" si="8"/>
        <v>-39.630719828739629</v>
      </c>
      <c r="L162" s="50">
        <f>VLOOKUP($A162,'Data shares'!$C:$FB,118)</f>
        <v>0.6</v>
      </c>
      <c r="M162" s="50">
        <f>VLOOKUP($A162,'Data shares'!$C:$FB,119)</f>
        <v>0.54</v>
      </c>
      <c r="N162" s="50">
        <f>VLOOKUP($A162,'Data shares'!$C:$FB,121)*100</f>
        <v>11.110000000000001</v>
      </c>
      <c r="O162" s="50">
        <f>VLOOKUP($A162,'Data shares'!$C:$FB,124)</f>
        <v>0.88</v>
      </c>
      <c r="P162" s="50">
        <f>VLOOKUP($A162,'Data shares'!$C:$FB,125)</f>
        <v>2.15</v>
      </c>
      <c r="Q162" s="50">
        <f>VLOOKUP($A162,'Data shares'!$C:$FB,127)*100</f>
        <v>-59.07</v>
      </c>
    </row>
    <row r="163" spans="1:17" x14ac:dyDescent="0.25">
      <c r="A163" s="97" t="str">
        <f>'Snapshot (Value)'!A167</f>
        <v>PIDILITIND</v>
      </c>
      <c r="B163" s="140">
        <f>VLOOKUP($A163,'Data shares'!$C:$FB,7)</f>
        <v>1460.7</v>
      </c>
      <c r="C163" s="140">
        <f>VLOOKUP($A163,'Data shares'!$C:$FB,3)</f>
        <v>1469.4</v>
      </c>
      <c r="D163" s="140">
        <f>VLOOKUP($A163,'Data shares'!$C:$FB,4)</f>
        <v>1454.4</v>
      </c>
      <c r="E163" s="50">
        <f t="shared" si="6"/>
        <v>1.0313531353135312</v>
      </c>
      <c r="F163" s="49">
        <f>VLOOKUP($A163,'Data shares'!$C:$FB,98)</f>
        <v>10018500</v>
      </c>
      <c r="G163" s="49">
        <f>VLOOKUP($A163,'Data shares'!$C:$FB,99)</f>
        <v>9207500</v>
      </c>
      <c r="H163" s="50">
        <f t="shared" si="7"/>
        <v>8.80803692641868</v>
      </c>
      <c r="I163" s="49">
        <f>VLOOKUP($A163,'Data shares'!$C:$FB,66)</f>
        <v>6596500</v>
      </c>
      <c r="J163" s="49">
        <f>VLOOKUP($A163,'Data shares'!$C:$FB,67)</f>
        <v>5130000</v>
      </c>
      <c r="K163" s="50">
        <f t="shared" si="8"/>
        <v>22.231486394300006</v>
      </c>
      <c r="L163" s="50">
        <f>VLOOKUP($A163,'Data shares'!$C:$FB,118)</f>
        <v>0.85</v>
      </c>
      <c r="M163" s="50">
        <f>VLOOKUP($A163,'Data shares'!$C:$FB,119)</f>
        <v>1.18</v>
      </c>
      <c r="N163" s="50">
        <f>VLOOKUP($A163,'Data shares'!$C:$FB,121)*100</f>
        <v>-27.97</v>
      </c>
      <c r="O163" s="50">
        <f>VLOOKUP($A163,'Data shares'!$C:$FB,124)</f>
        <v>0.56000000000000005</v>
      </c>
      <c r="P163" s="50">
        <f>VLOOKUP($A163,'Data shares'!$C:$FB,125)</f>
        <v>0.89</v>
      </c>
      <c r="Q163" s="50">
        <f>VLOOKUP($A163,'Data shares'!$C:$FB,127)*100</f>
        <v>-37.08</v>
      </c>
    </row>
    <row r="164" spans="1:17" x14ac:dyDescent="0.25">
      <c r="A164" s="97" t="str">
        <f>'Snapshot (Value)'!A168</f>
        <v>PIIND</v>
      </c>
      <c r="B164" s="140">
        <f>VLOOKUP($A164,'Data shares'!$C:$FB,7)</f>
        <v>3220.8</v>
      </c>
      <c r="C164" s="140">
        <f>VLOOKUP($A164,'Data shares'!$C:$FB,3)</f>
        <v>3217.5</v>
      </c>
      <c r="D164" s="140">
        <f>VLOOKUP($A164,'Data shares'!$C:$FB,4)</f>
        <v>3159.1</v>
      </c>
      <c r="E164" s="50">
        <f t="shared" si="6"/>
        <v>1.8486277737330283</v>
      </c>
      <c r="F164" s="49">
        <f>VLOOKUP($A164,'Data shares'!$C:$FB,98)</f>
        <v>3244850</v>
      </c>
      <c r="G164" s="49">
        <f>VLOOKUP($A164,'Data shares'!$C:$FB,99)</f>
        <v>3006325</v>
      </c>
      <c r="H164" s="50">
        <f t="shared" si="7"/>
        <v>7.9341055940392344</v>
      </c>
      <c r="I164" s="49">
        <f>VLOOKUP($A164,'Data shares'!$C:$FB,66)</f>
        <v>856975</v>
      </c>
      <c r="J164" s="49">
        <f>VLOOKUP($A164,'Data shares'!$C:$FB,67)</f>
        <v>1752975</v>
      </c>
      <c r="K164" s="50">
        <f t="shared" si="8"/>
        <v>-104.5538084541556</v>
      </c>
      <c r="L164" s="50">
        <f>VLOOKUP($A164,'Data shares'!$C:$FB,118)</f>
        <v>0.89</v>
      </c>
      <c r="M164" s="50">
        <f>VLOOKUP($A164,'Data shares'!$C:$FB,119)</f>
        <v>1.1100000000000001</v>
      </c>
      <c r="N164" s="50">
        <f>VLOOKUP($A164,'Data shares'!$C:$FB,121)*100</f>
        <v>-19.82</v>
      </c>
      <c r="O164" s="50">
        <f>VLOOKUP($A164,'Data shares'!$C:$FB,124)</f>
        <v>0.38</v>
      </c>
      <c r="P164" s="50">
        <f>VLOOKUP($A164,'Data shares'!$C:$FB,125)</f>
        <v>0.48</v>
      </c>
      <c r="Q164" s="50">
        <f>VLOOKUP($A164,'Data shares'!$C:$FB,127)*100</f>
        <v>-20.830000000000002</v>
      </c>
    </row>
    <row r="165" spans="1:17" x14ac:dyDescent="0.25">
      <c r="A165" s="97" t="str">
        <f>'Snapshot (Value)'!A169</f>
        <v>PNB</v>
      </c>
      <c r="B165" s="140">
        <f>VLOOKUP($A165,'Data shares'!$C:$FB,7)</f>
        <v>124.5</v>
      </c>
      <c r="C165" s="140">
        <f>VLOOKUP($A165,'Data shares'!$C:$FB,3)</f>
        <v>125.3</v>
      </c>
      <c r="D165" s="140">
        <f>VLOOKUP($A165,'Data shares'!$C:$FB,4)</f>
        <v>123.55</v>
      </c>
      <c r="E165" s="50">
        <f t="shared" si="6"/>
        <v>1.41643059490085</v>
      </c>
      <c r="F165" s="49">
        <f>VLOOKUP($A165,'Data shares'!$C:$FB,98)</f>
        <v>353432000</v>
      </c>
      <c r="G165" s="49">
        <f>VLOOKUP($A165,'Data shares'!$C:$FB,99)</f>
        <v>341520000</v>
      </c>
      <c r="H165" s="50">
        <f t="shared" si="7"/>
        <v>3.4879362848442259</v>
      </c>
      <c r="I165" s="49">
        <f>VLOOKUP($A165,'Data shares'!$C:$FB,66)</f>
        <v>163072000</v>
      </c>
      <c r="J165" s="49">
        <f>VLOOKUP($A165,'Data shares'!$C:$FB,67)</f>
        <v>428928000</v>
      </c>
      <c r="K165" s="50">
        <f t="shared" si="8"/>
        <v>-163.02982731554161</v>
      </c>
      <c r="L165" s="50">
        <f>VLOOKUP($A165,'Data shares'!$C:$FB,118)</f>
        <v>0.65</v>
      </c>
      <c r="M165" s="50">
        <f>VLOOKUP($A165,'Data shares'!$C:$FB,119)</f>
        <v>0.6</v>
      </c>
      <c r="N165" s="50">
        <f>VLOOKUP($A165,'Data shares'!$C:$FB,121)*100</f>
        <v>8.33</v>
      </c>
      <c r="O165" s="50">
        <f>VLOOKUP($A165,'Data shares'!$C:$FB,124)</f>
        <v>0.39</v>
      </c>
      <c r="P165" s="50">
        <f>VLOOKUP($A165,'Data shares'!$C:$FB,125)</f>
        <v>0.59</v>
      </c>
      <c r="Q165" s="50">
        <f>VLOOKUP($A165,'Data shares'!$C:$FB,127)*100</f>
        <v>-33.900000000000006</v>
      </c>
    </row>
    <row r="166" spans="1:17" x14ac:dyDescent="0.25">
      <c r="A166" s="97" t="str">
        <f>'Snapshot (Value)'!A170</f>
        <v>PNBHOUSING</v>
      </c>
      <c r="B166" s="140">
        <f>VLOOKUP($A166,'Data shares'!$C:$FB,7)</f>
        <v>845.55</v>
      </c>
      <c r="C166" s="140">
        <f>VLOOKUP($A166,'Data shares'!$C:$FB,3)</f>
        <v>849</v>
      </c>
      <c r="D166" s="140">
        <f>VLOOKUP($A166,'Data shares'!$C:$FB,4)</f>
        <v>832.1</v>
      </c>
      <c r="E166" s="50">
        <f t="shared" si="6"/>
        <v>2.031005888715296</v>
      </c>
      <c r="F166" s="49">
        <f>VLOOKUP($A166,'Data shares'!$C:$FB,98)</f>
        <v>20032350</v>
      </c>
      <c r="G166" s="49">
        <f>VLOOKUP($A166,'Data shares'!$C:$FB,99)</f>
        <v>19461650</v>
      </c>
      <c r="H166" s="50">
        <f t="shared" si="7"/>
        <v>2.9324337864466785</v>
      </c>
      <c r="I166" s="49">
        <f>VLOOKUP($A166,'Data shares'!$C:$FB,66)</f>
        <v>8528650</v>
      </c>
      <c r="J166" s="49">
        <f>VLOOKUP($A166,'Data shares'!$C:$FB,67)</f>
        <v>21843900</v>
      </c>
      <c r="K166" s="50">
        <f t="shared" si="8"/>
        <v>-156.12377105403553</v>
      </c>
      <c r="L166" s="50">
        <f>VLOOKUP($A166,'Data shares'!$C:$FB,118)</f>
        <v>0.83</v>
      </c>
      <c r="M166" s="50">
        <f>VLOOKUP($A166,'Data shares'!$C:$FB,119)</f>
        <v>0.93</v>
      </c>
      <c r="N166" s="50">
        <f>VLOOKUP($A166,'Data shares'!$C:$FB,121)*100</f>
        <v>-10.75</v>
      </c>
      <c r="O166" s="50">
        <f>VLOOKUP($A166,'Data shares'!$C:$FB,124)</f>
        <v>0.56000000000000005</v>
      </c>
      <c r="P166" s="50">
        <f>VLOOKUP($A166,'Data shares'!$C:$FB,125)</f>
        <v>0.68</v>
      </c>
      <c r="Q166" s="50">
        <f>VLOOKUP($A166,'Data shares'!$C:$FB,127)*100</f>
        <v>-17.649999999999999</v>
      </c>
    </row>
    <row r="167" spans="1:17" x14ac:dyDescent="0.25">
      <c r="A167" s="97" t="str">
        <f>'Snapshot (Value)'!A171</f>
        <v>POLICYBZR</v>
      </c>
      <c r="B167" s="140">
        <f>VLOOKUP($A167,'Data shares'!$C:$FB,7)</f>
        <v>1653.1</v>
      </c>
      <c r="C167" s="140">
        <f>VLOOKUP($A167,'Data shares'!$C:$FB,3)</f>
        <v>1658</v>
      </c>
      <c r="D167" s="140">
        <f>VLOOKUP($A167,'Data shares'!$C:$FB,4)</f>
        <v>1630.8</v>
      </c>
      <c r="E167" s="50">
        <f t="shared" si="6"/>
        <v>1.6678930586215384</v>
      </c>
      <c r="F167" s="49">
        <f>VLOOKUP($A167,'Data shares'!$C:$FB,98)</f>
        <v>8172150</v>
      </c>
      <c r="G167" s="49">
        <f>VLOOKUP($A167,'Data shares'!$C:$FB,99)</f>
        <v>7988050</v>
      </c>
      <c r="H167" s="50">
        <f t="shared" si="7"/>
        <v>2.3046926346229677</v>
      </c>
      <c r="I167" s="49">
        <f>VLOOKUP($A167,'Data shares'!$C:$FB,66)</f>
        <v>3081400</v>
      </c>
      <c r="J167" s="49">
        <f>VLOOKUP($A167,'Data shares'!$C:$FB,67)</f>
        <v>9944200</v>
      </c>
      <c r="K167" s="50">
        <f t="shared" si="8"/>
        <v>-222.71694684234438</v>
      </c>
      <c r="L167" s="50">
        <f>VLOOKUP($A167,'Data shares'!$C:$FB,118)</f>
        <v>1.02</v>
      </c>
      <c r="M167" s="50">
        <f>VLOOKUP($A167,'Data shares'!$C:$FB,119)</f>
        <v>1.1599999999999999</v>
      </c>
      <c r="N167" s="50">
        <f>VLOOKUP($A167,'Data shares'!$C:$FB,121)*100</f>
        <v>-12.07</v>
      </c>
      <c r="O167" s="50">
        <f>VLOOKUP($A167,'Data shares'!$C:$FB,124)</f>
        <v>0.69</v>
      </c>
      <c r="P167" s="50">
        <f>VLOOKUP($A167,'Data shares'!$C:$FB,125)</f>
        <v>1.35</v>
      </c>
      <c r="Q167" s="50">
        <f>VLOOKUP($A167,'Data shares'!$C:$FB,127)*100</f>
        <v>-48.89</v>
      </c>
    </row>
    <row r="168" spans="1:17" x14ac:dyDescent="0.25">
      <c r="A168" s="97" t="str">
        <f>'Snapshot (Value)'!A172</f>
        <v>POLYCAB</v>
      </c>
      <c r="B168" s="140">
        <f>VLOOKUP($A168,'Data shares'!$C:$FB,7)</f>
        <v>6928</v>
      </c>
      <c r="C168" s="140">
        <f>VLOOKUP($A168,'Data shares'!$C:$FB,3)</f>
        <v>6952.5</v>
      </c>
      <c r="D168" s="140">
        <f>VLOOKUP($A168,'Data shares'!$C:$FB,4)</f>
        <v>6803.5</v>
      </c>
      <c r="E168" s="50">
        <f t="shared" si="6"/>
        <v>2.1900492393620929</v>
      </c>
      <c r="F168" s="49">
        <f>VLOOKUP($A168,'Data shares'!$C:$FB,98)</f>
        <v>4676750</v>
      </c>
      <c r="G168" s="49">
        <f>VLOOKUP($A168,'Data shares'!$C:$FB,99)</f>
        <v>4652875</v>
      </c>
      <c r="H168" s="50">
        <f t="shared" si="7"/>
        <v>0.51312360637240417</v>
      </c>
      <c r="I168" s="49">
        <f>VLOOKUP($A168,'Data shares'!$C:$FB,66)</f>
        <v>1805875</v>
      </c>
      <c r="J168" s="49">
        <f>VLOOKUP($A168,'Data shares'!$C:$FB,67)</f>
        <v>5074750</v>
      </c>
      <c r="K168" s="50">
        <f t="shared" si="8"/>
        <v>-181.01335917491522</v>
      </c>
      <c r="L168" s="50">
        <f>VLOOKUP($A168,'Data shares'!$C:$FB,118)</f>
        <v>0.54</v>
      </c>
      <c r="M168" s="50">
        <f>VLOOKUP($A168,'Data shares'!$C:$FB,119)</f>
        <v>0.56999999999999995</v>
      </c>
      <c r="N168" s="50">
        <f>VLOOKUP($A168,'Data shares'!$C:$FB,121)*100</f>
        <v>-5.26</v>
      </c>
      <c r="O168" s="50">
        <f>VLOOKUP($A168,'Data shares'!$C:$FB,124)</f>
        <v>0.43</v>
      </c>
      <c r="P168" s="50">
        <f>VLOOKUP($A168,'Data shares'!$C:$FB,125)</f>
        <v>0.56000000000000005</v>
      </c>
      <c r="Q168" s="50">
        <f>VLOOKUP($A168,'Data shares'!$C:$FB,127)*100</f>
        <v>-23.21</v>
      </c>
    </row>
    <row r="169" spans="1:17" x14ac:dyDescent="0.25">
      <c r="A169" s="97" t="str">
        <f>'Snapshot (Value)'!A173</f>
        <v>POWERGRID</v>
      </c>
      <c r="B169" s="140">
        <f>VLOOKUP($A169,'Data shares'!$C:$FB,7)</f>
        <v>259.8</v>
      </c>
      <c r="C169" s="140">
        <f>VLOOKUP($A169,'Data shares'!$C:$FB,3)</f>
        <v>257.89999999999998</v>
      </c>
      <c r="D169" s="140">
        <f>VLOOKUP($A169,'Data shares'!$C:$FB,4)</f>
        <v>252.65</v>
      </c>
      <c r="E169" s="50">
        <f t="shared" si="6"/>
        <v>2.077973481100325</v>
      </c>
      <c r="F169" s="49">
        <f>VLOOKUP($A169,'Data shares'!$C:$FB,98)</f>
        <v>133408500</v>
      </c>
      <c r="G169" s="49">
        <f>VLOOKUP($A169,'Data shares'!$C:$FB,99)</f>
        <v>125183400</v>
      </c>
      <c r="H169" s="50">
        <f t="shared" si="7"/>
        <v>6.570439850651125</v>
      </c>
      <c r="I169" s="49">
        <f>VLOOKUP($A169,'Data shares'!$C:$FB,66)</f>
        <v>46399900</v>
      </c>
      <c r="J169" s="49">
        <f>VLOOKUP($A169,'Data shares'!$C:$FB,67)</f>
        <v>115240700</v>
      </c>
      <c r="K169" s="50">
        <f t="shared" si="8"/>
        <v>-148.36411285369149</v>
      </c>
      <c r="L169" s="50">
        <f>VLOOKUP($A169,'Data shares'!$C:$FB,118)</f>
        <v>1.1100000000000001</v>
      </c>
      <c r="M169" s="50">
        <f>VLOOKUP($A169,'Data shares'!$C:$FB,119)</f>
        <v>1.33</v>
      </c>
      <c r="N169" s="50">
        <f>VLOOKUP($A169,'Data shares'!$C:$FB,121)*100</f>
        <v>-16.54</v>
      </c>
      <c r="O169" s="50">
        <f>VLOOKUP($A169,'Data shares'!$C:$FB,124)</f>
        <v>0.37</v>
      </c>
      <c r="P169" s="50">
        <f>VLOOKUP($A169,'Data shares'!$C:$FB,125)</f>
        <v>0.97</v>
      </c>
      <c r="Q169" s="50">
        <f>VLOOKUP($A169,'Data shares'!$C:$FB,127)*100</f>
        <v>-61.860000000000007</v>
      </c>
    </row>
    <row r="170" spans="1:17" x14ac:dyDescent="0.25">
      <c r="A170" s="97" t="str">
        <f>'Snapshot (Value)'!A174</f>
        <v>POWERINDIA</v>
      </c>
      <c r="B170" s="140">
        <f>VLOOKUP($A170,'Data shares'!$C:$FB,7)</f>
        <v>17683</v>
      </c>
      <c r="C170" s="140">
        <f>VLOOKUP($A170,'Data shares'!$C:$FB,3)</f>
        <v>17803</v>
      </c>
      <c r="D170" s="140">
        <f>VLOOKUP($A170,'Data shares'!$C:$FB,4)</f>
        <v>16812</v>
      </c>
      <c r="E170" s="50">
        <f t="shared" si="6"/>
        <v>5.8945990958838923</v>
      </c>
      <c r="F170" s="49">
        <f>VLOOKUP($A170,'Data shares'!$C:$FB,98)</f>
        <v>390700</v>
      </c>
      <c r="G170" s="49">
        <f>VLOOKUP($A170,'Data shares'!$C:$FB,99)</f>
        <v>336850</v>
      </c>
      <c r="H170" s="50">
        <f t="shared" si="7"/>
        <v>15.986344070060857</v>
      </c>
      <c r="I170" s="49">
        <f>VLOOKUP($A170,'Data shares'!$C:$FB,66)</f>
        <v>394200</v>
      </c>
      <c r="J170" s="49">
        <f>VLOOKUP($A170,'Data shares'!$C:$FB,67)</f>
        <v>771200</v>
      </c>
      <c r="K170" s="50">
        <f t="shared" si="8"/>
        <v>-95.636732623033993</v>
      </c>
      <c r="L170" s="50">
        <f>VLOOKUP($A170,'Data shares'!$C:$FB,118)</f>
        <v>0.59</v>
      </c>
      <c r="M170" s="50">
        <f>VLOOKUP($A170,'Data shares'!$C:$FB,119)</f>
        <v>0.63</v>
      </c>
      <c r="N170" s="50">
        <f>VLOOKUP($A170,'Data shares'!$C:$FB,121)*100</f>
        <v>-6.35</v>
      </c>
      <c r="O170" s="50">
        <f>VLOOKUP($A170,'Data shares'!$C:$FB,124)</f>
        <v>0.26</v>
      </c>
      <c r="P170" s="50">
        <f>VLOOKUP($A170,'Data shares'!$C:$FB,125)</f>
        <v>1.48</v>
      </c>
      <c r="Q170" s="50">
        <f>VLOOKUP($A170,'Data shares'!$C:$FB,127)*100</f>
        <v>-82.43</v>
      </c>
    </row>
    <row r="171" spans="1:17" x14ac:dyDescent="0.25">
      <c r="A171" s="97" t="str">
        <f>'Snapshot (Value)'!A175</f>
        <v>PPLPHARMA</v>
      </c>
      <c r="B171" s="140">
        <f>VLOOKUP($A171,'Data shares'!$C:$FB,7)</f>
        <v>153.96</v>
      </c>
      <c r="C171" s="140">
        <f>VLOOKUP($A171,'Data shares'!$C:$FB,3)</f>
        <v>154.24</v>
      </c>
      <c r="D171" s="140">
        <f>VLOOKUP($A171,'Data shares'!$C:$FB,4)</f>
        <v>152.69999999999999</v>
      </c>
      <c r="E171" s="50">
        <f t="shared" si="6"/>
        <v>1.0085134250163854</v>
      </c>
      <c r="F171" s="49">
        <f>VLOOKUP($A171,'Data shares'!$C:$FB,98)</f>
        <v>36849750</v>
      </c>
      <c r="G171" s="49">
        <f>VLOOKUP($A171,'Data shares'!$C:$FB,99)</f>
        <v>27909000</v>
      </c>
      <c r="H171" s="50">
        <f t="shared" si="7"/>
        <v>32.035364936042136</v>
      </c>
      <c r="I171" s="49">
        <f>VLOOKUP($A171,'Data shares'!$C:$FB,66)</f>
        <v>31227000</v>
      </c>
      <c r="J171" s="49">
        <f>VLOOKUP($A171,'Data shares'!$C:$FB,67)</f>
        <v>37041375</v>
      </c>
      <c r="K171" s="50">
        <f t="shared" si="8"/>
        <v>-18.619704102219234</v>
      </c>
      <c r="L171" s="50">
        <f>VLOOKUP($A171,'Data shares'!$C:$FB,118)</f>
        <v>1.07</v>
      </c>
      <c r="M171" s="50">
        <f>VLOOKUP($A171,'Data shares'!$C:$FB,119)</f>
        <v>1.19</v>
      </c>
      <c r="N171" s="50">
        <f>VLOOKUP($A171,'Data shares'!$C:$FB,121)*100</f>
        <v>-10.08</v>
      </c>
      <c r="O171" s="50">
        <f>VLOOKUP($A171,'Data shares'!$C:$FB,124)</f>
        <v>0.77</v>
      </c>
      <c r="P171" s="50">
        <f>VLOOKUP($A171,'Data shares'!$C:$FB,125)</f>
        <v>0.86</v>
      </c>
      <c r="Q171" s="50">
        <f>VLOOKUP($A171,'Data shares'!$C:$FB,127)*100</f>
        <v>-10.47</v>
      </c>
    </row>
    <row r="172" spans="1:17" x14ac:dyDescent="0.25">
      <c r="A172" s="97" t="str">
        <f>'Snapshot (Value)'!A176</f>
        <v>PREMIERENE</v>
      </c>
      <c r="B172" s="140">
        <f>VLOOKUP($A172,'Data shares'!$C:$FB,7)</f>
        <v>715.05</v>
      </c>
      <c r="C172" s="140">
        <f>VLOOKUP($A172,'Data shares'!$C:$FB,3)</f>
        <v>719.2</v>
      </c>
      <c r="D172" s="140">
        <f>VLOOKUP($A172,'Data shares'!$C:$FB,4)</f>
        <v>710.7</v>
      </c>
      <c r="E172" s="50">
        <f t="shared" si="6"/>
        <v>1.196003939777684</v>
      </c>
      <c r="F172" s="49">
        <f>VLOOKUP($A172,'Data shares'!$C:$FB,98)</f>
        <v>7514675</v>
      </c>
      <c r="G172" s="49">
        <f>VLOOKUP($A172,'Data shares'!$C:$FB,99)</f>
        <v>7387600</v>
      </c>
      <c r="H172" s="50">
        <f t="shared" si="7"/>
        <v>1.7201120797011207</v>
      </c>
      <c r="I172" s="49">
        <f>VLOOKUP($A172,'Data shares'!$C:$FB,66)</f>
        <v>3556375</v>
      </c>
      <c r="J172" s="49">
        <f>VLOOKUP($A172,'Data shares'!$C:$FB,67)</f>
        <v>19844400</v>
      </c>
      <c r="K172" s="50">
        <f t="shared" si="8"/>
        <v>-457.99514955537592</v>
      </c>
      <c r="L172" s="50">
        <f>VLOOKUP($A172,'Data shares'!$C:$FB,118)</f>
        <v>0.6</v>
      </c>
      <c r="M172" s="50">
        <f>VLOOKUP($A172,'Data shares'!$C:$FB,119)</f>
        <v>0.56999999999999995</v>
      </c>
      <c r="N172" s="50">
        <f>VLOOKUP($A172,'Data shares'!$C:$FB,121)*100</f>
        <v>5.26</v>
      </c>
      <c r="O172" s="50">
        <f>VLOOKUP($A172,'Data shares'!$C:$FB,124)</f>
        <v>0.34</v>
      </c>
      <c r="P172" s="50">
        <f>VLOOKUP($A172,'Data shares'!$C:$FB,125)</f>
        <v>0.38</v>
      </c>
      <c r="Q172" s="50">
        <f>VLOOKUP($A172,'Data shares'!$C:$FB,127)*100</f>
        <v>-10.530000000000001</v>
      </c>
    </row>
    <row r="173" spans="1:17" x14ac:dyDescent="0.25">
      <c r="A173" s="97" t="str">
        <f>'Snapshot (Value)'!A177</f>
        <v>PRESTIGE</v>
      </c>
      <c r="B173" s="140">
        <f>VLOOKUP($A173,'Data shares'!$C:$FB,7)</f>
        <v>1422</v>
      </c>
      <c r="C173" s="140">
        <f>VLOOKUP($A173,'Data shares'!$C:$FB,3)</f>
        <v>1430.4</v>
      </c>
      <c r="D173" s="140">
        <f>VLOOKUP($A173,'Data shares'!$C:$FB,4)</f>
        <v>1400</v>
      </c>
      <c r="E173" s="50">
        <f t="shared" ref="E173:E182" si="9">(C173-D173)/D173*100</f>
        <v>2.1714285714285779</v>
      </c>
      <c r="F173" s="49">
        <f>VLOOKUP($A173,'Data shares'!$C:$FB,98)</f>
        <v>4981050</v>
      </c>
      <c r="G173" s="49">
        <f>VLOOKUP($A173,'Data shares'!$C:$FB,99)</f>
        <v>4826250</v>
      </c>
      <c r="H173" s="50">
        <f t="shared" ref="H173:H182" si="10">(F173-G173)/G173*100</f>
        <v>3.2074592074592077</v>
      </c>
      <c r="I173" s="49">
        <f>VLOOKUP($A173,'Data shares'!$C:$FB,66)</f>
        <v>2406150</v>
      </c>
      <c r="J173" s="49">
        <f>VLOOKUP($A173,'Data shares'!$C:$FB,67)</f>
        <v>7866450</v>
      </c>
      <c r="K173" s="50">
        <f t="shared" ref="K173:K182" si="11">(I173-J173)/I173*100</f>
        <v>-226.93098933981673</v>
      </c>
      <c r="L173" s="50">
        <f>VLOOKUP($A173,'Data shares'!$C:$FB,118)</f>
        <v>0.79</v>
      </c>
      <c r="M173" s="50">
        <f>VLOOKUP($A173,'Data shares'!$C:$FB,119)</f>
        <v>1.1200000000000001</v>
      </c>
      <c r="N173" s="50">
        <f>VLOOKUP($A173,'Data shares'!$C:$FB,121)*100</f>
        <v>-29.459999999999997</v>
      </c>
      <c r="O173" s="50">
        <f>VLOOKUP($A173,'Data shares'!$C:$FB,124)</f>
        <v>0.49</v>
      </c>
      <c r="P173" s="50">
        <f>VLOOKUP($A173,'Data shares'!$C:$FB,125)</f>
        <v>1.32</v>
      </c>
      <c r="Q173" s="50">
        <f>VLOOKUP($A173,'Data shares'!$C:$FB,127)*100</f>
        <v>-62.88</v>
      </c>
    </row>
    <row r="174" spans="1:17" x14ac:dyDescent="0.25">
      <c r="A174" s="97" t="str">
        <f>'Snapshot (Value)'!A178</f>
        <v>RBLBANK</v>
      </c>
      <c r="B174" s="140">
        <f>VLOOKUP($A174,'Data shares'!$C:$FB,7)</f>
        <v>297.35000000000002</v>
      </c>
      <c r="C174" s="140">
        <f>VLOOKUP($A174,'Data shares'!$C:$FB,3)</f>
        <v>298.89999999999998</v>
      </c>
      <c r="D174" s="140">
        <f>VLOOKUP($A174,'Data shares'!$C:$FB,4)</f>
        <v>297.2</v>
      </c>
      <c r="E174" s="50">
        <f t="shared" si="9"/>
        <v>0.57200538358007702</v>
      </c>
      <c r="F174" s="49">
        <f>VLOOKUP($A174,'Data shares'!$C:$FB,98)</f>
        <v>111880650</v>
      </c>
      <c r="G174" s="49">
        <f>VLOOKUP($A174,'Data shares'!$C:$FB,99)</f>
        <v>107692825</v>
      </c>
      <c r="H174" s="50">
        <f t="shared" si="10"/>
        <v>3.8886759633243901</v>
      </c>
      <c r="I174" s="49">
        <f>VLOOKUP($A174,'Data shares'!$C:$FB,66)</f>
        <v>28470225</v>
      </c>
      <c r="J174" s="49">
        <f>VLOOKUP($A174,'Data shares'!$C:$FB,67)</f>
        <v>105619550</v>
      </c>
      <c r="K174" s="50">
        <f t="shared" si="11"/>
        <v>-270.98249135719863</v>
      </c>
      <c r="L174" s="50">
        <f>VLOOKUP($A174,'Data shares'!$C:$FB,118)</f>
        <v>0.66</v>
      </c>
      <c r="M174" s="50">
        <f>VLOOKUP($A174,'Data shares'!$C:$FB,119)</f>
        <v>0.74</v>
      </c>
      <c r="N174" s="50">
        <f>VLOOKUP($A174,'Data shares'!$C:$FB,121)*100</f>
        <v>-10.81</v>
      </c>
      <c r="O174" s="50">
        <f>VLOOKUP($A174,'Data shares'!$C:$FB,124)</f>
        <v>0.46</v>
      </c>
      <c r="P174" s="50">
        <f>VLOOKUP($A174,'Data shares'!$C:$FB,125)</f>
        <v>0.8</v>
      </c>
      <c r="Q174" s="50">
        <f>VLOOKUP($A174,'Data shares'!$C:$FB,127)*100</f>
        <v>-42.5</v>
      </c>
    </row>
    <row r="175" spans="1:17" x14ac:dyDescent="0.25">
      <c r="A175" s="97" t="str">
        <f>'Snapshot (Value)'!A179</f>
        <v>RECLTD</v>
      </c>
      <c r="B175" s="140">
        <f>VLOOKUP($A175,'Data shares'!$C:$FB,7)</f>
        <v>377.5</v>
      </c>
      <c r="C175" s="140">
        <f>VLOOKUP($A175,'Data shares'!$C:$FB,3)</f>
        <v>375.95</v>
      </c>
      <c r="D175" s="140">
        <f>VLOOKUP($A175,'Data shares'!$C:$FB,4)</f>
        <v>361.75</v>
      </c>
      <c r="E175" s="50">
        <f t="shared" si="9"/>
        <v>3.9253628196268111</v>
      </c>
      <c r="F175" s="49">
        <f>VLOOKUP($A175,'Data shares'!$C:$FB,98)</f>
        <v>118223000</v>
      </c>
      <c r="G175" s="49">
        <f>VLOOKUP($A175,'Data shares'!$C:$FB,99)</f>
        <v>114017400</v>
      </c>
      <c r="H175" s="50">
        <f t="shared" si="10"/>
        <v>3.688559816308739</v>
      </c>
      <c r="I175" s="49">
        <f>VLOOKUP($A175,'Data shares'!$C:$FB,66)</f>
        <v>72769200</v>
      </c>
      <c r="J175" s="49">
        <f>VLOOKUP($A175,'Data shares'!$C:$FB,67)</f>
        <v>125386800</v>
      </c>
      <c r="K175" s="50">
        <f t="shared" si="11"/>
        <v>-72.307514717765216</v>
      </c>
      <c r="L175" s="50">
        <f>VLOOKUP($A175,'Data shares'!$C:$FB,118)</f>
        <v>0.86</v>
      </c>
      <c r="M175" s="50">
        <f>VLOOKUP($A175,'Data shares'!$C:$FB,119)</f>
        <v>1</v>
      </c>
      <c r="N175" s="50">
        <f>VLOOKUP($A175,'Data shares'!$C:$FB,121)*100</f>
        <v>-14.000000000000002</v>
      </c>
      <c r="O175" s="50">
        <f>VLOOKUP($A175,'Data shares'!$C:$FB,124)</f>
        <v>0.39</v>
      </c>
      <c r="P175" s="50">
        <f>VLOOKUP($A175,'Data shares'!$C:$FB,125)</f>
        <v>1.08</v>
      </c>
      <c r="Q175" s="50">
        <f>VLOOKUP($A175,'Data shares'!$C:$FB,127)*100</f>
        <v>-63.89</v>
      </c>
    </row>
    <row r="176" spans="1:17" x14ac:dyDescent="0.25">
      <c r="A176" s="97" t="str">
        <f>'Snapshot (Value)'!A180</f>
        <v>RELIANCE</v>
      </c>
      <c r="B176" s="140">
        <f>VLOOKUP($A176,'Data shares'!$C:$FB,7)</f>
        <v>1396.7</v>
      </c>
      <c r="C176" s="140">
        <f>VLOOKUP($A176,'Data shares'!$C:$FB,3)</f>
        <v>1402.7</v>
      </c>
      <c r="D176" s="140">
        <f>VLOOKUP($A176,'Data shares'!$C:$FB,4)</f>
        <v>1390.5</v>
      </c>
      <c r="E176" s="50">
        <f t="shared" si="9"/>
        <v>0.87738223660554082</v>
      </c>
      <c r="F176" s="49">
        <f>VLOOKUP($A176,'Data shares'!$C:$FB,98)</f>
        <v>185674500</v>
      </c>
      <c r="G176" s="49">
        <f>VLOOKUP($A176,'Data shares'!$C:$FB,99)</f>
        <v>181134500</v>
      </c>
      <c r="H176" s="50">
        <f t="shared" si="10"/>
        <v>2.5064247837932587</v>
      </c>
      <c r="I176" s="49">
        <f>VLOOKUP($A176,'Data shares'!$C:$FB,66)</f>
        <v>90570000</v>
      </c>
      <c r="J176" s="49">
        <f>VLOOKUP($A176,'Data shares'!$C:$FB,67)</f>
        <v>227155000</v>
      </c>
      <c r="K176" s="50">
        <f t="shared" si="11"/>
        <v>-150.8060064038865</v>
      </c>
      <c r="L176" s="50">
        <f>VLOOKUP($A176,'Data shares'!$C:$FB,118)</f>
        <v>0.65</v>
      </c>
      <c r="M176" s="50">
        <f>VLOOKUP($A176,'Data shares'!$C:$FB,119)</f>
        <v>0.68</v>
      </c>
      <c r="N176" s="50">
        <f>VLOOKUP($A176,'Data shares'!$C:$FB,121)*100</f>
        <v>-4.41</v>
      </c>
      <c r="O176" s="50">
        <f>VLOOKUP($A176,'Data shares'!$C:$FB,124)</f>
        <v>0.47</v>
      </c>
      <c r="P176" s="50">
        <f>VLOOKUP($A176,'Data shares'!$C:$FB,125)</f>
        <v>0.59</v>
      </c>
      <c r="Q176" s="50">
        <f>VLOOKUP($A176,'Data shares'!$C:$FB,127)*100</f>
        <v>-20.34</v>
      </c>
    </row>
    <row r="177" spans="1:17" x14ac:dyDescent="0.25">
      <c r="A177" s="97" t="str">
        <f>'Snapshot (Value)'!A181</f>
        <v>RVNL</v>
      </c>
      <c r="B177" s="140">
        <f>VLOOKUP($A177,'Data shares'!$C:$FB,7)</f>
        <v>342.5</v>
      </c>
      <c r="C177" s="140">
        <f>VLOOKUP($A177,'Data shares'!$C:$FB,3)</f>
        <v>336.15</v>
      </c>
      <c r="D177" s="140">
        <f>VLOOKUP($A177,'Data shares'!$C:$FB,4)</f>
        <v>315.64999999999998</v>
      </c>
      <c r="E177" s="50">
        <f t="shared" si="9"/>
        <v>6.4945350863297957</v>
      </c>
      <c r="F177" s="49">
        <f>VLOOKUP($A177,'Data shares'!$C:$FB,98)</f>
        <v>78988900</v>
      </c>
      <c r="G177" s="49">
        <f>VLOOKUP($A177,'Data shares'!$C:$FB,99)</f>
        <v>69944125</v>
      </c>
      <c r="H177" s="50">
        <f t="shared" si="10"/>
        <v>12.931429194374797</v>
      </c>
      <c r="I177" s="49">
        <f>VLOOKUP($A177,'Data shares'!$C:$FB,66)</f>
        <v>95216425</v>
      </c>
      <c r="J177" s="49">
        <f>VLOOKUP($A177,'Data shares'!$C:$FB,67)</f>
        <v>79176475</v>
      </c>
      <c r="K177" s="50">
        <f t="shared" si="11"/>
        <v>16.845780546791165</v>
      </c>
      <c r="L177" s="50">
        <f>VLOOKUP($A177,'Data shares'!$C:$FB,118)</f>
        <v>0.55000000000000004</v>
      </c>
      <c r="M177" s="50">
        <f>VLOOKUP($A177,'Data shares'!$C:$FB,119)</f>
        <v>0.48</v>
      </c>
      <c r="N177" s="50">
        <f>VLOOKUP($A177,'Data shares'!$C:$FB,121)*100</f>
        <v>14.580000000000002</v>
      </c>
      <c r="O177" s="50">
        <f>VLOOKUP($A177,'Data shares'!$C:$FB,124)</f>
        <v>0.23</v>
      </c>
      <c r="P177" s="50">
        <f>VLOOKUP($A177,'Data shares'!$C:$FB,125)</f>
        <v>0.3</v>
      </c>
      <c r="Q177" s="50">
        <f>VLOOKUP($A177,'Data shares'!$C:$FB,127)*100</f>
        <v>-23.330000000000002</v>
      </c>
    </row>
    <row r="178" spans="1:17" x14ac:dyDescent="0.25">
      <c r="A178" s="97" t="str">
        <f>'Snapshot (Value)'!A182</f>
        <v>SAIL</v>
      </c>
      <c r="B178" s="140">
        <f>VLOOKUP($A178,'Data shares'!$C:$FB,7)</f>
        <v>155.74</v>
      </c>
      <c r="C178" s="140">
        <f>VLOOKUP($A178,'Data shares'!$C:$FB,3)</f>
        <v>156.82</v>
      </c>
      <c r="D178" s="140">
        <f>VLOOKUP($A178,'Data shares'!$C:$FB,4)</f>
        <v>156.80000000000001</v>
      </c>
      <c r="E178" s="50">
        <f t="shared" si="9"/>
        <v>1.2755102040804723E-2</v>
      </c>
      <c r="F178" s="49">
        <f>VLOOKUP($A178,'Data shares'!$C:$FB,98)</f>
        <v>239309900</v>
      </c>
      <c r="G178" s="49">
        <f>VLOOKUP($A178,'Data shares'!$C:$FB,99)</f>
        <v>224848000</v>
      </c>
      <c r="H178" s="50">
        <f t="shared" si="10"/>
        <v>6.4318561872909701</v>
      </c>
      <c r="I178" s="49">
        <f>VLOOKUP($A178,'Data shares'!$C:$FB,66)</f>
        <v>103588000</v>
      </c>
      <c r="J178" s="49">
        <f>VLOOKUP($A178,'Data shares'!$C:$FB,67)</f>
        <v>221840000</v>
      </c>
      <c r="K178" s="50">
        <f t="shared" si="11"/>
        <v>-114.15607985480945</v>
      </c>
      <c r="L178" s="50">
        <f>VLOOKUP($A178,'Data shares'!$C:$FB,118)</f>
        <v>0.63</v>
      </c>
      <c r="M178" s="50">
        <f>VLOOKUP($A178,'Data shares'!$C:$FB,119)</f>
        <v>0.65</v>
      </c>
      <c r="N178" s="50">
        <f>VLOOKUP($A178,'Data shares'!$C:$FB,121)*100</f>
        <v>-3.08</v>
      </c>
      <c r="O178" s="50">
        <f>VLOOKUP($A178,'Data shares'!$C:$FB,124)</f>
        <v>0.28999999999999998</v>
      </c>
      <c r="P178" s="50">
        <f>VLOOKUP($A178,'Data shares'!$C:$FB,125)</f>
        <v>0.53</v>
      </c>
      <c r="Q178" s="50">
        <f>VLOOKUP($A178,'Data shares'!$C:$FB,127)*100</f>
        <v>-45.28</v>
      </c>
    </row>
    <row r="179" spans="1:17" x14ac:dyDescent="0.25">
      <c r="A179" s="97" t="str">
        <f>'Snapshot (Value)'!A183</f>
        <v>SAMMAANCAP</v>
      </c>
      <c r="B179" s="140">
        <f>VLOOKUP($A179,'Data shares'!$C:$FB,7)</f>
        <v>141.83000000000001</v>
      </c>
      <c r="C179" s="140">
        <f>VLOOKUP($A179,'Data shares'!$C:$FB,3)</f>
        <v>142.86000000000001</v>
      </c>
      <c r="D179" s="140">
        <f>VLOOKUP($A179,'Data shares'!$C:$FB,4)</f>
        <v>139.16999999999999</v>
      </c>
      <c r="E179" s="50">
        <f t="shared" si="9"/>
        <v>2.651433498598855</v>
      </c>
      <c r="F179" s="49">
        <f>VLOOKUP($A179,'Data shares'!$C:$FB,98)</f>
        <v>130229800</v>
      </c>
      <c r="G179" s="49">
        <f>VLOOKUP($A179,'Data shares'!$C:$FB,99)</f>
        <v>80938900</v>
      </c>
      <c r="H179" s="50">
        <f t="shared" si="10"/>
        <v>60.89890028157042</v>
      </c>
      <c r="I179" s="49">
        <f>VLOOKUP($A179,'Data shares'!$C:$FB,66)</f>
        <v>110944300</v>
      </c>
      <c r="J179" s="49">
        <f>VLOOKUP($A179,'Data shares'!$C:$FB,67)</f>
        <v>194016000</v>
      </c>
      <c r="K179" s="50">
        <f t="shared" si="11"/>
        <v>-74.876942754156815</v>
      </c>
      <c r="L179" s="50">
        <f>VLOOKUP($A179,'Data shares'!$C:$FB,118)</f>
        <v>0.78</v>
      </c>
      <c r="M179" s="50">
        <f>VLOOKUP($A179,'Data shares'!$C:$FB,119)</f>
        <v>0.13</v>
      </c>
      <c r="N179" s="50">
        <f>VLOOKUP($A179,'Data shares'!$C:$FB,121)*100</f>
        <v>500</v>
      </c>
      <c r="O179" s="50">
        <f>VLOOKUP($A179,'Data shares'!$C:$FB,124)</f>
        <v>0.69</v>
      </c>
      <c r="P179" s="50">
        <f>VLOOKUP($A179,'Data shares'!$C:$FB,125)</f>
        <v>0.77</v>
      </c>
      <c r="Q179" s="50">
        <f>VLOOKUP($A179,'Data shares'!$C:$FB,127)*100</f>
        <v>-10.39</v>
      </c>
    </row>
    <row r="180" spans="1:17" x14ac:dyDescent="0.25">
      <c r="A180" s="97" t="str">
        <f>'Snapshot (Value)'!A184</f>
        <v>SBICARD</v>
      </c>
      <c r="B180" s="140">
        <f>VLOOKUP($A180,'Data shares'!$C:$FB,7)</f>
        <v>782.4</v>
      </c>
      <c r="C180" s="140">
        <f>VLOOKUP($A180,'Data shares'!$C:$FB,3)</f>
        <v>783.65</v>
      </c>
      <c r="D180" s="140">
        <f>VLOOKUP($A180,'Data shares'!$C:$FB,4)</f>
        <v>774.7</v>
      </c>
      <c r="E180" s="50">
        <f t="shared" si="9"/>
        <v>1.1552859171292025</v>
      </c>
      <c r="F180" s="49">
        <f>VLOOKUP($A180,'Data shares'!$C:$FB,98)</f>
        <v>24394400</v>
      </c>
      <c r="G180" s="49">
        <f>VLOOKUP($A180,'Data shares'!$C:$FB,99)</f>
        <v>20245600</v>
      </c>
      <c r="H180" s="50">
        <f t="shared" si="10"/>
        <v>20.492353894179477</v>
      </c>
      <c r="I180" s="49">
        <f>VLOOKUP($A180,'Data shares'!$C:$FB,66)</f>
        <v>26156800</v>
      </c>
      <c r="J180" s="49">
        <f>VLOOKUP($A180,'Data shares'!$C:$FB,67)</f>
        <v>23995200</v>
      </c>
      <c r="K180" s="50">
        <f t="shared" si="11"/>
        <v>8.2640078297039405</v>
      </c>
      <c r="L180" s="50">
        <f>VLOOKUP($A180,'Data shares'!$C:$FB,118)</f>
        <v>0.64</v>
      </c>
      <c r="M180" s="50">
        <f>VLOOKUP($A180,'Data shares'!$C:$FB,119)</f>
        <v>0.76</v>
      </c>
      <c r="N180" s="50">
        <f>VLOOKUP($A180,'Data shares'!$C:$FB,121)*100</f>
        <v>-15.790000000000001</v>
      </c>
      <c r="O180" s="50">
        <f>VLOOKUP($A180,'Data shares'!$C:$FB,124)</f>
        <v>0.45</v>
      </c>
      <c r="P180" s="50">
        <f>VLOOKUP($A180,'Data shares'!$C:$FB,125)</f>
        <v>1.07</v>
      </c>
      <c r="Q180" s="50">
        <f>VLOOKUP($A180,'Data shares'!$C:$FB,127)*100</f>
        <v>-57.940000000000005</v>
      </c>
    </row>
    <row r="181" spans="1:17" x14ac:dyDescent="0.25">
      <c r="A181" s="97" t="str">
        <f>'Snapshot (Value)'!A185</f>
        <v>SBILIFE</v>
      </c>
      <c r="B181" s="140">
        <f>VLOOKUP($A181,'Data shares'!$C:$FB,7)</f>
        <v>2053.1999999999998</v>
      </c>
      <c r="C181" s="140">
        <f>VLOOKUP($A181,'Data shares'!$C:$FB,3)</f>
        <v>2060.6999999999998</v>
      </c>
      <c r="D181" s="140">
        <f>VLOOKUP($A181,'Data shares'!$C:$FB,4)</f>
        <v>2052.6</v>
      </c>
      <c r="E181" s="50">
        <f t="shared" si="9"/>
        <v>0.39462145571469892</v>
      </c>
      <c r="F181" s="49">
        <f>VLOOKUP($A181,'Data shares'!$C:$FB,98)</f>
        <v>13054125</v>
      </c>
      <c r="G181" s="49">
        <f>VLOOKUP($A181,'Data shares'!$C:$FB,99)</f>
        <v>10918125</v>
      </c>
      <c r="H181" s="50">
        <f t="shared" si="10"/>
        <v>19.5637987291774</v>
      </c>
      <c r="I181" s="49">
        <f>VLOOKUP($A181,'Data shares'!$C:$FB,66)</f>
        <v>17950500</v>
      </c>
      <c r="J181" s="49">
        <f>VLOOKUP($A181,'Data shares'!$C:$FB,67)</f>
        <v>8572875</v>
      </c>
      <c r="K181" s="50">
        <f t="shared" si="11"/>
        <v>52.241581014456415</v>
      </c>
      <c r="L181" s="50">
        <f>VLOOKUP($A181,'Data shares'!$C:$FB,118)</f>
        <v>0.87</v>
      </c>
      <c r="M181" s="50">
        <f>VLOOKUP($A181,'Data shares'!$C:$FB,119)</f>
        <v>0.89</v>
      </c>
      <c r="N181" s="50">
        <f>VLOOKUP($A181,'Data shares'!$C:$FB,121)*100</f>
        <v>-2.25</v>
      </c>
      <c r="O181" s="50">
        <f>VLOOKUP($A181,'Data shares'!$C:$FB,124)</f>
        <v>0.52</v>
      </c>
      <c r="P181" s="50">
        <f>VLOOKUP($A181,'Data shares'!$C:$FB,125)</f>
        <v>0.52</v>
      </c>
      <c r="Q181" s="50">
        <f>VLOOKUP($A181,'Data shares'!$C:$FB,127)*100</f>
        <v>0</v>
      </c>
    </row>
    <row r="182" spans="1:17" x14ac:dyDescent="0.25">
      <c r="A182" s="97" t="str">
        <f>'Snapshot (Value)'!A186</f>
        <v>SBIN</v>
      </c>
      <c r="B182" s="140">
        <f>VLOOKUP($A182,'Data shares'!$C:$FB,7)</f>
        <v>1063.5</v>
      </c>
      <c r="C182" s="140">
        <f>VLOOKUP($A182,'Data shares'!$C:$FB,3)</f>
        <v>1067.3</v>
      </c>
      <c r="D182" s="140">
        <f>VLOOKUP($A182,'Data shares'!$C:$FB,4)</f>
        <v>1058.4000000000001</v>
      </c>
      <c r="E182" s="50">
        <f t="shared" si="9"/>
        <v>0.84089191232047078</v>
      </c>
      <c r="F182" s="49">
        <f>VLOOKUP($A182,'Data shares'!$C:$FB,98)</f>
        <v>105625500</v>
      </c>
      <c r="G182" s="49">
        <f>VLOOKUP($A182,'Data shares'!$C:$FB,99)</f>
        <v>99668250</v>
      </c>
      <c r="H182" s="50">
        <f t="shared" si="10"/>
        <v>5.9770789594479687</v>
      </c>
      <c r="I182" s="49">
        <f>VLOOKUP($A182,'Data shares'!$C:$FB,66)</f>
        <v>91173000</v>
      </c>
      <c r="J182" s="49">
        <f>VLOOKUP($A182,'Data shares'!$C:$FB,67)</f>
        <v>161591250</v>
      </c>
      <c r="K182" s="50">
        <f t="shared" si="11"/>
        <v>-77.235859300450798</v>
      </c>
      <c r="L182" s="50">
        <f>VLOOKUP($A182,'Data shares'!$C:$FB,118)</f>
        <v>1.1399999999999999</v>
      </c>
      <c r="M182" s="50">
        <f>VLOOKUP($A182,'Data shares'!$C:$FB,119)</f>
        <v>1.21</v>
      </c>
      <c r="N182" s="50">
        <f>VLOOKUP($A182,'Data shares'!$C:$FB,121)*100</f>
        <v>-5.79</v>
      </c>
      <c r="O182" s="50">
        <f>VLOOKUP($A182,'Data shares'!$C:$FB,124)</f>
        <v>0.69</v>
      </c>
      <c r="P182" s="50">
        <f>VLOOKUP($A182,'Data shares'!$C:$FB,125)</f>
        <v>0.74</v>
      </c>
      <c r="Q182" s="50">
        <f>VLOOKUP($A182,'Data shares'!$C:$FB,127)*100</f>
        <v>-6.76</v>
      </c>
    </row>
    <row r="183" spans="1:17" x14ac:dyDescent="0.25">
      <c r="A183" s="97" t="str">
        <f>'Snapshot (Value)'!A187</f>
        <v>SHREECEM</v>
      </c>
      <c r="B183" s="140">
        <f>VLOOKUP($A183,'Data shares'!$C:$FB,7)</f>
        <v>27480</v>
      </c>
      <c r="C183" s="140">
        <f>VLOOKUP($A183,'Data shares'!$C:$FB,3)</f>
        <v>27500</v>
      </c>
      <c r="D183" s="140">
        <f>VLOOKUP($A183,'Data shares'!$C:$FB,4)</f>
        <v>27300</v>
      </c>
      <c r="E183" s="50">
        <f>(C183-D183)/D183*100</f>
        <v>0.73260073260073255</v>
      </c>
      <c r="F183" s="49">
        <f>VLOOKUP($A183,'Data shares'!$C:$FB,98)</f>
        <v>300250</v>
      </c>
      <c r="G183" s="49">
        <f>VLOOKUP($A183,'Data shares'!$C:$FB,99)</f>
        <v>275625</v>
      </c>
      <c r="H183" s="50">
        <f>(F183-G183)/G183*100</f>
        <v>8.9342403628117921</v>
      </c>
      <c r="I183" s="49">
        <f>VLOOKUP($A183,'Data shares'!$C:$FB,66)</f>
        <v>84750</v>
      </c>
      <c r="J183" s="49">
        <f>VLOOKUP($A183,'Data shares'!$C:$FB,67)</f>
        <v>350325</v>
      </c>
      <c r="K183" s="50">
        <f>(I183-J183)/I183*100</f>
        <v>-313.36283185840711</v>
      </c>
      <c r="L183" s="50">
        <f>VLOOKUP($A183,'Data shares'!$C:$FB,118)</f>
        <v>0.9</v>
      </c>
      <c r="M183" s="50">
        <f>VLOOKUP($A183,'Data shares'!$C:$FB,119)</f>
        <v>0.95</v>
      </c>
      <c r="N183" s="50">
        <f>VLOOKUP($A183,'Data shares'!$C:$FB,121)*100</f>
        <v>-5.26</v>
      </c>
      <c r="O183" s="50">
        <f>VLOOKUP($A183,'Data shares'!$C:$FB,124)</f>
        <v>0.94</v>
      </c>
      <c r="P183" s="50">
        <f>VLOOKUP($A183,'Data shares'!$C:$FB,125)</f>
        <v>0.78</v>
      </c>
      <c r="Q183" s="50">
        <f>VLOOKUP($A183,'Data shares'!$C:$FB,127)*100</f>
        <v>20.51</v>
      </c>
    </row>
    <row r="184" spans="1:17" x14ac:dyDescent="0.25">
      <c r="A184" s="97" t="str">
        <f>'Snapshot (Value)'!A188</f>
        <v>SHRIRAMFIN</v>
      </c>
      <c r="B184" s="140">
        <f>VLOOKUP($A184,'Data shares'!$C:$FB,7)</f>
        <v>1018.8</v>
      </c>
      <c r="C184" s="140">
        <f>VLOOKUP($A184,'Data shares'!$C:$FB,3)</f>
        <v>1022.55</v>
      </c>
      <c r="D184" s="140">
        <f>VLOOKUP($A184,'Data shares'!$C:$FB,4)</f>
        <v>1006.3</v>
      </c>
      <c r="E184" s="50">
        <f t="shared" ref="E184:E188" si="12">(C184-D184)/D184*100</f>
        <v>1.614826592467455</v>
      </c>
      <c r="F184" s="49">
        <f>VLOOKUP($A184,'Data shares'!$C:$FB,98)</f>
        <v>56208900</v>
      </c>
      <c r="G184" s="49">
        <f>VLOOKUP($A184,'Data shares'!$C:$FB,99)</f>
        <v>54789900</v>
      </c>
      <c r="H184" s="50">
        <f t="shared" ref="H184:H188" si="13">(F184-G184)/G184*100</f>
        <v>2.5898933927603442</v>
      </c>
      <c r="I184" s="49">
        <f>VLOOKUP($A184,'Data shares'!$C:$FB,66)</f>
        <v>28520250</v>
      </c>
      <c r="J184" s="49">
        <f>VLOOKUP($A184,'Data shares'!$C:$FB,67)</f>
        <v>78695100</v>
      </c>
      <c r="K184" s="50">
        <f t="shared" ref="K184:K188" si="14">(I184-J184)/I184*100</f>
        <v>-175.92710442580272</v>
      </c>
      <c r="L184" s="50">
        <f>VLOOKUP($A184,'Data shares'!$C:$FB,118)</f>
        <v>0.6</v>
      </c>
      <c r="M184" s="50">
        <f>VLOOKUP($A184,'Data shares'!$C:$FB,119)</f>
        <v>0.61</v>
      </c>
      <c r="N184" s="50">
        <f>VLOOKUP($A184,'Data shares'!$C:$FB,121)*100</f>
        <v>-1.6400000000000001</v>
      </c>
      <c r="O184" s="50">
        <f>VLOOKUP($A184,'Data shares'!$C:$FB,124)</f>
        <v>0.63</v>
      </c>
      <c r="P184" s="50">
        <f>VLOOKUP($A184,'Data shares'!$C:$FB,125)</f>
        <v>0.71</v>
      </c>
      <c r="Q184" s="50">
        <f>VLOOKUP($A184,'Data shares'!$C:$FB,127)*100</f>
        <v>-11.27</v>
      </c>
    </row>
    <row r="185" spans="1:17" x14ac:dyDescent="0.25">
      <c r="A185" s="97" t="str">
        <f>'Snapshot (Value)'!A189</f>
        <v>SIEMENS</v>
      </c>
      <c r="B185" s="140">
        <f>VLOOKUP($A185,'Data shares'!$C:$FB,7)</f>
        <v>2980.8</v>
      </c>
      <c r="C185" s="140">
        <f>VLOOKUP($A185,'Data shares'!$C:$FB,3)</f>
        <v>2996.2</v>
      </c>
      <c r="D185" s="140">
        <f>VLOOKUP($A185,'Data shares'!$C:$FB,4)</f>
        <v>2908</v>
      </c>
      <c r="E185" s="50">
        <f t="shared" si="12"/>
        <v>3.0330123796423596</v>
      </c>
      <c r="F185" s="49">
        <f>VLOOKUP($A185,'Data shares'!$C:$FB,98)</f>
        <v>3038700</v>
      </c>
      <c r="G185" s="49">
        <f>VLOOKUP($A185,'Data shares'!$C:$FB,99)</f>
        <v>2852150</v>
      </c>
      <c r="H185" s="50">
        <f t="shared" si="13"/>
        <v>6.540679838016934</v>
      </c>
      <c r="I185" s="49">
        <f>VLOOKUP($A185,'Data shares'!$C:$FB,66)</f>
        <v>2721250</v>
      </c>
      <c r="J185" s="49">
        <f>VLOOKUP($A185,'Data shares'!$C:$FB,67)</f>
        <v>3008600</v>
      </c>
      <c r="K185" s="50">
        <f t="shared" si="14"/>
        <v>-10.559485530546624</v>
      </c>
      <c r="L185" s="50">
        <f>VLOOKUP($A185,'Data shares'!$C:$FB,118)</f>
        <v>0.67</v>
      </c>
      <c r="M185" s="50">
        <f>VLOOKUP($A185,'Data shares'!$C:$FB,119)</f>
        <v>0.69</v>
      </c>
      <c r="N185" s="50">
        <f>VLOOKUP($A185,'Data shares'!$C:$FB,121)*100</f>
        <v>-2.9000000000000004</v>
      </c>
      <c r="O185" s="50">
        <f>VLOOKUP($A185,'Data shares'!$C:$FB,124)</f>
        <v>0.28000000000000003</v>
      </c>
      <c r="P185" s="50">
        <f>VLOOKUP($A185,'Data shares'!$C:$FB,125)</f>
        <v>0.59</v>
      </c>
      <c r="Q185" s="50">
        <f>VLOOKUP($A185,'Data shares'!$C:$FB,127)*100</f>
        <v>-52.54</v>
      </c>
    </row>
    <row r="186" spans="1:17" x14ac:dyDescent="0.25">
      <c r="A186" s="97" t="str">
        <f>'Snapshot (Value)'!A190</f>
        <v>SOLARINDS</v>
      </c>
      <c r="B186" s="140">
        <f>VLOOKUP($A186,'Data shares'!$C:$FB,7)</f>
        <v>13916</v>
      </c>
      <c r="C186" s="140">
        <f>VLOOKUP($A186,'Data shares'!$C:$FB,3)</f>
        <v>13975</v>
      </c>
      <c r="D186" s="140">
        <f>VLOOKUP($A186,'Data shares'!$C:$FB,4)</f>
        <v>12813</v>
      </c>
      <c r="E186" s="50">
        <f t="shared" si="12"/>
        <v>9.0689143838289237</v>
      </c>
      <c r="F186" s="49">
        <f>VLOOKUP($A186,'Data shares'!$C:$FB,98)</f>
        <v>1237350</v>
      </c>
      <c r="G186" s="49">
        <f>VLOOKUP($A186,'Data shares'!$C:$FB,99)</f>
        <v>1060250</v>
      </c>
      <c r="H186" s="50">
        <f t="shared" si="13"/>
        <v>16.703607639707617</v>
      </c>
      <c r="I186" s="49">
        <f>VLOOKUP($A186,'Data shares'!$C:$FB,66)</f>
        <v>1992650</v>
      </c>
      <c r="J186" s="49">
        <f>VLOOKUP($A186,'Data shares'!$C:$FB,67)</f>
        <v>1400750</v>
      </c>
      <c r="K186" s="50">
        <f t="shared" si="14"/>
        <v>29.704162798283697</v>
      </c>
      <c r="L186" s="50">
        <f>VLOOKUP($A186,'Data shares'!$C:$FB,118)</f>
        <v>0.74</v>
      </c>
      <c r="M186" s="50">
        <f>VLOOKUP($A186,'Data shares'!$C:$FB,119)</f>
        <v>1.22</v>
      </c>
      <c r="N186" s="50">
        <f>VLOOKUP($A186,'Data shares'!$C:$FB,121)*100</f>
        <v>-39.340000000000003</v>
      </c>
      <c r="O186" s="50">
        <f>VLOOKUP($A186,'Data shares'!$C:$FB,124)</f>
        <v>0.18</v>
      </c>
      <c r="P186" s="50">
        <f>VLOOKUP($A186,'Data shares'!$C:$FB,125)</f>
        <v>0.57999999999999996</v>
      </c>
      <c r="Q186" s="50">
        <f>VLOOKUP($A186,'Data shares'!$C:$FB,127)*100</f>
        <v>-68.97</v>
      </c>
    </row>
    <row r="187" spans="1:17" x14ac:dyDescent="0.25">
      <c r="A187" s="97" t="str">
        <f>'Snapshot (Value)'!A191</f>
        <v>SONACOMS</v>
      </c>
      <c r="B187" s="140">
        <f>VLOOKUP($A187,'Data shares'!$C:$FB,7)</f>
        <v>494.1</v>
      </c>
      <c r="C187" s="140">
        <f>VLOOKUP($A187,'Data shares'!$C:$FB,3)</f>
        <v>494.4</v>
      </c>
      <c r="D187" s="140">
        <f>VLOOKUP($A187,'Data shares'!$C:$FB,4)</f>
        <v>489.15</v>
      </c>
      <c r="E187" s="50">
        <f t="shared" si="12"/>
        <v>1.0732904017172646</v>
      </c>
      <c r="F187" s="49">
        <f>VLOOKUP($A187,'Data shares'!$C:$FB,98)</f>
        <v>18051600</v>
      </c>
      <c r="G187" s="49">
        <f>VLOOKUP($A187,'Data shares'!$C:$FB,99)</f>
        <v>18199825</v>
      </c>
      <c r="H187" s="50">
        <f t="shared" si="13"/>
        <v>-0.81443090798949991</v>
      </c>
      <c r="I187" s="49">
        <f>VLOOKUP($A187,'Data shares'!$C:$FB,66)</f>
        <v>12727750</v>
      </c>
      <c r="J187" s="49">
        <f>VLOOKUP($A187,'Data shares'!$C:$FB,67)</f>
        <v>58482725</v>
      </c>
      <c r="K187" s="50">
        <f t="shared" si="14"/>
        <v>-359.48989412897015</v>
      </c>
      <c r="L187" s="50">
        <f>VLOOKUP($A187,'Data shares'!$C:$FB,118)</f>
        <v>0.83</v>
      </c>
      <c r="M187" s="50">
        <f>VLOOKUP($A187,'Data shares'!$C:$FB,119)</f>
        <v>0.75</v>
      </c>
      <c r="N187" s="50">
        <f>VLOOKUP($A187,'Data shares'!$C:$FB,121)*100</f>
        <v>10.67</v>
      </c>
      <c r="O187" s="50">
        <f>VLOOKUP($A187,'Data shares'!$C:$FB,124)</f>
        <v>0.34</v>
      </c>
      <c r="P187" s="50">
        <f>VLOOKUP($A187,'Data shares'!$C:$FB,125)</f>
        <v>0.27</v>
      </c>
      <c r="Q187" s="50">
        <f>VLOOKUP($A187,'Data shares'!$C:$FB,127)*100</f>
        <v>25.929999999999996</v>
      </c>
    </row>
    <row r="188" spans="1:17" x14ac:dyDescent="0.25">
      <c r="A188" s="97" t="str">
        <f>'Snapshot (Value)'!A192</f>
        <v>SRF</v>
      </c>
      <c r="B188" s="140">
        <f>VLOOKUP($A188,'Data shares'!$C:$FB,7)</f>
        <v>2817</v>
      </c>
      <c r="C188" s="140">
        <f>VLOOKUP($A188,'Data shares'!$C:$FB,3)</f>
        <v>2835.1</v>
      </c>
      <c r="D188" s="140">
        <f>VLOOKUP($A188,'Data shares'!$C:$FB,4)</f>
        <v>2701.6</v>
      </c>
      <c r="E188" s="50">
        <f t="shared" si="12"/>
        <v>4.9415161385845421</v>
      </c>
      <c r="F188" s="49">
        <f>VLOOKUP($A188,'Data shares'!$C:$FB,98)</f>
        <v>4611800</v>
      </c>
      <c r="G188" s="49">
        <f>VLOOKUP($A188,'Data shares'!$C:$FB,99)</f>
        <v>4416400</v>
      </c>
      <c r="H188" s="50">
        <f t="shared" si="13"/>
        <v>4.4244180780726383</v>
      </c>
      <c r="I188" s="49">
        <f>VLOOKUP($A188,'Data shares'!$C:$FB,66)</f>
        <v>4452600</v>
      </c>
      <c r="J188" s="49">
        <f>VLOOKUP($A188,'Data shares'!$C:$FB,67)</f>
        <v>5731400</v>
      </c>
      <c r="K188" s="50">
        <f t="shared" si="14"/>
        <v>-28.720298252706282</v>
      </c>
      <c r="L188" s="50">
        <f>VLOOKUP($A188,'Data shares'!$C:$FB,118)</f>
        <v>0.75</v>
      </c>
      <c r="M188" s="50">
        <f>VLOOKUP($A188,'Data shares'!$C:$FB,119)</f>
        <v>0.65</v>
      </c>
      <c r="N188" s="50">
        <f>VLOOKUP($A188,'Data shares'!$C:$FB,121)*100</f>
        <v>15.379999999999999</v>
      </c>
      <c r="O188" s="50">
        <f>VLOOKUP($A188,'Data shares'!$C:$FB,124)</f>
        <v>0.36</v>
      </c>
      <c r="P188" s="50">
        <f>VLOOKUP($A188,'Data shares'!$C:$FB,125)</f>
        <v>0.49</v>
      </c>
      <c r="Q188" s="50">
        <f>VLOOKUP($A188,'Data shares'!$C:$FB,127)*100</f>
        <v>-26.529999999999998</v>
      </c>
    </row>
    <row r="189" spans="1:17" x14ac:dyDescent="0.25">
      <c r="A189" s="97" t="str">
        <f>'Snapshot (Value)'!A193</f>
        <v>SUNPHARMA</v>
      </c>
      <c r="B189" s="140">
        <f>VLOOKUP($A189,'Data shares'!$C:$FB,7)</f>
        <v>1610.6</v>
      </c>
      <c r="C189" s="140">
        <f>VLOOKUP($A189,'Data shares'!$C:$FB,3)</f>
        <v>1608</v>
      </c>
      <c r="D189" s="140">
        <f>VLOOKUP($A189,'Data shares'!$C:$FB,4)</f>
        <v>1638.6</v>
      </c>
      <c r="E189" s="50">
        <f t="shared" ref="E189:E220" si="15">(C189-D189)/D189*100</f>
        <v>-1.8674478213108696</v>
      </c>
      <c r="F189" s="49">
        <f>VLOOKUP($A189,'Data shares'!$C:$FB,98)</f>
        <v>25401600</v>
      </c>
      <c r="G189" s="49">
        <f>VLOOKUP($A189,'Data shares'!$C:$FB,99)</f>
        <v>23250150</v>
      </c>
      <c r="H189" s="50">
        <f t="shared" ref="H189:H220" si="16">(F189-G189)/G189*100</f>
        <v>9.2534886871697601</v>
      </c>
      <c r="I189" s="49">
        <f>VLOOKUP($A189,'Data shares'!$C:$FB,66)</f>
        <v>8689450</v>
      </c>
      <c r="J189" s="49">
        <f>VLOOKUP($A189,'Data shares'!$C:$FB,67)</f>
        <v>20239800</v>
      </c>
      <c r="K189" s="50">
        <f t="shared" ref="K189:K220" si="17">(I189-J189)/I189*100</f>
        <v>-132.92383292383292</v>
      </c>
      <c r="L189" s="50">
        <f>VLOOKUP($A189,'Data shares'!$C:$FB,118)</f>
        <v>0.71</v>
      </c>
      <c r="M189" s="50">
        <f>VLOOKUP($A189,'Data shares'!$C:$FB,119)</f>
        <v>0.96</v>
      </c>
      <c r="N189" s="50">
        <f>VLOOKUP($A189,'Data shares'!$C:$FB,121)*100</f>
        <v>-26.040000000000003</v>
      </c>
      <c r="O189" s="50">
        <f>VLOOKUP($A189,'Data shares'!$C:$FB,124)</f>
        <v>0.56000000000000005</v>
      </c>
      <c r="P189" s="50">
        <f>VLOOKUP($A189,'Data shares'!$C:$FB,125)</f>
        <v>0.96</v>
      </c>
      <c r="Q189" s="50">
        <f>VLOOKUP($A189,'Data shares'!$C:$FB,127)*100</f>
        <v>-41.67</v>
      </c>
    </row>
    <row r="190" spans="1:17" x14ac:dyDescent="0.25">
      <c r="A190" s="97" t="str">
        <f>'Snapshot (Value)'!A194</f>
        <v>SUPREMEIND</v>
      </c>
      <c r="B190" s="140">
        <f>VLOOKUP($A190,'Data shares'!$C:$FB,7)</f>
        <v>3512.9</v>
      </c>
      <c r="C190" s="140">
        <f>VLOOKUP($A190,'Data shares'!$C:$FB,3)</f>
        <v>3533.6</v>
      </c>
      <c r="D190" s="140">
        <f>VLOOKUP($A190,'Data shares'!$C:$FB,4)</f>
        <v>3474.3</v>
      </c>
      <c r="E190" s="50">
        <f t="shared" si="15"/>
        <v>1.7068186397259801</v>
      </c>
      <c r="F190" s="49">
        <f>VLOOKUP($A190,'Data shares'!$C:$FB,98)</f>
        <v>2277450</v>
      </c>
      <c r="G190" s="49">
        <f>VLOOKUP($A190,'Data shares'!$C:$FB,99)</f>
        <v>2132550</v>
      </c>
      <c r="H190" s="50">
        <f t="shared" si="16"/>
        <v>6.7946824224519951</v>
      </c>
      <c r="I190" s="49">
        <f>VLOOKUP($A190,'Data shares'!$C:$FB,66)</f>
        <v>829325</v>
      </c>
      <c r="J190" s="49">
        <f>VLOOKUP($A190,'Data shares'!$C:$FB,67)</f>
        <v>2221100</v>
      </c>
      <c r="K190" s="50">
        <f t="shared" si="17"/>
        <v>-167.82021523528169</v>
      </c>
      <c r="L190" s="50">
        <f>VLOOKUP($A190,'Data shares'!$C:$FB,118)</f>
        <v>0.78</v>
      </c>
      <c r="M190" s="50">
        <f>VLOOKUP($A190,'Data shares'!$C:$FB,119)</f>
        <v>1.03</v>
      </c>
      <c r="N190" s="50">
        <f>VLOOKUP($A190,'Data shares'!$C:$FB,121)*100</f>
        <v>-24.27</v>
      </c>
      <c r="O190" s="50">
        <f>VLOOKUP($A190,'Data shares'!$C:$FB,124)</f>
        <v>0.21</v>
      </c>
      <c r="P190" s="50">
        <f>VLOOKUP($A190,'Data shares'!$C:$FB,125)</f>
        <v>0.91</v>
      </c>
      <c r="Q190" s="50">
        <f>VLOOKUP($A190,'Data shares'!$C:$FB,127)*100</f>
        <v>-76.92</v>
      </c>
    </row>
    <row r="191" spans="1:17" x14ac:dyDescent="0.25">
      <c r="A191" s="97" t="str">
        <f>'Snapshot (Value)'!A195</f>
        <v>SUZLON</v>
      </c>
      <c r="B191" s="140">
        <f>VLOOKUP($A191,'Data shares'!$C:$FB,7)</f>
        <v>47.8</v>
      </c>
      <c r="C191" s="140">
        <f>VLOOKUP($A191,'Data shares'!$C:$FB,3)</f>
        <v>48.01</v>
      </c>
      <c r="D191" s="140">
        <f>VLOOKUP($A191,'Data shares'!$C:$FB,4)</f>
        <v>46.05</v>
      </c>
      <c r="E191" s="50">
        <f t="shared" si="15"/>
        <v>4.2562432138979398</v>
      </c>
      <c r="F191" s="49">
        <f>VLOOKUP($A191,'Data shares'!$C:$FB,98)</f>
        <v>424906025</v>
      </c>
      <c r="G191" s="49">
        <f>VLOOKUP($A191,'Data shares'!$C:$FB,99)</f>
        <v>413326950</v>
      </c>
      <c r="H191" s="50">
        <f t="shared" si="16"/>
        <v>2.8014323769596925</v>
      </c>
      <c r="I191" s="49">
        <f>VLOOKUP($A191,'Data shares'!$C:$FB,66)</f>
        <v>218693800</v>
      </c>
      <c r="J191" s="49">
        <f>VLOOKUP($A191,'Data shares'!$C:$FB,67)</f>
        <v>513964725</v>
      </c>
      <c r="K191" s="50">
        <f t="shared" si="17"/>
        <v>-135.01568174314954</v>
      </c>
      <c r="L191" s="50">
        <f>VLOOKUP($A191,'Data shares'!$C:$FB,118)</f>
        <v>0.72</v>
      </c>
      <c r="M191" s="50">
        <f>VLOOKUP($A191,'Data shares'!$C:$FB,119)</f>
        <v>0.75</v>
      </c>
      <c r="N191" s="50">
        <f>VLOOKUP($A191,'Data shares'!$C:$FB,121)*100</f>
        <v>-4</v>
      </c>
      <c r="O191" s="50">
        <f>VLOOKUP($A191,'Data shares'!$C:$FB,124)</f>
        <v>0.33</v>
      </c>
      <c r="P191" s="50">
        <f>VLOOKUP($A191,'Data shares'!$C:$FB,125)</f>
        <v>0.73</v>
      </c>
      <c r="Q191" s="50">
        <f>VLOOKUP($A191,'Data shares'!$C:$FB,127)*100</f>
        <v>-54.790000000000006</v>
      </c>
    </row>
    <row r="192" spans="1:17" x14ac:dyDescent="0.25">
      <c r="A192" s="97" t="str">
        <f>'Snapshot (Value)'!A196</f>
        <v>SWIGGY</v>
      </c>
      <c r="B192" s="140">
        <f>VLOOKUP($A192,'Data shares'!$C:$FB,7)</f>
        <v>323.5</v>
      </c>
      <c r="C192" s="140">
        <f>VLOOKUP($A192,'Data shares'!$C:$FB,3)</f>
        <v>324.5</v>
      </c>
      <c r="D192" s="140">
        <f>VLOOKUP($A192,'Data shares'!$C:$FB,4)</f>
        <v>314.60000000000002</v>
      </c>
      <c r="E192" s="50">
        <f t="shared" si="15"/>
        <v>3.1468531468531395</v>
      </c>
      <c r="F192" s="49">
        <f>VLOOKUP($A192,'Data shares'!$C:$FB,98)</f>
        <v>31721300</v>
      </c>
      <c r="G192" s="49">
        <f>VLOOKUP($A192,'Data shares'!$C:$FB,99)</f>
        <v>30977700</v>
      </c>
      <c r="H192" s="50">
        <f t="shared" si="16"/>
        <v>2.4004364429896343</v>
      </c>
      <c r="I192" s="49">
        <f>VLOOKUP($A192,'Data shares'!$C:$FB,66)</f>
        <v>19427200</v>
      </c>
      <c r="J192" s="49">
        <f>VLOOKUP($A192,'Data shares'!$C:$FB,67)</f>
        <v>33679100</v>
      </c>
      <c r="K192" s="50">
        <f t="shared" si="17"/>
        <v>-73.360546038543902</v>
      </c>
      <c r="L192" s="50">
        <f>VLOOKUP($A192,'Data shares'!$C:$FB,118)</f>
        <v>1.19</v>
      </c>
      <c r="M192" s="50">
        <f>VLOOKUP($A192,'Data shares'!$C:$FB,119)</f>
        <v>1.2</v>
      </c>
      <c r="N192" s="50">
        <f>VLOOKUP($A192,'Data shares'!$C:$FB,121)*100</f>
        <v>-0.83</v>
      </c>
      <c r="O192" s="50">
        <f>VLOOKUP($A192,'Data shares'!$C:$FB,124)</f>
        <v>0.61</v>
      </c>
      <c r="P192" s="50">
        <f>VLOOKUP($A192,'Data shares'!$C:$FB,125)</f>
        <v>1.37</v>
      </c>
      <c r="Q192" s="50">
        <f>VLOOKUP($A192,'Data shares'!$C:$FB,127)*100</f>
        <v>-55.47</v>
      </c>
    </row>
    <row r="193" spans="1:17" x14ac:dyDescent="0.25">
      <c r="A193" s="97" t="str">
        <f>'Snapshot (Value)'!A197</f>
        <v>SYNGENE</v>
      </c>
      <c r="B193" s="140">
        <f>VLOOKUP($A193,'Data shares'!$C:$FB,7)</f>
        <v>480.3</v>
      </c>
      <c r="C193" s="140">
        <f>VLOOKUP($A193,'Data shares'!$C:$FB,3)</f>
        <v>483.4</v>
      </c>
      <c r="D193" s="140">
        <f>VLOOKUP($A193,'Data shares'!$C:$FB,4)</f>
        <v>488.85</v>
      </c>
      <c r="E193" s="50">
        <f t="shared" si="15"/>
        <v>-1.1148614094303049</v>
      </c>
      <c r="F193" s="49">
        <f>VLOOKUP($A193,'Data shares'!$C:$FB,98)</f>
        <v>18726000</v>
      </c>
      <c r="G193" s="49">
        <f>VLOOKUP($A193,'Data shares'!$C:$FB,99)</f>
        <v>16428000</v>
      </c>
      <c r="H193" s="50">
        <f t="shared" si="16"/>
        <v>13.988312636961286</v>
      </c>
      <c r="I193" s="49">
        <f>VLOOKUP($A193,'Data shares'!$C:$FB,66)</f>
        <v>17521000</v>
      </c>
      <c r="J193" s="49">
        <f>VLOOKUP($A193,'Data shares'!$C:$FB,67)</f>
        <v>66740000</v>
      </c>
      <c r="K193" s="50">
        <f t="shared" si="17"/>
        <v>-280.91433137378004</v>
      </c>
      <c r="L193" s="50">
        <f>VLOOKUP($A193,'Data shares'!$C:$FB,118)</f>
        <v>0.67</v>
      </c>
      <c r="M193" s="50">
        <f>VLOOKUP($A193,'Data shares'!$C:$FB,119)</f>
        <v>0.65</v>
      </c>
      <c r="N193" s="50">
        <f>VLOOKUP($A193,'Data shares'!$C:$FB,121)*100</f>
        <v>3.08</v>
      </c>
      <c r="O193" s="50">
        <f>VLOOKUP($A193,'Data shares'!$C:$FB,124)</f>
        <v>1</v>
      </c>
      <c r="P193" s="50">
        <f>VLOOKUP($A193,'Data shares'!$C:$FB,125)</f>
        <v>1.66</v>
      </c>
      <c r="Q193" s="50">
        <f>VLOOKUP($A193,'Data shares'!$C:$FB,127)*100</f>
        <v>-39.76</v>
      </c>
    </row>
    <row r="194" spans="1:17" x14ac:dyDescent="0.25">
      <c r="A194" s="97" t="str">
        <f>'Snapshot (Value)'!A198</f>
        <v>TATACONSUM</v>
      </c>
      <c r="B194" s="140">
        <f>VLOOKUP($A194,'Data shares'!$C:$FB,7)</f>
        <v>1131.8</v>
      </c>
      <c r="C194" s="140">
        <f>VLOOKUP($A194,'Data shares'!$C:$FB,3)</f>
        <v>1136.0999999999999</v>
      </c>
      <c r="D194" s="140">
        <f>VLOOKUP($A194,'Data shares'!$C:$FB,4)</f>
        <v>1193.5999999999999</v>
      </c>
      <c r="E194" s="50">
        <f t="shared" si="15"/>
        <v>-4.8173592493297592</v>
      </c>
      <c r="F194" s="49">
        <f>VLOOKUP($A194,'Data shares'!$C:$FB,98)</f>
        <v>19094350</v>
      </c>
      <c r="G194" s="49">
        <f>VLOOKUP($A194,'Data shares'!$C:$FB,99)</f>
        <v>14868150</v>
      </c>
      <c r="H194" s="50">
        <f t="shared" si="16"/>
        <v>28.424518181481893</v>
      </c>
      <c r="I194" s="49">
        <f>VLOOKUP($A194,'Data shares'!$C:$FB,66)</f>
        <v>40784700</v>
      </c>
      <c r="J194" s="49">
        <f>VLOOKUP($A194,'Data shares'!$C:$FB,67)</f>
        <v>30852250</v>
      </c>
      <c r="K194" s="50">
        <f t="shared" si="17"/>
        <v>24.353372710844997</v>
      </c>
      <c r="L194" s="50">
        <f>VLOOKUP($A194,'Data shares'!$C:$FB,118)</f>
        <v>0.78</v>
      </c>
      <c r="M194" s="50">
        <f>VLOOKUP($A194,'Data shares'!$C:$FB,119)</f>
        <v>0.75</v>
      </c>
      <c r="N194" s="50">
        <f>VLOOKUP($A194,'Data shares'!$C:$FB,121)*100</f>
        <v>4</v>
      </c>
      <c r="O194" s="50">
        <f>VLOOKUP($A194,'Data shares'!$C:$FB,124)</f>
        <v>0.78</v>
      </c>
      <c r="P194" s="50">
        <f>VLOOKUP($A194,'Data shares'!$C:$FB,125)</f>
        <v>0.38</v>
      </c>
      <c r="Q194" s="50">
        <f>VLOOKUP($A194,'Data shares'!$C:$FB,127)*100</f>
        <v>105.25999999999999</v>
      </c>
    </row>
    <row r="195" spans="1:17" x14ac:dyDescent="0.25">
      <c r="A195" s="97" t="str">
        <f>'Snapshot (Value)'!A199</f>
        <v>TATAELXSI</v>
      </c>
      <c r="B195" s="140">
        <f>VLOOKUP($A195,'Data shares'!$C:$FB,7)</f>
        <v>5391</v>
      </c>
      <c r="C195" s="140">
        <f>VLOOKUP($A195,'Data shares'!$C:$FB,3)</f>
        <v>5423</v>
      </c>
      <c r="D195" s="140">
        <f>VLOOKUP($A195,'Data shares'!$C:$FB,4)</f>
        <v>5436.5</v>
      </c>
      <c r="E195" s="50">
        <f t="shared" si="15"/>
        <v>-0.24832153039639474</v>
      </c>
      <c r="F195" s="49">
        <f>VLOOKUP($A195,'Data shares'!$C:$FB,98)</f>
        <v>2021500</v>
      </c>
      <c r="G195" s="49">
        <f>VLOOKUP($A195,'Data shares'!$C:$FB,99)</f>
        <v>1827400</v>
      </c>
      <c r="H195" s="50">
        <f t="shared" si="16"/>
        <v>10.621648243405932</v>
      </c>
      <c r="I195" s="49">
        <f>VLOOKUP($A195,'Data shares'!$C:$FB,66)</f>
        <v>911700</v>
      </c>
      <c r="J195" s="49">
        <f>VLOOKUP($A195,'Data shares'!$C:$FB,67)</f>
        <v>2821000</v>
      </c>
      <c r="K195" s="50">
        <f t="shared" si="17"/>
        <v>-209.42195897773394</v>
      </c>
      <c r="L195" s="50">
        <f>VLOOKUP($A195,'Data shares'!$C:$FB,118)</f>
        <v>0.38</v>
      </c>
      <c r="M195" s="50">
        <f>VLOOKUP($A195,'Data shares'!$C:$FB,119)</f>
        <v>0.38</v>
      </c>
      <c r="N195" s="50">
        <f>VLOOKUP($A195,'Data shares'!$C:$FB,121)*100</f>
        <v>0</v>
      </c>
      <c r="O195" s="50">
        <f>VLOOKUP($A195,'Data shares'!$C:$FB,124)</f>
        <v>0.42</v>
      </c>
      <c r="P195" s="50">
        <f>VLOOKUP($A195,'Data shares'!$C:$FB,125)</f>
        <v>0.5</v>
      </c>
      <c r="Q195" s="50">
        <f>VLOOKUP($A195,'Data shares'!$C:$FB,127)*100</f>
        <v>-16</v>
      </c>
    </row>
    <row r="196" spans="1:17" x14ac:dyDescent="0.25">
      <c r="A196" s="97" t="str">
        <f>'Snapshot (Value)'!A200</f>
        <v>TATAPOWER</v>
      </c>
      <c r="B196" s="140">
        <f>VLOOKUP($A196,'Data shares'!$C:$FB,7)</f>
        <v>355.05</v>
      </c>
      <c r="C196" s="140">
        <f>VLOOKUP($A196,'Data shares'!$C:$FB,3)</f>
        <v>357.25</v>
      </c>
      <c r="D196" s="140">
        <f>VLOOKUP($A196,'Data shares'!$C:$FB,4)</f>
        <v>349.45</v>
      </c>
      <c r="E196" s="50">
        <f t="shared" si="15"/>
        <v>2.2320789812562634</v>
      </c>
      <c r="F196" s="49">
        <f>VLOOKUP($A196,'Data shares'!$C:$FB,98)</f>
        <v>93613450</v>
      </c>
      <c r="G196" s="49">
        <f>VLOOKUP($A196,'Data shares'!$C:$FB,99)</f>
        <v>90527850</v>
      </c>
      <c r="H196" s="50">
        <f t="shared" si="16"/>
        <v>3.4084538625406431</v>
      </c>
      <c r="I196" s="49">
        <f>VLOOKUP($A196,'Data shares'!$C:$FB,66)</f>
        <v>34624550</v>
      </c>
      <c r="J196" s="49">
        <f>VLOOKUP($A196,'Data shares'!$C:$FB,67)</f>
        <v>103226950</v>
      </c>
      <c r="K196" s="50">
        <f t="shared" si="17"/>
        <v>-198.13225009422507</v>
      </c>
      <c r="L196" s="50">
        <f>VLOOKUP($A196,'Data shares'!$C:$FB,118)</f>
        <v>1.1399999999999999</v>
      </c>
      <c r="M196" s="50">
        <f>VLOOKUP($A196,'Data shares'!$C:$FB,119)</f>
        <v>1.26</v>
      </c>
      <c r="N196" s="50">
        <f>VLOOKUP($A196,'Data shares'!$C:$FB,121)*100</f>
        <v>-9.5200000000000014</v>
      </c>
      <c r="O196" s="50">
        <f>VLOOKUP($A196,'Data shares'!$C:$FB,124)</f>
        <v>0.44</v>
      </c>
      <c r="P196" s="50">
        <f>VLOOKUP($A196,'Data shares'!$C:$FB,125)</f>
        <v>0.87</v>
      </c>
      <c r="Q196" s="50">
        <f>VLOOKUP($A196,'Data shares'!$C:$FB,127)*100</f>
        <v>-49.43</v>
      </c>
    </row>
    <row r="197" spans="1:17" x14ac:dyDescent="0.25">
      <c r="A197" s="97" t="str">
        <f>'Snapshot (Value)'!A201</f>
        <v>TATASTEEL</v>
      </c>
      <c r="B197" s="140">
        <f>VLOOKUP($A197,'Data shares'!$C:$FB,7)</f>
        <v>193.85</v>
      </c>
      <c r="C197" s="140">
        <f>VLOOKUP($A197,'Data shares'!$C:$FB,3)</f>
        <v>195.01</v>
      </c>
      <c r="D197" s="140">
        <f>VLOOKUP($A197,'Data shares'!$C:$FB,4)</f>
        <v>193.11</v>
      </c>
      <c r="E197" s="50">
        <f t="shared" si="15"/>
        <v>0.98389518927035224</v>
      </c>
      <c r="F197" s="49">
        <f>VLOOKUP($A197,'Data shares'!$C:$FB,98)</f>
        <v>379626500</v>
      </c>
      <c r="G197" s="49">
        <f>VLOOKUP($A197,'Data shares'!$C:$FB,99)</f>
        <v>367499000</v>
      </c>
      <c r="H197" s="50">
        <f t="shared" si="16"/>
        <v>3.3000089796162708</v>
      </c>
      <c r="I197" s="49">
        <f>VLOOKUP($A197,'Data shares'!$C:$FB,66)</f>
        <v>280918000</v>
      </c>
      <c r="J197" s="49">
        <f>VLOOKUP($A197,'Data shares'!$C:$FB,67)</f>
        <v>482592000</v>
      </c>
      <c r="K197" s="50">
        <f t="shared" si="17"/>
        <v>-71.791056464875865</v>
      </c>
      <c r="L197" s="50">
        <f>VLOOKUP($A197,'Data shares'!$C:$FB,118)</f>
        <v>0.85</v>
      </c>
      <c r="M197" s="50">
        <f>VLOOKUP($A197,'Data shares'!$C:$FB,119)</f>
        <v>0.85</v>
      </c>
      <c r="N197" s="50">
        <f>VLOOKUP($A197,'Data shares'!$C:$FB,121)*100</f>
        <v>0</v>
      </c>
      <c r="O197" s="50">
        <f>VLOOKUP($A197,'Data shares'!$C:$FB,124)</f>
        <v>0.52</v>
      </c>
      <c r="P197" s="50">
        <f>VLOOKUP($A197,'Data shares'!$C:$FB,125)</f>
        <v>0.55000000000000004</v>
      </c>
      <c r="Q197" s="50">
        <f>VLOOKUP($A197,'Data shares'!$C:$FB,127)*100</f>
        <v>-5.45</v>
      </c>
    </row>
    <row r="198" spans="1:17" x14ac:dyDescent="0.25">
      <c r="A198" s="97" t="str">
        <f>'Snapshot (Value)'!A202</f>
        <v>TATATECH</v>
      </c>
      <c r="B198" s="140">
        <f>VLOOKUP($A198,'Data shares'!$C:$FB,7)</f>
        <v>660.65</v>
      </c>
      <c r="C198" s="140">
        <f>VLOOKUP($A198,'Data shares'!$C:$FB,3)</f>
        <v>665.05</v>
      </c>
      <c r="D198" s="140">
        <f>VLOOKUP($A198,'Data shares'!$C:$FB,4)</f>
        <v>655.6</v>
      </c>
      <c r="E198" s="50">
        <f t="shared" si="15"/>
        <v>1.4414276998169511</v>
      </c>
      <c r="F198" s="49">
        <f>VLOOKUP($A198,'Data shares'!$C:$FB,98)</f>
        <v>13572800</v>
      </c>
      <c r="G198" s="49">
        <f>VLOOKUP($A198,'Data shares'!$C:$FB,99)</f>
        <v>13293600</v>
      </c>
      <c r="H198" s="50">
        <f t="shared" si="16"/>
        <v>2.1002587711379914</v>
      </c>
      <c r="I198" s="49">
        <f>VLOOKUP($A198,'Data shares'!$C:$FB,66)</f>
        <v>4139200</v>
      </c>
      <c r="J198" s="49">
        <f>VLOOKUP($A198,'Data shares'!$C:$FB,67)</f>
        <v>16584800</v>
      </c>
      <c r="K198" s="50">
        <f t="shared" si="17"/>
        <v>-300.67645921917278</v>
      </c>
      <c r="L198" s="50">
        <f>VLOOKUP($A198,'Data shares'!$C:$FB,118)</f>
        <v>0.8</v>
      </c>
      <c r="M198" s="50">
        <f>VLOOKUP($A198,'Data shares'!$C:$FB,119)</f>
        <v>0.8</v>
      </c>
      <c r="N198" s="50">
        <f>VLOOKUP($A198,'Data shares'!$C:$FB,121)*100</f>
        <v>0</v>
      </c>
      <c r="O198" s="50">
        <f>VLOOKUP($A198,'Data shares'!$C:$FB,124)</f>
        <v>0.45</v>
      </c>
      <c r="P198" s="50">
        <f>VLOOKUP($A198,'Data shares'!$C:$FB,125)</f>
        <v>0.48</v>
      </c>
      <c r="Q198" s="50">
        <f>VLOOKUP($A198,'Data shares'!$C:$FB,127)*100</f>
        <v>-6.25</v>
      </c>
    </row>
    <row r="199" spans="1:17" x14ac:dyDescent="0.25">
      <c r="A199" s="97" t="str">
        <f>'Snapshot (Value)'!A203</f>
        <v>TCS</v>
      </c>
      <c r="B199" s="140">
        <f>VLOOKUP($A199,'Data shares'!$C:$FB,7)</f>
        <v>3200.1</v>
      </c>
      <c r="C199" s="140">
        <f>VLOOKUP($A199,'Data shares'!$C:$FB,3)</f>
        <v>3210</v>
      </c>
      <c r="D199" s="140">
        <f>VLOOKUP($A199,'Data shares'!$C:$FB,4)</f>
        <v>3179.9</v>
      </c>
      <c r="E199" s="50">
        <f t="shared" si="15"/>
        <v>0.94657064687568504</v>
      </c>
      <c r="F199" s="49">
        <f>VLOOKUP($A199,'Data shares'!$C:$FB,98)</f>
        <v>27902000</v>
      </c>
      <c r="G199" s="49">
        <f>VLOOKUP($A199,'Data shares'!$C:$FB,99)</f>
        <v>27406575</v>
      </c>
      <c r="H199" s="50">
        <f t="shared" si="16"/>
        <v>1.8076866591319785</v>
      </c>
      <c r="I199" s="49">
        <f>VLOOKUP($A199,'Data shares'!$C:$FB,66)</f>
        <v>12786025</v>
      </c>
      <c r="J199" s="49">
        <f>VLOOKUP($A199,'Data shares'!$C:$FB,67)</f>
        <v>28970550</v>
      </c>
      <c r="K199" s="50">
        <f t="shared" si="17"/>
        <v>-126.579800993663</v>
      </c>
      <c r="L199" s="50">
        <f>VLOOKUP($A199,'Data shares'!$C:$FB,118)</f>
        <v>1.08</v>
      </c>
      <c r="M199" s="50">
        <f>VLOOKUP($A199,'Data shares'!$C:$FB,119)</f>
        <v>1.1599999999999999</v>
      </c>
      <c r="N199" s="50">
        <f>VLOOKUP($A199,'Data shares'!$C:$FB,121)*100</f>
        <v>-6.9</v>
      </c>
      <c r="O199" s="50">
        <f>VLOOKUP($A199,'Data shares'!$C:$FB,124)</f>
        <v>0.61</v>
      </c>
      <c r="P199" s="50">
        <f>VLOOKUP($A199,'Data shares'!$C:$FB,125)</f>
        <v>0.81</v>
      </c>
      <c r="Q199" s="50">
        <f>VLOOKUP($A199,'Data shares'!$C:$FB,127)*100</f>
        <v>-24.69</v>
      </c>
    </row>
    <row r="200" spans="1:17" x14ac:dyDescent="0.25">
      <c r="A200" s="97" t="str">
        <f>'Snapshot (Value)'!A204</f>
        <v>TECHM</v>
      </c>
      <c r="B200" s="140">
        <f>VLOOKUP($A200,'Data shares'!$C:$FB,7)</f>
        <v>1762.9</v>
      </c>
      <c r="C200" s="140">
        <f>VLOOKUP($A200,'Data shares'!$C:$FB,3)</f>
        <v>1769.4</v>
      </c>
      <c r="D200" s="140">
        <f>VLOOKUP($A200,'Data shares'!$C:$FB,4)</f>
        <v>1754</v>
      </c>
      <c r="E200" s="50">
        <f t="shared" si="15"/>
        <v>0.87799315849487403</v>
      </c>
      <c r="F200" s="49">
        <f>VLOOKUP($A200,'Data shares'!$C:$FB,98)</f>
        <v>23602800</v>
      </c>
      <c r="G200" s="49">
        <f>VLOOKUP($A200,'Data shares'!$C:$FB,99)</f>
        <v>23160000</v>
      </c>
      <c r="H200" s="50">
        <f t="shared" si="16"/>
        <v>1.911917098445596</v>
      </c>
      <c r="I200" s="49">
        <f>VLOOKUP($A200,'Data shares'!$C:$FB,66)</f>
        <v>15864600</v>
      </c>
      <c r="J200" s="49">
        <f>VLOOKUP($A200,'Data shares'!$C:$FB,67)</f>
        <v>26346600</v>
      </c>
      <c r="K200" s="50">
        <f t="shared" si="17"/>
        <v>-66.071631178851035</v>
      </c>
      <c r="L200" s="50">
        <f>VLOOKUP($A200,'Data shares'!$C:$FB,118)</f>
        <v>0.79</v>
      </c>
      <c r="M200" s="50">
        <f>VLOOKUP($A200,'Data shares'!$C:$FB,119)</f>
        <v>0.91</v>
      </c>
      <c r="N200" s="50">
        <f>VLOOKUP($A200,'Data shares'!$C:$FB,121)*100</f>
        <v>-13.19</v>
      </c>
      <c r="O200" s="50">
        <f>VLOOKUP($A200,'Data shares'!$C:$FB,124)</f>
        <v>0.55000000000000004</v>
      </c>
      <c r="P200" s="50">
        <f>VLOOKUP($A200,'Data shares'!$C:$FB,125)</f>
        <v>0.45</v>
      </c>
      <c r="Q200" s="50">
        <f>VLOOKUP($A200,'Data shares'!$C:$FB,127)*100</f>
        <v>22.220000000000002</v>
      </c>
    </row>
    <row r="201" spans="1:17" x14ac:dyDescent="0.25">
      <c r="A201" s="97" t="str">
        <f>'Snapshot (Value)'!A205</f>
        <v>TIINDIA</v>
      </c>
      <c r="B201" s="140">
        <f>VLOOKUP($A201,'Data shares'!$C:$FB,7)</f>
        <v>2280.6999999999998</v>
      </c>
      <c r="C201" s="140">
        <f>VLOOKUP($A201,'Data shares'!$C:$FB,3)</f>
        <v>2295.4</v>
      </c>
      <c r="D201" s="140">
        <f>VLOOKUP($A201,'Data shares'!$C:$FB,4)</f>
        <v>2199.9</v>
      </c>
      <c r="E201" s="50">
        <f t="shared" si="15"/>
        <v>4.3411064139279061</v>
      </c>
      <c r="F201" s="49">
        <f>VLOOKUP($A201,'Data shares'!$C:$FB,98)</f>
        <v>4753800</v>
      </c>
      <c r="G201" s="49">
        <f>VLOOKUP($A201,'Data shares'!$C:$FB,99)</f>
        <v>3924600</v>
      </c>
      <c r="H201" s="50">
        <f t="shared" si="16"/>
        <v>21.12826784895276</v>
      </c>
      <c r="I201" s="49">
        <f>VLOOKUP($A201,'Data shares'!$C:$FB,66)</f>
        <v>2773200</v>
      </c>
      <c r="J201" s="49">
        <f>VLOOKUP($A201,'Data shares'!$C:$FB,67)</f>
        <v>5210200</v>
      </c>
      <c r="K201" s="50">
        <f t="shared" si="17"/>
        <v>-87.87682100100966</v>
      </c>
      <c r="L201" s="50">
        <f>VLOOKUP($A201,'Data shares'!$C:$FB,118)</f>
        <v>0.6</v>
      </c>
      <c r="M201" s="50">
        <f>VLOOKUP($A201,'Data shares'!$C:$FB,119)</f>
        <v>1.06</v>
      </c>
      <c r="N201" s="50">
        <f>VLOOKUP($A201,'Data shares'!$C:$FB,121)*100</f>
        <v>-43.4</v>
      </c>
      <c r="O201" s="50">
        <f>VLOOKUP($A201,'Data shares'!$C:$FB,124)</f>
        <v>0.31</v>
      </c>
      <c r="P201" s="50">
        <f>VLOOKUP($A201,'Data shares'!$C:$FB,125)</f>
        <v>0.9</v>
      </c>
      <c r="Q201" s="50">
        <f>VLOOKUP($A201,'Data shares'!$C:$FB,127)*100</f>
        <v>-65.56</v>
      </c>
    </row>
    <row r="202" spans="1:17" x14ac:dyDescent="0.25">
      <c r="A202" s="97" t="str">
        <f>'Snapshot (Value)'!A206</f>
        <v>TITAN</v>
      </c>
      <c r="B202" s="140">
        <f>VLOOKUP($A202,'Data shares'!$C:$FB,7)</f>
        <v>3975.2</v>
      </c>
      <c r="C202" s="140">
        <f>VLOOKUP($A202,'Data shares'!$C:$FB,3)</f>
        <v>3990.6</v>
      </c>
      <c r="D202" s="140">
        <f>VLOOKUP($A202,'Data shares'!$C:$FB,4)</f>
        <v>4025.5</v>
      </c>
      <c r="E202" s="50">
        <f t="shared" si="15"/>
        <v>-0.86697304682648335</v>
      </c>
      <c r="F202" s="49">
        <f>VLOOKUP($A202,'Data shares'!$C:$FB,98)</f>
        <v>11240250</v>
      </c>
      <c r="G202" s="49">
        <f>VLOOKUP($A202,'Data shares'!$C:$FB,99)</f>
        <v>10799250</v>
      </c>
      <c r="H202" s="50">
        <f t="shared" si="16"/>
        <v>4.0836169178415167</v>
      </c>
      <c r="I202" s="49">
        <f>VLOOKUP($A202,'Data shares'!$C:$FB,66)</f>
        <v>3473400</v>
      </c>
      <c r="J202" s="49">
        <f>VLOOKUP($A202,'Data shares'!$C:$FB,67)</f>
        <v>10776325</v>
      </c>
      <c r="K202" s="50">
        <f t="shared" si="17"/>
        <v>-210.25292220878677</v>
      </c>
      <c r="L202" s="50">
        <f>VLOOKUP($A202,'Data shares'!$C:$FB,118)</f>
        <v>0.88</v>
      </c>
      <c r="M202" s="50">
        <f>VLOOKUP($A202,'Data shares'!$C:$FB,119)</f>
        <v>0.71</v>
      </c>
      <c r="N202" s="50">
        <f>VLOOKUP($A202,'Data shares'!$C:$FB,121)*100</f>
        <v>23.94</v>
      </c>
      <c r="O202" s="50">
        <f>VLOOKUP($A202,'Data shares'!$C:$FB,124)</f>
        <v>0.66</v>
      </c>
      <c r="P202" s="50">
        <f>VLOOKUP($A202,'Data shares'!$C:$FB,125)</f>
        <v>0.75</v>
      </c>
      <c r="Q202" s="50">
        <f>VLOOKUP($A202,'Data shares'!$C:$FB,127)*100</f>
        <v>-12</v>
      </c>
    </row>
    <row r="203" spans="1:17" x14ac:dyDescent="0.25">
      <c r="A203" s="97" t="str">
        <f>'Snapshot (Value)'!A207</f>
        <v>TMPV</v>
      </c>
      <c r="B203" s="140">
        <f>VLOOKUP($A203,'Data shares'!$C:$FB,7)</f>
        <v>340.45</v>
      </c>
      <c r="C203" s="140">
        <f>VLOOKUP($A203,'Data shares'!$C:$FB,3)</f>
        <v>341.95</v>
      </c>
      <c r="D203" s="140">
        <f>VLOOKUP($A203,'Data shares'!$C:$FB,4)</f>
        <v>341.7</v>
      </c>
      <c r="E203" s="50">
        <f t="shared" si="15"/>
        <v>7.3163593795727247E-2</v>
      </c>
      <c r="F203" s="49">
        <f>VLOOKUP($A203,'Data shares'!$C:$FB,98)</f>
        <v>120024800</v>
      </c>
      <c r="G203" s="49">
        <f>VLOOKUP($A203,'Data shares'!$C:$FB,99)</f>
        <v>114050400</v>
      </c>
      <c r="H203" s="50">
        <f t="shared" si="16"/>
        <v>5.2383858364372236</v>
      </c>
      <c r="I203" s="49">
        <f>VLOOKUP($A203,'Data shares'!$C:$FB,66)</f>
        <v>69204000</v>
      </c>
      <c r="J203" s="49">
        <f>VLOOKUP($A203,'Data shares'!$C:$FB,67)</f>
        <v>131646400</v>
      </c>
      <c r="K203" s="50">
        <f t="shared" si="17"/>
        <v>-90.229466504826306</v>
      </c>
      <c r="L203" s="50">
        <f>VLOOKUP($A203,'Data shares'!$C:$FB,118)</f>
        <v>1.03</v>
      </c>
      <c r="M203" s="50">
        <f>VLOOKUP($A203,'Data shares'!$C:$FB,119)</f>
        <v>0.95</v>
      </c>
      <c r="N203" s="50">
        <f>VLOOKUP($A203,'Data shares'!$C:$FB,121)*100</f>
        <v>8.42</v>
      </c>
      <c r="O203" s="50">
        <f>VLOOKUP($A203,'Data shares'!$C:$FB,124)</f>
        <v>0.91</v>
      </c>
      <c r="P203" s="50">
        <f>VLOOKUP($A203,'Data shares'!$C:$FB,125)</f>
        <v>0.81</v>
      </c>
      <c r="Q203" s="50">
        <f>VLOOKUP($A203,'Data shares'!$C:$FB,127)*100</f>
        <v>12.35</v>
      </c>
    </row>
    <row r="204" spans="1:17" x14ac:dyDescent="0.25">
      <c r="A204" s="97" t="str">
        <f>'Snapshot (Value)'!A208</f>
        <v>TORNTPHARM</v>
      </c>
      <c r="B204" s="140">
        <f>VLOOKUP($A204,'Data shares'!$C:$FB,7)</f>
        <v>3958.7</v>
      </c>
      <c r="C204" s="140">
        <f>VLOOKUP($A204,'Data shares'!$C:$FB,3)</f>
        <v>3936</v>
      </c>
      <c r="D204" s="140">
        <f>VLOOKUP($A204,'Data shares'!$C:$FB,4)</f>
        <v>3980.3</v>
      </c>
      <c r="E204" s="50">
        <f t="shared" si="15"/>
        <v>-1.112981433560289</v>
      </c>
      <c r="F204" s="49">
        <f>VLOOKUP($A204,'Data shares'!$C:$FB,98)</f>
        <v>2782750</v>
      </c>
      <c r="G204" s="49">
        <f>VLOOKUP($A204,'Data shares'!$C:$FB,99)</f>
        <v>2684250</v>
      </c>
      <c r="H204" s="50">
        <f t="shared" si="16"/>
        <v>3.6695538791096207</v>
      </c>
      <c r="I204" s="49">
        <f>VLOOKUP($A204,'Data shares'!$C:$FB,66)</f>
        <v>771250</v>
      </c>
      <c r="J204" s="49">
        <f>VLOOKUP($A204,'Data shares'!$C:$FB,67)</f>
        <v>3250000</v>
      </c>
      <c r="K204" s="50">
        <f t="shared" si="17"/>
        <v>-321.3938411669368</v>
      </c>
      <c r="L204" s="50">
        <f>VLOOKUP($A204,'Data shares'!$C:$FB,118)</f>
        <v>0.66</v>
      </c>
      <c r="M204" s="50">
        <f>VLOOKUP($A204,'Data shares'!$C:$FB,119)</f>
        <v>0.66</v>
      </c>
      <c r="N204" s="50">
        <f>VLOOKUP($A204,'Data shares'!$C:$FB,121)*100</f>
        <v>0</v>
      </c>
      <c r="O204" s="50">
        <f>VLOOKUP($A204,'Data shares'!$C:$FB,124)</f>
        <v>0.43</v>
      </c>
      <c r="P204" s="50">
        <f>VLOOKUP($A204,'Data shares'!$C:$FB,125)</f>
        <v>1.24</v>
      </c>
      <c r="Q204" s="50">
        <f>VLOOKUP($A204,'Data shares'!$C:$FB,127)*100</f>
        <v>-65.319999999999993</v>
      </c>
    </row>
    <row r="205" spans="1:17" x14ac:dyDescent="0.25">
      <c r="A205" s="97" t="str">
        <f>'Snapshot (Value)'!A209</f>
        <v>TORNTPOWER</v>
      </c>
      <c r="B205" s="140">
        <f>VLOOKUP($A205,'Data shares'!$C:$FB,7)</f>
        <v>1332.9</v>
      </c>
      <c r="C205" s="140">
        <f>VLOOKUP($A205,'Data shares'!$C:$FB,3)</f>
        <v>1331.4</v>
      </c>
      <c r="D205" s="140">
        <f>VLOOKUP($A205,'Data shares'!$C:$FB,4)</f>
        <v>1306.5</v>
      </c>
      <c r="E205" s="50">
        <f t="shared" si="15"/>
        <v>1.9058553386911665</v>
      </c>
      <c r="F205" s="49">
        <f>VLOOKUP($A205,'Data shares'!$C:$FB,98)</f>
        <v>3631200</v>
      </c>
      <c r="G205" s="49">
        <f>VLOOKUP($A205,'Data shares'!$C:$FB,99)</f>
        <v>3485425</v>
      </c>
      <c r="H205" s="50">
        <f t="shared" si="16"/>
        <v>4.1824167784416533</v>
      </c>
      <c r="I205" s="49">
        <f>VLOOKUP($A205,'Data shares'!$C:$FB,66)</f>
        <v>1402925</v>
      </c>
      <c r="J205" s="49">
        <f>VLOOKUP($A205,'Data shares'!$C:$FB,67)</f>
        <v>3512625</v>
      </c>
      <c r="K205" s="50">
        <f t="shared" si="17"/>
        <v>-150.37867312935472</v>
      </c>
      <c r="L205" s="50">
        <f>VLOOKUP($A205,'Data shares'!$C:$FB,118)</f>
        <v>1.19</v>
      </c>
      <c r="M205" s="50">
        <f>VLOOKUP($A205,'Data shares'!$C:$FB,119)</f>
        <v>1.26</v>
      </c>
      <c r="N205" s="50">
        <f>VLOOKUP($A205,'Data shares'!$C:$FB,121)*100</f>
        <v>-5.56</v>
      </c>
      <c r="O205" s="50">
        <f>VLOOKUP($A205,'Data shares'!$C:$FB,124)</f>
        <v>0.35</v>
      </c>
      <c r="P205" s="50">
        <f>VLOOKUP($A205,'Data shares'!$C:$FB,125)</f>
        <v>0.59</v>
      </c>
      <c r="Q205" s="50">
        <f>VLOOKUP($A205,'Data shares'!$C:$FB,127)*100</f>
        <v>-40.68</v>
      </c>
    </row>
    <row r="206" spans="1:17" x14ac:dyDescent="0.25">
      <c r="A206" s="97" t="str">
        <f>'Snapshot (Value)'!A210</f>
        <v>TRENT</v>
      </c>
      <c r="B206" s="140">
        <f>VLOOKUP($A206,'Data shares'!$C:$FB,7)</f>
        <v>3864</v>
      </c>
      <c r="C206" s="140">
        <f>VLOOKUP($A206,'Data shares'!$C:$FB,3)</f>
        <v>3878.1</v>
      </c>
      <c r="D206" s="140">
        <f>VLOOKUP($A206,'Data shares'!$C:$FB,4)</f>
        <v>3821.1</v>
      </c>
      <c r="E206" s="50">
        <f t="shared" si="15"/>
        <v>1.4917170448300228</v>
      </c>
      <c r="F206" s="49">
        <f>VLOOKUP($A206,'Data shares'!$C:$FB,98)</f>
        <v>11142600</v>
      </c>
      <c r="G206" s="49">
        <f>VLOOKUP($A206,'Data shares'!$C:$FB,99)</f>
        <v>10852200</v>
      </c>
      <c r="H206" s="50">
        <f t="shared" si="16"/>
        <v>2.6759551058771494</v>
      </c>
      <c r="I206" s="49">
        <f>VLOOKUP($A206,'Data shares'!$C:$FB,66)</f>
        <v>3819200</v>
      </c>
      <c r="J206" s="49">
        <f>VLOOKUP($A206,'Data shares'!$C:$FB,67)</f>
        <v>13404800</v>
      </c>
      <c r="K206" s="50">
        <f t="shared" si="17"/>
        <v>-250.98449937159612</v>
      </c>
      <c r="L206" s="50">
        <f>VLOOKUP($A206,'Data shares'!$C:$FB,118)</f>
        <v>0.98</v>
      </c>
      <c r="M206" s="50">
        <f>VLOOKUP($A206,'Data shares'!$C:$FB,119)</f>
        <v>1.2</v>
      </c>
      <c r="N206" s="50">
        <f>VLOOKUP($A206,'Data shares'!$C:$FB,121)*100</f>
        <v>-18.329999999999998</v>
      </c>
      <c r="O206" s="50">
        <f>VLOOKUP($A206,'Data shares'!$C:$FB,124)</f>
        <v>0.38</v>
      </c>
      <c r="P206" s="50">
        <f>VLOOKUP($A206,'Data shares'!$C:$FB,125)</f>
        <v>0.7</v>
      </c>
      <c r="Q206" s="50">
        <f>VLOOKUP($A206,'Data shares'!$C:$FB,127)*100</f>
        <v>-45.71</v>
      </c>
    </row>
    <row r="207" spans="1:17" x14ac:dyDescent="0.25">
      <c r="A207" s="97" t="str">
        <f>'Snapshot (Value)'!A211</f>
        <v>TVSMOTOR</v>
      </c>
      <c r="B207" s="140">
        <f>VLOOKUP($A207,'Data shares'!$C:$FB,7)</f>
        <v>3728.4</v>
      </c>
      <c r="C207" s="140">
        <f>VLOOKUP($A207,'Data shares'!$C:$FB,3)</f>
        <v>3753.7</v>
      </c>
      <c r="D207" s="140">
        <f>VLOOKUP($A207,'Data shares'!$C:$FB,4)</f>
        <v>3580.2</v>
      </c>
      <c r="E207" s="50">
        <f t="shared" si="15"/>
        <v>4.8460979833528857</v>
      </c>
      <c r="F207" s="49">
        <f>VLOOKUP($A207,'Data shares'!$C:$FB,98)</f>
        <v>11403350</v>
      </c>
      <c r="G207" s="49">
        <f>VLOOKUP($A207,'Data shares'!$C:$FB,99)</f>
        <v>9500750</v>
      </c>
      <c r="H207" s="50">
        <f t="shared" si="16"/>
        <v>20.025787437833856</v>
      </c>
      <c r="I207" s="49">
        <f>VLOOKUP($A207,'Data shares'!$C:$FB,66)</f>
        <v>27550425</v>
      </c>
      <c r="J207" s="49">
        <f>VLOOKUP($A207,'Data shares'!$C:$FB,67)</f>
        <v>7905275</v>
      </c>
      <c r="K207" s="50">
        <f t="shared" si="17"/>
        <v>71.306159523854902</v>
      </c>
      <c r="L207" s="50">
        <f>VLOOKUP($A207,'Data shares'!$C:$FB,118)</f>
        <v>0.77</v>
      </c>
      <c r="M207" s="50">
        <f>VLOOKUP($A207,'Data shares'!$C:$FB,119)</f>
        <v>0.79</v>
      </c>
      <c r="N207" s="50">
        <f>VLOOKUP($A207,'Data shares'!$C:$FB,121)*100</f>
        <v>-2.5299999999999998</v>
      </c>
      <c r="O207" s="50">
        <f>VLOOKUP($A207,'Data shares'!$C:$FB,124)</f>
        <v>0.39</v>
      </c>
      <c r="P207" s="50">
        <f>VLOOKUP($A207,'Data shares'!$C:$FB,125)</f>
        <v>0.74</v>
      </c>
      <c r="Q207" s="50">
        <f>VLOOKUP($A207,'Data shares'!$C:$FB,127)*100</f>
        <v>-47.3</v>
      </c>
    </row>
    <row r="208" spans="1:17" x14ac:dyDescent="0.25">
      <c r="A208" s="97" t="str">
        <f>'Snapshot (Value)'!A212</f>
        <v>ULTRACEMCO</v>
      </c>
      <c r="B208" s="140">
        <f>VLOOKUP($A208,'Data shares'!$C:$FB,7)</f>
        <v>12767</v>
      </c>
      <c r="C208" s="140">
        <f>VLOOKUP($A208,'Data shares'!$C:$FB,3)</f>
        <v>12812</v>
      </c>
      <c r="D208" s="140">
        <f>VLOOKUP($A208,'Data shares'!$C:$FB,4)</f>
        <v>12676</v>
      </c>
      <c r="E208" s="50">
        <f t="shared" si="15"/>
        <v>1.0728936573051435</v>
      </c>
      <c r="F208" s="49">
        <f>VLOOKUP($A208,'Data shares'!$C:$FB,98)</f>
        <v>3293400</v>
      </c>
      <c r="G208" s="49">
        <f>VLOOKUP($A208,'Data shares'!$C:$FB,99)</f>
        <v>3275850</v>
      </c>
      <c r="H208" s="50">
        <f t="shared" si="16"/>
        <v>0.53573881587984795</v>
      </c>
      <c r="I208" s="49">
        <f>VLOOKUP($A208,'Data shares'!$C:$FB,66)</f>
        <v>1601950</v>
      </c>
      <c r="J208" s="49">
        <f>VLOOKUP($A208,'Data shares'!$C:$FB,67)</f>
        <v>7474850</v>
      </c>
      <c r="K208" s="50">
        <f t="shared" si="17"/>
        <v>-366.6094447392241</v>
      </c>
      <c r="L208" s="50">
        <f>VLOOKUP($A208,'Data shares'!$C:$FB,118)</f>
        <v>0.71</v>
      </c>
      <c r="M208" s="50">
        <f>VLOOKUP($A208,'Data shares'!$C:$FB,119)</f>
        <v>0.62</v>
      </c>
      <c r="N208" s="50">
        <f>VLOOKUP($A208,'Data shares'!$C:$FB,121)*100</f>
        <v>14.52</v>
      </c>
      <c r="O208" s="50">
        <f>VLOOKUP($A208,'Data shares'!$C:$FB,124)</f>
        <v>0.54</v>
      </c>
      <c r="P208" s="50">
        <f>VLOOKUP($A208,'Data shares'!$C:$FB,125)</f>
        <v>0.36</v>
      </c>
      <c r="Q208" s="50">
        <f>VLOOKUP($A208,'Data shares'!$C:$FB,127)*100</f>
        <v>50</v>
      </c>
    </row>
    <row r="209" spans="1:17" x14ac:dyDescent="0.25">
      <c r="A209" s="97" t="str">
        <f>'Snapshot (Value)'!A213</f>
        <v>UNIONBANK</v>
      </c>
      <c r="B209" s="140">
        <f>VLOOKUP($A209,'Data shares'!$C:$FB,7)</f>
        <v>181.93</v>
      </c>
      <c r="C209" s="140">
        <f>VLOOKUP($A209,'Data shares'!$C:$FB,3)</f>
        <v>182.98</v>
      </c>
      <c r="D209" s="140">
        <f>VLOOKUP($A209,'Data shares'!$C:$FB,4)</f>
        <v>176.39</v>
      </c>
      <c r="E209" s="50">
        <f t="shared" si="15"/>
        <v>3.7360394580191643</v>
      </c>
      <c r="F209" s="49">
        <f>VLOOKUP($A209,'Data shares'!$C:$FB,98)</f>
        <v>119696250</v>
      </c>
      <c r="G209" s="49">
        <f>VLOOKUP($A209,'Data shares'!$C:$FB,99)</f>
        <v>105146850</v>
      </c>
      <c r="H209" s="50">
        <f t="shared" si="16"/>
        <v>13.837219089302247</v>
      </c>
      <c r="I209" s="49">
        <f>VLOOKUP($A209,'Data shares'!$C:$FB,66)</f>
        <v>146228550</v>
      </c>
      <c r="J209" s="49">
        <f>VLOOKUP($A209,'Data shares'!$C:$FB,67)</f>
        <v>110832975</v>
      </c>
      <c r="K209" s="50">
        <f t="shared" si="17"/>
        <v>24.205652726502453</v>
      </c>
      <c r="L209" s="50">
        <f>VLOOKUP($A209,'Data shares'!$C:$FB,118)</f>
        <v>0.7</v>
      </c>
      <c r="M209" s="50">
        <f>VLOOKUP($A209,'Data shares'!$C:$FB,119)</f>
        <v>0.66</v>
      </c>
      <c r="N209" s="50">
        <f>VLOOKUP($A209,'Data shares'!$C:$FB,121)*100</f>
        <v>6.0600000000000005</v>
      </c>
      <c r="O209" s="50">
        <f>VLOOKUP($A209,'Data shares'!$C:$FB,124)</f>
        <v>0.31</v>
      </c>
      <c r="P209" s="50">
        <f>VLOOKUP($A209,'Data shares'!$C:$FB,125)</f>
        <v>0.49</v>
      </c>
      <c r="Q209" s="50">
        <f>VLOOKUP($A209,'Data shares'!$C:$FB,127)*100</f>
        <v>-36.730000000000004</v>
      </c>
    </row>
    <row r="210" spans="1:17" x14ac:dyDescent="0.25">
      <c r="A210" s="97" t="str">
        <f>'Snapshot (Value)'!A214</f>
        <v>UNITDSPR</v>
      </c>
      <c r="B210" s="140">
        <f>VLOOKUP($A210,'Data shares'!$C:$FB,7)</f>
        <v>1326.7</v>
      </c>
      <c r="C210" s="140">
        <f>VLOOKUP($A210,'Data shares'!$C:$FB,3)</f>
        <v>1331.4</v>
      </c>
      <c r="D210" s="140">
        <f>VLOOKUP($A210,'Data shares'!$C:$FB,4)</f>
        <v>1318.6</v>
      </c>
      <c r="E210" s="50">
        <f t="shared" si="15"/>
        <v>0.97072652813591565</v>
      </c>
      <c r="F210" s="49">
        <f>VLOOKUP($A210,'Data shares'!$C:$FB,98)</f>
        <v>15417200</v>
      </c>
      <c r="G210" s="49">
        <f>VLOOKUP($A210,'Data shares'!$C:$FB,99)</f>
        <v>13917200</v>
      </c>
      <c r="H210" s="50">
        <f t="shared" si="16"/>
        <v>10.778030063518523</v>
      </c>
      <c r="I210" s="49">
        <f>VLOOKUP($A210,'Data shares'!$C:$FB,66)</f>
        <v>6155600</v>
      </c>
      <c r="J210" s="49">
        <f>VLOOKUP($A210,'Data shares'!$C:$FB,67)</f>
        <v>15522400</v>
      </c>
      <c r="K210" s="50">
        <f t="shared" si="17"/>
        <v>-152.16713236727531</v>
      </c>
      <c r="L210" s="50">
        <f>VLOOKUP($A210,'Data shares'!$C:$FB,118)</f>
        <v>0.91</v>
      </c>
      <c r="M210" s="50">
        <f>VLOOKUP($A210,'Data shares'!$C:$FB,119)</f>
        <v>1.24</v>
      </c>
      <c r="N210" s="50">
        <f>VLOOKUP($A210,'Data shares'!$C:$FB,121)*100</f>
        <v>-26.61</v>
      </c>
      <c r="O210" s="50">
        <f>VLOOKUP($A210,'Data shares'!$C:$FB,124)</f>
        <v>0.4</v>
      </c>
      <c r="P210" s="50">
        <f>VLOOKUP($A210,'Data shares'!$C:$FB,125)</f>
        <v>0.78</v>
      </c>
      <c r="Q210" s="50">
        <f>VLOOKUP($A210,'Data shares'!$C:$FB,127)*100</f>
        <v>-48.72</v>
      </c>
    </row>
    <row r="211" spans="1:17" x14ac:dyDescent="0.25">
      <c r="A211" s="97" t="str">
        <f>'Snapshot (Value)'!A215</f>
        <v>UNOMINDA</v>
      </c>
      <c r="B211" s="140">
        <f>VLOOKUP($A211,'Data shares'!$C:$FB,7)</f>
        <v>1148.5999999999999</v>
      </c>
      <c r="C211" s="140">
        <f>VLOOKUP($A211,'Data shares'!$C:$FB,3)</f>
        <v>1155.0999999999999</v>
      </c>
      <c r="D211" s="140">
        <f>VLOOKUP($A211,'Data shares'!$C:$FB,4)</f>
        <v>1151</v>
      </c>
      <c r="E211" s="50">
        <f t="shared" si="15"/>
        <v>0.35621198957427536</v>
      </c>
      <c r="F211" s="49">
        <f>VLOOKUP($A211,'Data shares'!$C:$FB,98)</f>
        <v>5630350</v>
      </c>
      <c r="G211" s="49">
        <f>VLOOKUP($A211,'Data shares'!$C:$FB,99)</f>
        <v>5536850</v>
      </c>
      <c r="H211" s="50">
        <f t="shared" si="16"/>
        <v>1.6886858051057914</v>
      </c>
      <c r="I211" s="49">
        <f>VLOOKUP($A211,'Data shares'!$C:$FB,66)</f>
        <v>1099450</v>
      </c>
      <c r="J211" s="49">
        <f>VLOOKUP($A211,'Data shares'!$C:$FB,67)</f>
        <v>5151300</v>
      </c>
      <c r="K211" s="50">
        <f t="shared" si="17"/>
        <v>-368.5342671335668</v>
      </c>
      <c r="L211" s="50">
        <f>VLOOKUP($A211,'Data shares'!$C:$FB,118)</f>
        <v>1.1499999999999999</v>
      </c>
      <c r="M211" s="50">
        <f>VLOOKUP($A211,'Data shares'!$C:$FB,119)</f>
        <v>1.23</v>
      </c>
      <c r="N211" s="50">
        <f>VLOOKUP($A211,'Data shares'!$C:$FB,121)*100</f>
        <v>-6.5</v>
      </c>
      <c r="O211" s="50">
        <f>VLOOKUP($A211,'Data shares'!$C:$FB,124)</f>
        <v>0.49</v>
      </c>
      <c r="P211" s="50">
        <f>VLOOKUP($A211,'Data shares'!$C:$FB,125)</f>
        <v>0.28999999999999998</v>
      </c>
      <c r="Q211" s="50">
        <f>VLOOKUP($A211,'Data shares'!$C:$FB,127)*100</f>
        <v>68.97</v>
      </c>
    </row>
    <row r="212" spans="1:17" x14ac:dyDescent="0.25">
      <c r="A212" s="97" t="str">
        <f>'Snapshot (Value)'!A216</f>
        <v>UPL</v>
      </c>
      <c r="B212" s="140">
        <f>VLOOKUP($A212,'Data shares'!$C:$FB,7)</f>
        <v>715.1</v>
      </c>
      <c r="C212" s="140">
        <f>VLOOKUP($A212,'Data shares'!$C:$FB,3)</f>
        <v>718.35</v>
      </c>
      <c r="D212" s="140">
        <f>VLOOKUP($A212,'Data shares'!$C:$FB,4)</f>
        <v>720.45</v>
      </c>
      <c r="E212" s="50">
        <f t="shared" si="15"/>
        <v>-0.2914844888611316</v>
      </c>
      <c r="F212" s="49">
        <f>VLOOKUP($A212,'Data shares'!$C:$FB,98)</f>
        <v>46733950</v>
      </c>
      <c r="G212" s="49">
        <f>VLOOKUP($A212,'Data shares'!$C:$FB,99)</f>
        <v>45617430</v>
      </c>
      <c r="H212" s="50">
        <f t="shared" si="16"/>
        <v>2.4475732192716686</v>
      </c>
      <c r="I212" s="49">
        <f>VLOOKUP($A212,'Data shares'!$C:$FB,66)</f>
        <v>9055465</v>
      </c>
      <c r="J212" s="49">
        <f>VLOOKUP($A212,'Data shares'!$C:$FB,67)</f>
        <v>78856935</v>
      </c>
      <c r="K212" s="50">
        <f t="shared" si="17"/>
        <v>-770.82148735597787</v>
      </c>
      <c r="L212" s="50">
        <f>VLOOKUP($A212,'Data shares'!$C:$FB,118)</f>
        <v>0.74</v>
      </c>
      <c r="M212" s="50">
        <f>VLOOKUP($A212,'Data shares'!$C:$FB,119)</f>
        <v>0.75</v>
      </c>
      <c r="N212" s="50">
        <f>VLOOKUP($A212,'Data shares'!$C:$FB,121)*100</f>
        <v>-1.3299999999999998</v>
      </c>
      <c r="O212" s="50">
        <f>VLOOKUP($A212,'Data shares'!$C:$FB,124)</f>
        <v>0.51</v>
      </c>
      <c r="P212" s="50">
        <f>VLOOKUP($A212,'Data shares'!$C:$FB,125)</f>
        <v>0.46</v>
      </c>
      <c r="Q212" s="50">
        <f>VLOOKUP($A212,'Data shares'!$C:$FB,127)*100</f>
        <v>10.870000000000001</v>
      </c>
    </row>
    <row r="213" spans="1:17" x14ac:dyDescent="0.25">
      <c r="A213" s="97" t="str">
        <f>'Snapshot (Value)'!A217</f>
        <v>VBL</v>
      </c>
      <c r="B213" s="140">
        <f>VLOOKUP($A213,'Data shares'!$C:$FB,7)</f>
        <v>468.4</v>
      </c>
      <c r="C213" s="140">
        <f>VLOOKUP($A213,'Data shares'!$C:$FB,3)</f>
        <v>471.55</v>
      </c>
      <c r="D213" s="140">
        <f>VLOOKUP($A213,'Data shares'!$C:$FB,4)</f>
        <v>475.05</v>
      </c>
      <c r="E213" s="50">
        <f t="shared" si="15"/>
        <v>-0.73676455109988426</v>
      </c>
      <c r="F213" s="49">
        <f>VLOOKUP($A213,'Data shares'!$C:$FB,98)</f>
        <v>57357000</v>
      </c>
      <c r="G213" s="49">
        <f>VLOOKUP($A213,'Data shares'!$C:$FB,99)</f>
        <v>53485875</v>
      </c>
      <c r="H213" s="50">
        <f t="shared" si="16"/>
        <v>7.2376585406894813</v>
      </c>
      <c r="I213" s="49">
        <f>VLOOKUP($A213,'Data shares'!$C:$FB,66)</f>
        <v>15325875</v>
      </c>
      <c r="J213" s="49">
        <f>VLOOKUP($A213,'Data shares'!$C:$FB,67)</f>
        <v>45046125</v>
      </c>
      <c r="K213" s="50">
        <f t="shared" si="17"/>
        <v>-193.9220436027307</v>
      </c>
      <c r="L213" s="50">
        <f>VLOOKUP($A213,'Data shares'!$C:$FB,118)</f>
        <v>0.91</v>
      </c>
      <c r="M213" s="50">
        <f>VLOOKUP($A213,'Data shares'!$C:$FB,119)</f>
        <v>0.87</v>
      </c>
      <c r="N213" s="50">
        <f>VLOOKUP($A213,'Data shares'!$C:$FB,121)*100</f>
        <v>4.5999999999999996</v>
      </c>
      <c r="O213" s="50">
        <f>VLOOKUP($A213,'Data shares'!$C:$FB,124)</f>
        <v>0.84</v>
      </c>
      <c r="P213" s="50">
        <f>VLOOKUP($A213,'Data shares'!$C:$FB,125)</f>
        <v>1.52</v>
      </c>
      <c r="Q213" s="50">
        <f>VLOOKUP($A213,'Data shares'!$C:$FB,127)*100</f>
        <v>-44.74</v>
      </c>
    </row>
    <row r="214" spans="1:17" x14ac:dyDescent="0.25">
      <c r="A214" s="97" t="str">
        <f>'Snapshot (Value)'!A218</f>
        <v>VEDL</v>
      </c>
      <c r="B214" s="140">
        <f>VLOOKUP($A214,'Data shares'!$C:$FB,7)</f>
        <v>737.1</v>
      </c>
      <c r="C214" s="140">
        <f>VLOOKUP($A214,'Data shares'!$C:$FB,3)</f>
        <v>739.5</v>
      </c>
      <c r="D214" s="140">
        <f>VLOOKUP($A214,'Data shares'!$C:$FB,4)</f>
        <v>707.9</v>
      </c>
      <c r="E214" s="50">
        <f t="shared" si="15"/>
        <v>4.4639073315440063</v>
      </c>
      <c r="F214" s="49">
        <f>VLOOKUP($A214,'Data shares'!$C:$FB,98)</f>
        <v>126061850</v>
      </c>
      <c r="G214" s="49">
        <f>VLOOKUP($A214,'Data shares'!$C:$FB,99)</f>
        <v>119544800</v>
      </c>
      <c r="H214" s="50">
        <f t="shared" si="16"/>
        <v>5.4515545636447591</v>
      </c>
      <c r="I214" s="49">
        <f>VLOOKUP($A214,'Data shares'!$C:$FB,66)</f>
        <v>266120350</v>
      </c>
      <c r="J214" s="49">
        <f>VLOOKUP($A214,'Data shares'!$C:$FB,67)</f>
        <v>191828050</v>
      </c>
      <c r="K214" s="50">
        <f t="shared" si="17"/>
        <v>27.91680531007869</v>
      </c>
      <c r="L214" s="50">
        <f>VLOOKUP($A214,'Data shares'!$C:$FB,118)</f>
        <v>0.71</v>
      </c>
      <c r="M214" s="50">
        <f>VLOOKUP($A214,'Data shares'!$C:$FB,119)</f>
        <v>0.56999999999999995</v>
      </c>
      <c r="N214" s="50">
        <f>VLOOKUP($A214,'Data shares'!$C:$FB,121)*100</f>
        <v>24.560000000000002</v>
      </c>
      <c r="O214" s="50">
        <f>VLOOKUP($A214,'Data shares'!$C:$FB,124)</f>
        <v>0.36</v>
      </c>
      <c r="P214" s="50">
        <f>VLOOKUP($A214,'Data shares'!$C:$FB,125)</f>
        <v>0.44</v>
      </c>
      <c r="Q214" s="50">
        <f>VLOOKUP($A214,'Data shares'!$C:$FB,127)*100</f>
        <v>-18.18</v>
      </c>
    </row>
    <row r="215" spans="1:17" x14ac:dyDescent="0.25">
      <c r="A215" s="97" t="str">
        <f>'Snapshot (Value)'!A219</f>
        <v>VOLTAS</v>
      </c>
      <c r="B215" s="140">
        <f>VLOOKUP($A215,'Data shares'!$C:$FB,7)</f>
        <v>1372.9</v>
      </c>
      <c r="C215" s="140">
        <f>VLOOKUP($A215,'Data shares'!$C:$FB,3)</f>
        <v>1374.3</v>
      </c>
      <c r="D215" s="140">
        <f>VLOOKUP($A215,'Data shares'!$C:$FB,4)</f>
        <v>1336.6</v>
      </c>
      <c r="E215" s="50">
        <f t="shared" si="15"/>
        <v>2.820589555588811</v>
      </c>
      <c r="F215" s="49">
        <f>VLOOKUP($A215,'Data shares'!$C:$FB,98)</f>
        <v>15536250</v>
      </c>
      <c r="G215" s="49">
        <f>VLOOKUP($A215,'Data shares'!$C:$FB,99)</f>
        <v>14356500</v>
      </c>
      <c r="H215" s="50">
        <f t="shared" si="16"/>
        <v>8.2175321283042528</v>
      </c>
      <c r="I215" s="49">
        <f>VLOOKUP($A215,'Data shares'!$C:$FB,66)</f>
        <v>7618500</v>
      </c>
      <c r="J215" s="49">
        <f>VLOOKUP($A215,'Data shares'!$C:$FB,67)</f>
        <v>14633625</v>
      </c>
      <c r="K215" s="50">
        <f t="shared" si="17"/>
        <v>-92.080133884622967</v>
      </c>
      <c r="L215" s="50">
        <f>VLOOKUP($A215,'Data shares'!$C:$FB,118)</f>
        <v>0.87</v>
      </c>
      <c r="M215" s="50">
        <f>VLOOKUP($A215,'Data shares'!$C:$FB,119)</f>
        <v>0.76</v>
      </c>
      <c r="N215" s="50">
        <f>VLOOKUP($A215,'Data shares'!$C:$FB,121)*100</f>
        <v>14.469999999999999</v>
      </c>
      <c r="O215" s="50">
        <f>VLOOKUP($A215,'Data shares'!$C:$FB,124)</f>
        <v>0.35</v>
      </c>
      <c r="P215" s="50">
        <f>VLOOKUP($A215,'Data shares'!$C:$FB,125)</f>
        <v>0.49</v>
      </c>
      <c r="Q215" s="50">
        <f>VLOOKUP($A215,'Data shares'!$C:$FB,127)*100</f>
        <v>-28.57</v>
      </c>
    </row>
    <row r="216" spans="1:17" x14ac:dyDescent="0.25">
      <c r="A216" s="97" t="str">
        <f>'Snapshot (Value)'!A220</f>
        <v>WAAREEENER</v>
      </c>
      <c r="B216" s="140">
        <f>VLOOKUP($A216,'Data shares'!$C:$FB,7)</f>
        <v>2749.6</v>
      </c>
      <c r="C216" s="140">
        <f>VLOOKUP($A216,'Data shares'!$C:$FB,3)</f>
        <v>2768.1</v>
      </c>
      <c r="D216" s="140">
        <f>VLOOKUP($A216,'Data shares'!$C:$FB,4)</f>
        <v>2709.8</v>
      </c>
      <c r="E216" s="50">
        <f t="shared" si="15"/>
        <v>2.1514502915344202</v>
      </c>
      <c r="F216" s="49">
        <f>VLOOKUP($A216,'Data shares'!$C:$FB,98)</f>
        <v>3369450</v>
      </c>
      <c r="G216" s="49">
        <f>VLOOKUP($A216,'Data shares'!$C:$FB,99)</f>
        <v>3351250</v>
      </c>
      <c r="H216" s="50">
        <f t="shared" si="16"/>
        <v>0.54308093994778073</v>
      </c>
      <c r="I216" s="49">
        <f>VLOOKUP($A216,'Data shares'!$C:$FB,66)</f>
        <v>2545550</v>
      </c>
      <c r="J216" s="49">
        <f>VLOOKUP($A216,'Data shares'!$C:$FB,67)</f>
        <v>8230250</v>
      </c>
      <c r="K216" s="50">
        <f t="shared" si="17"/>
        <v>-223.31912553279253</v>
      </c>
      <c r="L216" s="50">
        <f>VLOOKUP($A216,'Data shares'!$C:$FB,118)</f>
        <v>0.74</v>
      </c>
      <c r="M216" s="50">
        <f>VLOOKUP($A216,'Data shares'!$C:$FB,119)</f>
        <v>0.76</v>
      </c>
      <c r="N216" s="50">
        <f>VLOOKUP($A216,'Data shares'!$C:$FB,121)*100</f>
        <v>-2.63</v>
      </c>
      <c r="O216" s="50">
        <f>VLOOKUP($A216,'Data shares'!$C:$FB,124)</f>
        <v>0.36</v>
      </c>
      <c r="P216" s="50">
        <f>VLOOKUP($A216,'Data shares'!$C:$FB,125)</f>
        <v>0.56000000000000005</v>
      </c>
      <c r="Q216" s="50">
        <f>VLOOKUP($A216,'Data shares'!$C:$FB,127)*100</f>
        <v>-35.709999999999994</v>
      </c>
    </row>
    <row r="217" spans="1:17" x14ac:dyDescent="0.25">
      <c r="A217" s="97" t="str">
        <f>'Snapshot (Value)'!A221</f>
        <v>WIPRO</v>
      </c>
      <c r="B217" s="140">
        <f>VLOOKUP($A217,'Data shares'!$C:$FB,7)</f>
        <v>237.35</v>
      </c>
      <c r="C217" s="140">
        <f>VLOOKUP($A217,'Data shares'!$C:$FB,3)</f>
        <v>238.5</v>
      </c>
      <c r="D217" s="140">
        <f>VLOOKUP($A217,'Data shares'!$C:$FB,4)</f>
        <v>236.3</v>
      </c>
      <c r="E217" s="50">
        <f t="shared" si="15"/>
        <v>0.93101988997037177</v>
      </c>
      <c r="F217" s="49">
        <f>VLOOKUP($A217,'Data shares'!$C:$FB,98)</f>
        <v>179007000</v>
      </c>
      <c r="G217" s="49">
        <f>VLOOKUP($A217,'Data shares'!$C:$FB,99)</f>
        <v>171426000</v>
      </c>
      <c r="H217" s="50">
        <f t="shared" si="16"/>
        <v>4.4223163347450214</v>
      </c>
      <c r="I217" s="49">
        <f>VLOOKUP($A217,'Data shares'!$C:$FB,66)</f>
        <v>71166000</v>
      </c>
      <c r="J217" s="49">
        <f>VLOOKUP($A217,'Data shares'!$C:$FB,67)</f>
        <v>142182000</v>
      </c>
      <c r="K217" s="50">
        <f t="shared" si="17"/>
        <v>-99.789225191805073</v>
      </c>
      <c r="L217" s="50">
        <f>VLOOKUP($A217,'Data shares'!$C:$FB,118)</f>
        <v>0.66</v>
      </c>
      <c r="M217" s="50">
        <f>VLOOKUP($A217,'Data shares'!$C:$FB,119)</f>
        <v>0.76</v>
      </c>
      <c r="N217" s="50">
        <f>VLOOKUP($A217,'Data shares'!$C:$FB,121)*100</f>
        <v>-13.16</v>
      </c>
      <c r="O217" s="50">
        <f>VLOOKUP($A217,'Data shares'!$C:$FB,124)</f>
        <v>0.47</v>
      </c>
      <c r="P217" s="50">
        <f>VLOOKUP($A217,'Data shares'!$C:$FB,125)</f>
        <v>0.71</v>
      </c>
      <c r="Q217" s="50">
        <f>VLOOKUP($A217,'Data shares'!$C:$FB,127)*100</f>
        <v>-33.800000000000004</v>
      </c>
    </row>
    <row r="218" spans="1:17" x14ac:dyDescent="0.25">
      <c r="A218" s="97" t="str">
        <f>'Snapshot (Value)'!A222</f>
        <v>YESBANK</v>
      </c>
      <c r="B218" s="140">
        <f>VLOOKUP($A218,'Data shares'!$C:$FB,7)</f>
        <v>21.48</v>
      </c>
      <c r="C218" s="140">
        <f>VLOOKUP($A218,'Data shares'!$C:$FB,3)</f>
        <v>21.56</v>
      </c>
      <c r="D218" s="140">
        <f>VLOOKUP($A218,'Data shares'!$C:$FB,4)</f>
        <v>21.14</v>
      </c>
      <c r="E218" s="50">
        <f t="shared" si="15"/>
        <v>1.9867549668874083</v>
      </c>
      <c r="F218" s="49">
        <f>VLOOKUP($A218,'Data shares'!$C:$FB,98)</f>
        <v>1543710700</v>
      </c>
      <c r="G218" s="49">
        <f>VLOOKUP($A218,'Data shares'!$C:$FB,99)</f>
        <v>1513948000</v>
      </c>
      <c r="H218" s="50">
        <f t="shared" si="16"/>
        <v>1.9658997534921938</v>
      </c>
      <c r="I218" s="49">
        <f>VLOOKUP($A218,'Data shares'!$C:$FB,66)</f>
        <v>526367500</v>
      </c>
      <c r="J218" s="49">
        <f>VLOOKUP($A218,'Data shares'!$C:$FB,67)</f>
        <v>1351295000</v>
      </c>
      <c r="K218" s="50">
        <f t="shared" si="17"/>
        <v>-156.72082717872968</v>
      </c>
      <c r="L218" s="50">
        <f>VLOOKUP($A218,'Data shares'!$C:$FB,118)</f>
        <v>0.66</v>
      </c>
      <c r="M218" s="50">
        <f>VLOOKUP($A218,'Data shares'!$C:$FB,119)</f>
        <v>0.69</v>
      </c>
      <c r="N218" s="50">
        <f>VLOOKUP($A218,'Data shares'!$C:$FB,121)*100</f>
        <v>-4.3499999999999996</v>
      </c>
      <c r="O218" s="50">
        <f>VLOOKUP($A218,'Data shares'!$C:$FB,124)</f>
        <v>0.4</v>
      </c>
      <c r="P218" s="50">
        <f>VLOOKUP($A218,'Data shares'!$C:$FB,125)</f>
        <v>0.51</v>
      </c>
      <c r="Q218" s="50">
        <f>VLOOKUP($A218,'Data shares'!$C:$FB,127)*100</f>
        <v>-21.57</v>
      </c>
    </row>
    <row r="219" spans="1:17" x14ac:dyDescent="0.25">
      <c r="A219" s="97" t="str">
        <f>'Data Vlaue (Cr)'!C213</f>
        <v>YESBANK</v>
      </c>
      <c r="B219" s="140">
        <f>VLOOKUP($A219,'Data shares'!$C:$FB,7)</f>
        <v>21.48</v>
      </c>
      <c r="C219" s="140">
        <f>VLOOKUP($A219,'Data shares'!$C:$FB,3)</f>
        <v>21.56</v>
      </c>
      <c r="D219" s="140">
        <f>VLOOKUP($A219,'Data shares'!$C:$FB,4)</f>
        <v>21.14</v>
      </c>
      <c r="E219" s="50">
        <f t="shared" ref="E219" si="18">(C219-D219)/D219*100</f>
        <v>1.9867549668874083</v>
      </c>
      <c r="F219" s="49">
        <f>VLOOKUP($A219,'Data shares'!$C:$FB,98)</f>
        <v>1543710700</v>
      </c>
      <c r="G219" s="49">
        <f>VLOOKUP($A219,'Data shares'!$C:$FB,99)</f>
        <v>1513948000</v>
      </c>
      <c r="H219" s="50">
        <f t="shared" ref="H219" si="19">(F219-G219)/G219*100</f>
        <v>1.9658997534921938</v>
      </c>
      <c r="I219" s="49">
        <f>VLOOKUP($A219,'Data shares'!$C:$FB,66)</f>
        <v>526367500</v>
      </c>
      <c r="J219" s="49">
        <f>VLOOKUP($A219,'Data shares'!$C:$FB,67)</f>
        <v>1351295000</v>
      </c>
      <c r="K219" s="50">
        <f t="shared" ref="K219" si="20">(I219-J219)/I219*100</f>
        <v>-156.72082717872968</v>
      </c>
      <c r="L219" s="50">
        <f>VLOOKUP($A219,'Data shares'!$C:$FB,118)</f>
        <v>0.66</v>
      </c>
      <c r="M219" s="50">
        <f>VLOOKUP($A219,'Data shares'!$C:$FB,119)</f>
        <v>0.69</v>
      </c>
      <c r="N219" s="50">
        <f>VLOOKUP($A219,'Data shares'!$C:$FB,121)*100</f>
        <v>-4.3499999999999996</v>
      </c>
      <c r="O219" s="50">
        <f>VLOOKUP($A219,'Data shares'!$C:$FB,124)</f>
        <v>0.4</v>
      </c>
      <c r="P219" s="50">
        <f>VLOOKUP($A219,'Data shares'!$C:$FB,125)</f>
        <v>0.51</v>
      </c>
      <c r="Q219" s="50">
        <f>VLOOKUP($A219,'Data shares'!$C:$FB,127)*100</f>
        <v>-21.57</v>
      </c>
    </row>
    <row r="220" spans="1:17" x14ac:dyDescent="0.25">
      <c r="A220" s="97"/>
      <c r="B220" s="140"/>
      <c r="C220" s="140"/>
      <c r="D220" s="140"/>
      <c r="E220" s="50"/>
      <c r="F220" s="49"/>
      <c r="G220" s="49"/>
      <c r="H220" s="50"/>
      <c r="I220" s="49"/>
      <c r="J220" s="49"/>
      <c r="K220" s="50"/>
      <c r="L220" s="50"/>
      <c r="M220" s="50"/>
      <c r="N220" s="50"/>
      <c r="O220" s="50"/>
      <c r="P220" s="50"/>
      <c r="Q220" s="50"/>
    </row>
    <row r="221" spans="1:17" x14ac:dyDescent="0.25">
      <c r="A221" s="97"/>
      <c r="B221" s="140"/>
      <c r="C221" s="140"/>
      <c r="D221" s="140"/>
      <c r="E221" s="50"/>
      <c r="F221" s="49"/>
      <c r="G221" s="49"/>
      <c r="H221" s="50"/>
      <c r="I221" s="49"/>
      <c r="J221" s="49"/>
      <c r="K221" s="50"/>
      <c r="L221" s="50"/>
      <c r="M221" s="50"/>
      <c r="N221" s="50"/>
      <c r="O221" s="50"/>
      <c r="P221" s="50"/>
      <c r="Q221" s="50"/>
    </row>
    <row r="222" spans="1:17" x14ac:dyDescent="0.25">
      <c r="A222" s="97"/>
      <c r="B222" s="140"/>
      <c r="C222" s="140"/>
      <c r="D222" s="140"/>
      <c r="E222" s="50"/>
      <c r="F222" s="49"/>
      <c r="G222" s="49"/>
      <c r="H222" s="50"/>
      <c r="I222" s="49"/>
      <c r="J222" s="49"/>
      <c r="K222" s="50"/>
      <c r="L222" s="50"/>
      <c r="M222" s="50"/>
      <c r="N222" s="50"/>
      <c r="O222" s="50"/>
      <c r="P222" s="50"/>
      <c r="Q222" s="50"/>
    </row>
    <row r="223" spans="1:17" x14ac:dyDescent="0.25">
      <c r="A223" s="97"/>
      <c r="B223" s="140"/>
      <c r="C223" s="140"/>
      <c r="D223" s="140"/>
      <c r="E223" s="50"/>
      <c r="F223" s="49"/>
      <c r="G223" s="49"/>
      <c r="H223" s="50"/>
      <c r="I223" s="49"/>
      <c r="J223" s="49"/>
      <c r="K223" s="50"/>
      <c r="L223" s="50"/>
      <c r="M223" s="50"/>
      <c r="N223" s="50"/>
      <c r="O223" s="50"/>
      <c r="P223" s="50"/>
      <c r="Q223" s="50"/>
    </row>
    <row r="224" spans="1:17" x14ac:dyDescent="0.25">
      <c r="A224" s="97"/>
      <c r="B224" s="140"/>
      <c r="C224" s="140"/>
      <c r="D224" s="140"/>
      <c r="E224" s="50"/>
      <c r="F224" s="49"/>
      <c r="G224" s="49"/>
      <c r="H224" s="50"/>
      <c r="I224" s="49"/>
      <c r="J224" s="49"/>
      <c r="K224" s="50"/>
      <c r="L224" s="50"/>
      <c r="M224" s="50"/>
      <c r="N224" s="50"/>
      <c r="O224" s="50"/>
      <c r="P224" s="50"/>
      <c r="Q224" s="50"/>
    </row>
    <row r="225" spans="1:17" x14ac:dyDescent="0.25">
      <c r="A225" s="97"/>
      <c r="B225" s="140"/>
      <c r="C225" s="140"/>
      <c r="D225" s="140"/>
      <c r="E225" s="50"/>
      <c r="F225" s="49"/>
      <c r="G225" s="49"/>
      <c r="H225" s="50"/>
      <c r="I225" s="49"/>
      <c r="J225" s="49"/>
      <c r="K225" s="50"/>
      <c r="L225" s="50"/>
      <c r="M225" s="50"/>
      <c r="N225" s="50"/>
      <c r="O225" s="50"/>
      <c r="P225" s="50"/>
      <c r="Q225" s="50"/>
    </row>
    <row r="226" spans="1:17" x14ac:dyDescent="0.25">
      <c r="A226" s="97"/>
      <c r="B226" s="140"/>
      <c r="C226" s="140"/>
      <c r="D226" s="140"/>
      <c r="E226" s="50"/>
      <c r="F226" s="49"/>
      <c r="G226" s="49"/>
      <c r="H226" s="50"/>
      <c r="I226" s="49"/>
      <c r="J226" s="49"/>
      <c r="K226" s="50"/>
      <c r="L226" s="50"/>
      <c r="M226" s="50"/>
      <c r="N226" s="50"/>
      <c r="O226" s="50"/>
      <c r="P226" s="50"/>
      <c r="Q226" s="50"/>
    </row>
    <row r="227" spans="1:17" x14ac:dyDescent="0.25">
      <c r="A227" s="97"/>
      <c r="B227" s="140"/>
      <c r="C227" s="140"/>
      <c r="D227" s="140"/>
      <c r="E227" s="50"/>
      <c r="F227" s="49"/>
      <c r="G227" s="49"/>
      <c r="H227" s="50"/>
      <c r="I227" s="49"/>
      <c r="J227" s="49"/>
      <c r="K227" s="50"/>
      <c r="L227" s="50"/>
      <c r="M227" s="50"/>
      <c r="N227" s="50"/>
      <c r="O227" s="50"/>
      <c r="P227" s="50"/>
      <c r="Q227" s="50"/>
    </row>
    <row r="228" spans="1:17" x14ac:dyDescent="0.25">
      <c r="A228" s="97"/>
      <c r="B228" s="140"/>
      <c r="C228" s="140"/>
      <c r="D228" s="140"/>
      <c r="E228" s="50"/>
      <c r="F228" s="49"/>
      <c r="G228" s="49"/>
      <c r="H228" s="50"/>
      <c r="I228" s="49"/>
      <c r="J228" s="49"/>
      <c r="K228" s="50"/>
      <c r="L228" s="50"/>
      <c r="M228" s="50"/>
      <c r="N228" s="50"/>
      <c r="O228" s="50"/>
      <c r="P228" s="50"/>
      <c r="Q228" s="50"/>
    </row>
    <row r="229" spans="1:17" x14ac:dyDescent="0.25">
      <c r="A229" s="97"/>
      <c r="B229" s="140"/>
      <c r="C229" s="140"/>
      <c r="D229" s="140"/>
      <c r="E229" s="50"/>
      <c r="F229" s="49"/>
      <c r="G229" s="49"/>
      <c r="H229" s="50"/>
      <c r="I229" s="49"/>
      <c r="J229" s="49"/>
      <c r="K229" s="50"/>
      <c r="L229" s="50"/>
      <c r="M229" s="50"/>
      <c r="N229" s="50"/>
      <c r="O229" s="50"/>
      <c r="P229" s="50"/>
      <c r="Q229" s="50"/>
    </row>
    <row r="230" spans="1:17" x14ac:dyDescent="0.25">
      <c r="A230" s="98"/>
      <c r="B230" s="17"/>
      <c r="C230" s="17"/>
      <c r="D230" s="17"/>
      <c r="E230" s="17"/>
      <c r="F230" s="17"/>
      <c r="G230" s="17"/>
      <c r="H230" s="17"/>
      <c r="I230" s="17"/>
      <c r="J230" s="17"/>
      <c r="K230" s="17"/>
      <c r="L230" s="17"/>
      <c r="M230" s="17"/>
      <c r="N230" s="17"/>
      <c r="O230" s="17"/>
      <c r="P230" s="17"/>
      <c r="Q230" s="17"/>
    </row>
    <row r="231" spans="1:17" s="64" customFormat="1" x14ac:dyDescent="0.25">
      <c r="A231" s="257" t="s">
        <v>391</v>
      </c>
      <c r="B231" s="257"/>
      <c r="C231" s="257"/>
      <c r="D231" s="257"/>
      <c r="E231" s="257"/>
      <c r="F231" s="113">
        <f>SUM(F7:F221)</f>
        <v>24978374375</v>
      </c>
      <c r="G231" s="113">
        <f>SUM(G7:G223)</f>
        <v>23732039391</v>
      </c>
      <c r="H231" s="114">
        <f>(F231-G231)/G231*100</f>
        <v>5.2516977722220233</v>
      </c>
      <c r="I231" s="113">
        <f>SUM(I7:I222)</f>
        <v>15790130871</v>
      </c>
      <c r="J231" s="113">
        <f>SUM(J7:J223)</f>
        <v>54992087538</v>
      </c>
      <c r="K231" s="114">
        <f>(I231-J231)/J231*100</f>
        <v>-71.286540340755593</v>
      </c>
      <c r="L231" s="113"/>
      <c r="M231" s="113"/>
      <c r="N231" s="113"/>
      <c r="O231" s="113"/>
      <c r="P231" s="257"/>
      <c r="Q231" s="257"/>
    </row>
    <row r="232" spans="1:17" s="64" customFormat="1" x14ac:dyDescent="0.25">
      <c r="A232" s="257" t="s">
        <v>398</v>
      </c>
      <c r="B232" s="257"/>
      <c r="C232" s="257"/>
      <c r="D232" s="257"/>
      <c r="E232" s="257"/>
      <c r="F232" s="113">
        <f>F231/10000000</f>
        <v>2497.8374374999999</v>
      </c>
      <c r="G232" s="113">
        <f>G231/10000000</f>
        <v>2373.2039390999998</v>
      </c>
      <c r="H232" s="114">
        <f>(F232-G232)/G232*100</f>
        <v>5.2516977722220242</v>
      </c>
      <c r="I232" s="113">
        <f>I231/10000000</f>
        <v>1579.0130870999999</v>
      </c>
      <c r="J232" s="113">
        <f>J231/10000000</f>
        <v>5499.2087537999996</v>
      </c>
      <c r="K232" s="114">
        <f>(I232-J232)/J232*100</f>
        <v>-71.286540340755593</v>
      </c>
      <c r="L232" s="113"/>
      <c r="M232" s="113"/>
      <c r="N232" s="113"/>
      <c r="O232" s="113"/>
      <c r="P232" s="257"/>
      <c r="Q232" s="257"/>
    </row>
  </sheetData>
  <mergeCells count="15">
    <mergeCell ref="A3:Q3"/>
    <mergeCell ref="A4:A5"/>
    <mergeCell ref="B4:E4"/>
    <mergeCell ref="F4:H4"/>
    <mergeCell ref="I4:K4"/>
    <mergeCell ref="L4:Q4"/>
    <mergeCell ref="A232:E232"/>
    <mergeCell ref="P231:Q231"/>
    <mergeCell ref="P232:Q232"/>
    <mergeCell ref="A231:E231"/>
    <mergeCell ref="O5:Q5"/>
    <mergeCell ref="C5:E5"/>
    <mergeCell ref="F5:H5"/>
    <mergeCell ref="I5:K5"/>
    <mergeCell ref="L5:N5"/>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3"/>
  <sheetViews>
    <sheetView workbookViewId="0">
      <selection activeCell="M20" sqref="M20"/>
    </sheetView>
  </sheetViews>
  <sheetFormatPr defaultRowHeight="15" x14ac:dyDescent="0.25"/>
  <cols>
    <col min="2" max="2" width="13.28515625" bestFit="1" customWidth="1"/>
    <col min="3" max="3" width="15.28515625" bestFit="1" customWidth="1"/>
    <col min="7" max="7" width="10.42578125" bestFit="1" customWidth="1"/>
  </cols>
  <sheetData>
    <row r="2" spans="1:12" x14ac:dyDescent="0.25">
      <c r="B2" s="152" t="s">
        <v>465</v>
      </c>
      <c r="C2" s="152" t="s">
        <v>466</v>
      </c>
      <c r="D2" s="152" t="s">
        <v>467</v>
      </c>
      <c r="E2" s="152" t="s">
        <v>126</v>
      </c>
      <c r="F2" s="152" t="s">
        <v>377</v>
      </c>
      <c r="G2" s="152" t="s">
        <v>521</v>
      </c>
      <c r="H2" s="152" t="s">
        <v>477</v>
      </c>
      <c r="I2" s="152" t="s">
        <v>478</v>
      </c>
      <c r="J2" s="152" t="s">
        <v>479</v>
      </c>
    </row>
    <row r="3" spans="1:12" x14ac:dyDescent="0.25">
      <c r="A3" t="s">
        <v>463</v>
      </c>
      <c r="B3" s="154">
        <f>'Snapshot (Value)'!H149</f>
        <v>878381</v>
      </c>
      <c r="C3" s="159">
        <f>'OI(Volume)'!G145</f>
        <v>2.5999999999999999E-2</v>
      </c>
      <c r="D3" s="153">
        <f>'Snapshot (Value)'!P145</f>
        <v>0.88</v>
      </c>
      <c r="E3" s="153">
        <f>'Snapshot (Value)'!R145</f>
        <v>0.62</v>
      </c>
      <c r="F3" s="153">
        <f>IV!E145</f>
        <v>13.75</v>
      </c>
      <c r="G3" s="153">
        <f>IV!B145</f>
        <v>16.829999999999998</v>
      </c>
      <c r="H3" s="153">
        <f>'Snapshot (Value)'!C149</f>
        <v>25342.75</v>
      </c>
      <c r="I3" s="153">
        <f>'Snapshot (Value)'!D149</f>
        <v>25450.400000000001</v>
      </c>
      <c r="J3" s="153">
        <f>'Snapshot (Value)'!E150</f>
        <v>67036.399999999994</v>
      </c>
      <c r="K3" s="153">
        <f>(I3-H3)</f>
        <v>107.65000000000146</v>
      </c>
      <c r="L3" s="232">
        <f>'Data Vlaue (Cr)'!V140</f>
        <v>25778.799999999999</v>
      </c>
    </row>
    <row r="4" spans="1:12" x14ac:dyDescent="0.25">
      <c r="A4" t="s">
        <v>464</v>
      </c>
      <c r="B4" s="154">
        <f>'Snapshot (Value)'!H37</f>
        <v>109667</v>
      </c>
      <c r="C4" s="159">
        <f>'OI(Volume)'!G33</f>
        <v>6.9800000000000001E-2</v>
      </c>
      <c r="D4" s="153">
        <f>'Snapshot (Value)'!P37</f>
        <v>1.1399999999999999</v>
      </c>
      <c r="E4" s="153">
        <f>'Snapshot (Value)'!R37</f>
        <v>0.94</v>
      </c>
      <c r="F4" s="153">
        <f>IV!E33</f>
        <v>15.5</v>
      </c>
      <c r="G4" s="153">
        <f>IV!B33</f>
        <v>14.3</v>
      </c>
      <c r="H4" s="153">
        <f>'Snapshot (Value)'!C37</f>
        <v>59598.8</v>
      </c>
      <c r="I4" s="153">
        <f>'Snapshot (Value)'!D37</f>
        <v>59866.400000000001</v>
      </c>
      <c r="J4" s="153">
        <f>'Snapshot (Value)'!E37</f>
        <v>59629.599999999999</v>
      </c>
      <c r="K4" s="153">
        <f>(I4-H4)</f>
        <v>267.59999999999854</v>
      </c>
      <c r="L4" s="232">
        <f>'Data Vlaue (Cr)'!V28</f>
        <v>60580.2</v>
      </c>
    </row>
    <row r="5" spans="1:12" x14ac:dyDescent="0.25">
      <c r="B5" s="152"/>
    </row>
    <row r="8" spans="1:12" x14ac:dyDescent="0.25">
      <c r="B8" s="154"/>
      <c r="C8" s="153"/>
      <c r="D8" s="159"/>
      <c r="E8" s="153"/>
      <c r="F8" s="153"/>
    </row>
    <row r="9" spans="1:12" x14ac:dyDescent="0.25">
      <c r="B9" s="154"/>
      <c r="C9" s="159"/>
      <c r="D9" s="153"/>
      <c r="E9" s="153"/>
      <c r="F9" s="153"/>
    </row>
    <row r="13" spans="1:12" x14ac:dyDescent="0.25">
      <c r="F13" t="s">
        <v>560</v>
      </c>
    </row>
  </sheetData>
  <pageMargins left="0.7" right="0.7" top="0.75" bottom="0.75" header="0.3" footer="0.3"/>
  <pageSetup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N13" sqref="N13"/>
    </sheetView>
  </sheetViews>
  <sheetFormatPr defaultRowHeight="12.75" x14ac:dyDescent="0.2"/>
  <cols>
    <col min="1" max="1" width="16.28515625" style="200" bestFit="1" customWidth="1"/>
    <col min="2" max="3" width="9.28515625" style="200" bestFit="1" customWidth="1"/>
    <col min="4" max="6" width="10" style="200" bestFit="1" customWidth="1"/>
    <col min="7" max="7" width="9" style="200" bestFit="1" customWidth="1"/>
    <col min="8" max="9" width="9.28515625" style="200" bestFit="1" customWidth="1"/>
    <col min="10" max="10" width="10" style="200" bestFit="1" customWidth="1"/>
    <col min="11" max="12" width="9.28515625" style="200" bestFit="1" customWidth="1"/>
    <col min="13" max="13" width="9" style="200" bestFit="1" customWidth="1"/>
    <col min="14" max="16384" width="9.140625" style="200"/>
  </cols>
  <sheetData>
    <row r="1" spans="1:13" ht="13.5" thickBot="1" x14ac:dyDescent="0.25">
      <c r="A1" s="339" t="s">
        <v>393</v>
      </c>
      <c r="B1" s="336" t="s">
        <v>632</v>
      </c>
      <c r="C1" s="337"/>
      <c r="D1" s="338"/>
      <c r="E1" s="333" t="s">
        <v>633</v>
      </c>
      <c r="F1" s="334"/>
      <c r="G1" s="335"/>
      <c r="H1" s="330" t="s">
        <v>634</v>
      </c>
      <c r="I1" s="331"/>
      <c r="J1" s="332"/>
      <c r="K1" s="327" t="s">
        <v>635</v>
      </c>
      <c r="L1" s="328"/>
      <c r="M1" s="329"/>
    </row>
    <row r="2" spans="1:13" ht="26.25" thickBot="1" x14ac:dyDescent="0.25">
      <c r="A2" s="340"/>
      <c r="B2" s="201" t="s">
        <v>636</v>
      </c>
      <c r="C2" s="201" t="s">
        <v>637</v>
      </c>
      <c r="D2" s="201" t="s">
        <v>369</v>
      </c>
      <c r="E2" s="202" t="s">
        <v>636</v>
      </c>
      <c r="F2" s="202" t="s">
        <v>637</v>
      </c>
      <c r="G2" s="202" t="s">
        <v>369</v>
      </c>
      <c r="H2" s="203" t="s">
        <v>636</v>
      </c>
      <c r="I2" s="203" t="s">
        <v>637</v>
      </c>
      <c r="J2" s="203" t="s">
        <v>369</v>
      </c>
      <c r="K2" s="204" t="s">
        <v>636</v>
      </c>
      <c r="L2" s="204" t="s">
        <v>637</v>
      </c>
      <c r="M2" s="204" t="s">
        <v>369</v>
      </c>
    </row>
    <row r="3" spans="1:13" x14ac:dyDescent="0.2">
      <c r="A3" s="205" t="s">
        <v>638</v>
      </c>
      <c r="B3" s="206">
        <v>195075</v>
      </c>
      <c r="C3" s="206">
        <v>189243</v>
      </c>
      <c r="D3" s="207">
        <v>-5832</v>
      </c>
      <c r="E3" s="206">
        <v>81097</v>
      </c>
      <c r="F3" s="206">
        <v>83380</v>
      </c>
      <c r="G3" s="207">
        <v>2283</v>
      </c>
      <c r="H3" s="206">
        <v>27064</v>
      </c>
      <c r="I3" s="206">
        <v>27813</v>
      </c>
      <c r="J3" s="207">
        <v>749</v>
      </c>
      <c r="K3" s="206">
        <v>30122</v>
      </c>
      <c r="L3" s="206">
        <v>29876</v>
      </c>
      <c r="M3" s="207">
        <v>-246</v>
      </c>
    </row>
    <row r="4" spans="1:13" x14ac:dyDescent="0.2">
      <c r="A4" s="208" t="s">
        <v>639</v>
      </c>
      <c r="B4" s="206">
        <v>82257</v>
      </c>
      <c r="C4" s="206">
        <v>80314</v>
      </c>
      <c r="D4" s="207">
        <v>-1943</v>
      </c>
      <c r="E4" s="206">
        <v>39971</v>
      </c>
      <c r="F4" s="206">
        <v>39971</v>
      </c>
      <c r="G4" s="207">
        <v>0</v>
      </c>
      <c r="H4" s="206">
        <v>177724</v>
      </c>
      <c r="I4" s="206">
        <v>171472</v>
      </c>
      <c r="J4" s="207">
        <v>-6252</v>
      </c>
      <c r="K4" s="206">
        <v>33406</v>
      </c>
      <c r="L4" s="206">
        <v>38555</v>
      </c>
      <c r="M4" s="207">
        <v>5149</v>
      </c>
    </row>
    <row r="5" spans="1:13" ht="13.5" thickBot="1" x14ac:dyDescent="0.25">
      <c r="A5" s="205" t="s">
        <v>640</v>
      </c>
      <c r="B5" s="206">
        <v>112818</v>
      </c>
      <c r="C5" s="206">
        <v>108929</v>
      </c>
      <c r="D5" s="209">
        <v>-3889</v>
      </c>
      <c r="E5" s="206">
        <v>41126</v>
      </c>
      <c r="F5" s="206">
        <v>43409</v>
      </c>
      <c r="G5" s="209">
        <v>2283</v>
      </c>
      <c r="H5" s="210">
        <v>-150660</v>
      </c>
      <c r="I5" s="210">
        <v>-143659</v>
      </c>
      <c r="J5" s="209">
        <v>7001</v>
      </c>
      <c r="K5" s="210">
        <v>-3284</v>
      </c>
      <c r="L5" s="210">
        <v>-8679</v>
      </c>
      <c r="M5" s="209">
        <v>-5395</v>
      </c>
    </row>
    <row r="6" spans="1:13" ht="13.5" customHeight="1" thickBot="1" x14ac:dyDescent="0.25">
      <c r="A6" s="339" t="s">
        <v>641</v>
      </c>
      <c r="B6" s="336" t="s">
        <v>632</v>
      </c>
      <c r="C6" s="337"/>
      <c r="D6" s="338"/>
      <c r="E6" s="333" t="s">
        <v>633</v>
      </c>
      <c r="F6" s="334"/>
      <c r="G6" s="335"/>
      <c r="H6" s="330" t="s">
        <v>634</v>
      </c>
      <c r="I6" s="331"/>
      <c r="J6" s="332"/>
      <c r="K6" s="327" t="s">
        <v>635</v>
      </c>
      <c r="L6" s="328"/>
      <c r="M6" s="329"/>
    </row>
    <row r="7" spans="1:13" ht="26.25" thickBot="1" x14ac:dyDescent="0.25">
      <c r="A7" s="340"/>
      <c r="B7" s="201" t="s">
        <v>636</v>
      </c>
      <c r="C7" s="201" t="s">
        <v>637</v>
      </c>
      <c r="D7" s="201" t="s">
        <v>369</v>
      </c>
      <c r="E7" s="202" t="s">
        <v>636</v>
      </c>
      <c r="F7" s="202" t="s">
        <v>637</v>
      </c>
      <c r="G7" s="202" t="s">
        <v>369</v>
      </c>
      <c r="H7" s="203" t="s">
        <v>636</v>
      </c>
      <c r="I7" s="203" t="s">
        <v>637</v>
      </c>
      <c r="J7" s="203" t="s">
        <v>369</v>
      </c>
      <c r="K7" s="204" t="s">
        <v>636</v>
      </c>
      <c r="L7" s="204" t="s">
        <v>637</v>
      </c>
      <c r="M7" s="204" t="s">
        <v>369</v>
      </c>
    </row>
    <row r="8" spans="1:13" x14ac:dyDescent="0.2">
      <c r="A8" s="205" t="s">
        <v>638</v>
      </c>
      <c r="B8" s="206">
        <v>1750202</v>
      </c>
      <c r="C8" s="206">
        <v>2157714</v>
      </c>
      <c r="D8" s="207">
        <v>407512</v>
      </c>
      <c r="E8" s="206">
        <v>970</v>
      </c>
      <c r="F8" s="206">
        <v>963</v>
      </c>
      <c r="G8" s="207">
        <v>-7</v>
      </c>
      <c r="H8" s="206">
        <v>375596</v>
      </c>
      <c r="I8" s="206">
        <v>431295</v>
      </c>
      <c r="J8" s="207">
        <v>55699</v>
      </c>
      <c r="K8" s="206">
        <v>809404</v>
      </c>
      <c r="L8" s="206">
        <v>949095</v>
      </c>
      <c r="M8" s="207">
        <v>139691</v>
      </c>
    </row>
    <row r="9" spans="1:13" x14ac:dyDescent="0.2">
      <c r="A9" s="208" t="s">
        <v>639</v>
      </c>
      <c r="B9" s="206">
        <v>1852984</v>
      </c>
      <c r="C9" s="206">
        <v>2307126</v>
      </c>
      <c r="D9" s="207">
        <v>454142</v>
      </c>
      <c r="E9" s="206">
        <v>0</v>
      </c>
      <c r="F9" s="206">
        <v>0</v>
      </c>
      <c r="G9" s="207">
        <v>0</v>
      </c>
      <c r="H9" s="206">
        <v>386440</v>
      </c>
      <c r="I9" s="206">
        <v>419058</v>
      </c>
      <c r="J9" s="207">
        <v>32618</v>
      </c>
      <c r="K9" s="206">
        <v>696749</v>
      </c>
      <c r="L9" s="206">
        <v>812883</v>
      </c>
      <c r="M9" s="207">
        <v>116134</v>
      </c>
    </row>
    <row r="10" spans="1:13" ht="13.5" thickBot="1" x14ac:dyDescent="0.25">
      <c r="A10" s="205" t="s">
        <v>640</v>
      </c>
      <c r="B10" s="206">
        <v>-102782</v>
      </c>
      <c r="C10" s="206">
        <v>-149412</v>
      </c>
      <c r="D10" s="209">
        <v>-46630</v>
      </c>
      <c r="E10" s="206">
        <v>970</v>
      </c>
      <c r="F10" s="206">
        <v>963</v>
      </c>
      <c r="G10" s="209">
        <v>-7</v>
      </c>
      <c r="H10" s="206">
        <v>-10844</v>
      </c>
      <c r="I10" s="206">
        <v>12237</v>
      </c>
      <c r="J10" s="209">
        <v>23081</v>
      </c>
      <c r="K10" s="210">
        <v>112655</v>
      </c>
      <c r="L10" s="210">
        <v>136212</v>
      </c>
      <c r="M10" s="209">
        <v>23557</v>
      </c>
    </row>
    <row r="11" spans="1:13" ht="13.5" customHeight="1" thickBot="1" x14ac:dyDescent="0.25">
      <c r="A11" s="339" t="s">
        <v>642</v>
      </c>
      <c r="B11" s="336" t="s">
        <v>632</v>
      </c>
      <c r="C11" s="337"/>
      <c r="D11" s="338"/>
      <c r="E11" s="333" t="s">
        <v>633</v>
      </c>
      <c r="F11" s="334"/>
      <c r="G11" s="335"/>
      <c r="H11" s="330" t="s">
        <v>634</v>
      </c>
      <c r="I11" s="331"/>
      <c r="J11" s="332"/>
      <c r="K11" s="327" t="s">
        <v>635</v>
      </c>
      <c r="L11" s="328"/>
      <c r="M11" s="329"/>
    </row>
    <row r="12" spans="1:13" ht="26.25" thickBot="1" x14ac:dyDescent="0.25">
      <c r="A12" s="340"/>
      <c r="B12" s="201" t="s">
        <v>636</v>
      </c>
      <c r="C12" s="201" t="s">
        <v>637</v>
      </c>
      <c r="D12" s="201" t="s">
        <v>369</v>
      </c>
      <c r="E12" s="202" t="s">
        <v>636</v>
      </c>
      <c r="F12" s="202" t="s">
        <v>637</v>
      </c>
      <c r="G12" s="202" t="s">
        <v>369</v>
      </c>
      <c r="H12" s="203" t="s">
        <v>636</v>
      </c>
      <c r="I12" s="203" t="s">
        <v>637</v>
      </c>
      <c r="J12" s="203" t="s">
        <v>369</v>
      </c>
      <c r="K12" s="204" t="s">
        <v>636</v>
      </c>
      <c r="L12" s="204" t="s">
        <v>637</v>
      </c>
      <c r="M12" s="204" t="s">
        <v>369</v>
      </c>
    </row>
    <row r="13" spans="1:13" x14ac:dyDescent="0.2">
      <c r="A13" s="205" t="s">
        <v>638</v>
      </c>
      <c r="B13" s="206">
        <v>1938105</v>
      </c>
      <c r="C13" s="206">
        <v>2298331</v>
      </c>
      <c r="D13" s="207">
        <v>360226</v>
      </c>
      <c r="E13" s="206">
        <v>37845</v>
      </c>
      <c r="F13" s="206">
        <v>41245</v>
      </c>
      <c r="G13" s="207">
        <v>3400</v>
      </c>
      <c r="H13" s="206">
        <v>547466</v>
      </c>
      <c r="I13" s="206">
        <v>616493</v>
      </c>
      <c r="J13" s="207">
        <v>69027</v>
      </c>
      <c r="K13" s="206">
        <v>950549</v>
      </c>
      <c r="L13" s="206">
        <v>1105542</v>
      </c>
      <c r="M13" s="207">
        <v>154993</v>
      </c>
    </row>
    <row r="14" spans="1:13" x14ac:dyDescent="0.2">
      <c r="A14" s="208" t="s">
        <v>639</v>
      </c>
      <c r="B14" s="206">
        <v>2262347</v>
      </c>
      <c r="C14" s="206">
        <v>2712851</v>
      </c>
      <c r="D14" s="207">
        <v>450504</v>
      </c>
      <c r="E14" s="206">
        <v>0</v>
      </c>
      <c r="F14" s="206">
        <v>0</v>
      </c>
      <c r="G14" s="207">
        <v>0</v>
      </c>
      <c r="H14" s="206">
        <v>304838</v>
      </c>
      <c r="I14" s="206">
        <v>340222</v>
      </c>
      <c r="J14" s="207">
        <v>35384</v>
      </c>
      <c r="K14" s="206">
        <v>906781</v>
      </c>
      <c r="L14" s="206">
        <v>1008537</v>
      </c>
      <c r="M14" s="207">
        <v>101756</v>
      </c>
    </row>
    <row r="15" spans="1:13" ht="13.5" thickBot="1" x14ac:dyDescent="0.25">
      <c r="A15" s="205" t="s">
        <v>640</v>
      </c>
      <c r="B15" s="210">
        <v>-324242</v>
      </c>
      <c r="C15" s="210">
        <v>-414520</v>
      </c>
      <c r="D15" s="209">
        <v>-90278</v>
      </c>
      <c r="E15" s="206">
        <v>37845</v>
      </c>
      <c r="F15" s="206">
        <v>41245</v>
      </c>
      <c r="G15" s="209">
        <v>3400</v>
      </c>
      <c r="H15" s="206">
        <v>242628</v>
      </c>
      <c r="I15" s="206">
        <v>276271</v>
      </c>
      <c r="J15" s="209">
        <v>33643</v>
      </c>
      <c r="K15" s="210">
        <v>43768</v>
      </c>
      <c r="L15" s="210">
        <v>97005</v>
      </c>
      <c r="M15" s="209">
        <v>53237</v>
      </c>
    </row>
    <row r="16" spans="1:13" ht="13.5" thickBot="1" x14ac:dyDescent="0.25">
      <c r="A16" s="339" t="s">
        <v>395</v>
      </c>
      <c r="B16" s="336" t="s">
        <v>632</v>
      </c>
      <c r="C16" s="337"/>
      <c r="D16" s="338"/>
      <c r="E16" s="333" t="s">
        <v>633</v>
      </c>
      <c r="F16" s="334"/>
      <c r="G16" s="335"/>
      <c r="H16" s="330" t="s">
        <v>634</v>
      </c>
      <c r="I16" s="331"/>
      <c r="J16" s="332"/>
      <c r="K16" s="327" t="s">
        <v>635</v>
      </c>
      <c r="L16" s="328"/>
      <c r="M16" s="329"/>
    </row>
    <row r="17" spans="1:13" ht="26.25" thickBot="1" x14ac:dyDescent="0.25">
      <c r="A17" s="340"/>
      <c r="B17" s="201" t="s">
        <v>636</v>
      </c>
      <c r="C17" s="201" t="s">
        <v>637</v>
      </c>
      <c r="D17" s="201" t="s">
        <v>369</v>
      </c>
      <c r="E17" s="202" t="s">
        <v>636</v>
      </c>
      <c r="F17" s="202" t="s">
        <v>637</v>
      </c>
      <c r="G17" s="202" t="s">
        <v>369</v>
      </c>
      <c r="H17" s="203" t="s">
        <v>636</v>
      </c>
      <c r="I17" s="203" t="s">
        <v>637</v>
      </c>
      <c r="J17" s="203" t="s">
        <v>369</v>
      </c>
      <c r="K17" s="204" t="s">
        <v>636</v>
      </c>
      <c r="L17" s="204" t="s">
        <v>637</v>
      </c>
      <c r="M17" s="204" t="s">
        <v>369</v>
      </c>
    </row>
    <row r="18" spans="1:13" x14ac:dyDescent="0.2">
      <c r="A18" s="205" t="s">
        <v>638</v>
      </c>
      <c r="B18" s="206">
        <v>2604639</v>
      </c>
      <c r="C18" s="206">
        <v>2612825</v>
      </c>
      <c r="D18" s="207">
        <v>8186</v>
      </c>
      <c r="E18" s="206">
        <v>205860</v>
      </c>
      <c r="F18" s="206">
        <v>209067</v>
      </c>
      <c r="G18" s="207">
        <v>3207</v>
      </c>
      <c r="H18" s="206">
        <v>3430475</v>
      </c>
      <c r="I18" s="206">
        <v>3444136</v>
      </c>
      <c r="J18" s="207">
        <v>13661</v>
      </c>
      <c r="K18" s="206">
        <v>746247</v>
      </c>
      <c r="L18" s="206">
        <v>755762</v>
      </c>
      <c r="M18" s="207">
        <v>9515</v>
      </c>
    </row>
    <row r="19" spans="1:13" x14ac:dyDescent="0.2">
      <c r="A19" s="208" t="s">
        <v>639</v>
      </c>
      <c r="B19" s="206">
        <v>318266</v>
      </c>
      <c r="C19" s="206">
        <v>323006</v>
      </c>
      <c r="D19" s="207">
        <v>4740</v>
      </c>
      <c r="E19" s="206">
        <v>4255042</v>
      </c>
      <c r="F19" s="206">
        <v>4256764</v>
      </c>
      <c r="G19" s="207">
        <v>1722</v>
      </c>
      <c r="H19" s="206">
        <v>2101997</v>
      </c>
      <c r="I19" s="206">
        <v>2115165</v>
      </c>
      <c r="J19" s="207">
        <v>13168</v>
      </c>
      <c r="K19" s="206">
        <v>311916</v>
      </c>
      <c r="L19" s="206">
        <v>326855</v>
      </c>
      <c r="M19" s="207">
        <v>14939</v>
      </c>
    </row>
    <row r="20" spans="1:13" ht="13.5" thickBot="1" x14ac:dyDescent="0.25">
      <c r="A20" s="205" t="s">
        <v>640</v>
      </c>
      <c r="B20" s="206">
        <v>2286373</v>
      </c>
      <c r="C20" s="206">
        <v>2289819</v>
      </c>
      <c r="D20" s="209">
        <v>3446</v>
      </c>
      <c r="E20" s="210">
        <v>-4049182</v>
      </c>
      <c r="F20" s="210">
        <v>-4047697</v>
      </c>
      <c r="G20" s="209">
        <v>1485</v>
      </c>
      <c r="H20" s="206">
        <v>1328478</v>
      </c>
      <c r="I20" s="206">
        <v>1328971</v>
      </c>
      <c r="J20" s="209">
        <v>493</v>
      </c>
      <c r="K20" s="206">
        <v>434331</v>
      </c>
      <c r="L20" s="206">
        <v>428907</v>
      </c>
      <c r="M20" s="209">
        <v>-5424</v>
      </c>
    </row>
    <row r="21" spans="1:13" ht="13.5" customHeight="1" thickBot="1" x14ac:dyDescent="0.25">
      <c r="A21" s="339" t="s">
        <v>643</v>
      </c>
      <c r="B21" s="336" t="s">
        <v>632</v>
      </c>
      <c r="C21" s="337"/>
      <c r="D21" s="338"/>
      <c r="E21" s="333" t="s">
        <v>633</v>
      </c>
      <c r="F21" s="334"/>
      <c r="G21" s="335"/>
      <c r="H21" s="330" t="s">
        <v>634</v>
      </c>
      <c r="I21" s="331"/>
      <c r="J21" s="332"/>
      <c r="K21" s="327" t="s">
        <v>635</v>
      </c>
      <c r="L21" s="328"/>
      <c r="M21" s="329"/>
    </row>
    <row r="22" spans="1:13" ht="26.25" thickBot="1" x14ac:dyDescent="0.25">
      <c r="A22" s="340"/>
      <c r="B22" s="201" t="s">
        <v>636</v>
      </c>
      <c r="C22" s="201" t="s">
        <v>637</v>
      </c>
      <c r="D22" s="201" t="s">
        <v>369</v>
      </c>
      <c r="E22" s="202" t="s">
        <v>636</v>
      </c>
      <c r="F22" s="202" t="s">
        <v>637</v>
      </c>
      <c r="G22" s="202" t="s">
        <v>369</v>
      </c>
      <c r="H22" s="203" t="s">
        <v>636</v>
      </c>
      <c r="I22" s="203" t="s">
        <v>637</v>
      </c>
      <c r="J22" s="203" t="s">
        <v>369</v>
      </c>
      <c r="K22" s="204" t="s">
        <v>636</v>
      </c>
      <c r="L22" s="204" t="s">
        <v>637</v>
      </c>
      <c r="M22" s="204" t="s">
        <v>369</v>
      </c>
    </row>
    <row r="23" spans="1:13" x14ac:dyDescent="0.2">
      <c r="A23" s="205" t="s">
        <v>638</v>
      </c>
      <c r="B23" s="206">
        <v>1962301</v>
      </c>
      <c r="C23" s="206">
        <v>2026368</v>
      </c>
      <c r="D23" s="207">
        <v>64067</v>
      </c>
      <c r="E23" s="206">
        <v>2302</v>
      </c>
      <c r="F23" s="206">
        <v>2302</v>
      </c>
      <c r="G23" s="207">
        <v>0</v>
      </c>
      <c r="H23" s="206">
        <v>88221</v>
      </c>
      <c r="I23" s="206">
        <v>95099</v>
      </c>
      <c r="J23" s="207">
        <v>6878</v>
      </c>
      <c r="K23" s="206">
        <v>844996</v>
      </c>
      <c r="L23" s="206">
        <v>880521</v>
      </c>
      <c r="M23" s="207">
        <v>35525</v>
      </c>
    </row>
    <row r="24" spans="1:13" x14ac:dyDescent="0.2">
      <c r="A24" s="208" t="s">
        <v>639</v>
      </c>
      <c r="B24" s="206">
        <v>1309245</v>
      </c>
      <c r="C24" s="206">
        <v>1348505</v>
      </c>
      <c r="D24" s="207">
        <v>39260</v>
      </c>
      <c r="E24" s="206">
        <v>201046</v>
      </c>
      <c r="F24" s="206">
        <v>210019</v>
      </c>
      <c r="G24" s="207">
        <v>8973</v>
      </c>
      <c r="H24" s="206">
        <v>122735</v>
      </c>
      <c r="I24" s="206">
        <v>126406</v>
      </c>
      <c r="J24" s="207">
        <v>3671</v>
      </c>
      <c r="K24" s="206">
        <v>1264794</v>
      </c>
      <c r="L24" s="206">
        <v>1319360</v>
      </c>
      <c r="M24" s="207">
        <v>54566</v>
      </c>
    </row>
    <row r="25" spans="1:13" ht="13.5" thickBot="1" x14ac:dyDescent="0.25">
      <c r="A25" s="205" t="s">
        <v>640</v>
      </c>
      <c r="B25" s="206">
        <v>653056</v>
      </c>
      <c r="C25" s="206">
        <v>677863</v>
      </c>
      <c r="D25" s="209">
        <v>24807</v>
      </c>
      <c r="E25" s="210">
        <v>-198744</v>
      </c>
      <c r="F25" s="210">
        <v>-207717</v>
      </c>
      <c r="G25" s="209">
        <v>-8973</v>
      </c>
      <c r="H25" s="210">
        <v>-34514</v>
      </c>
      <c r="I25" s="210">
        <v>-31307</v>
      </c>
      <c r="J25" s="209">
        <v>3207</v>
      </c>
      <c r="K25" s="210">
        <v>-419798</v>
      </c>
      <c r="L25" s="210">
        <v>-438839</v>
      </c>
      <c r="M25" s="209">
        <v>-19041</v>
      </c>
    </row>
    <row r="26" spans="1:13" ht="13.5" thickBot="1" x14ac:dyDescent="0.25">
      <c r="A26" s="339" t="s">
        <v>644</v>
      </c>
      <c r="B26" s="336" t="s">
        <v>632</v>
      </c>
      <c r="C26" s="337"/>
      <c r="D26" s="338"/>
      <c r="E26" s="333" t="s">
        <v>633</v>
      </c>
      <c r="F26" s="334"/>
      <c r="G26" s="335"/>
      <c r="H26" s="330" t="s">
        <v>634</v>
      </c>
      <c r="I26" s="331"/>
      <c r="J26" s="332"/>
      <c r="K26" s="327" t="s">
        <v>635</v>
      </c>
      <c r="L26" s="328"/>
      <c r="M26" s="329"/>
    </row>
    <row r="27" spans="1:13" ht="26.25" thickBot="1" x14ac:dyDescent="0.25">
      <c r="A27" s="340"/>
      <c r="B27" s="201" t="s">
        <v>636</v>
      </c>
      <c r="C27" s="201" t="s">
        <v>637</v>
      </c>
      <c r="D27" s="201" t="s">
        <v>369</v>
      </c>
      <c r="E27" s="202" t="s">
        <v>636</v>
      </c>
      <c r="F27" s="202" t="s">
        <v>637</v>
      </c>
      <c r="G27" s="202" t="s">
        <v>369</v>
      </c>
      <c r="H27" s="203" t="s">
        <v>636</v>
      </c>
      <c r="I27" s="203" t="s">
        <v>637</v>
      </c>
      <c r="J27" s="203" t="s">
        <v>369</v>
      </c>
      <c r="K27" s="204" t="s">
        <v>636</v>
      </c>
      <c r="L27" s="204" t="s">
        <v>637</v>
      </c>
      <c r="M27" s="204" t="s">
        <v>369</v>
      </c>
    </row>
    <row r="28" spans="1:13" x14ac:dyDescent="0.2">
      <c r="A28" s="205" t="s">
        <v>638</v>
      </c>
      <c r="B28" s="206">
        <v>965204</v>
      </c>
      <c r="C28" s="206">
        <v>976654</v>
      </c>
      <c r="D28" s="207">
        <v>11450</v>
      </c>
      <c r="E28" s="206">
        <v>0</v>
      </c>
      <c r="F28" s="206">
        <v>0</v>
      </c>
      <c r="G28" s="207">
        <v>0</v>
      </c>
      <c r="H28" s="206">
        <v>122759</v>
      </c>
      <c r="I28" s="206">
        <v>127524</v>
      </c>
      <c r="J28" s="207">
        <v>4765</v>
      </c>
      <c r="K28" s="206">
        <v>890072</v>
      </c>
      <c r="L28" s="206">
        <v>914253</v>
      </c>
      <c r="M28" s="207">
        <v>24181</v>
      </c>
    </row>
    <row r="29" spans="1:13" x14ac:dyDescent="0.2">
      <c r="A29" s="208" t="s">
        <v>639</v>
      </c>
      <c r="B29" s="206">
        <v>1149376</v>
      </c>
      <c r="C29" s="206">
        <v>1171336</v>
      </c>
      <c r="D29" s="207">
        <v>21960</v>
      </c>
      <c r="E29" s="206">
        <v>0</v>
      </c>
      <c r="F29" s="206">
        <v>0</v>
      </c>
      <c r="G29" s="207">
        <v>0</v>
      </c>
      <c r="H29" s="206">
        <v>95281</v>
      </c>
      <c r="I29" s="206">
        <v>97491</v>
      </c>
      <c r="J29" s="207">
        <v>2210</v>
      </c>
      <c r="K29" s="206">
        <v>733378</v>
      </c>
      <c r="L29" s="206">
        <v>749604</v>
      </c>
      <c r="M29" s="207">
        <v>16226</v>
      </c>
    </row>
    <row r="30" spans="1:13" ht="13.5" thickBot="1" x14ac:dyDescent="0.25">
      <c r="A30" s="211" t="s">
        <v>640</v>
      </c>
      <c r="B30" s="212">
        <v>-184172</v>
      </c>
      <c r="C30" s="212">
        <v>-194682</v>
      </c>
      <c r="D30" s="213">
        <v>-10510</v>
      </c>
      <c r="E30" s="214">
        <v>0</v>
      </c>
      <c r="F30" s="214">
        <v>0</v>
      </c>
      <c r="G30" s="213">
        <v>0</v>
      </c>
      <c r="H30" s="214">
        <v>27478</v>
      </c>
      <c r="I30" s="214">
        <v>30033</v>
      </c>
      <c r="J30" s="213">
        <v>2555</v>
      </c>
      <c r="K30" s="214">
        <v>156694</v>
      </c>
      <c r="L30" s="214">
        <v>164649</v>
      </c>
      <c r="M30" s="213">
        <v>7955</v>
      </c>
    </row>
  </sheetData>
  <mergeCells count="30">
    <mergeCell ref="A1:A2"/>
    <mergeCell ref="B1:D1"/>
    <mergeCell ref="E1:G1"/>
    <mergeCell ref="H1:J1"/>
    <mergeCell ref="K1:M1"/>
    <mergeCell ref="K26:M26"/>
    <mergeCell ref="H26:J26"/>
    <mergeCell ref="E26:G26"/>
    <mergeCell ref="B26:D26"/>
    <mergeCell ref="A26:A27"/>
    <mergeCell ref="B16:D16"/>
    <mergeCell ref="A16:A17"/>
    <mergeCell ref="K21:M21"/>
    <mergeCell ref="H21:J21"/>
    <mergeCell ref="E21:G21"/>
    <mergeCell ref="B21:D21"/>
    <mergeCell ref="A21:A22"/>
    <mergeCell ref="K16:M16"/>
    <mergeCell ref="H16:J16"/>
    <mergeCell ref="E16:G16"/>
    <mergeCell ref="K6:M6"/>
    <mergeCell ref="H6:J6"/>
    <mergeCell ref="E6:G6"/>
    <mergeCell ref="B6:D6"/>
    <mergeCell ref="A6:A7"/>
    <mergeCell ref="K11:M11"/>
    <mergeCell ref="H11:J11"/>
    <mergeCell ref="E11:G11"/>
    <mergeCell ref="B11:D11"/>
    <mergeCell ref="A11:A12"/>
  </mergeCells>
  <pageMargins left="0.7" right="0.7" top="0.75" bottom="0.75" header="0.3" footer="0.3"/>
  <pageSetup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showGridLines="0" workbookViewId="0">
      <selection activeCell="O8" sqref="O8"/>
    </sheetView>
  </sheetViews>
  <sheetFormatPr defaultRowHeight="15" x14ac:dyDescent="0.25"/>
  <cols>
    <col min="1" max="1" width="1.140625" customWidth="1"/>
    <col min="2" max="2" width="64.42578125" customWidth="1"/>
    <col min="3" max="3" width="1.5703125" customWidth="1"/>
    <col min="4" max="4" width="5.5703125" customWidth="1"/>
    <col min="5" max="5" width="16" customWidth="1"/>
  </cols>
  <sheetData>
    <row r="1" spans="2:5" x14ac:dyDescent="0.25">
      <c r="B1" s="181" t="s">
        <v>538</v>
      </c>
      <c r="C1" s="182"/>
      <c r="D1" s="187"/>
      <c r="E1" s="187"/>
    </row>
    <row r="2" spans="2:5" x14ac:dyDescent="0.25">
      <c r="B2" s="181" t="s">
        <v>539</v>
      </c>
      <c r="C2" s="182"/>
      <c r="D2" s="187"/>
      <c r="E2" s="187"/>
    </row>
    <row r="3" spans="2:5" x14ac:dyDescent="0.25">
      <c r="B3" s="183"/>
      <c r="C3" s="183"/>
      <c r="D3" s="188"/>
      <c r="E3" s="188"/>
    </row>
    <row r="4" spans="2:5" ht="45" x14ac:dyDescent="0.25">
      <c r="B4" s="184" t="s">
        <v>540</v>
      </c>
      <c r="C4" s="183"/>
      <c r="D4" s="188"/>
      <c r="E4" s="188"/>
    </row>
    <row r="5" spans="2:5" x14ac:dyDescent="0.25">
      <c r="B5" s="183"/>
      <c r="C5" s="183"/>
      <c r="D5" s="188"/>
      <c r="E5" s="188"/>
    </row>
    <row r="6" spans="2:5" x14ac:dyDescent="0.25">
      <c r="B6" s="181" t="s">
        <v>541</v>
      </c>
      <c r="C6" s="182"/>
      <c r="D6" s="187"/>
      <c r="E6" s="189" t="s">
        <v>542</v>
      </c>
    </row>
    <row r="7" spans="2:5" ht="15.75" thickBot="1" x14ac:dyDescent="0.3">
      <c r="B7" s="183"/>
      <c r="C7" s="183"/>
      <c r="D7" s="188"/>
      <c r="E7" s="188"/>
    </row>
    <row r="8" spans="2:5" ht="45.75" thickBot="1" x14ac:dyDescent="0.3">
      <c r="B8" s="185" t="s">
        <v>543</v>
      </c>
      <c r="C8" s="186"/>
      <c r="D8" s="190"/>
      <c r="E8" s="191">
        <v>52</v>
      </c>
    </row>
    <row r="9" spans="2:5" x14ac:dyDescent="0.25">
      <c r="B9" s="183"/>
      <c r="C9" s="183"/>
      <c r="D9" s="188"/>
      <c r="E9" s="188"/>
    </row>
    <row r="10" spans="2:5" x14ac:dyDescent="0.25">
      <c r="B10" s="183"/>
      <c r="C10" s="183"/>
      <c r="D10" s="188"/>
      <c r="E10" s="188"/>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election activeCell="S32" sqref="S32"/>
    </sheetView>
  </sheetViews>
  <sheetFormatPr defaultRowHeight="15" x14ac:dyDescent="0.25"/>
  <cols>
    <col min="1" max="1" width="13.28515625" bestFit="1" customWidth="1"/>
    <col min="2" max="2" width="12.5703125" bestFit="1" customWidth="1"/>
  </cols>
  <sheetData>
    <row r="1" spans="1:4" x14ac:dyDescent="0.25">
      <c r="A1" s="215" t="s">
        <v>647</v>
      </c>
      <c r="B1" s="216" t="s">
        <v>249</v>
      </c>
      <c r="C1" s="200"/>
      <c r="D1" s="200"/>
    </row>
    <row r="2" spans="1:4" x14ac:dyDescent="0.25">
      <c r="A2" s="217" t="s">
        <v>648</v>
      </c>
      <c r="B2" s="218">
        <f>VLOOKUP($B$1,'Snapshot (Value)'!$A:$S,2,0)</f>
        <v>175</v>
      </c>
      <c r="C2" s="200"/>
      <c r="D2" s="200"/>
    </row>
    <row r="3" spans="1:4" x14ac:dyDescent="0.25">
      <c r="A3" s="217" t="s">
        <v>312</v>
      </c>
      <c r="B3" s="219">
        <f>VLOOKUP($B$1,'Snapshot (Value)'!$A:$S,3,0)</f>
        <v>3794</v>
      </c>
      <c r="C3" s="200"/>
      <c r="D3" s="200"/>
    </row>
    <row r="4" spans="1:4" x14ac:dyDescent="0.25">
      <c r="A4" s="217" t="s">
        <v>320</v>
      </c>
      <c r="B4" s="220">
        <f>VLOOKUP($B$1,'Snapshot (Value)'!$A:$S,6,0)</f>
        <v>21.800000000000182</v>
      </c>
      <c r="C4" s="200"/>
      <c r="D4" s="200"/>
    </row>
    <row r="5" spans="1:4" x14ac:dyDescent="0.25">
      <c r="A5" s="221"/>
      <c r="B5" s="222" t="s">
        <v>649</v>
      </c>
      <c r="C5" s="222" t="s">
        <v>650</v>
      </c>
      <c r="D5" s="222" t="s">
        <v>651</v>
      </c>
    </row>
    <row r="6" spans="1:4" x14ac:dyDescent="0.25">
      <c r="A6" s="217" t="s">
        <v>652</v>
      </c>
      <c r="B6" s="219">
        <f>VLOOKUP($B$1,'Snapshot (Value)'!$A:$S,4,0)</f>
        <v>3815.8</v>
      </c>
      <c r="C6" s="219">
        <f>VLOOKUP($B$1,'Snapshot (Value)'!$A:$S,5,0)</f>
        <v>3808.7</v>
      </c>
      <c r="D6" s="219">
        <f>+(B6/C6-1)*100</f>
        <v>0.18641531231129438</v>
      </c>
    </row>
    <row r="7" spans="1:4" x14ac:dyDescent="0.25">
      <c r="A7" s="217" t="s">
        <v>316</v>
      </c>
      <c r="B7" s="219">
        <f>VLOOKUP($B$1,'Snapshot (Volume)'!$A:$S,12,0)</f>
        <v>0.74</v>
      </c>
      <c r="C7" s="219">
        <f>VLOOKUP($B$1,'Snapshot (Volume)'!$A:$S,13,0)</f>
        <v>0.93</v>
      </c>
      <c r="D7" s="219">
        <f>+(B7/C7-1)*100</f>
        <v>-20.430107526881724</v>
      </c>
    </row>
    <row r="8" spans="1:4" x14ac:dyDescent="0.25">
      <c r="A8" s="217" t="s">
        <v>653</v>
      </c>
      <c r="B8" s="219">
        <f>VLOOKUP($B$1,'Snapshot (Volume)'!$A:$S,15,0)</f>
        <v>0.41</v>
      </c>
      <c r="C8" s="219">
        <f>VLOOKUP($B$1,'Snapshot (Volume)'!$A:$S,16,0)</f>
        <v>0.53</v>
      </c>
      <c r="D8" s="219">
        <f>+(B8/C8-1)*100</f>
        <v>-22.64150943396227</v>
      </c>
    </row>
    <row r="9" spans="1:4" x14ac:dyDescent="0.25">
      <c r="A9" s="215" t="s">
        <v>654</v>
      </c>
      <c r="B9" s="222" t="s">
        <v>655</v>
      </c>
      <c r="C9" s="222" t="s">
        <v>369</v>
      </c>
      <c r="D9" s="222" t="s">
        <v>651</v>
      </c>
    </row>
    <row r="10" spans="1:4" x14ac:dyDescent="0.25">
      <c r="A10" s="217" t="s">
        <v>656</v>
      </c>
      <c r="B10" s="219">
        <f>VLOOKUP($B$1,'OI(Value)'!$A:$O,5,0)</f>
        <v>6097</v>
      </c>
      <c r="C10" s="219">
        <f>VLOOKUP($B$1,'OI(Value)'!$A:$O,6,0)</f>
        <v>244</v>
      </c>
      <c r="D10" s="219">
        <f>VLOOKUP($B$1,'OI(Value)'!$A:$O,7,0)*100</f>
        <v>4.17</v>
      </c>
    </row>
    <row r="11" spans="1:4" x14ac:dyDescent="0.25">
      <c r="A11" s="217" t="s">
        <v>657</v>
      </c>
      <c r="B11" s="219">
        <f>VLOOKUP($B$1,'OI(Value)'!$A:$O,8,0)</f>
        <v>1516</v>
      </c>
      <c r="C11" s="219">
        <f>VLOOKUP($B$1,'OI(Value)'!$A:$O,9,0)</f>
        <v>734</v>
      </c>
      <c r="D11" s="219">
        <f>VLOOKUP($B$1,'OI(Value)'!$A:$O,10,0)*100</f>
        <v>93.93</v>
      </c>
    </row>
    <row r="12" spans="1:4" x14ac:dyDescent="0.25">
      <c r="A12" s="217" t="s">
        <v>658</v>
      </c>
      <c r="B12" s="219">
        <f>VLOOKUP($B$1,'OI(Value)'!$A:$O,11,0)</f>
        <v>1120</v>
      </c>
      <c r="C12" s="219">
        <f>VLOOKUP($B$1,'OI(Value)'!$A:$O,12,0)</f>
        <v>392</v>
      </c>
      <c r="D12" s="219">
        <f>VLOOKUP($B$1,'OI(Value)'!$A:$O,13,0)*100</f>
        <v>53.97</v>
      </c>
    </row>
    <row r="13" spans="1:4" x14ac:dyDescent="0.25">
      <c r="A13" s="215" t="s">
        <v>659</v>
      </c>
      <c r="B13" s="223">
        <f>VLOOKUP($B$1,'OI(Value)'!$A:$O,2,0)</f>
        <v>8733</v>
      </c>
      <c r="C13" s="223">
        <f>VLOOKUP($B$1,'OI(Value)'!$A:$O,3,0)</f>
        <v>1371</v>
      </c>
      <c r="D13" s="223">
        <f>VLOOKUP($B$1,'OI(Value)'!$A:$O,4,0)*100</f>
        <v>18.63</v>
      </c>
    </row>
    <row r="14" spans="1:4" x14ac:dyDescent="0.25">
      <c r="A14" s="215" t="s">
        <v>660</v>
      </c>
      <c r="B14" s="222" t="s">
        <v>661</v>
      </c>
      <c r="C14" s="222" t="s">
        <v>369</v>
      </c>
      <c r="D14" s="222" t="s">
        <v>651</v>
      </c>
    </row>
    <row r="15" spans="1:4" x14ac:dyDescent="0.25">
      <c r="A15" s="217" t="s">
        <v>656</v>
      </c>
      <c r="B15" s="219">
        <f>VLOOKUP($B$1,'OI(Volume)'!$A:$O,5,0)/10^5</f>
        <v>159.77850000000001</v>
      </c>
      <c r="C15" s="219">
        <f>VLOOKUP($B$1,'OI(Volume)'!$A:$O,6,0)/10^5</f>
        <v>6.4015000000000004</v>
      </c>
      <c r="D15" s="219">
        <f>(VLOOKUP($B$1,'OI(Volume)'!$A:$O,7,0))*100</f>
        <v>4.17</v>
      </c>
    </row>
    <row r="16" spans="1:4" x14ac:dyDescent="0.25">
      <c r="A16" s="217" t="s">
        <v>657</v>
      </c>
      <c r="B16" s="219">
        <f>VLOOKUP($B$1,'OI(Volume)'!$A:$O,8,0)/10^5</f>
        <v>39.737250000000003</v>
      </c>
      <c r="C16" s="219">
        <f>VLOOKUP($B$1,'OI(Volume)'!$A:$O,9,0)/10^5</f>
        <v>19.246500000000001</v>
      </c>
      <c r="D16" s="219">
        <f>(VLOOKUP($B$1,'OI(Volume)'!$A:$O,10,0))*100</f>
        <v>93.93</v>
      </c>
    </row>
    <row r="17" spans="1:4" x14ac:dyDescent="0.25">
      <c r="A17" s="217" t="s">
        <v>658</v>
      </c>
      <c r="B17" s="219">
        <f>VLOOKUP($B$1,'OI(Volume)'!$A:$O,11,0)/10^5</f>
        <v>29.34225</v>
      </c>
      <c r="C17" s="219">
        <f>VLOOKUP($B$1,'OI(Volume)'!$A:$O,12,0)/10^5</f>
        <v>10.284750000000001</v>
      </c>
      <c r="D17" s="219">
        <f>(VLOOKUP($B$1,'OI(Volume)'!$A:$O,13,0))*100</f>
        <v>53.97</v>
      </c>
    </row>
    <row r="18" spans="1:4" x14ac:dyDescent="0.25">
      <c r="A18" s="215" t="s">
        <v>662</v>
      </c>
      <c r="B18" s="223">
        <f>VLOOKUP($B$1,'OI(Volume)'!$A:$O,2,0)/10^5</f>
        <v>228.858</v>
      </c>
      <c r="C18" s="223">
        <f>VLOOKUP($B$1,'OI(Volume)'!$A:$O,3,0)/10^5</f>
        <v>35.932749999999999</v>
      </c>
      <c r="D18" s="223">
        <f>(VLOOKUP($B$1,'OI(Volume)'!$A:$O,4,0))*100</f>
        <v>18.63</v>
      </c>
    </row>
    <row r="20" spans="1:4" x14ac:dyDescent="0.25">
      <c r="A20" s="17" t="s">
        <v>417</v>
      </c>
      <c r="B20" s="224">
        <f>VLOOKUP($B$1,'Open Interest Position'!$A:$F,2,0)/10^5</f>
        <v>1361.09374</v>
      </c>
    </row>
    <row r="21" spans="1:4" x14ac:dyDescent="0.25">
      <c r="A21" s="17" t="s">
        <v>412</v>
      </c>
      <c r="B21" s="224">
        <f>VLOOKUP($B$1,'Open Interest Position'!$A:$F,3,0)/10^5</f>
        <v>224.40600000000001</v>
      </c>
    </row>
    <row r="22" spans="1:4" x14ac:dyDescent="0.25">
      <c r="A22" s="17" t="s">
        <v>418</v>
      </c>
      <c r="B22" s="224">
        <f>VLOOKUP($B$1,'Open Interest Position'!$A:$F,4,0)/10^5</f>
        <v>158.96165214891502</v>
      </c>
    </row>
    <row r="23" spans="1:4" x14ac:dyDescent="0.25">
      <c r="A23" s="17" t="s">
        <v>419</v>
      </c>
      <c r="B23" s="225">
        <f>VLOOKUP($B$1,'Open Interest Position'!$A:$F,6,0)</f>
        <v>0.16487181845388549</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192"/>
  <sheetViews>
    <sheetView workbookViewId="0">
      <pane ySplit="6" topLeftCell="A189" activePane="bottomLeft" state="frozen"/>
      <selection pane="bottomLeft" activeCell="M191" sqref="M191"/>
    </sheetView>
  </sheetViews>
  <sheetFormatPr defaultRowHeight="15" x14ac:dyDescent="0.25"/>
  <cols>
    <col min="1" max="1" width="11.85546875" customWidth="1"/>
    <col min="2" max="2" width="11.5703125" bestFit="1" customWidth="1"/>
    <col min="4" max="4" width="11.7109375" bestFit="1" customWidth="1"/>
    <col min="5" max="5" width="11.7109375" customWidth="1"/>
    <col min="6" max="6" width="10.85546875" customWidth="1"/>
    <col min="7" max="7" width="8.85546875" bestFit="1" customWidth="1"/>
    <col min="8" max="9" width="11.7109375" bestFit="1" customWidth="1"/>
    <col min="10" max="10" width="9.140625" customWidth="1"/>
  </cols>
  <sheetData>
    <row r="1" spans="1:36" ht="21" customHeight="1" x14ac:dyDescent="0.25"/>
    <row r="2" spans="1:36" ht="22.5" customHeight="1" thickBot="1" x14ac:dyDescent="0.3"/>
    <row r="3" spans="1:36" ht="23.25" customHeight="1" thickBot="1" x14ac:dyDescent="0.3">
      <c r="A3" s="265" t="s">
        <v>329</v>
      </c>
      <c r="B3" s="266"/>
      <c r="C3" s="266"/>
      <c r="D3" s="266"/>
      <c r="E3" s="266"/>
      <c r="F3" s="266"/>
      <c r="G3" s="266"/>
      <c r="H3" s="266"/>
      <c r="I3" s="267"/>
      <c r="J3" s="267"/>
      <c r="K3" s="267"/>
      <c r="L3" s="267"/>
      <c r="M3" s="267"/>
      <c r="N3" s="267"/>
      <c r="O3" s="267"/>
      <c r="P3" s="268"/>
    </row>
    <row r="4" spans="1:36" x14ac:dyDescent="0.25">
      <c r="A4" s="269" t="s">
        <v>330</v>
      </c>
      <c r="B4" s="269"/>
      <c r="C4" s="77" t="s">
        <v>308</v>
      </c>
      <c r="D4" s="271" t="s">
        <v>326</v>
      </c>
      <c r="E4" s="271"/>
      <c r="F4" s="271"/>
      <c r="G4" s="271"/>
      <c r="H4" s="271" t="s">
        <v>457</v>
      </c>
      <c r="I4" s="271"/>
      <c r="J4" s="271"/>
      <c r="K4" s="269" t="s">
        <v>309</v>
      </c>
      <c r="L4" s="269"/>
      <c r="M4" s="269"/>
      <c r="N4" s="269" t="s">
        <v>331</v>
      </c>
      <c r="O4" s="269"/>
      <c r="P4" s="269"/>
    </row>
    <row r="5" spans="1:36" x14ac:dyDescent="0.25">
      <c r="A5" s="270"/>
      <c r="B5" s="270"/>
      <c r="C5" s="65" t="s">
        <v>312</v>
      </c>
      <c r="D5" s="272" t="s">
        <v>314</v>
      </c>
      <c r="E5" s="272"/>
      <c r="F5" s="272"/>
      <c r="G5" s="272"/>
      <c r="H5" s="272" t="s">
        <v>315</v>
      </c>
      <c r="I5" s="272"/>
      <c r="J5" s="272"/>
      <c r="K5" s="270" t="s">
        <v>314</v>
      </c>
      <c r="L5" s="270"/>
      <c r="M5" s="270"/>
      <c r="N5" s="270" t="s">
        <v>315</v>
      </c>
      <c r="O5" s="270"/>
      <c r="P5" s="270"/>
    </row>
    <row r="6" spans="1:36" x14ac:dyDescent="0.25">
      <c r="A6" s="78" t="s">
        <v>332</v>
      </c>
      <c r="B6" s="78" t="s">
        <v>318</v>
      </c>
      <c r="C6" s="65" t="s">
        <v>328</v>
      </c>
      <c r="D6" s="66">
        <f>'Snapshot (Volume)'!B6</f>
        <v>46050</v>
      </c>
      <c r="E6" s="66" t="s">
        <v>368</v>
      </c>
      <c r="F6" s="71" t="s">
        <v>333</v>
      </c>
      <c r="G6" s="71" t="s">
        <v>328</v>
      </c>
      <c r="H6" s="66">
        <f>D6</f>
        <v>46050</v>
      </c>
      <c r="I6" s="71" t="s">
        <v>322</v>
      </c>
      <c r="J6" s="71" t="s">
        <v>328</v>
      </c>
      <c r="K6" s="66">
        <f>D6</f>
        <v>46050</v>
      </c>
      <c r="L6" s="78" t="s">
        <v>333</v>
      </c>
      <c r="M6" s="78" t="s">
        <v>328</v>
      </c>
      <c r="N6" s="66">
        <f>D6</f>
        <v>46050</v>
      </c>
      <c r="O6" s="78" t="s">
        <v>322</v>
      </c>
      <c r="P6" s="78" t="s">
        <v>328</v>
      </c>
    </row>
    <row r="7" spans="1:36" x14ac:dyDescent="0.25">
      <c r="A7" s="79" t="str">
        <f>'Data shares'!B2</f>
        <v>Finance</v>
      </c>
      <c r="B7" s="79" t="str">
        <f>'Data shares'!C2</f>
        <v>360ONE</v>
      </c>
      <c r="C7" s="79">
        <f>VLOOKUP($B7,'Data shares'!$C:$FB,7)</f>
        <v>1139.9000000000001</v>
      </c>
      <c r="D7" s="165">
        <f>VLOOKUP($B7,'Data shares'!$C:$FB,98)</f>
        <v>3426000</v>
      </c>
      <c r="E7" s="165">
        <f>VLOOKUP(B7,'Snapshot (Volume)'!$A$7:$G$168,7,0)</f>
        <v>3455500</v>
      </c>
      <c r="F7" s="165">
        <f>D7-E7</f>
        <v>-29500</v>
      </c>
      <c r="G7" s="166">
        <f>F7/E7</f>
        <v>-8.5371147446100422E-3</v>
      </c>
      <c r="H7" s="165">
        <f>VLOOKUP($B7,'Data shares'!$C:$FB,66)</f>
        <v>1708500</v>
      </c>
      <c r="I7" s="165">
        <f>VLOOKUP($B7,'Data shares'!$C:$FB,67)</f>
        <v>3693000</v>
      </c>
      <c r="J7" s="81">
        <f>(H7-I7)/I7*100</f>
        <v>-53.736799350121856</v>
      </c>
      <c r="K7" s="81">
        <f>VLOOKUP($B7,'Data Vlaue (Cr)'!$C:$FB,99)</f>
        <v>391</v>
      </c>
      <c r="L7" s="81">
        <f>VLOOKUP(B7,'OI(Value)'!$A$7:$C$226,3,0)</f>
        <v>-3</v>
      </c>
      <c r="M7" s="81">
        <f t="shared" ref="M7:M36" si="0">L7/K7*100</f>
        <v>-0.76726342710997442</v>
      </c>
      <c r="N7" s="81">
        <f>VLOOKUP($B7,'Data Vlaue (Cr)'!$C:$FB,67)</f>
        <v>195</v>
      </c>
      <c r="O7" s="81">
        <f>VLOOKUP($B7,'Data Vlaue (Cr)'!$C:$FB,68)</f>
        <v>422</v>
      </c>
      <c r="P7" s="81">
        <f t="shared" ref="P7:P23" si="1">(N7-O7)/N7*100</f>
        <v>-116.41025641025642</v>
      </c>
      <c r="Q7" s="1"/>
      <c r="R7" s="1"/>
      <c r="S7" s="1"/>
      <c r="T7" s="1"/>
      <c r="U7" s="1"/>
      <c r="V7" s="1"/>
      <c r="W7" s="1"/>
      <c r="X7" s="1"/>
      <c r="Y7" s="1"/>
      <c r="Z7" s="1"/>
      <c r="AA7" s="1"/>
      <c r="AB7" s="1"/>
      <c r="AC7" s="1"/>
      <c r="AD7" s="1"/>
      <c r="AE7" s="1"/>
      <c r="AF7" s="1"/>
      <c r="AG7" s="1"/>
      <c r="AH7" s="1"/>
      <c r="AI7" s="1"/>
      <c r="AJ7" s="1"/>
    </row>
    <row r="8" spans="1:36" x14ac:dyDescent="0.25">
      <c r="A8" s="79" t="str">
        <f>'Data shares'!B3</f>
        <v>Capital_Goods</v>
      </c>
      <c r="B8" s="79" t="str">
        <f>'Data shares'!C3</f>
        <v>ABB</v>
      </c>
      <c r="C8" s="79">
        <f>VLOOKUP($B8,'Data shares'!$C:$FB,7)</f>
        <v>5043.5</v>
      </c>
      <c r="D8" s="165">
        <f>VLOOKUP($B8,'Data shares'!$C:$FB,98)</f>
        <v>3284250</v>
      </c>
      <c r="E8" s="165">
        <f>VLOOKUP(B8,'Snapshot (Volume)'!$A$7:$G$168,7,0)</f>
        <v>2899000</v>
      </c>
      <c r="F8" s="165">
        <f t="shared" ref="F8:F23" si="2">D8-E8</f>
        <v>385250</v>
      </c>
      <c r="G8" s="166">
        <f t="shared" ref="G8:G23" si="3">F8/E8</f>
        <v>0.13289065194894792</v>
      </c>
      <c r="H8" s="165">
        <f>VLOOKUP($B8,'Data shares'!$C:$FB,66)</f>
        <v>7370750</v>
      </c>
      <c r="I8" s="165">
        <f>VLOOKUP($B8,'Data shares'!$C:$FB,67)</f>
        <v>3087375</v>
      </c>
      <c r="J8" s="81">
        <f t="shared" ref="J8:J22" si="4">(H8-I8)/I8*100</f>
        <v>138.73841046196202</v>
      </c>
      <c r="K8" s="81">
        <f>VLOOKUP($B8,'Data Vlaue (Cr)'!$C:$FB,99)</f>
        <v>1664</v>
      </c>
      <c r="L8" s="81">
        <f>VLOOKUP(B8,'OI(Value)'!$A$7:$C$226,3,0)</f>
        <v>195</v>
      </c>
      <c r="M8" s="81">
        <f t="shared" si="0"/>
        <v>11.71875</v>
      </c>
      <c r="N8" s="81">
        <f>VLOOKUP($B8,'Data Vlaue (Cr)'!$C:$FB,67)</f>
        <v>3735</v>
      </c>
      <c r="O8" s="81">
        <f>VLOOKUP($B8,'Data Vlaue (Cr)'!$C:$FB,68)</f>
        <v>1565</v>
      </c>
      <c r="P8" s="81">
        <f t="shared" si="1"/>
        <v>58.099062918340024</v>
      </c>
      <c r="Q8" s="1"/>
      <c r="R8" s="1"/>
      <c r="S8" s="1"/>
      <c r="T8" s="1"/>
      <c r="U8" s="1"/>
      <c r="V8" s="1"/>
      <c r="W8" s="1"/>
      <c r="X8" s="1"/>
      <c r="Y8" s="1"/>
      <c r="Z8" s="1"/>
      <c r="AA8" s="1"/>
      <c r="AB8" s="1"/>
      <c r="AC8" s="1"/>
      <c r="AD8" s="1"/>
      <c r="AE8" s="1"/>
      <c r="AF8" s="1"/>
      <c r="AG8" s="1"/>
      <c r="AH8" s="1"/>
      <c r="AI8" s="1"/>
      <c r="AJ8" s="1"/>
    </row>
    <row r="9" spans="1:36" x14ac:dyDescent="0.25">
      <c r="A9" s="79" t="str">
        <f>'Data shares'!B4</f>
        <v>Finance</v>
      </c>
      <c r="B9" s="79" t="str">
        <f>'Data shares'!C4</f>
        <v>ABCAPITAL</v>
      </c>
      <c r="C9" s="79">
        <f>VLOOKUP($B9,'Data shares'!$C:$FB,7)</f>
        <v>348.3</v>
      </c>
      <c r="D9" s="165">
        <f>VLOOKUP($B9,'Data shares'!$C:$FB,98)</f>
        <v>90210000</v>
      </c>
      <c r="E9" s="165">
        <f>VLOOKUP(B9,'Snapshot (Volume)'!$A$7:$G$168,7,0)</f>
        <v>87565700</v>
      </c>
      <c r="F9" s="165">
        <f t="shared" si="2"/>
        <v>2644300</v>
      </c>
      <c r="G9" s="166">
        <f t="shared" si="3"/>
        <v>3.0197897121818248E-2</v>
      </c>
      <c r="H9" s="165">
        <f>VLOOKUP($B9,'Data shares'!$C:$FB,66)</f>
        <v>32212100</v>
      </c>
      <c r="I9" s="165">
        <f>VLOOKUP($B9,'Data shares'!$C:$FB,67)</f>
        <v>76805600</v>
      </c>
      <c r="J9" s="81">
        <f t="shared" si="4"/>
        <v>-58.060219567323216</v>
      </c>
      <c r="K9" s="81">
        <f>VLOOKUP($B9,'Data Vlaue (Cr)'!$C:$FB,99)</f>
        <v>3163</v>
      </c>
      <c r="L9" s="81">
        <f>VLOOKUP(B9,'OI(Value)'!$A$7:$C$226,3,0)</f>
        <v>93</v>
      </c>
      <c r="M9" s="81">
        <f t="shared" si="0"/>
        <v>2.9402466013278534</v>
      </c>
      <c r="N9" s="81">
        <f>VLOOKUP($B9,'Data Vlaue (Cr)'!$C:$FB,67)</f>
        <v>1130</v>
      </c>
      <c r="O9" s="81">
        <f>VLOOKUP($B9,'Data Vlaue (Cr)'!$C:$FB,68)</f>
        <v>2693</v>
      </c>
      <c r="P9" s="81">
        <f t="shared" si="1"/>
        <v>-138.31858407079648</v>
      </c>
      <c r="Q9" s="1"/>
      <c r="R9" s="1"/>
      <c r="S9" s="1"/>
      <c r="T9" s="1"/>
      <c r="U9" s="1"/>
      <c r="V9" s="1"/>
      <c r="W9" s="1"/>
      <c r="X9" s="1"/>
      <c r="Y9" s="1"/>
      <c r="Z9" s="1"/>
      <c r="AA9" s="1"/>
      <c r="AB9" s="1"/>
      <c r="AC9" s="1"/>
      <c r="AD9" s="1"/>
      <c r="AE9" s="1"/>
      <c r="AF9" s="1"/>
      <c r="AG9" s="1"/>
      <c r="AH9" s="1"/>
      <c r="AI9" s="1"/>
      <c r="AJ9" s="1"/>
    </row>
    <row r="10" spans="1:36" x14ac:dyDescent="0.25">
      <c r="A10" s="79" t="str">
        <f>'Data shares'!B5</f>
        <v>Power</v>
      </c>
      <c r="B10" s="79" t="str">
        <f>'Data shares'!C5</f>
        <v>ADANIENSOL</v>
      </c>
      <c r="C10" s="4">
        <f>VLOOKUP($B10,'Data shares'!$C:$FB,7)</f>
        <v>882</v>
      </c>
      <c r="D10" s="82">
        <f>VLOOKUP($B10,'Data shares'!$C:$FB,98)</f>
        <v>26196075</v>
      </c>
      <c r="E10" s="165">
        <f>VLOOKUP(B10,'Snapshot (Volume)'!$A$7:$G$168,7,0)</f>
        <v>25401600</v>
      </c>
      <c r="F10" s="165">
        <f t="shared" si="2"/>
        <v>794475</v>
      </c>
      <c r="G10" s="166">
        <f t="shared" si="3"/>
        <v>3.1276573129251702E-2</v>
      </c>
      <c r="H10" s="165">
        <f>VLOOKUP($B10,'Data shares'!$C:$FB,66)</f>
        <v>11807775</v>
      </c>
      <c r="I10" s="165">
        <f>VLOOKUP($B10,'Data shares'!$C:$FB,67)</f>
        <v>28283850</v>
      </c>
      <c r="J10" s="81">
        <f t="shared" si="4"/>
        <v>-58.252589375208821</v>
      </c>
      <c r="K10" s="5">
        <f>VLOOKUP($B10,'Data Vlaue (Cr)'!$C:$FB,99)</f>
        <v>2319</v>
      </c>
      <c r="L10" s="81">
        <f>VLOOKUP(B10,'OI(Value)'!$A$7:$C$226,3,0)</f>
        <v>70</v>
      </c>
      <c r="M10" s="33">
        <f t="shared" si="0"/>
        <v>3.0185424752048298</v>
      </c>
      <c r="N10" s="5">
        <f>VLOOKUP($B10,'Data Vlaue (Cr)'!$C:$FB,67)</f>
        <v>1045</v>
      </c>
      <c r="O10" s="5">
        <f>VLOOKUP($B10,'Data Vlaue (Cr)'!$C:$FB,68)</f>
        <v>2504</v>
      </c>
      <c r="P10" s="5">
        <f t="shared" si="1"/>
        <v>-139.61722488038276</v>
      </c>
      <c r="Q10" s="1"/>
      <c r="R10" s="1"/>
      <c r="S10" s="1"/>
      <c r="T10" s="1"/>
      <c r="U10" s="1"/>
      <c r="V10" s="1"/>
      <c r="W10" s="1"/>
      <c r="X10" s="1"/>
      <c r="Y10" s="1"/>
      <c r="Z10" s="1"/>
      <c r="AA10" s="1"/>
      <c r="AB10" s="1"/>
      <c r="AC10" s="1"/>
      <c r="AD10" s="1"/>
      <c r="AE10" s="1"/>
      <c r="AF10" s="1"/>
      <c r="AG10" s="1"/>
      <c r="AH10" s="1"/>
      <c r="AI10" s="1"/>
      <c r="AJ10" s="1"/>
    </row>
    <row r="11" spans="1:36" x14ac:dyDescent="0.25">
      <c r="A11" s="79" t="str">
        <f>'Data shares'!B6</f>
        <v>Infrastructure</v>
      </c>
      <c r="B11" s="79" t="str">
        <f>'Data shares'!C6</f>
        <v>ADANIENT</v>
      </c>
      <c r="C11" s="4">
        <f>VLOOKUP($B11,'Data shares'!$C:$FB,7)</f>
        <v>1994.7</v>
      </c>
      <c r="D11" s="82">
        <f>VLOOKUP($B11,'Data shares'!$C:$FB,98)</f>
        <v>31164195</v>
      </c>
      <c r="E11" s="165">
        <f>VLOOKUP(B11,'Snapshot (Volume)'!$A$7:$G$168,7,0)</f>
        <v>30039126</v>
      </c>
      <c r="F11" s="165">
        <f t="shared" si="2"/>
        <v>1125069</v>
      </c>
      <c r="G11" s="166">
        <f t="shared" si="3"/>
        <v>3.7453453206328306E-2</v>
      </c>
      <c r="H11" s="165">
        <f>VLOOKUP($B11,'Data shares'!$C:$FB,66)</f>
        <v>17955681</v>
      </c>
      <c r="I11" s="165">
        <f>VLOOKUP($B11,'Data shares'!$C:$FB,67)</f>
        <v>79643823</v>
      </c>
      <c r="J11" s="81">
        <f t="shared" si="4"/>
        <v>-77.455023724815419</v>
      </c>
      <c r="K11" s="5">
        <f>VLOOKUP($B11,'Data Vlaue (Cr)'!$C:$FB,99)</f>
        <v>6247</v>
      </c>
      <c r="L11" s="81">
        <f>VLOOKUP(B11,'OI(Value)'!$A$7:$C$226,3,0)</f>
        <v>226</v>
      </c>
      <c r="M11" s="33">
        <f t="shared" si="0"/>
        <v>3.6177365135264927</v>
      </c>
      <c r="N11" s="5">
        <f>VLOOKUP($B11,'Data Vlaue (Cr)'!$C:$FB,67)</f>
        <v>3599</v>
      </c>
      <c r="O11" s="5">
        <f>VLOOKUP($B11,'Data Vlaue (Cr)'!$C:$FB,68)</f>
        <v>15964</v>
      </c>
      <c r="P11" s="5">
        <f t="shared" si="1"/>
        <v>-343.56765768268963</v>
      </c>
      <c r="Q11" s="1"/>
      <c r="R11" s="1"/>
      <c r="S11" s="1"/>
      <c r="T11" s="1"/>
      <c r="U11" s="1"/>
      <c r="V11" s="1"/>
      <c r="W11" s="1"/>
      <c r="X11" s="1"/>
      <c r="Y11" s="1"/>
      <c r="Z11" s="1"/>
      <c r="AA11" s="1"/>
      <c r="AB11" s="1"/>
      <c r="AC11" s="1"/>
      <c r="AD11" s="1"/>
      <c r="AE11" s="1"/>
      <c r="AF11" s="1"/>
      <c r="AG11" s="1"/>
      <c r="AH11" s="1"/>
      <c r="AI11" s="1"/>
      <c r="AJ11" s="1"/>
    </row>
    <row r="12" spans="1:36" x14ac:dyDescent="0.25">
      <c r="A12" s="79" t="str">
        <f>'Data shares'!B7</f>
        <v>Power</v>
      </c>
      <c r="B12" s="79" t="str">
        <f>'Data shares'!C7</f>
        <v>ADANIGREEN</v>
      </c>
      <c r="C12" s="4">
        <f>VLOOKUP($B12,'Data shares'!$C:$FB,7)</f>
        <v>822.9</v>
      </c>
      <c r="D12" s="82">
        <f>VLOOKUP($B12,'Data shares'!$C:$FB,98)</f>
        <v>35011800</v>
      </c>
      <c r="E12" s="165">
        <f>VLOOKUP(B12,'Snapshot (Volume)'!$A$7:$G$168,7,0)</f>
        <v>32832600</v>
      </c>
      <c r="F12" s="165">
        <f t="shared" si="2"/>
        <v>2179200</v>
      </c>
      <c r="G12" s="166">
        <f t="shared" si="3"/>
        <v>6.6373056047952336E-2</v>
      </c>
      <c r="H12" s="165">
        <f>VLOOKUP($B12,'Data shares'!$C:$FB,66)</f>
        <v>22661400</v>
      </c>
      <c r="I12" s="165">
        <f>VLOOKUP($B12,'Data shares'!$C:$FB,67)</f>
        <v>97858200</v>
      </c>
      <c r="J12" s="81">
        <f t="shared" si="4"/>
        <v>-76.842615130873043</v>
      </c>
      <c r="K12" s="5">
        <f>VLOOKUP($B12,'Data Vlaue (Cr)'!$C:$FB,99)</f>
        <v>2891</v>
      </c>
      <c r="L12" s="81">
        <f>VLOOKUP(B12,'OI(Value)'!$A$7:$C$226,3,0)</f>
        <v>180</v>
      </c>
      <c r="M12" s="33">
        <f t="shared" si="0"/>
        <v>6.2262193012798335</v>
      </c>
      <c r="N12" s="5">
        <f>VLOOKUP($B12,'Data Vlaue (Cr)'!$C:$FB,67)</f>
        <v>1871</v>
      </c>
      <c r="O12" s="5">
        <f>VLOOKUP($B12,'Data Vlaue (Cr)'!$C:$FB,68)</f>
        <v>8081</v>
      </c>
      <c r="P12" s="5">
        <f t="shared" si="1"/>
        <v>-331.90807055050777</v>
      </c>
      <c r="Q12" s="1"/>
      <c r="R12" s="1"/>
      <c r="S12" s="1"/>
      <c r="T12" s="1"/>
      <c r="U12" s="1"/>
      <c r="V12" s="1"/>
      <c r="W12" s="1"/>
      <c r="X12" s="1"/>
      <c r="Y12" s="1"/>
      <c r="Z12" s="1"/>
      <c r="AA12" s="1"/>
      <c r="AB12" s="1"/>
      <c r="AC12" s="1"/>
      <c r="AD12" s="1"/>
      <c r="AE12" s="1"/>
      <c r="AF12" s="1"/>
      <c r="AG12" s="1"/>
      <c r="AH12" s="1"/>
      <c r="AI12" s="1"/>
      <c r="AJ12" s="1"/>
    </row>
    <row r="13" spans="1:36" x14ac:dyDescent="0.25">
      <c r="A13" s="79" t="str">
        <f>'Data shares'!B8</f>
        <v>Infrastructure</v>
      </c>
      <c r="B13" s="79" t="str">
        <f>'Data shares'!C8</f>
        <v>ADANIPORTS</v>
      </c>
      <c r="C13" s="4">
        <f>VLOOKUP($B13,'Data shares'!$C:$FB,7)</f>
        <v>1381.9</v>
      </c>
      <c r="D13" s="82">
        <f>VLOOKUP($B13,'Data shares'!$C:$FB,98)</f>
        <v>34035175</v>
      </c>
      <c r="E13" s="165">
        <f>VLOOKUP(B13,'Snapshot (Volume)'!$A$7:$G$168,7,0)</f>
        <v>33219600</v>
      </c>
      <c r="F13" s="165">
        <f t="shared" si="2"/>
        <v>815575</v>
      </c>
      <c r="G13" s="166">
        <f t="shared" si="3"/>
        <v>2.4551018073667354E-2</v>
      </c>
      <c r="H13" s="165">
        <f>VLOOKUP($B13,'Data shares'!$C:$FB,66)</f>
        <v>15748150</v>
      </c>
      <c r="I13" s="165">
        <f>VLOOKUP($B13,'Data shares'!$C:$FB,67)</f>
        <v>58003675</v>
      </c>
      <c r="J13" s="81">
        <f t="shared" si="4"/>
        <v>-72.849737538181842</v>
      </c>
      <c r="K13" s="5">
        <f>VLOOKUP($B13,'Data Vlaue (Cr)'!$C:$FB,99)</f>
        <v>4720</v>
      </c>
      <c r="L13" s="81">
        <f>VLOOKUP(B13,'OI(Value)'!$A$7:$C$226,3,0)</f>
        <v>113</v>
      </c>
      <c r="M13" s="33">
        <f t="shared" si="0"/>
        <v>2.3940677966101696</v>
      </c>
      <c r="N13" s="5">
        <f>VLOOKUP($B13,'Data Vlaue (Cr)'!$C:$FB,67)</f>
        <v>2184</v>
      </c>
      <c r="O13" s="5">
        <f>VLOOKUP($B13,'Data Vlaue (Cr)'!$C:$FB,68)</f>
        <v>8045</v>
      </c>
      <c r="P13" s="5">
        <f t="shared" si="1"/>
        <v>-268.36080586080584</v>
      </c>
      <c r="Q13" s="1"/>
      <c r="R13" s="1"/>
      <c r="S13" s="1"/>
      <c r="T13" s="1"/>
      <c r="U13" s="1"/>
      <c r="V13" s="1"/>
      <c r="W13" s="1"/>
      <c r="X13" s="1"/>
      <c r="Y13" s="1"/>
      <c r="Z13" s="1"/>
      <c r="AA13" s="1"/>
      <c r="AB13" s="1"/>
      <c r="AC13" s="1"/>
      <c r="AD13" s="1"/>
      <c r="AE13" s="1"/>
      <c r="AF13" s="1"/>
      <c r="AG13" s="1"/>
      <c r="AH13" s="1"/>
      <c r="AI13" s="1"/>
      <c r="AJ13" s="1"/>
    </row>
    <row r="14" spans="1:36" x14ac:dyDescent="0.25">
      <c r="A14" s="79" t="str">
        <f>'Data shares'!B9</f>
        <v>Pharma</v>
      </c>
      <c r="B14" s="79" t="str">
        <f>'Data shares'!C9</f>
        <v>ALKEM</v>
      </c>
      <c r="C14" s="4">
        <f>VLOOKUP($B14,'Data shares'!$C:$FB,7)</f>
        <v>5722.5</v>
      </c>
      <c r="D14" s="82">
        <f>VLOOKUP($B14,'Data shares'!$C:$FB,98)</f>
        <v>1361125</v>
      </c>
      <c r="E14" s="165">
        <f>VLOOKUP(B14,'Snapshot (Volume)'!$A$7:$G$168,7,0)</f>
        <v>1331375</v>
      </c>
      <c r="F14" s="165">
        <f t="shared" si="2"/>
        <v>29750</v>
      </c>
      <c r="G14" s="166">
        <f t="shared" si="3"/>
        <v>2.2345319688292179E-2</v>
      </c>
      <c r="H14" s="165">
        <f>VLOOKUP($B14,'Data shares'!$C:$FB,66)</f>
        <v>335000</v>
      </c>
      <c r="I14" s="165">
        <f>VLOOKUP($B14,'Data shares'!$C:$FB,67)</f>
        <v>2296875</v>
      </c>
      <c r="J14" s="81">
        <f t="shared" si="4"/>
        <v>-85.414965986394549</v>
      </c>
      <c r="K14" s="5">
        <f>VLOOKUP($B14,'Data Vlaue (Cr)'!$C:$FB,99)</f>
        <v>776</v>
      </c>
      <c r="L14" s="81">
        <f>VLOOKUP(B14,'OI(Value)'!$A$7:$C$226,3,0)</f>
        <v>17</v>
      </c>
      <c r="M14" s="33">
        <f t="shared" si="0"/>
        <v>2.1907216494845358</v>
      </c>
      <c r="N14" s="5">
        <f>VLOOKUP($B14,'Data Vlaue (Cr)'!$C:$FB,67)</f>
        <v>191</v>
      </c>
      <c r="O14" s="5">
        <f>VLOOKUP($B14,'Data Vlaue (Cr)'!$C:$FB,68)</f>
        <v>1310</v>
      </c>
      <c r="P14" s="5">
        <f t="shared" si="1"/>
        <v>-585.86387434554968</v>
      </c>
      <c r="Q14" s="1"/>
      <c r="R14" s="1"/>
      <c r="S14" s="1"/>
      <c r="T14" s="1"/>
      <c r="U14" s="1"/>
      <c r="V14" s="1"/>
      <c r="W14" s="1"/>
      <c r="X14" s="1"/>
      <c r="Y14" s="1"/>
      <c r="Z14" s="1"/>
      <c r="AA14" s="1"/>
      <c r="AB14" s="1"/>
      <c r="AC14" s="1"/>
      <c r="AD14" s="1"/>
      <c r="AE14" s="1"/>
      <c r="AF14" s="1"/>
      <c r="AG14" s="1"/>
      <c r="AH14" s="1"/>
      <c r="AI14" s="1"/>
      <c r="AJ14" s="1"/>
    </row>
    <row r="15" spans="1:36" x14ac:dyDescent="0.25">
      <c r="A15" s="79" t="str">
        <f>'Data shares'!B10</f>
        <v>Capital_Goods</v>
      </c>
      <c r="B15" s="79" t="str">
        <f>'Data shares'!C10</f>
        <v>AMBER</v>
      </c>
      <c r="C15" s="4">
        <f>VLOOKUP($B15,'Data shares'!$C:$FB,7)</f>
        <v>5614</v>
      </c>
      <c r="D15" s="82">
        <f>VLOOKUP($B15,'Data shares'!$C:$FB,98)</f>
        <v>1534100</v>
      </c>
      <c r="E15" s="165">
        <f>VLOOKUP(B15,'Snapshot (Volume)'!$A$7:$G$168,7,0)</f>
        <v>1485800</v>
      </c>
      <c r="F15" s="165">
        <f t="shared" si="2"/>
        <v>48300</v>
      </c>
      <c r="G15" s="166">
        <f t="shared" si="3"/>
        <v>3.2507739938080496E-2</v>
      </c>
      <c r="H15" s="165">
        <f>VLOOKUP($B15,'Data shares'!$C:$FB,66)</f>
        <v>437800</v>
      </c>
      <c r="I15" s="165">
        <f>VLOOKUP($B15,'Data shares'!$C:$FB,67)</f>
        <v>2451000</v>
      </c>
      <c r="J15" s="81">
        <f t="shared" si="4"/>
        <v>-82.137902896776822</v>
      </c>
      <c r="K15" s="5">
        <f>VLOOKUP($B15,'Data Vlaue (Cr)'!$C:$FB,99)</f>
        <v>867</v>
      </c>
      <c r="L15" s="81">
        <f>VLOOKUP(B15,'OI(Value)'!$A$7:$C$226,3,0)</f>
        <v>27</v>
      </c>
      <c r="M15" s="33">
        <f t="shared" si="0"/>
        <v>3.1141868512110724</v>
      </c>
      <c r="N15" s="5">
        <f>VLOOKUP($B15,'Data Vlaue (Cr)'!$C:$FB,67)</f>
        <v>247</v>
      </c>
      <c r="O15" s="5">
        <f>VLOOKUP($B15,'Data Vlaue (Cr)'!$C:$FB,68)</f>
        <v>1385</v>
      </c>
      <c r="P15" s="5">
        <f t="shared" si="1"/>
        <v>-460.72874493927128</v>
      </c>
      <c r="Q15" s="1"/>
      <c r="R15" s="1"/>
      <c r="S15" s="1"/>
      <c r="T15" s="1"/>
      <c r="U15" s="1"/>
      <c r="V15" s="1"/>
      <c r="W15" s="1"/>
      <c r="X15" s="1"/>
      <c r="Y15" s="1"/>
      <c r="Z15" s="1"/>
      <c r="AA15" s="1"/>
      <c r="AB15" s="1"/>
      <c r="AC15" s="1"/>
      <c r="AD15" s="1"/>
      <c r="AE15" s="1"/>
      <c r="AF15" s="1"/>
      <c r="AG15" s="1"/>
      <c r="AH15" s="1"/>
      <c r="AI15" s="1"/>
      <c r="AJ15" s="1"/>
    </row>
    <row r="16" spans="1:36" x14ac:dyDescent="0.25">
      <c r="A16" s="79" t="str">
        <f>'Data shares'!B11</f>
        <v>Cement</v>
      </c>
      <c r="B16" s="79" t="str">
        <f>'Data shares'!C11</f>
        <v>AMBUJACEM</v>
      </c>
      <c r="C16" s="4">
        <f>VLOOKUP($B16,'Data shares'!$C:$FB,7)</f>
        <v>533.95000000000005</v>
      </c>
      <c r="D16" s="82">
        <f>VLOOKUP($B16,'Data shares'!$C:$FB,98)</f>
        <v>62665050</v>
      </c>
      <c r="E16" s="165">
        <f>VLOOKUP(B16,'Snapshot (Volume)'!$A$7:$G$168,7,0)</f>
        <v>61562550</v>
      </c>
      <c r="F16" s="165">
        <f t="shared" si="2"/>
        <v>1102500</v>
      </c>
      <c r="G16" s="166">
        <f t="shared" si="3"/>
        <v>1.790861489655643E-2</v>
      </c>
      <c r="H16" s="165">
        <f>VLOOKUP($B16,'Data shares'!$C:$FB,66)</f>
        <v>11273850</v>
      </c>
      <c r="I16" s="165">
        <f>VLOOKUP($B16,'Data shares'!$C:$FB,67)</f>
        <v>68856900</v>
      </c>
      <c r="J16" s="81">
        <f t="shared" si="4"/>
        <v>-83.627131050047282</v>
      </c>
      <c r="K16" s="5">
        <f>VLOOKUP($B16,'Data Vlaue (Cr)'!$C:$FB,99)</f>
        <v>3367</v>
      </c>
      <c r="L16" s="81">
        <f>VLOOKUP(B16,'OI(Value)'!$A$7:$C$226,3,0)</f>
        <v>59</v>
      </c>
      <c r="M16" s="33">
        <f t="shared" si="0"/>
        <v>1.7523017523017523</v>
      </c>
      <c r="N16" s="5">
        <f>VLOOKUP($B16,'Data Vlaue (Cr)'!$C:$FB,67)</f>
        <v>606</v>
      </c>
      <c r="O16" s="5">
        <f>VLOOKUP($B16,'Data Vlaue (Cr)'!$C:$FB,68)</f>
        <v>3699</v>
      </c>
      <c r="P16" s="5">
        <f t="shared" si="1"/>
        <v>-510.39603960396039</v>
      </c>
      <c r="Q16" s="1"/>
      <c r="R16" s="1"/>
      <c r="S16" s="1"/>
      <c r="T16" s="1"/>
      <c r="U16" s="1"/>
      <c r="V16" s="1"/>
      <c r="W16" s="1"/>
      <c r="X16" s="1"/>
      <c r="Y16" s="1"/>
      <c r="Z16" s="1"/>
      <c r="AA16" s="1"/>
      <c r="AB16" s="1"/>
      <c r="AC16" s="1"/>
      <c r="AD16" s="1"/>
      <c r="AE16" s="1"/>
      <c r="AF16" s="1"/>
      <c r="AG16" s="1"/>
      <c r="AH16" s="1"/>
      <c r="AI16" s="1"/>
      <c r="AJ16" s="1"/>
    </row>
    <row r="17" spans="1:36" x14ac:dyDescent="0.25">
      <c r="A17" s="79" t="str">
        <f>'Data shares'!B12</f>
        <v>Finance</v>
      </c>
      <c r="B17" s="79" t="str">
        <f>'Data shares'!C12</f>
        <v>ANGELONE</v>
      </c>
      <c r="C17" s="4">
        <f>VLOOKUP($B17,'Data shares'!$C:$FB,7)</f>
        <v>2615.1</v>
      </c>
      <c r="D17" s="82">
        <f>VLOOKUP($B17,'Data shares'!$C:$FB,98)</f>
        <v>4684000</v>
      </c>
      <c r="E17" s="165">
        <f>VLOOKUP(B17,'Snapshot (Volume)'!$A$7:$G$168,7,0)</f>
        <v>4510250</v>
      </c>
      <c r="F17" s="165">
        <f t="shared" si="2"/>
        <v>173750</v>
      </c>
      <c r="G17" s="166">
        <f t="shared" si="3"/>
        <v>3.8523363449919627E-2</v>
      </c>
      <c r="H17" s="165">
        <f>VLOOKUP($B17,'Data shares'!$C:$FB,66)</f>
        <v>5631000</v>
      </c>
      <c r="I17" s="165">
        <f>VLOOKUP($B17,'Data shares'!$C:$FB,67)</f>
        <v>7826750</v>
      </c>
      <c r="J17" s="81">
        <f t="shared" si="4"/>
        <v>-28.054428722011053</v>
      </c>
      <c r="K17" s="5">
        <f>VLOOKUP($B17,'Data Vlaue (Cr)'!$C:$FB,99)</f>
        <v>1231</v>
      </c>
      <c r="L17" s="81">
        <f>VLOOKUP(B17,'OI(Value)'!$A$7:$C$226,3,0)</f>
        <v>46</v>
      </c>
      <c r="M17" s="33">
        <f t="shared" si="0"/>
        <v>3.7367993501218519</v>
      </c>
      <c r="N17" s="5">
        <f>VLOOKUP($B17,'Data Vlaue (Cr)'!$C:$FB,67)</f>
        <v>1480</v>
      </c>
      <c r="O17" s="5">
        <f>VLOOKUP($B17,'Data Vlaue (Cr)'!$C:$FB,68)</f>
        <v>2058</v>
      </c>
      <c r="P17" s="5">
        <f t="shared" si="1"/>
        <v>-39.054054054054056</v>
      </c>
      <c r="Q17" s="1"/>
      <c r="R17" s="1"/>
      <c r="S17" s="1"/>
      <c r="T17" s="1"/>
      <c r="U17" s="1"/>
      <c r="V17" s="1"/>
      <c r="W17" s="1"/>
      <c r="X17" s="1"/>
      <c r="Y17" s="1"/>
      <c r="Z17" s="1"/>
      <c r="AA17" s="1"/>
      <c r="AB17" s="1"/>
      <c r="AC17" s="1"/>
      <c r="AD17" s="1"/>
      <c r="AE17" s="1"/>
      <c r="AF17" s="1"/>
      <c r="AG17" s="1"/>
      <c r="AH17" s="1"/>
      <c r="AI17" s="1"/>
      <c r="AJ17" s="1"/>
    </row>
    <row r="18" spans="1:36" x14ac:dyDescent="0.25">
      <c r="A18" s="79" t="str">
        <f>'Data shares'!B13</f>
        <v>Metals</v>
      </c>
      <c r="B18" s="79" t="str">
        <f>'Data shares'!C13</f>
        <v>APLAPOLLO</v>
      </c>
      <c r="C18" s="4">
        <f>VLOOKUP($B18,'Data shares'!$C:$FB,7)</f>
        <v>2091</v>
      </c>
      <c r="D18" s="82">
        <f>VLOOKUP($B18,'Data shares'!$C:$FB,98)</f>
        <v>11515350</v>
      </c>
      <c r="E18" s="165">
        <f>VLOOKUP(B18,'Snapshot (Volume)'!$A$7:$G$168,7,0)</f>
        <v>11927650</v>
      </c>
      <c r="F18" s="165">
        <f t="shared" si="2"/>
        <v>-412300</v>
      </c>
      <c r="G18" s="166">
        <f t="shared" si="3"/>
        <v>-3.4566741981865663E-2</v>
      </c>
      <c r="H18" s="165">
        <f>VLOOKUP($B18,'Data shares'!$C:$FB,66)</f>
        <v>4948300</v>
      </c>
      <c r="I18" s="165">
        <f>VLOOKUP($B18,'Data shares'!$C:$FB,67)</f>
        <v>25030250</v>
      </c>
      <c r="J18" s="81">
        <f t="shared" si="4"/>
        <v>-80.230720827798365</v>
      </c>
      <c r="K18" s="5">
        <f>VLOOKUP($B18,'Data Vlaue (Cr)'!$C:$FB,99)</f>
        <v>2416</v>
      </c>
      <c r="L18" s="81">
        <f>VLOOKUP(B18,'OI(Value)'!$A$7:$C$226,3,0)</f>
        <v>-87</v>
      </c>
      <c r="M18" s="33">
        <f t="shared" si="0"/>
        <v>-3.6009933774834435</v>
      </c>
      <c r="N18" s="5">
        <f>VLOOKUP($B18,'Data Vlaue (Cr)'!$C:$FB,67)</f>
        <v>1038</v>
      </c>
      <c r="O18" s="5">
        <f>VLOOKUP($B18,'Data Vlaue (Cr)'!$C:$FB,68)</f>
        <v>5253</v>
      </c>
      <c r="P18" s="5">
        <f t="shared" si="1"/>
        <v>-406.06936416184976</v>
      </c>
      <c r="Q18" s="1"/>
      <c r="R18" s="1"/>
      <c r="S18" s="1"/>
      <c r="T18" s="1"/>
      <c r="U18" s="1"/>
      <c r="V18" s="1"/>
      <c r="W18" s="1"/>
      <c r="X18" s="1"/>
      <c r="Y18" s="1"/>
      <c r="Z18" s="1"/>
      <c r="AA18" s="1"/>
      <c r="AB18" s="1"/>
      <c r="AC18" s="1"/>
      <c r="AD18" s="1"/>
      <c r="AE18" s="1"/>
      <c r="AF18" s="1"/>
      <c r="AG18" s="1"/>
      <c r="AH18" s="1"/>
      <c r="AI18" s="1"/>
      <c r="AJ18" s="1"/>
    </row>
    <row r="19" spans="1:36" x14ac:dyDescent="0.25">
      <c r="A19" s="79" t="str">
        <f>'Data shares'!B14</f>
        <v>Pharma</v>
      </c>
      <c r="B19" s="79" t="str">
        <f>'Data shares'!C14</f>
        <v>APOLLOHOSP</v>
      </c>
      <c r="C19" s="4">
        <f>VLOOKUP($B19,'Data shares'!$C:$FB,7)</f>
        <v>6877.5</v>
      </c>
      <c r="D19" s="82">
        <f>VLOOKUP($B19,'Data shares'!$C:$FB,98)</f>
        <v>4901125</v>
      </c>
      <c r="E19" s="165">
        <f>VLOOKUP(B19,'Snapshot (Volume)'!$A$7:$G$168,7,0)</f>
        <v>4643500</v>
      </c>
      <c r="F19" s="165">
        <f t="shared" si="2"/>
        <v>257625</v>
      </c>
      <c r="G19" s="166">
        <f t="shared" si="3"/>
        <v>5.5480779584365245E-2</v>
      </c>
      <c r="H19" s="165">
        <f>VLOOKUP($B19,'Data shares'!$C:$FB,66)</f>
        <v>2540875</v>
      </c>
      <c r="I19" s="165">
        <f>VLOOKUP($B19,'Data shares'!$C:$FB,67)</f>
        <v>5283625</v>
      </c>
      <c r="J19" s="81">
        <f t="shared" si="4"/>
        <v>-51.910383496179236</v>
      </c>
      <c r="K19" s="5">
        <f>VLOOKUP($B19,'Data Vlaue (Cr)'!$C:$FB,99)</f>
        <v>3378</v>
      </c>
      <c r="L19" s="81">
        <f>VLOOKUP(B19,'OI(Value)'!$A$7:$C$226,3,0)</f>
        <v>178</v>
      </c>
      <c r="M19" s="33">
        <f t="shared" si="0"/>
        <v>5.2693901716992304</v>
      </c>
      <c r="N19" s="5">
        <f>VLOOKUP($B19,'Data Vlaue (Cr)'!$C:$FB,67)</f>
        <v>1751</v>
      </c>
      <c r="O19" s="5">
        <f>VLOOKUP($B19,'Data Vlaue (Cr)'!$C:$FB,68)</f>
        <v>3641</v>
      </c>
      <c r="P19" s="5">
        <f t="shared" si="1"/>
        <v>-107.93832095945174</v>
      </c>
      <c r="Q19" s="1"/>
      <c r="R19" s="1"/>
      <c r="S19" s="1"/>
      <c r="T19" s="1"/>
      <c r="U19" s="1"/>
      <c r="V19" s="1"/>
      <c r="W19" s="1"/>
      <c r="X19" s="1"/>
      <c r="Y19" s="1"/>
      <c r="Z19" s="1"/>
      <c r="AA19" s="1"/>
      <c r="AB19" s="1"/>
      <c r="AC19" s="1"/>
      <c r="AD19" s="1"/>
      <c r="AE19" s="1"/>
      <c r="AF19" s="1"/>
      <c r="AG19" s="1"/>
      <c r="AH19" s="1"/>
      <c r="AI19" s="1"/>
      <c r="AJ19" s="1"/>
    </row>
    <row r="20" spans="1:36" x14ac:dyDescent="0.25">
      <c r="A20" s="79" t="str">
        <f>'Data shares'!B15</f>
        <v>Automobile</v>
      </c>
      <c r="B20" s="79" t="str">
        <f>'Data shares'!C15</f>
        <v>ASHOKLEY</v>
      </c>
      <c r="C20" s="4">
        <f>VLOOKUP($B20,'Data shares'!$C:$FB,7)</f>
        <v>195.33</v>
      </c>
      <c r="D20" s="82">
        <f>VLOOKUP($B20,'Data shares'!$C:$FB,98)</f>
        <v>221265000</v>
      </c>
      <c r="E20" s="165">
        <f>VLOOKUP(B20,'Snapshot (Volume)'!$A$7:$G$168,7,0)</f>
        <v>218860000</v>
      </c>
      <c r="F20" s="165">
        <f t="shared" si="2"/>
        <v>2405000</v>
      </c>
      <c r="G20" s="166">
        <f t="shared" si="3"/>
        <v>1.0988759937859818E-2</v>
      </c>
      <c r="H20" s="165">
        <f>VLOOKUP($B20,'Data shares'!$C:$FB,66)</f>
        <v>169515000</v>
      </c>
      <c r="I20" s="165">
        <f>VLOOKUP($B20,'Data shares'!$C:$FB,67)</f>
        <v>212150000</v>
      </c>
      <c r="J20" s="81">
        <f t="shared" si="4"/>
        <v>-20.096629743106291</v>
      </c>
      <c r="K20" s="5">
        <f>VLOOKUP($B20,'Data Vlaue (Cr)'!$C:$FB,99)</f>
        <v>4285</v>
      </c>
      <c r="L20" s="81">
        <f>VLOOKUP(B20,'OI(Value)'!$A$7:$C$226,3,0)</f>
        <v>47</v>
      </c>
      <c r="M20" s="33">
        <f t="shared" si="0"/>
        <v>1.0968494749124855</v>
      </c>
      <c r="N20" s="5">
        <f>VLOOKUP($B20,'Data Vlaue (Cr)'!$C:$FB,67)</f>
        <v>3282</v>
      </c>
      <c r="O20" s="5">
        <f>VLOOKUP($B20,'Data Vlaue (Cr)'!$C:$FB,68)</f>
        <v>4108</v>
      </c>
      <c r="P20" s="5">
        <f t="shared" si="1"/>
        <v>-25.167580743449115</v>
      </c>
      <c r="Q20" s="1"/>
      <c r="R20" s="1"/>
      <c r="S20" s="1"/>
      <c r="T20" s="1"/>
      <c r="U20" s="1"/>
      <c r="V20" s="1"/>
      <c r="W20" s="1"/>
      <c r="X20" s="1"/>
      <c r="Y20" s="1"/>
      <c r="Z20" s="1"/>
      <c r="AA20" s="1"/>
      <c r="AB20" s="1"/>
      <c r="AC20" s="1"/>
      <c r="AD20" s="1"/>
      <c r="AE20" s="1"/>
      <c r="AF20" s="1"/>
      <c r="AG20" s="1"/>
      <c r="AH20" s="1"/>
      <c r="AI20" s="1"/>
      <c r="AJ20" s="1"/>
    </row>
    <row r="21" spans="1:36" x14ac:dyDescent="0.25">
      <c r="A21" s="79" t="str">
        <f>'Data shares'!B16</f>
        <v>FMCG</v>
      </c>
      <c r="B21" s="79" t="str">
        <f>'Data shares'!C16</f>
        <v>ASIANPAINT</v>
      </c>
      <c r="C21" s="4">
        <f>VLOOKUP($B21,'Data shares'!$C:$FB,7)</f>
        <v>2511.8000000000002</v>
      </c>
      <c r="D21" s="82">
        <f>VLOOKUP($B21,'Data shares'!$C:$FB,98)</f>
        <v>22246750</v>
      </c>
      <c r="E21" s="165">
        <f>VLOOKUP(B21,'Snapshot (Volume)'!$A$7:$G$168,7,0)</f>
        <v>18610500</v>
      </c>
      <c r="F21" s="165">
        <f t="shared" si="2"/>
        <v>3636250</v>
      </c>
      <c r="G21" s="166">
        <f t="shared" si="3"/>
        <v>0.19538701270787995</v>
      </c>
      <c r="H21" s="165">
        <f>VLOOKUP($B21,'Data shares'!$C:$FB,66)</f>
        <v>49490250</v>
      </c>
      <c r="I21" s="165">
        <f>VLOOKUP($B21,'Data shares'!$C:$FB,67)</f>
        <v>66213750</v>
      </c>
      <c r="J21" s="81">
        <f t="shared" si="4"/>
        <v>-25.256838647561874</v>
      </c>
      <c r="K21" s="5">
        <f>VLOOKUP($B21,'Data Vlaue (Cr)'!$C:$FB,99)</f>
        <v>5593</v>
      </c>
      <c r="L21" s="81">
        <f>VLOOKUP(B21,'OI(Value)'!$A$7:$C$226,3,0)</f>
        <v>914</v>
      </c>
      <c r="M21" s="33">
        <f t="shared" si="0"/>
        <v>16.341855891292685</v>
      </c>
      <c r="N21" s="5">
        <f>VLOOKUP($B21,'Data Vlaue (Cr)'!$C:$FB,67)</f>
        <v>12441</v>
      </c>
      <c r="O21" s="5">
        <f>VLOOKUP($B21,'Data Vlaue (Cr)'!$C:$FB,68)</f>
        <v>16645</v>
      </c>
      <c r="P21" s="5">
        <f t="shared" si="1"/>
        <v>-33.791495860461382</v>
      </c>
      <c r="Q21" s="1"/>
      <c r="R21" s="1"/>
      <c r="S21" s="1"/>
      <c r="T21" s="1"/>
      <c r="U21" s="1"/>
      <c r="V21" s="1"/>
      <c r="W21" s="1"/>
      <c r="X21" s="1"/>
      <c r="Y21" s="1"/>
      <c r="Z21" s="1"/>
      <c r="AA21" s="1"/>
      <c r="AB21" s="1"/>
      <c r="AC21" s="1"/>
      <c r="AD21" s="1"/>
      <c r="AE21" s="1"/>
      <c r="AF21" s="1"/>
      <c r="AG21" s="1"/>
      <c r="AH21" s="1"/>
      <c r="AI21" s="1"/>
      <c r="AJ21" s="1"/>
    </row>
    <row r="22" spans="1:36" x14ac:dyDescent="0.25">
      <c r="A22" s="79" t="str">
        <f>'Data shares'!B17</f>
        <v>Capital_Goods</v>
      </c>
      <c r="B22" s="79" t="str">
        <f>'Data shares'!C17</f>
        <v>ASTRAL</v>
      </c>
      <c r="C22" s="4">
        <f>VLOOKUP($B22,'Data shares'!$C:$FB,7)</f>
        <v>1452.9</v>
      </c>
      <c r="D22" s="82">
        <f>VLOOKUP($B22,'Data shares'!$C:$FB,98)</f>
        <v>8994275</v>
      </c>
      <c r="E22" s="165">
        <f>VLOOKUP(B22,'Snapshot (Volume)'!$A$7:$G$168,7,0)</f>
        <v>8590100</v>
      </c>
      <c r="F22" s="165">
        <f t="shared" si="2"/>
        <v>404175</v>
      </c>
      <c r="G22" s="166">
        <f t="shared" si="3"/>
        <v>4.7051256679200473E-2</v>
      </c>
      <c r="H22" s="165">
        <f>VLOOKUP($B22,'Data shares'!$C:$FB,66)</f>
        <v>4845425</v>
      </c>
      <c r="I22" s="165">
        <f>VLOOKUP($B22,'Data shares'!$C:$FB,67)</f>
        <v>6482950</v>
      </c>
      <c r="J22" s="81">
        <f t="shared" si="4"/>
        <v>-25.258948472531795</v>
      </c>
      <c r="K22" s="5">
        <f>VLOOKUP($B22,'Data Vlaue (Cr)'!$C:$FB,99)</f>
        <v>1310</v>
      </c>
      <c r="L22" s="81">
        <f>VLOOKUP(B22,'OI(Value)'!$A$7:$C$226,3,0)</f>
        <v>59</v>
      </c>
      <c r="M22" s="33">
        <f t="shared" si="0"/>
        <v>4.5038167938931295</v>
      </c>
      <c r="N22" s="5">
        <f>VLOOKUP($B22,'Data Vlaue (Cr)'!$C:$FB,67)</f>
        <v>706</v>
      </c>
      <c r="O22" s="5">
        <f>VLOOKUP($B22,'Data Vlaue (Cr)'!$C:$FB,68)</f>
        <v>944</v>
      </c>
      <c r="P22" s="5">
        <f t="shared" si="1"/>
        <v>-33.711048158640224</v>
      </c>
      <c r="Q22" s="1"/>
      <c r="R22" s="1"/>
      <c r="S22" s="1"/>
      <c r="T22" s="1"/>
      <c r="U22" s="1"/>
      <c r="V22" s="1"/>
      <c r="W22" s="1"/>
      <c r="X22" s="1"/>
      <c r="Y22" s="1"/>
      <c r="Z22" s="1"/>
      <c r="AA22" s="1"/>
      <c r="AB22" s="1"/>
      <c r="AC22" s="1"/>
      <c r="AD22" s="1"/>
      <c r="AE22" s="1"/>
      <c r="AF22" s="1"/>
      <c r="AG22" s="1"/>
      <c r="AH22" s="1"/>
      <c r="AI22" s="1"/>
      <c r="AJ22" s="1"/>
    </row>
    <row r="23" spans="1:36" x14ac:dyDescent="0.25">
      <c r="A23" s="79" t="str">
        <f>'Data shares'!B18</f>
        <v>Banking</v>
      </c>
      <c r="B23" s="79" t="str">
        <f>'Data shares'!C18</f>
        <v>AUBANK</v>
      </c>
      <c r="C23" s="4">
        <f>VLOOKUP($B23,'Data shares'!$C:$FB,7)</f>
        <v>962.35</v>
      </c>
      <c r="D23" s="82">
        <f>VLOOKUP($B23,'Data shares'!$C:$FB,98)</f>
        <v>30420000</v>
      </c>
      <c r="E23" s="165">
        <f>VLOOKUP(B23,'Snapshot (Volume)'!$A$7:$G$168,7,0)</f>
        <v>29945000</v>
      </c>
      <c r="F23" s="165">
        <f t="shared" si="2"/>
        <v>475000</v>
      </c>
      <c r="G23" s="166">
        <f t="shared" si="3"/>
        <v>1.5862414426448489E-2</v>
      </c>
      <c r="H23" s="165">
        <f>VLOOKUP($B23,'Data shares'!$C:$FB,66)</f>
        <v>10608000</v>
      </c>
      <c r="I23" s="165">
        <f>VLOOKUP($B23,'Data shares'!$C:$FB,67)</f>
        <v>34776000</v>
      </c>
      <c r="J23" s="81">
        <f>(H23-I23)/I23*100</f>
        <v>-69.496204278812982</v>
      </c>
      <c r="K23" s="5">
        <f>VLOOKUP($B23,'Data Vlaue (Cr)'!$C:$FB,99)</f>
        <v>2943</v>
      </c>
      <c r="L23" s="81">
        <f>VLOOKUP(B23,'OI(Value)'!$A$7:$C$226,3,0)</f>
        <v>46</v>
      </c>
      <c r="M23" s="33">
        <f t="shared" si="0"/>
        <v>1.5630309208290858</v>
      </c>
      <c r="N23" s="5">
        <f>VLOOKUP($B23,'Data Vlaue (Cr)'!$C:$FB,67)</f>
        <v>1026</v>
      </c>
      <c r="O23" s="5">
        <f>VLOOKUP($B23,'Data Vlaue (Cr)'!$C:$FB,68)</f>
        <v>3365</v>
      </c>
      <c r="P23" s="5">
        <f t="shared" si="1"/>
        <v>-227.97270955165692</v>
      </c>
      <c r="Q23" s="1"/>
      <c r="R23" s="1"/>
      <c r="S23" s="1"/>
      <c r="T23" s="1"/>
      <c r="U23" s="1"/>
      <c r="V23" s="1"/>
      <c r="W23" s="1"/>
      <c r="X23" s="1"/>
      <c r="Y23" s="1"/>
      <c r="Z23" s="1"/>
      <c r="AA23" s="1"/>
      <c r="AB23" s="1"/>
      <c r="AC23" s="1"/>
      <c r="AD23" s="1"/>
      <c r="AE23" s="1"/>
      <c r="AF23" s="1"/>
      <c r="AG23" s="1"/>
      <c r="AH23" s="1"/>
      <c r="AI23" s="1"/>
      <c r="AJ23" s="1"/>
    </row>
    <row r="24" spans="1:36" x14ac:dyDescent="0.25">
      <c r="A24" s="79" t="str">
        <f>'Data shares'!B19</f>
        <v>Pharma</v>
      </c>
      <c r="B24" s="79" t="str">
        <f>'Data shares'!C19</f>
        <v>AUROPHARMA</v>
      </c>
      <c r="C24" s="79">
        <f>VLOOKUP($B24,'Data shares'!$C:$FB,7)</f>
        <v>1139.9000000000001</v>
      </c>
      <c r="D24" s="80">
        <f>VLOOKUP($B24,'Data shares'!$C:$FB,98)</f>
        <v>23772100</v>
      </c>
      <c r="E24" s="165">
        <f>VLOOKUP(B24,'Snapshot (Volume)'!$A$7:$G$168,7,0)</f>
        <v>23370600</v>
      </c>
      <c r="F24" s="165">
        <f t="shared" ref="F24:F36" si="5">D24-E24</f>
        <v>401500</v>
      </c>
      <c r="G24" s="166">
        <f t="shared" ref="G24:G36" si="6">F24/E24</f>
        <v>1.7179704414948697E-2</v>
      </c>
      <c r="H24" s="165">
        <f>VLOOKUP($B24,'Data shares'!$C:$FB,66)</f>
        <v>2922150</v>
      </c>
      <c r="I24" s="165">
        <f>VLOOKUP($B24,'Data shares'!$C:$FB,67)</f>
        <v>12656050</v>
      </c>
      <c r="J24" s="81">
        <f t="shared" ref="J24:J36" si="7">(H24-I24)/I24*100</f>
        <v>-76.911042544869844</v>
      </c>
      <c r="K24" s="81">
        <f>VLOOKUP($B24,'Data Vlaue (Cr)'!$C:$FB,99)</f>
        <v>2715</v>
      </c>
      <c r="L24" s="81">
        <f>VLOOKUP(B24,'OI(Value)'!$A$7:$C$226,3,0)</f>
        <v>46</v>
      </c>
      <c r="M24" s="81">
        <f t="shared" si="0"/>
        <v>1.694290976058932</v>
      </c>
      <c r="N24" s="81">
        <f>VLOOKUP($B24,'Data Vlaue (Cr)'!$C:$FB,67)</f>
        <v>334</v>
      </c>
      <c r="O24" s="81">
        <f>VLOOKUP($B24,'Data Vlaue (Cr)'!$C:$FB,68)</f>
        <v>1445</v>
      </c>
      <c r="P24" s="81">
        <f t="shared" ref="P24:P36" si="8">(N24-O24)/N24*100</f>
        <v>-332.63473053892216</v>
      </c>
      <c r="Q24" s="1"/>
      <c r="R24" s="1"/>
      <c r="S24" s="1"/>
      <c r="T24" s="1"/>
      <c r="U24" s="1"/>
      <c r="V24" s="1"/>
      <c r="W24" s="1"/>
      <c r="X24" s="1"/>
      <c r="Y24" s="1"/>
      <c r="Z24" s="1"/>
      <c r="AA24" s="1"/>
      <c r="AB24" s="1"/>
      <c r="AC24" s="1"/>
      <c r="AD24" s="1"/>
      <c r="AE24" s="1"/>
      <c r="AF24" s="1"/>
      <c r="AG24" s="1"/>
      <c r="AH24" s="1"/>
      <c r="AI24" s="1"/>
      <c r="AJ24" s="1"/>
    </row>
    <row r="25" spans="1:36" x14ac:dyDescent="0.25">
      <c r="A25" s="79" t="str">
        <f>'Data shares'!B20</f>
        <v>Banking</v>
      </c>
      <c r="B25" s="79" t="str">
        <f>'Data shares'!C20</f>
        <v>AXISBANK</v>
      </c>
      <c r="C25" s="4">
        <f>VLOOKUP($B25,'Data shares'!$C:$FB,7)</f>
        <v>1319.8</v>
      </c>
      <c r="D25" s="82">
        <f>VLOOKUP($B25,'Data shares'!$C:$FB,98)</f>
        <v>105440625</v>
      </c>
      <c r="E25" s="165">
        <f>VLOOKUP(B25,'Snapshot (Volume)'!$A$7:$G$168,7,0)</f>
        <v>104461875</v>
      </c>
      <c r="F25" s="165">
        <f t="shared" si="5"/>
        <v>978750</v>
      </c>
      <c r="G25" s="166">
        <f t="shared" si="6"/>
        <v>9.3694469872381662E-3</v>
      </c>
      <c r="H25" s="165">
        <f>VLOOKUP($B25,'Data shares'!$C:$FB,66)</f>
        <v>107959375</v>
      </c>
      <c r="I25" s="165">
        <f>VLOOKUP($B25,'Data shares'!$C:$FB,67)</f>
        <v>389712500</v>
      </c>
      <c r="J25" s="81">
        <f t="shared" si="7"/>
        <v>-72.297687397761166</v>
      </c>
      <c r="K25" s="5">
        <f>VLOOKUP($B25,'Data Vlaue (Cr)'!$C:$FB,99)</f>
        <v>13956</v>
      </c>
      <c r="L25" s="81">
        <f>VLOOKUP(B25,'OI(Value)'!$A$7:$C$226,3,0)</f>
        <v>130</v>
      </c>
      <c r="M25" s="33">
        <f t="shared" si="0"/>
        <v>0.93149899684723414</v>
      </c>
      <c r="N25" s="5">
        <f>VLOOKUP($B25,'Data Vlaue (Cr)'!$C:$FB,67)</f>
        <v>14290</v>
      </c>
      <c r="O25" s="5">
        <f>VLOOKUP($B25,'Data Vlaue (Cr)'!$C:$FB,68)</f>
        <v>51582</v>
      </c>
      <c r="P25" s="5">
        <f t="shared" si="8"/>
        <v>-260.96571028691392</v>
      </c>
      <c r="Q25" s="1"/>
      <c r="R25" s="1"/>
      <c r="S25" s="1"/>
      <c r="T25" s="1"/>
      <c r="U25" s="1"/>
      <c r="V25" s="1"/>
      <c r="W25" s="1"/>
      <c r="X25" s="1"/>
      <c r="Y25" s="1"/>
      <c r="Z25" s="1"/>
      <c r="AA25" s="1"/>
      <c r="AB25" s="1"/>
      <c r="AC25" s="1"/>
      <c r="AD25" s="1"/>
      <c r="AE25" s="1"/>
      <c r="AF25" s="1"/>
      <c r="AG25" s="1"/>
      <c r="AH25" s="1"/>
      <c r="AI25" s="1"/>
      <c r="AJ25" s="1"/>
    </row>
    <row r="26" spans="1:36" x14ac:dyDescent="0.25">
      <c r="A26" s="79" t="str">
        <f>'Data shares'!B21</f>
        <v>Automobile</v>
      </c>
      <c r="B26" s="79" t="str">
        <f>'Data shares'!C21</f>
        <v>BAJAJ-AUTO</v>
      </c>
      <c r="C26" s="4">
        <f>VLOOKUP($B26,'Data shares'!$C:$FB,7)</f>
        <v>9433.5</v>
      </c>
      <c r="D26" s="82">
        <f>VLOOKUP($B26,'Data shares'!$C:$FB,98)</f>
        <v>4241925</v>
      </c>
      <c r="E26" s="165">
        <f>VLOOKUP(B26,'Snapshot (Volume)'!$A$7:$G$168,7,0)</f>
        <v>4057650</v>
      </c>
      <c r="F26" s="165">
        <f t="shared" si="5"/>
        <v>184275</v>
      </c>
      <c r="G26" s="166">
        <f t="shared" si="6"/>
        <v>4.5414217588998558E-2</v>
      </c>
      <c r="H26" s="165">
        <f>VLOOKUP($B26,'Data shares'!$C:$FB,66)</f>
        <v>3556350</v>
      </c>
      <c r="I26" s="165">
        <f>VLOOKUP($B26,'Data shares'!$C:$FB,67)</f>
        <v>4695075</v>
      </c>
      <c r="J26" s="81">
        <f t="shared" si="7"/>
        <v>-24.253606172425361</v>
      </c>
      <c r="K26" s="5">
        <f>VLOOKUP($B26,'Data Vlaue (Cr)'!$C:$FB,99)</f>
        <v>4012</v>
      </c>
      <c r="L26" s="81">
        <f>VLOOKUP(B26,'OI(Value)'!$A$7:$C$226,3,0)</f>
        <v>174</v>
      </c>
      <c r="M26" s="33">
        <f t="shared" si="0"/>
        <v>4.3369890329012968</v>
      </c>
      <c r="N26" s="5">
        <f>VLOOKUP($B26,'Data Vlaue (Cr)'!$C:$FB,67)</f>
        <v>3364</v>
      </c>
      <c r="O26" s="5">
        <f>VLOOKUP($B26,'Data Vlaue (Cr)'!$C:$FB,68)</f>
        <v>4441</v>
      </c>
      <c r="P26" s="5">
        <f t="shared" si="8"/>
        <v>-32.015457788347206</v>
      </c>
      <c r="Q26" s="1"/>
      <c r="R26" s="1"/>
      <c r="S26" s="1"/>
      <c r="T26" s="1"/>
      <c r="U26" s="1"/>
      <c r="V26" s="1"/>
      <c r="W26" s="1"/>
      <c r="X26" s="1"/>
      <c r="Y26" s="1"/>
      <c r="Z26" s="1"/>
      <c r="AA26" s="1"/>
      <c r="AB26" s="1"/>
      <c r="AC26" s="1"/>
      <c r="AD26" s="1"/>
      <c r="AE26" s="1"/>
      <c r="AF26" s="1"/>
      <c r="AG26" s="1"/>
      <c r="AH26" s="1"/>
      <c r="AI26" s="1"/>
      <c r="AJ26" s="1"/>
    </row>
    <row r="27" spans="1:36" x14ac:dyDescent="0.25">
      <c r="A27" s="79" t="str">
        <f>'Data shares'!B22</f>
        <v>Finance</v>
      </c>
      <c r="B27" s="79" t="str">
        <f>'Data shares'!C22</f>
        <v>BAJAJFINSV</v>
      </c>
      <c r="C27" s="4">
        <f>VLOOKUP($B27,'Data shares'!$C:$FB,7)</f>
        <v>1940.3</v>
      </c>
      <c r="D27" s="82">
        <f>VLOOKUP($B27,'Data shares'!$C:$FB,98)</f>
        <v>18607250</v>
      </c>
      <c r="E27" s="165">
        <f>VLOOKUP(B27,'Snapshot (Volume)'!$A$7:$G$168,7,0)</f>
        <v>18219500</v>
      </c>
      <c r="F27" s="165">
        <f t="shared" si="5"/>
        <v>387750</v>
      </c>
      <c r="G27" s="166">
        <f t="shared" si="6"/>
        <v>2.1282142759131699E-2</v>
      </c>
      <c r="H27" s="165">
        <f>VLOOKUP($B27,'Data shares'!$C:$FB,66)</f>
        <v>4200250</v>
      </c>
      <c r="I27" s="165">
        <f>VLOOKUP($B27,'Data shares'!$C:$FB,67)</f>
        <v>19514250</v>
      </c>
      <c r="J27" s="81">
        <f t="shared" si="7"/>
        <v>-78.475985497777273</v>
      </c>
      <c r="K27" s="5">
        <f>VLOOKUP($B27,'Data Vlaue (Cr)'!$C:$FB,99)</f>
        <v>3631</v>
      </c>
      <c r="L27" s="81">
        <f>VLOOKUP(B27,'OI(Value)'!$A$7:$C$226,3,0)</f>
        <v>76</v>
      </c>
      <c r="M27" s="33">
        <f t="shared" si="0"/>
        <v>2.0930873037730651</v>
      </c>
      <c r="N27" s="5">
        <f>VLOOKUP($B27,'Data Vlaue (Cr)'!$C:$FB,67)</f>
        <v>820</v>
      </c>
      <c r="O27" s="5">
        <f>VLOOKUP($B27,'Data Vlaue (Cr)'!$C:$FB,68)</f>
        <v>3808</v>
      </c>
      <c r="P27" s="5">
        <f t="shared" si="8"/>
        <v>-364.39024390243901</v>
      </c>
      <c r="Q27" s="1"/>
      <c r="R27" s="1"/>
      <c r="S27" s="1"/>
      <c r="T27" s="1"/>
      <c r="U27" s="1"/>
      <c r="V27" s="1"/>
      <c r="W27" s="1"/>
      <c r="X27" s="1"/>
      <c r="Y27" s="1"/>
      <c r="Z27" s="1"/>
      <c r="AA27" s="1"/>
      <c r="AB27" s="1"/>
      <c r="AC27" s="1"/>
      <c r="AD27" s="1"/>
      <c r="AE27" s="1"/>
      <c r="AF27" s="1"/>
      <c r="AG27" s="1"/>
      <c r="AH27" s="1"/>
      <c r="AI27" s="1"/>
      <c r="AJ27" s="1"/>
    </row>
    <row r="28" spans="1:36" x14ac:dyDescent="0.25">
      <c r="A28" s="79" t="str">
        <f>'Data shares'!B23</f>
        <v>Finance</v>
      </c>
      <c r="B28" s="79" t="str">
        <f>'Data shares'!C23</f>
        <v>BAJAJHLDNG</v>
      </c>
      <c r="C28" s="4">
        <f>VLOOKUP($B28,'Data shares'!$C:$FB,7)</f>
        <v>10704</v>
      </c>
      <c r="D28" s="82">
        <f>VLOOKUP($B28,'Data shares'!$C:$FB,98)</f>
        <v>253700</v>
      </c>
      <c r="E28" s="165">
        <f>VLOOKUP(B28,'Snapshot (Volume)'!$A$7:$G$168,7,0)</f>
        <v>228500</v>
      </c>
      <c r="F28" s="165">
        <f t="shared" si="5"/>
        <v>25200</v>
      </c>
      <c r="G28" s="166">
        <f t="shared" si="6"/>
        <v>0.11028446389496718</v>
      </c>
      <c r="H28" s="165">
        <f>VLOOKUP($B28,'Data shares'!$C:$FB,66)</f>
        <v>92600</v>
      </c>
      <c r="I28" s="165">
        <f>VLOOKUP($B28,'Data shares'!$C:$FB,67)</f>
        <v>637250</v>
      </c>
      <c r="J28" s="81">
        <f t="shared" si="7"/>
        <v>-85.468811298548459</v>
      </c>
      <c r="K28" s="5">
        <f>VLOOKUP($B28,'Data Vlaue (Cr)'!$C:$FB,99)</f>
        <v>272</v>
      </c>
      <c r="L28" s="81">
        <f>VLOOKUP(B28,'OI(Value)'!$A$7:$C$226,3,0)</f>
        <v>27</v>
      </c>
      <c r="M28" s="33">
        <f t="shared" si="0"/>
        <v>9.9264705882352935</v>
      </c>
      <c r="N28" s="5">
        <f>VLOOKUP($B28,'Data Vlaue (Cr)'!$C:$FB,67)</f>
        <v>99</v>
      </c>
      <c r="O28" s="5">
        <f>VLOOKUP($B28,'Data Vlaue (Cr)'!$C:$FB,68)</f>
        <v>684</v>
      </c>
      <c r="P28" s="5">
        <f t="shared" si="8"/>
        <v>-590.90909090909088</v>
      </c>
      <c r="Q28" s="1"/>
      <c r="R28" s="1"/>
      <c r="S28" s="1"/>
      <c r="T28" s="1"/>
      <c r="U28" s="1"/>
      <c r="V28" s="1"/>
      <c r="W28" s="1"/>
      <c r="X28" s="1"/>
      <c r="Y28" s="1"/>
      <c r="Z28" s="1"/>
      <c r="AA28" s="1"/>
      <c r="AB28" s="1"/>
      <c r="AC28" s="1"/>
      <c r="AD28" s="1"/>
      <c r="AE28" s="1"/>
      <c r="AF28" s="1"/>
      <c r="AG28" s="1"/>
      <c r="AH28" s="1"/>
      <c r="AI28" s="1"/>
      <c r="AJ28" s="1"/>
    </row>
    <row r="29" spans="1:36" x14ac:dyDescent="0.25">
      <c r="A29" s="79" t="str">
        <f>'Data shares'!B24</f>
        <v>Finance</v>
      </c>
      <c r="B29" s="79" t="str">
        <f>'Data shares'!C24</f>
        <v>BAJFINANCE</v>
      </c>
      <c r="C29" s="4">
        <f>VLOOKUP($B29,'Data shares'!$C:$FB,7)</f>
        <v>935.15</v>
      </c>
      <c r="D29" s="82">
        <f>VLOOKUP($B29,'Data shares'!$C:$FB,98)</f>
        <v>115038750</v>
      </c>
      <c r="E29" s="165">
        <f>VLOOKUP(B29,'Snapshot (Volume)'!$A$7:$G$168,7,0)</f>
        <v>114596250</v>
      </c>
      <c r="F29" s="165">
        <f t="shared" si="5"/>
        <v>442500</v>
      </c>
      <c r="G29" s="166">
        <f t="shared" si="6"/>
        <v>3.8613828986550605E-3</v>
      </c>
      <c r="H29" s="165">
        <f>VLOOKUP($B29,'Data shares'!$C:$FB,66)</f>
        <v>32041500</v>
      </c>
      <c r="I29" s="165">
        <f>VLOOKUP($B29,'Data shares'!$C:$FB,67)</f>
        <v>96206250</v>
      </c>
      <c r="J29" s="81">
        <f t="shared" si="7"/>
        <v>-66.69499122977976</v>
      </c>
      <c r="K29" s="5">
        <f>VLOOKUP($B29,'Data Vlaue (Cr)'!$C:$FB,99)</f>
        <v>10798</v>
      </c>
      <c r="L29" s="81">
        <f>VLOOKUP(B29,'OI(Value)'!$A$7:$C$226,3,0)</f>
        <v>42</v>
      </c>
      <c r="M29" s="33">
        <f t="shared" si="0"/>
        <v>0.38896091868864602</v>
      </c>
      <c r="N29" s="5">
        <f>VLOOKUP($B29,'Data Vlaue (Cr)'!$C:$FB,67)</f>
        <v>3008</v>
      </c>
      <c r="O29" s="5">
        <f>VLOOKUP($B29,'Data Vlaue (Cr)'!$C:$FB,68)</f>
        <v>9030</v>
      </c>
      <c r="P29" s="5">
        <f t="shared" si="8"/>
        <v>-200.19946808510639</v>
      </c>
      <c r="Q29" s="1"/>
      <c r="R29" s="1"/>
      <c r="S29" s="1"/>
      <c r="T29" s="1"/>
      <c r="U29" s="1"/>
      <c r="V29" s="1"/>
      <c r="W29" s="1"/>
      <c r="X29" s="1"/>
      <c r="Y29" s="1"/>
      <c r="Z29" s="1"/>
      <c r="AA29" s="1"/>
      <c r="AB29" s="1"/>
      <c r="AC29" s="1"/>
      <c r="AD29" s="1"/>
      <c r="AE29" s="1"/>
      <c r="AF29" s="1"/>
      <c r="AG29" s="1"/>
      <c r="AH29" s="1"/>
      <c r="AI29" s="1"/>
      <c r="AJ29" s="1"/>
    </row>
    <row r="30" spans="1:36" x14ac:dyDescent="0.25">
      <c r="A30" s="79" t="str">
        <f>'Data shares'!B25</f>
        <v>Banking</v>
      </c>
      <c r="B30" s="79" t="str">
        <f>'Data shares'!C25</f>
        <v>BANDHANBNK</v>
      </c>
      <c r="C30" s="4">
        <f>VLOOKUP($B30,'Data shares'!$C:$FB,7)</f>
        <v>153.35</v>
      </c>
      <c r="D30" s="82">
        <f>VLOOKUP($B30,'Data shares'!$C:$FB,98)</f>
        <v>133322400</v>
      </c>
      <c r="E30" s="165">
        <f>VLOOKUP(B30,'Snapshot (Volume)'!$A$7:$G$168,7,0)</f>
        <v>125524800</v>
      </c>
      <c r="F30" s="165">
        <f t="shared" si="5"/>
        <v>7797600</v>
      </c>
      <c r="G30" s="166">
        <f t="shared" si="6"/>
        <v>6.2119995411265345E-2</v>
      </c>
      <c r="H30" s="165">
        <f>VLOOKUP($B30,'Data shares'!$C:$FB,66)</f>
        <v>66733200</v>
      </c>
      <c r="I30" s="165">
        <f>VLOOKUP($B30,'Data shares'!$C:$FB,67)</f>
        <v>182170800</v>
      </c>
      <c r="J30" s="81">
        <f t="shared" si="7"/>
        <v>-63.367784518704426</v>
      </c>
      <c r="K30" s="5">
        <f>VLOOKUP($B30,'Data Vlaue (Cr)'!$C:$FB,99)</f>
        <v>2058</v>
      </c>
      <c r="L30" s="81">
        <f>VLOOKUP(B30,'OI(Value)'!$A$7:$C$226,3,0)</f>
        <v>120</v>
      </c>
      <c r="M30" s="33">
        <f t="shared" si="0"/>
        <v>5.8309037900874632</v>
      </c>
      <c r="N30" s="5">
        <f>VLOOKUP($B30,'Data Vlaue (Cr)'!$C:$FB,67)</f>
        <v>1030</v>
      </c>
      <c r="O30" s="5">
        <f>VLOOKUP($B30,'Data Vlaue (Cr)'!$C:$FB,68)</f>
        <v>2812</v>
      </c>
      <c r="P30" s="5">
        <f t="shared" si="8"/>
        <v>-173.00970873786409</v>
      </c>
      <c r="Q30" s="1"/>
      <c r="R30" s="1"/>
      <c r="S30" s="1"/>
      <c r="T30" s="1"/>
      <c r="U30" s="1"/>
      <c r="V30" s="1"/>
      <c r="W30" s="1"/>
      <c r="X30" s="1"/>
      <c r="Y30" s="1"/>
      <c r="Z30" s="1"/>
      <c r="AA30" s="1"/>
      <c r="AB30" s="1"/>
      <c r="AC30" s="1"/>
      <c r="AD30" s="1"/>
      <c r="AE30" s="1"/>
      <c r="AF30" s="1"/>
      <c r="AG30" s="1"/>
      <c r="AH30" s="1"/>
      <c r="AI30" s="1"/>
      <c r="AJ30" s="1"/>
    </row>
    <row r="31" spans="1:36" x14ac:dyDescent="0.25">
      <c r="A31" s="79" t="str">
        <f>'Data shares'!B26</f>
        <v>Banking</v>
      </c>
      <c r="B31" s="79" t="str">
        <f>'Data shares'!C26</f>
        <v>BANKBARODA</v>
      </c>
      <c r="C31" s="4">
        <f>VLOOKUP($B31,'Data shares'!$C:$FB,7)</f>
        <v>306.2</v>
      </c>
      <c r="D31" s="82">
        <f>VLOOKUP($B31,'Data shares'!$C:$FB,98)</f>
        <v>126240075</v>
      </c>
      <c r="E31" s="165">
        <f>VLOOKUP(B31,'Snapshot (Volume)'!$A$7:$G$168,7,0)</f>
        <v>122958225</v>
      </c>
      <c r="F31" s="165">
        <f t="shared" si="5"/>
        <v>3281850</v>
      </c>
      <c r="G31" s="166">
        <f t="shared" si="6"/>
        <v>2.6690772414777457E-2</v>
      </c>
      <c r="H31" s="165">
        <f>VLOOKUP($B31,'Data shares'!$C:$FB,66)</f>
        <v>67590900</v>
      </c>
      <c r="I31" s="165">
        <f>VLOOKUP($B31,'Data shares'!$C:$FB,67)</f>
        <v>126251775</v>
      </c>
      <c r="J31" s="81">
        <f t="shared" si="7"/>
        <v>-46.463406158052031</v>
      </c>
      <c r="K31" s="5">
        <f>VLOOKUP($B31,'Data Vlaue (Cr)'!$C:$FB,99)</f>
        <v>3891</v>
      </c>
      <c r="L31" s="81">
        <f>VLOOKUP(B31,'OI(Value)'!$A$7:$C$226,3,0)</f>
        <v>101</v>
      </c>
      <c r="M31" s="33">
        <f t="shared" si="0"/>
        <v>2.5957337445386792</v>
      </c>
      <c r="N31" s="5">
        <f>VLOOKUP($B31,'Data Vlaue (Cr)'!$C:$FB,67)</f>
        <v>2083</v>
      </c>
      <c r="O31" s="5">
        <f>VLOOKUP($B31,'Data Vlaue (Cr)'!$C:$FB,68)</f>
        <v>3891</v>
      </c>
      <c r="P31" s="5">
        <f t="shared" si="8"/>
        <v>-86.797887662025914</v>
      </c>
      <c r="Q31" s="1"/>
      <c r="R31" s="1"/>
      <c r="S31" s="1"/>
      <c r="T31" s="1"/>
      <c r="U31" s="1"/>
      <c r="V31" s="1"/>
      <c r="W31" s="1"/>
      <c r="X31" s="1"/>
      <c r="Y31" s="1"/>
      <c r="Z31" s="1"/>
      <c r="AA31" s="1"/>
      <c r="AB31" s="1"/>
      <c r="AC31" s="1"/>
      <c r="AD31" s="1"/>
      <c r="AE31" s="1"/>
      <c r="AF31" s="1"/>
      <c r="AG31" s="1"/>
      <c r="AH31" s="1"/>
      <c r="AI31" s="1"/>
      <c r="AJ31" s="1"/>
    </row>
    <row r="32" spans="1:36" x14ac:dyDescent="0.25">
      <c r="A32" s="79" t="str">
        <f>'Data shares'!B27</f>
        <v>Banking</v>
      </c>
      <c r="B32" s="79" t="str">
        <f>'Data shares'!C27</f>
        <v>BANKINDIA</v>
      </c>
      <c r="C32" s="4">
        <f>VLOOKUP($B32,'Data shares'!$C:$FB,7)</f>
        <v>167.34</v>
      </c>
      <c r="D32" s="82">
        <f>VLOOKUP($B32,'Data shares'!$C:$FB,98)</f>
        <v>78114400</v>
      </c>
      <c r="E32" s="165">
        <f>VLOOKUP(B32,'Snapshot (Volume)'!$A$7:$G$168,7,0)</f>
        <v>74120800</v>
      </c>
      <c r="F32" s="165">
        <f t="shared" si="5"/>
        <v>3993600</v>
      </c>
      <c r="G32" s="166">
        <f t="shared" si="6"/>
        <v>5.3879612740283432E-2</v>
      </c>
      <c r="H32" s="165">
        <f>VLOOKUP($B32,'Data shares'!$C:$FB,66)</f>
        <v>63736400</v>
      </c>
      <c r="I32" s="165">
        <f>VLOOKUP($B32,'Data shares'!$C:$FB,67)</f>
        <v>81504800</v>
      </c>
      <c r="J32" s="81">
        <f t="shared" si="7"/>
        <v>-21.800433839479393</v>
      </c>
      <c r="K32" s="5">
        <f>VLOOKUP($B32,'Data Vlaue (Cr)'!$C:$FB,99)</f>
        <v>1311</v>
      </c>
      <c r="L32" s="81">
        <f>VLOOKUP(B32,'OI(Value)'!$A$7:$C$226,3,0)</f>
        <v>67</v>
      </c>
      <c r="M32" s="33">
        <f t="shared" si="0"/>
        <v>5.110602593440122</v>
      </c>
      <c r="N32" s="5">
        <f>VLOOKUP($B32,'Data Vlaue (Cr)'!$C:$FB,67)</f>
        <v>1070</v>
      </c>
      <c r="O32" s="5">
        <f>VLOOKUP($B32,'Data Vlaue (Cr)'!$C:$FB,68)</f>
        <v>1368</v>
      </c>
      <c r="P32" s="5">
        <f t="shared" si="8"/>
        <v>-27.850467289719628</v>
      </c>
      <c r="Q32" s="1"/>
      <c r="R32" s="1"/>
      <c r="S32" s="1"/>
      <c r="T32" s="1"/>
      <c r="U32" s="1"/>
      <c r="V32" s="1"/>
      <c r="W32" s="1"/>
      <c r="X32" s="1"/>
      <c r="Y32" s="1"/>
      <c r="Z32" s="1"/>
      <c r="AA32" s="1"/>
      <c r="AB32" s="1"/>
      <c r="AC32" s="1"/>
      <c r="AD32" s="1"/>
      <c r="AE32" s="1"/>
      <c r="AF32" s="1"/>
      <c r="AG32" s="1"/>
      <c r="AH32" s="1"/>
      <c r="AI32" s="1"/>
      <c r="AJ32" s="1"/>
    </row>
    <row r="33" spans="1:36" x14ac:dyDescent="0.25">
      <c r="A33" s="79" t="str">
        <f>'Data shares'!B28</f>
        <v>Index</v>
      </c>
      <c r="B33" s="79" t="str">
        <f>'Data shares'!C28</f>
        <v>BANKNIFTY</v>
      </c>
      <c r="C33" s="4">
        <f>VLOOKUP($B33,'Data shares'!$C:$FB,7)</f>
        <v>59598.8</v>
      </c>
      <c r="D33" s="82">
        <f>VLOOKUP($B33,'Data shares'!$C:$FB,98)</f>
        <v>18318670</v>
      </c>
      <c r="E33" s="165">
        <f>VLOOKUP(B33,'Snapshot (Volume)'!$A$7:$G$168,7,0)</f>
        <v>14897030</v>
      </c>
      <c r="F33" s="165">
        <f t="shared" si="5"/>
        <v>3421640</v>
      </c>
      <c r="G33" s="166">
        <f t="shared" si="6"/>
        <v>0.22968605151496641</v>
      </c>
      <c r="H33" s="165">
        <f>VLOOKUP($B33,'Data shares'!$C:$FB,66)</f>
        <v>55663590</v>
      </c>
      <c r="I33" s="165">
        <f>VLOOKUP($B33,'Data shares'!$C:$FB,67)</f>
        <v>2290711800</v>
      </c>
      <c r="J33" s="81">
        <f t="shared" si="7"/>
        <v>-97.570030852418881</v>
      </c>
      <c r="K33" s="5">
        <f>VLOOKUP($B33,'Data Vlaue (Cr)'!$C:$FB,99)</f>
        <v>109667</v>
      </c>
      <c r="L33" s="81">
        <f>VLOOKUP(B33,'OI(Value)'!$A$7:$C$226,3,0)</f>
        <v>20484</v>
      </c>
      <c r="M33" s="33">
        <f t="shared" si="0"/>
        <v>18.678362679748695</v>
      </c>
      <c r="N33" s="5">
        <f>VLOOKUP($B33,'Data Vlaue (Cr)'!$C:$FB,67)</f>
        <v>333238</v>
      </c>
      <c r="O33" s="5">
        <f>VLOOKUP($B33,'Data Vlaue (Cr)'!$C:$FB,68)</f>
        <v>13713667</v>
      </c>
      <c r="P33" s="5">
        <f t="shared" si="8"/>
        <v>-4015.277069241803</v>
      </c>
      <c r="Q33" s="1"/>
      <c r="R33" s="1"/>
      <c r="S33" s="1"/>
      <c r="T33" s="1"/>
      <c r="U33" s="1"/>
      <c r="V33" s="1"/>
      <c r="W33" s="1"/>
      <c r="X33" s="1"/>
      <c r="Y33" s="1"/>
      <c r="Z33" s="1"/>
      <c r="AA33" s="1"/>
      <c r="AB33" s="1"/>
      <c r="AC33" s="1"/>
      <c r="AD33" s="1"/>
      <c r="AE33" s="1"/>
      <c r="AF33" s="1"/>
      <c r="AG33" s="1"/>
      <c r="AH33" s="1"/>
      <c r="AI33" s="1"/>
      <c r="AJ33" s="1"/>
    </row>
    <row r="34" spans="1:36" x14ac:dyDescent="0.25">
      <c r="A34" s="79" t="str">
        <f>'Data shares'!B29</f>
        <v>Capital_Goods</v>
      </c>
      <c r="B34" s="79" t="str">
        <f>'Data shares'!C29</f>
        <v>BDL</v>
      </c>
      <c r="C34" s="4">
        <f>VLOOKUP($B34,'Data shares'!$C:$FB,7)</f>
        <v>1570</v>
      </c>
      <c r="D34" s="82">
        <f>VLOOKUP($B34,'Data shares'!$C:$FB,98)</f>
        <v>8643950</v>
      </c>
      <c r="E34" s="165">
        <f>VLOOKUP(B34,'Snapshot (Volume)'!$A$7:$G$168,7,0)</f>
        <v>7109200</v>
      </c>
      <c r="F34" s="165">
        <f t="shared" si="5"/>
        <v>1534750</v>
      </c>
      <c r="G34" s="166">
        <f t="shared" si="6"/>
        <v>0.21588223710122095</v>
      </c>
      <c r="H34" s="165">
        <f>VLOOKUP($B34,'Data shares'!$C:$FB,66)</f>
        <v>14856100</v>
      </c>
      <c r="I34" s="165">
        <f>VLOOKUP($B34,'Data shares'!$C:$FB,67)</f>
        <v>13368250</v>
      </c>
      <c r="J34" s="81">
        <f t="shared" si="7"/>
        <v>11.129729022123316</v>
      </c>
      <c r="K34" s="5">
        <f>VLOOKUP($B34,'Data Vlaue (Cr)'!$C:$FB,99)</f>
        <v>1363</v>
      </c>
      <c r="L34" s="81">
        <f>VLOOKUP(B34,'OI(Value)'!$A$7:$C$226,3,0)</f>
        <v>242</v>
      </c>
      <c r="M34" s="33">
        <f t="shared" si="0"/>
        <v>17.754952311078505</v>
      </c>
      <c r="N34" s="5">
        <f>VLOOKUP($B34,'Data Vlaue (Cr)'!$C:$FB,67)</f>
        <v>2342</v>
      </c>
      <c r="O34" s="5">
        <f>VLOOKUP($B34,'Data Vlaue (Cr)'!$C:$FB,68)</f>
        <v>2108</v>
      </c>
      <c r="P34" s="5">
        <f t="shared" si="8"/>
        <v>9.9914602903501279</v>
      </c>
      <c r="Q34" s="1"/>
      <c r="R34" s="1"/>
      <c r="S34" s="1"/>
      <c r="T34" s="1"/>
      <c r="U34" s="1"/>
      <c r="V34" s="1"/>
      <c r="W34" s="1"/>
      <c r="X34" s="1"/>
      <c r="Y34" s="1"/>
      <c r="Z34" s="1"/>
      <c r="AA34" s="1"/>
      <c r="AB34" s="1"/>
      <c r="AC34" s="1"/>
      <c r="AD34" s="1"/>
      <c r="AE34" s="1"/>
      <c r="AF34" s="1"/>
      <c r="AG34" s="1"/>
      <c r="AH34" s="1"/>
      <c r="AI34" s="1"/>
      <c r="AJ34" s="1"/>
    </row>
    <row r="35" spans="1:36" x14ac:dyDescent="0.25">
      <c r="A35" s="79" t="str">
        <f>'Data shares'!B30</f>
        <v>Capital_Goods</v>
      </c>
      <c r="B35" s="79" t="str">
        <f>'Data shares'!C30</f>
        <v>BEL</v>
      </c>
      <c r="C35" s="4">
        <f>VLOOKUP($B35,'Data shares'!$C:$FB,7)</f>
        <v>453</v>
      </c>
      <c r="D35" s="82">
        <f>VLOOKUP($B35,'Data shares'!$C:$FB,98)</f>
        <v>205500675</v>
      </c>
      <c r="E35" s="165">
        <f>VLOOKUP(B35,'Snapshot (Volume)'!$A$7:$G$168,7,0)</f>
        <v>160882500</v>
      </c>
      <c r="F35" s="165">
        <f t="shared" si="5"/>
        <v>44618175</v>
      </c>
      <c r="G35" s="166">
        <f t="shared" si="6"/>
        <v>0.27733392382639505</v>
      </c>
      <c r="H35" s="165">
        <f>VLOOKUP($B35,'Data shares'!$C:$FB,66)</f>
        <v>633298500</v>
      </c>
      <c r="I35" s="165">
        <f>VLOOKUP($B35,'Data shares'!$C:$FB,67)</f>
        <v>185040525</v>
      </c>
      <c r="J35" s="81">
        <f t="shared" si="7"/>
        <v>242.24854258276665</v>
      </c>
      <c r="K35" s="5">
        <f>VLOOKUP($B35,'Data Vlaue (Cr)'!$C:$FB,99)</f>
        <v>9370</v>
      </c>
      <c r="L35" s="81">
        <f>VLOOKUP(B35,'OI(Value)'!$A$7:$C$226,3,0)</f>
        <v>2034</v>
      </c>
      <c r="M35" s="33">
        <f t="shared" si="0"/>
        <v>21.707577374599786</v>
      </c>
      <c r="N35" s="5">
        <f>VLOOKUP($B35,'Data Vlaue (Cr)'!$C:$FB,67)</f>
        <v>28875</v>
      </c>
      <c r="O35" s="5">
        <f>VLOOKUP($B35,'Data Vlaue (Cr)'!$C:$FB,68)</f>
        <v>8437</v>
      </c>
      <c r="P35" s="5">
        <f t="shared" si="8"/>
        <v>70.780952380952371</v>
      </c>
      <c r="Q35" s="1"/>
      <c r="R35" s="1"/>
      <c r="S35" s="1"/>
      <c r="T35" s="1"/>
      <c r="U35" s="1"/>
      <c r="V35" s="1"/>
      <c r="W35" s="1"/>
      <c r="X35" s="1"/>
      <c r="Y35" s="1"/>
      <c r="Z35" s="1"/>
      <c r="AA35" s="1"/>
      <c r="AB35" s="1"/>
      <c r="AC35" s="1"/>
      <c r="AD35" s="1"/>
      <c r="AE35" s="1"/>
      <c r="AF35" s="1"/>
      <c r="AG35" s="1"/>
      <c r="AH35" s="1"/>
      <c r="AI35" s="1"/>
      <c r="AJ35" s="1"/>
    </row>
    <row r="36" spans="1:36" x14ac:dyDescent="0.25">
      <c r="A36" s="79" t="str">
        <f>'Data shares'!B31</f>
        <v>Automobile</v>
      </c>
      <c r="B36" s="79" t="str">
        <f>'Data shares'!C31</f>
        <v>BHARATFORG</v>
      </c>
      <c r="C36" s="4">
        <f>VLOOKUP($B36,'Data shares'!$C:$FB,7)</f>
        <v>1459.1</v>
      </c>
      <c r="D36" s="82">
        <f>VLOOKUP($B36,'Data shares'!$C:$FB,98)</f>
        <v>9242000</v>
      </c>
      <c r="E36" s="165">
        <f>VLOOKUP(B36,'Snapshot (Volume)'!$A$7:$G$168,7,0)</f>
        <v>8328000</v>
      </c>
      <c r="F36" s="165">
        <f t="shared" si="5"/>
        <v>914000</v>
      </c>
      <c r="G36" s="166">
        <f t="shared" si="6"/>
        <v>0.10975024015369837</v>
      </c>
      <c r="H36" s="165">
        <f>VLOOKUP($B36,'Data shares'!$C:$FB,66)</f>
        <v>9592500</v>
      </c>
      <c r="I36" s="165">
        <f>VLOOKUP($B36,'Data shares'!$C:$FB,67)</f>
        <v>10868000</v>
      </c>
      <c r="J36" s="81">
        <f t="shared" si="7"/>
        <v>-11.73629002576371</v>
      </c>
      <c r="K36" s="5">
        <f>VLOOKUP($B36,'Data Vlaue (Cr)'!$C:$FB,99)</f>
        <v>1350</v>
      </c>
      <c r="L36" s="81">
        <f>VLOOKUP(B36,'OI(Value)'!$A$7:$C$226,3,0)</f>
        <v>134</v>
      </c>
      <c r="M36" s="33">
        <f t="shared" si="0"/>
        <v>9.9259259259259256</v>
      </c>
      <c r="N36" s="5">
        <f>VLOOKUP($B36,'Data Vlaue (Cr)'!$C:$FB,67)</f>
        <v>1402</v>
      </c>
      <c r="O36" s="5">
        <f>VLOOKUP($B36,'Data Vlaue (Cr)'!$C:$FB,68)</f>
        <v>1588</v>
      </c>
      <c r="P36" s="5">
        <f t="shared" si="8"/>
        <v>-13.266761768901569</v>
      </c>
      <c r="Q36" s="1"/>
      <c r="R36" s="1"/>
      <c r="S36" s="1"/>
      <c r="T36" s="1"/>
      <c r="U36" s="1"/>
      <c r="V36" s="1"/>
      <c r="W36" s="1"/>
      <c r="X36" s="1"/>
      <c r="Y36" s="1"/>
      <c r="Z36" s="1"/>
      <c r="AA36" s="1"/>
      <c r="AB36" s="1"/>
      <c r="AC36" s="1"/>
      <c r="AD36" s="1"/>
      <c r="AE36" s="1"/>
      <c r="AF36" s="1"/>
      <c r="AG36" s="1"/>
      <c r="AH36" s="1"/>
      <c r="AI36" s="1"/>
      <c r="AJ36" s="1"/>
    </row>
    <row r="37" spans="1:36" x14ac:dyDescent="0.25">
      <c r="A37" s="79" t="str">
        <f>'Data shares'!B32</f>
        <v>Telecom</v>
      </c>
      <c r="B37" s="79" t="str">
        <f>'Data shares'!C32</f>
        <v>BHARTIARTL</v>
      </c>
      <c r="C37" s="4">
        <f>VLOOKUP($B37,'Data shares'!$C:$FB,7)</f>
        <v>1957.7</v>
      </c>
      <c r="D37" s="82">
        <f>VLOOKUP($B37,'Data shares'!$C:$FB,98)</f>
        <v>64732525</v>
      </c>
      <c r="E37" s="165">
        <f>VLOOKUP(B37,'Snapshot (Volume)'!$A$7:$G$168,7,0)</f>
        <v>59911275</v>
      </c>
      <c r="F37" s="165">
        <f t="shared" ref="F37:F43" si="9">D37-E37</f>
        <v>4821250</v>
      </c>
      <c r="G37" s="166">
        <f t="shared" ref="G37:G43" si="10">F37/E37</f>
        <v>8.0473166361423626E-2</v>
      </c>
      <c r="H37" s="165">
        <f>VLOOKUP($B37,'Data shares'!$C:$FB,66)</f>
        <v>24696675</v>
      </c>
      <c r="I37" s="165">
        <f>VLOOKUP($B37,'Data shares'!$C:$FB,67)</f>
        <v>46023225</v>
      </c>
      <c r="J37" s="81">
        <f t="shared" ref="J37:J43" si="11">(H37-I37)/I37*100</f>
        <v>-46.338669226243923</v>
      </c>
      <c r="K37" s="5">
        <f>VLOOKUP($B37,'Data Vlaue (Cr)'!$C:$FB,99)</f>
        <v>12745</v>
      </c>
      <c r="L37" s="81">
        <f>VLOOKUP(B37,'OI(Value)'!$A$7:$C$226,3,0)</f>
        <v>949</v>
      </c>
      <c r="M37" s="33">
        <f t="shared" ref="M37:M65" si="12">L37/K37*100</f>
        <v>7.4460572773636731</v>
      </c>
      <c r="N37" s="5">
        <f>VLOOKUP($B37,'Data Vlaue (Cr)'!$C:$FB,67)</f>
        <v>4862</v>
      </c>
      <c r="O37" s="5">
        <f>VLOOKUP($B37,'Data Vlaue (Cr)'!$C:$FB,68)</f>
        <v>9061</v>
      </c>
      <c r="P37" s="5">
        <f t="shared" ref="P37:P43" si="13">(N37-O37)/N37*100</f>
        <v>-86.36363636363636</v>
      </c>
      <c r="Q37" s="1"/>
      <c r="R37" s="1"/>
      <c r="S37" s="1"/>
      <c r="T37" s="1"/>
      <c r="U37" s="1"/>
      <c r="V37" s="1"/>
      <c r="W37" s="1"/>
      <c r="X37" s="1"/>
      <c r="Y37" s="1"/>
      <c r="Z37" s="1"/>
      <c r="AA37" s="1"/>
      <c r="AB37" s="1"/>
      <c r="AC37" s="1"/>
      <c r="AD37" s="1"/>
      <c r="AE37" s="1"/>
      <c r="AF37" s="1"/>
      <c r="AG37" s="1"/>
      <c r="AH37" s="1"/>
      <c r="AI37" s="1"/>
      <c r="AJ37" s="1"/>
    </row>
    <row r="38" spans="1:36" x14ac:dyDescent="0.25">
      <c r="A38" s="79" t="str">
        <f>'Data shares'!B33</f>
        <v>Capital_Goods</v>
      </c>
      <c r="B38" s="79" t="str">
        <f>'Data shares'!C33</f>
        <v>BHEL</v>
      </c>
      <c r="C38" s="4">
        <f>VLOOKUP($B38,'Data shares'!$C:$FB,7)</f>
        <v>259.64999999999998</v>
      </c>
      <c r="D38" s="82">
        <f>VLOOKUP($B38,'Data shares'!$C:$FB,98)</f>
        <v>139098750</v>
      </c>
      <c r="E38" s="165">
        <f>VLOOKUP(B38,'Snapshot (Volume)'!$A$7:$G$168,7,0)</f>
        <v>126149625</v>
      </c>
      <c r="F38" s="165">
        <f t="shared" si="9"/>
        <v>12949125</v>
      </c>
      <c r="G38" s="166">
        <f t="shared" si="10"/>
        <v>0.10264893771979108</v>
      </c>
      <c r="H38" s="165">
        <f>VLOOKUP($B38,'Data shares'!$C:$FB,66)</f>
        <v>133111125</v>
      </c>
      <c r="I38" s="165">
        <f>VLOOKUP($B38,'Data shares'!$C:$FB,67)</f>
        <v>163432500</v>
      </c>
      <c r="J38" s="81">
        <f t="shared" si="11"/>
        <v>-18.552842916800515</v>
      </c>
      <c r="K38" s="5">
        <f>VLOOKUP($B38,'Data Vlaue (Cr)'!$C:$FB,99)</f>
        <v>3628</v>
      </c>
      <c r="L38" s="81">
        <f>VLOOKUP(B38,'OI(Value)'!$A$7:$C$226,3,0)</f>
        <v>338</v>
      </c>
      <c r="M38" s="33">
        <f t="shared" si="12"/>
        <v>9.3164277839029772</v>
      </c>
      <c r="N38" s="5">
        <f>VLOOKUP($B38,'Data Vlaue (Cr)'!$C:$FB,67)</f>
        <v>3472</v>
      </c>
      <c r="O38" s="5">
        <f>VLOOKUP($B38,'Data Vlaue (Cr)'!$C:$FB,68)</f>
        <v>4262</v>
      </c>
      <c r="P38" s="5">
        <f t="shared" si="13"/>
        <v>-22.753456221198157</v>
      </c>
      <c r="Q38" s="1"/>
      <c r="R38" s="1"/>
      <c r="S38" s="1"/>
      <c r="T38" s="1"/>
      <c r="U38" s="1"/>
      <c r="V38" s="1"/>
      <c r="W38" s="1"/>
      <c r="X38" s="1"/>
      <c r="Y38" s="1"/>
      <c r="Z38" s="1"/>
      <c r="AA38" s="1"/>
      <c r="AB38" s="1"/>
      <c r="AC38" s="1"/>
      <c r="AD38" s="1"/>
      <c r="AE38" s="1"/>
      <c r="AF38" s="1"/>
      <c r="AG38" s="1"/>
      <c r="AH38" s="1"/>
      <c r="AI38" s="1"/>
      <c r="AJ38" s="1"/>
    </row>
    <row r="39" spans="1:36" x14ac:dyDescent="0.25">
      <c r="A39" s="79" t="str">
        <f>'Data shares'!B34</f>
        <v>Pharma</v>
      </c>
      <c r="B39" s="79" t="str">
        <f>'Data shares'!C34</f>
        <v>BIOCON</v>
      </c>
      <c r="C39" s="4">
        <f>VLOOKUP($B39,'Data shares'!$C:$FB,7)</f>
        <v>370.5</v>
      </c>
      <c r="D39" s="82">
        <f>VLOOKUP($B39,'Data shares'!$C:$FB,98)</f>
        <v>55167500</v>
      </c>
      <c r="E39" s="165">
        <f>VLOOKUP(B39,'Snapshot (Volume)'!$A$7:$G$168,7,0)</f>
        <v>53235000</v>
      </c>
      <c r="F39" s="165">
        <f t="shared" si="9"/>
        <v>1932500</v>
      </c>
      <c r="G39" s="166">
        <f t="shared" si="10"/>
        <v>3.6301305532074765E-2</v>
      </c>
      <c r="H39" s="165">
        <f>VLOOKUP($B39,'Data shares'!$C:$FB,66)</f>
        <v>19767500</v>
      </c>
      <c r="I39" s="165">
        <f>VLOOKUP($B39,'Data shares'!$C:$FB,67)</f>
        <v>78322500</v>
      </c>
      <c r="J39" s="81">
        <f t="shared" si="11"/>
        <v>-74.761403172779211</v>
      </c>
      <c r="K39" s="5">
        <f>VLOOKUP($B39,'Data Vlaue (Cr)'!$C:$FB,99)</f>
        <v>2051</v>
      </c>
      <c r="L39" s="81">
        <f>VLOOKUP(B39,'OI(Value)'!$A$7:$C$226,3,0)</f>
        <v>72</v>
      </c>
      <c r="M39" s="33">
        <f t="shared" si="12"/>
        <v>3.5104826913700635</v>
      </c>
      <c r="N39" s="5">
        <f>VLOOKUP($B39,'Data Vlaue (Cr)'!$C:$FB,67)</f>
        <v>735</v>
      </c>
      <c r="O39" s="5">
        <f>VLOOKUP($B39,'Data Vlaue (Cr)'!$C:$FB,68)</f>
        <v>2912</v>
      </c>
      <c r="P39" s="5">
        <f t="shared" si="13"/>
        <v>-296.1904761904762</v>
      </c>
      <c r="Q39" s="1"/>
      <c r="R39" s="1"/>
      <c r="S39" s="1"/>
      <c r="T39" s="1"/>
      <c r="U39" s="1"/>
      <c r="V39" s="1"/>
      <c r="W39" s="1"/>
      <c r="X39" s="1"/>
      <c r="Y39" s="1"/>
      <c r="Z39" s="1"/>
      <c r="AA39" s="1"/>
      <c r="AB39" s="1"/>
      <c r="AC39" s="1"/>
      <c r="AD39" s="1"/>
      <c r="AE39" s="1"/>
      <c r="AF39" s="1"/>
      <c r="AG39" s="1"/>
      <c r="AH39" s="1"/>
      <c r="AI39" s="1"/>
      <c r="AJ39" s="1"/>
    </row>
    <row r="40" spans="1:36" x14ac:dyDescent="0.25">
      <c r="A40" s="79" t="str">
        <f>'Data shares'!B35</f>
        <v>Capital_Goods</v>
      </c>
      <c r="B40" s="79" t="str">
        <f>'Data shares'!C35</f>
        <v>BLUESTARCO</v>
      </c>
      <c r="C40" s="4">
        <f>VLOOKUP($B40,'Data shares'!$C:$FB,7)</f>
        <v>1701.5</v>
      </c>
      <c r="D40" s="82">
        <f>VLOOKUP($B40,'Data shares'!$C:$FB,98)</f>
        <v>2916225</v>
      </c>
      <c r="E40" s="165">
        <f>VLOOKUP(B40,'Snapshot (Volume)'!$A$7:$G$168,7,0)</f>
        <v>2608125</v>
      </c>
      <c r="F40" s="165">
        <f t="shared" si="9"/>
        <v>308100</v>
      </c>
      <c r="G40" s="166">
        <f t="shared" si="10"/>
        <v>0.11813084112149533</v>
      </c>
      <c r="H40" s="165">
        <f>VLOOKUP($B40,'Data shares'!$C:$FB,66)</f>
        <v>1390350</v>
      </c>
      <c r="I40" s="165">
        <f>VLOOKUP($B40,'Data shares'!$C:$FB,67)</f>
        <v>4286425</v>
      </c>
      <c r="J40" s="81">
        <f t="shared" si="11"/>
        <v>-67.563878990067479</v>
      </c>
      <c r="K40" s="5">
        <f>VLOOKUP($B40,'Data Vlaue (Cr)'!$C:$FB,99)</f>
        <v>499</v>
      </c>
      <c r="L40" s="81">
        <f>VLOOKUP(B40,'OI(Value)'!$A$7:$C$226,3,0)</f>
        <v>53</v>
      </c>
      <c r="M40" s="33">
        <f t="shared" si="12"/>
        <v>10.62124248496994</v>
      </c>
      <c r="N40" s="5">
        <f>VLOOKUP($B40,'Data Vlaue (Cr)'!$C:$FB,67)</f>
        <v>238</v>
      </c>
      <c r="O40" s="5">
        <f>VLOOKUP($B40,'Data Vlaue (Cr)'!$C:$FB,68)</f>
        <v>734</v>
      </c>
      <c r="P40" s="5">
        <f t="shared" si="13"/>
        <v>-208.40336134453784</v>
      </c>
      <c r="Q40" s="1"/>
      <c r="R40" s="1"/>
      <c r="S40" s="1"/>
      <c r="T40" s="1"/>
      <c r="U40" s="1"/>
      <c r="V40" s="1"/>
      <c r="W40" s="1"/>
      <c r="X40" s="1"/>
      <c r="Y40" s="1"/>
      <c r="Z40" s="1"/>
      <c r="AA40" s="1"/>
      <c r="AB40" s="1"/>
      <c r="AC40" s="1"/>
      <c r="AD40" s="1"/>
      <c r="AE40" s="1"/>
      <c r="AF40" s="1"/>
      <c r="AG40" s="1"/>
      <c r="AH40" s="1"/>
      <c r="AI40" s="1"/>
      <c r="AJ40" s="1"/>
    </row>
    <row r="41" spans="1:36" x14ac:dyDescent="0.25">
      <c r="A41" s="79" t="str">
        <f>'Data shares'!B36</f>
        <v>Automobile</v>
      </c>
      <c r="B41" s="79" t="str">
        <f>'Data shares'!C36</f>
        <v>BOSCHLTD</v>
      </c>
      <c r="C41" s="4">
        <f>VLOOKUP($B41,'Data shares'!$C:$FB,7)</f>
        <v>36185</v>
      </c>
      <c r="D41" s="82">
        <f>VLOOKUP($B41,'Data shares'!$C:$FB,98)</f>
        <v>273350</v>
      </c>
      <c r="E41" s="165">
        <f>VLOOKUP(B41,'Snapshot (Volume)'!$A$7:$G$168,7,0)</f>
        <v>247300</v>
      </c>
      <c r="F41" s="165">
        <f t="shared" si="9"/>
        <v>26050</v>
      </c>
      <c r="G41" s="166">
        <f t="shared" si="10"/>
        <v>0.10533764658309745</v>
      </c>
      <c r="H41" s="165">
        <f>VLOOKUP($B41,'Data shares'!$C:$FB,66)</f>
        <v>138625</v>
      </c>
      <c r="I41" s="165">
        <f>VLOOKUP($B41,'Data shares'!$C:$FB,67)</f>
        <v>647975</v>
      </c>
      <c r="J41" s="81">
        <f t="shared" si="11"/>
        <v>-78.60642771711872</v>
      </c>
      <c r="K41" s="5">
        <f>VLOOKUP($B41,'Data Vlaue (Cr)'!$C:$FB,99)</f>
        <v>987</v>
      </c>
      <c r="L41" s="81">
        <f>VLOOKUP(B41,'OI(Value)'!$A$7:$C$226,3,0)</f>
        <v>94</v>
      </c>
      <c r="M41" s="33">
        <f t="shared" si="12"/>
        <v>9.5238095238095237</v>
      </c>
      <c r="N41" s="5">
        <f>VLOOKUP($B41,'Data Vlaue (Cr)'!$C:$FB,67)</f>
        <v>500</v>
      </c>
      <c r="O41" s="5">
        <f>VLOOKUP($B41,'Data Vlaue (Cr)'!$C:$FB,68)</f>
        <v>2339</v>
      </c>
      <c r="P41" s="5">
        <f t="shared" si="13"/>
        <v>-367.8</v>
      </c>
      <c r="Q41" s="1"/>
      <c r="R41" s="1"/>
      <c r="S41" s="1"/>
      <c r="T41" s="1"/>
      <c r="U41" s="1"/>
      <c r="V41" s="1"/>
      <c r="W41" s="1"/>
      <c r="X41" s="1"/>
      <c r="Y41" s="1"/>
      <c r="Z41" s="1"/>
      <c r="AA41" s="1"/>
      <c r="AB41" s="1"/>
      <c r="AC41" s="1"/>
      <c r="AD41" s="1"/>
      <c r="AE41" s="1"/>
      <c r="AF41" s="1"/>
      <c r="AG41" s="1"/>
      <c r="AH41" s="1"/>
      <c r="AI41" s="1"/>
      <c r="AJ41" s="1"/>
    </row>
    <row r="42" spans="1:36" x14ac:dyDescent="0.25">
      <c r="A42" s="79" t="str">
        <f>'Data shares'!B37</f>
        <v>Oil_Gas</v>
      </c>
      <c r="B42" s="79" t="str">
        <f>'Data shares'!C37</f>
        <v>BPCL</v>
      </c>
      <c r="C42" s="4">
        <f>VLOOKUP($B42,'Data shares'!$C:$FB,7)</f>
        <v>362.35</v>
      </c>
      <c r="D42" s="82">
        <f>VLOOKUP($B42,'Data shares'!$C:$FB,98)</f>
        <v>48687700</v>
      </c>
      <c r="E42" s="165">
        <f>VLOOKUP(B42,'Snapshot (Volume)'!$A$7:$G$168,7,0)</f>
        <v>44455275</v>
      </c>
      <c r="F42" s="165">
        <f t="shared" si="9"/>
        <v>4232425</v>
      </c>
      <c r="G42" s="166">
        <f t="shared" si="10"/>
        <v>9.5206361899684566E-2</v>
      </c>
      <c r="H42" s="165">
        <f>VLOOKUP($B42,'Data shares'!$C:$FB,66)</f>
        <v>45081350</v>
      </c>
      <c r="I42" s="165">
        <f>VLOOKUP($B42,'Data shares'!$C:$FB,67)</f>
        <v>100730925</v>
      </c>
      <c r="J42" s="81">
        <f t="shared" si="11"/>
        <v>-55.245769856675096</v>
      </c>
      <c r="K42" s="5">
        <f>VLOOKUP($B42,'Data Vlaue (Cr)'!$C:$FB,99)</f>
        <v>1775</v>
      </c>
      <c r="L42" s="81">
        <f>VLOOKUP(B42,'OI(Value)'!$A$7:$C$226,3,0)</f>
        <v>154</v>
      </c>
      <c r="M42" s="33">
        <f t="shared" si="12"/>
        <v>8.6760563380281699</v>
      </c>
      <c r="N42" s="5">
        <f>VLOOKUP($B42,'Data Vlaue (Cr)'!$C:$FB,67)</f>
        <v>1643</v>
      </c>
      <c r="O42" s="5">
        <f>VLOOKUP($B42,'Data Vlaue (Cr)'!$C:$FB,68)</f>
        <v>3672</v>
      </c>
      <c r="P42" s="5">
        <f t="shared" si="13"/>
        <v>-123.49360925136945</v>
      </c>
      <c r="Q42" s="1"/>
      <c r="R42" s="1"/>
      <c r="S42" s="1"/>
      <c r="T42" s="1"/>
      <c r="U42" s="1"/>
      <c r="V42" s="1"/>
      <c r="W42" s="1"/>
      <c r="X42" s="1"/>
      <c r="Y42" s="1"/>
      <c r="Z42" s="1"/>
      <c r="AA42" s="1"/>
      <c r="AB42" s="1"/>
      <c r="AC42" s="1"/>
      <c r="AD42" s="1"/>
      <c r="AE42" s="1"/>
      <c r="AF42" s="1"/>
      <c r="AG42" s="1"/>
      <c r="AH42" s="1"/>
      <c r="AI42" s="1"/>
      <c r="AJ42" s="1"/>
    </row>
    <row r="43" spans="1:36" x14ac:dyDescent="0.25">
      <c r="A43" s="79" t="str">
        <f>'Data shares'!B38</f>
        <v>FMCG</v>
      </c>
      <c r="B43" s="79" t="str">
        <f>'Data shares'!C38</f>
        <v>BRITANNIA</v>
      </c>
      <c r="C43" s="4">
        <f>VLOOKUP($B43,'Data shares'!$C:$FB,7)</f>
        <v>5748.5</v>
      </c>
      <c r="D43" s="82">
        <f>VLOOKUP($B43,'Data shares'!$C:$FB,98)</f>
        <v>3951000</v>
      </c>
      <c r="E43" s="165">
        <f>VLOOKUP(B43,'Snapshot (Volume)'!$A$7:$G$168,7,0)</f>
        <v>3501625</v>
      </c>
      <c r="F43" s="165">
        <f t="shared" si="9"/>
        <v>449375</v>
      </c>
      <c r="G43" s="166">
        <f t="shared" si="10"/>
        <v>0.12833327383714704</v>
      </c>
      <c r="H43" s="165">
        <f>VLOOKUP($B43,'Data shares'!$C:$FB,66)</f>
        <v>2175625</v>
      </c>
      <c r="I43" s="165">
        <f>VLOOKUP($B43,'Data shares'!$C:$FB,67)</f>
        <v>3032000</v>
      </c>
      <c r="J43" s="81">
        <f t="shared" si="11"/>
        <v>-28.244558047493403</v>
      </c>
      <c r="K43" s="5">
        <f>VLOOKUP($B43,'Data Vlaue (Cr)'!$C:$FB,99)</f>
        <v>2279</v>
      </c>
      <c r="L43" s="81">
        <f>VLOOKUP(B43,'OI(Value)'!$A$7:$C$226,3,0)</f>
        <v>259</v>
      </c>
      <c r="M43" s="33">
        <f t="shared" si="12"/>
        <v>11.364633611232996</v>
      </c>
      <c r="N43" s="5">
        <f>VLOOKUP($B43,'Data Vlaue (Cr)'!$C:$FB,67)</f>
        <v>1255</v>
      </c>
      <c r="O43" s="5">
        <f>VLOOKUP($B43,'Data Vlaue (Cr)'!$C:$FB,68)</f>
        <v>1749</v>
      </c>
      <c r="P43" s="5">
        <f t="shared" si="13"/>
        <v>-39.362549800796813</v>
      </c>
      <c r="Q43" s="1"/>
      <c r="R43" s="1"/>
      <c r="S43" s="1"/>
      <c r="T43" s="1"/>
      <c r="U43" s="1"/>
      <c r="V43" s="1"/>
      <c r="W43" s="1"/>
      <c r="X43" s="1"/>
      <c r="Y43" s="1"/>
      <c r="Z43" s="1"/>
      <c r="AA43" s="1"/>
      <c r="AB43" s="1"/>
      <c r="AC43" s="1"/>
      <c r="AD43" s="1"/>
      <c r="AE43" s="1"/>
      <c r="AF43" s="1"/>
      <c r="AG43" s="1"/>
      <c r="AH43" s="1"/>
      <c r="AI43" s="1"/>
      <c r="AJ43" s="1"/>
    </row>
    <row r="44" spans="1:36" x14ac:dyDescent="0.25">
      <c r="A44" s="79" t="str">
        <f>'Data shares'!B39</f>
        <v>Finance</v>
      </c>
      <c r="B44" s="79" t="str">
        <f>'Data shares'!C39</f>
        <v>BSE</v>
      </c>
      <c r="C44" s="79">
        <f>VLOOKUP($B44,'Data shares'!$C:$FB,7)</f>
        <v>2821.5</v>
      </c>
      <c r="D44" s="165">
        <f>VLOOKUP($B44,'Data shares'!$C:$FB,98)</f>
        <v>17042625</v>
      </c>
      <c r="E44" s="165">
        <f>VLOOKUP(B44,'Snapshot (Volume)'!$A$7:$G$168,7,0)</f>
        <v>14544750</v>
      </c>
      <c r="F44" s="165">
        <f t="shared" ref="F44:F49" si="14">D44-E44</f>
        <v>2497875</v>
      </c>
      <c r="G44" s="166">
        <f t="shared" ref="G44:G49" si="15">F44/E44</f>
        <v>0.17173722477182488</v>
      </c>
      <c r="H44" s="165">
        <f>VLOOKUP($B44,'Data shares'!$C:$FB,66)</f>
        <v>18267375</v>
      </c>
      <c r="I44" s="165">
        <f>VLOOKUP($B44,'Data shares'!$C:$FB,67)</f>
        <v>37440750</v>
      </c>
      <c r="J44" s="81">
        <f t="shared" ref="J44:J49" si="16">(H44-I44)/I44*100</f>
        <v>-51.209911660423465</v>
      </c>
      <c r="K44" s="81">
        <f>VLOOKUP($B44,'Data Vlaue (Cr)'!$C:$FB,99)</f>
        <v>4839</v>
      </c>
      <c r="L44" s="81">
        <f>VLOOKUP(B44,'OI(Value)'!$A$7:$C$226,3,0)</f>
        <v>709</v>
      </c>
      <c r="M44" s="81">
        <f t="shared" si="12"/>
        <v>14.651787559413101</v>
      </c>
      <c r="N44" s="81">
        <f>VLOOKUP($B44,'Data Vlaue (Cr)'!$C:$FB,67)</f>
        <v>5187</v>
      </c>
      <c r="O44" s="81">
        <f>VLOOKUP($B44,'Data Vlaue (Cr)'!$C:$FB,68)</f>
        <v>10631</v>
      </c>
      <c r="P44" s="81">
        <f t="shared" ref="P44:P49" si="17">(N44-O44)/N44*100</f>
        <v>-104.95469442837863</v>
      </c>
      <c r="Q44" s="1"/>
      <c r="R44" s="1"/>
      <c r="S44" s="1"/>
      <c r="T44" s="1"/>
      <c r="U44" s="1"/>
      <c r="V44" s="1"/>
      <c r="W44" s="1"/>
      <c r="X44" s="1"/>
      <c r="Y44" s="1"/>
      <c r="Z44" s="1"/>
      <c r="AA44" s="1"/>
      <c r="AB44" s="1"/>
      <c r="AC44" s="1"/>
      <c r="AD44" s="1"/>
      <c r="AE44" s="1"/>
      <c r="AF44" s="1"/>
      <c r="AG44" s="1"/>
      <c r="AH44" s="1"/>
      <c r="AI44" s="1"/>
      <c r="AJ44" s="1"/>
    </row>
    <row r="45" spans="1:36" x14ac:dyDescent="0.25">
      <c r="A45" s="79" t="str">
        <f>'Data shares'!B40</f>
        <v>Finance</v>
      </c>
      <c r="B45" s="79" t="str">
        <f>'Data shares'!C40</f>
        <v>CAMS</v>
      </c>
      <c r="C45" s="4">
        <f>VLOOKUP($B45,'Data shares'!$C:$FB,7)</f>
        <v>709.4</v>
      </c>
      <c r="D45" s="82">
        <f>VLOOKUP($B45,'Data shares'!$C:$FB,98)</f>
        <v>10354500</v>
      </c>
      <c r="E45" s="165">
        <f>VLOOKUP(B45,'Snapshot (Volume)'!$A$7:$G$168,7,0)</f>
        <v>9646500</v>
      </c>
      <c r="F45" s="165">
        <f t="shared" si="14"/>
        <v>708000</v>
      </c>
      <c r="G45" s="166">
        <f t="shared" si="15"/>
        <v>7.3394495412844041E-2</v>
      </c>
      <c r="H45" s="165">
        <f>VLOOKUP($B45,'Data shares'!$C:$FB,66)</f>
        <v>4704000</v>
      </c>
      <c r="I45" s="165">
        <f>VLOOKUP($B45,'Data shares'!$C:$FB,67)</f>
        <v>18195000</v>
      </c>
      <c r="J45" s="81">
        <f t="shared" si="16"/>
        <v>-74.146743610882112</v>
      </c>
      <c r="K45" s="5">
        <f>VLOOKUP($B45,'Data Vlaue (Cr)'!$C:$FB,99)</f>
        <v>736</v>
      </c>
      <c r="L45" s="81">
        <f>VLOOKUP(B45,'OI(Value)'!$A$7:$C$226,3,0)</f>
        <v>50</v>
      </c>
      <c r="M45" s="33">
        <f t="shared" si="12"/>
        <v>6.7934782608695645</v>
      </c>
      <c r="N45" s="5">
        <f>VLOOKUP($B45,'Data Vlaue (Cr)'!$C:$FB,67)</f>
        <v>334</v>
      </c>
      <c r="O45" s="5">
        <f>VLOOKUP($B45,'Data Vlaue (Cr)'!$C:$FB,68)</f>
        <v>1293</v>
      </c>
      <c r="P45" s="5">
        <f t="shared" si="17"/>
        <v>-287.12574850299404</v>
      </c>
      <c r="Q45" s="1"/>
      <c r="R45" s="1"/>
      <c r="S45" s="1"/>
      <c r="T45" s="1"/>
      <c r="U45" s="1"/>
      <c r="V45" s="1"/>
      <c r="W45" s="1"/>
      <c r="X45" s="1"/>
      <c r="Y45" s="1"/>
      <c r="Z45" s="1"/>
      <c r="AA45" s="1"/>
      <c r="AB45" s="1"/>
      <c r="AC45" s="1"/>
      <c r="AD45" s="1"/>
      <c r="AE45" s="1"/>
      <c r="AF45" s="1"/>
      <c r="AG45" s="1"/>
      <c r="AH45" s="1"/>
      <c r="AI45" s="1"/>
      <c r="AJ45" s="1"/>
    </row>
    <row r="46" spans="1:36" x14ac:dyDescent="0.25">
      <c r="A46" s="79" t="str">
        <f>'Data shares'!B41</f>
        <v>Banking</v>
      </c>
      <c r="B46" s="79" t="str">
        <f>'Data shares'!C41</f>
        <v>CANBK</v>
      </c>
      <c r="C46" s="4">
        <f>VLOOKUP($B46,'Data shares'!$C:$FB,7)</f>
        <v>157.74</v>
      </c>
      <c r="D46" s="82">
        <f>VLOOKUP($B46,'Data shares'!$C:$FB,98)</f>
        <v>250681500</v>
      </c>
      <c r="E46" s="165">
        <f>VLOOKUP(B46,'Snapshot (Volume)'!$A$7:$G$168,7,0)</f>
        <v>219395250</v>
      </c>
      <c r="F46" s="165">
        <f t="shared" si="14"/>
        <v>31286250</v>
      </c>
      <c r="G46" s="166">
        <f t="shared" si="15"/>
        <v>0.14260222133341538</v>
      </c>
      <c r="H46" s="165">
        <f>VLOOKUP($B46,'Data shares'!$C:$FB,66)</f>
        <v>267536250</v>
      </c>
      <c r="I46" s="165">
        <f>VLOOKUP($B46,'Data shares'!$C:$FB,67)</f>
        <v>318998250</v>
      </c>
      <c r="J46" s="81">
        <f t="shared" si="16"/>
        <v>-16.132376901754164</v>
      </c>
      <c r="K46" s="5">
        <f>VLOOKUP($B46,'Data Vlaue (Cr)'!$C:$FB,99)</f>
        <v>3971</v>
      </c>
      <c r="L46" s="81">
        <f>VLOOKUP(B46,'OI(Value)'!$A$7:$C$226,3,0)</f>
        <v>496</v>
      </c>
      <c r="M46" s="33">
        <f t="shared" si="12"/>
        <v>12.490556534877864</v>
      </c>
      <c r="N46" s="5">
        <f>VLOOKUP($B46,'Data Vlaue (Cr)'!$C:$FB,67)</f>
        <v>4238</v>
      </c>
      <c r="O46" s="5">
        <f>VLOOKUP($B46,'Data Vlaue (Cr)'!$C:$FB,68)</f>
        <v>5054</v>
      </c>
      <c r="P46" s="5">
        <f t="shared" si="17"/>
        <v>-19.254365266635208</v>
      </c>
      <c r="Q46" s="1"/>
      <c r="R46" s="1"/>
      <c r="S46" s="1"/>
      <c r="T46" s="1"/>
      <c r="U46" s="1"/>
      <c r="V46" s="1"/>
      <c r="W46" s="1"/>
      <c r="X46" s="1"/>
      <c r="Y46" s="1"/>
      <c r="Z46" s="1"/>
      <c r="AA46" s="1"/>
      <c r="AB46" s="1"/>
      <c r="AC46" s="1"/>
      <c r="AD46" s="1"/>
      <c r="AE46" s="1"/>
      <c r="AF46" s="1"/>
      <c r="AG46" s="1"/>
      <c r="AH46" s="1"/>
      <c r="AI46" s="1"/>
      <c r="AJ46" s="1"/>
    </row>
    <row r="47" spans="1:36" x14ac:dyDescent="0.25">
      <c r="A47" s="79" t="str">
        <f>'Data shares'!B42</f>
        <v>Finance</v>
      </c>
      <c r="B47" s="79" t="str">
        <f>'Data shares'!C42</f>
        <v>CDSL</v>
      </c>
      <c r="C47" s="4">
        <f>VLOOKUP($B47,'Data shares'!$C:$FB,7)</f>
        <v>1356.9</v>
      </c>
      <c r="D47" s="82">
        <f>VLOOKUP($B47,'Data shares'!$C:$FB,98)</f>
        <v>19121125</v>
      </c>
      <c r="E47" s="165">
        <f>VLOOKUP(B47,'Snapshot (Volume)'!$A$7:$G$168,7,0)</f>
        <v>17108075</v>
      </c>
      <c r="F47" s="165">
        <f t="shared" si="14"/>
        <v>2013050</v>
      </c>
      <c r="G47" s="166">
        <f t="shared" si="15"/>
        <v>0.11766665741177777</v>
      </c>
      <c r="H47" s="165">
        <f>VLOOKUP($B47,'Data shares'!$C:$FB,66)</f>
        <v>12143375</v>
      </c>
      <c r="I47" s="165">
        <f>VLOOKUP($B47,'Data shares'!$C:$FB,67)</f>
        <v>25509875</v>
      </c>
      <c r="J47" s="81">
        <f t="shared" si="16"/>
        <v>-52.397355925891439</v>
      </c>
      <c r="K47" s="5">
        <f>VLOOKUP($B47,'Data Vlaue (Cr)'!$C:$FB,99)</f>
        <v>2611</v>
      </c>
      <c r="L47" s="81">
        <f>VLOOKUP(B47,'OI(Value)'!$A$7:$C$226,3,0)</f>
        <v>275</v>
      </c>
      <c r="M47" s="33">
        <f t="shared" si="12"/>
        <v>10.532363079279969</v>
      </c>
      <c r="N47" s="5">
        <f>VLOOKUP($B47,'Data Vlaue (Cr)'!$C:$FB,67)</f>
        <v>1658</v>
      </c>
      <c r="O47" s="5">
        <f>VLOOKUP($B47,'Data Vlaue (Cr)'!$C:$FB,68)</f>
        <v>3483</v>
      </c>
      <c r="P47" s="5">
        <f t="shared" si="17"/>
        <v>-110.07237635705668</v>
      </c>
      <c r="Q47" s="1"/>
      <c r="R47" s="1"/>
      <c r="S47" s="1"/>
      <c r="T47" s="1"/>
      <c r="U47" s="1"/>
      <c r="V47" s="1"/>
      <c r="W47" s="1"/>
      <c r="X47" s="1"/>
      <c r="Y47" s="1"/>
      <c r="Z47" s="1"/>
      <c r="AA47" s="1"/>
      <c r="AB47" s="1"/>
      <c r="AC47" s="1"/>
      <c r="AD47" s="1"/>
      <c r="AE47" s="1"/>
      <c r="AF47" s="1"/>
      <c r="AG47" s="1"/>
      <c r="AH47" s="1"/>
      <c r="AI47" s="1"/>
      <c r="AJ47" s="1"/>
    </row>
    <row r="48" spans="1:36" x14ac:dyDescent="0.25">
      <c r="A48" s="79" t="str">
        <f>'Data shares'!B43</f>
        <v>Power</v>
      </c>
      <c r="B48" s="79" t="str">
        <f>'Data shares'!C43</f>
        <v>CGPOWER</v>
      </c>
      <c r="C48" s="4">
        <f>VLOOKUP($B48,'Data shares'!$C:$FB,7)</f>
        <v>581.95000000000005</v>
      </c>
      <c r="D48" s="82">
        <f>VLOOKUP($B48,'Data shares'!$C:$FB,98)</f>
        <v>30047500</v>
      </c>
      <c r="E48" s="165">
        <f>VLOOKUP(B48,'Snapshot (Volume)'!$A$7:$G$168,7,0)</f>
        <v>27562950</v>
      </c>
      <c r="F48" s="165">
        <f t="shared" si="14"/>
        <v>2484550</v>
      </c>
      <c r="G48" s="166">
        <f t="shared" si="15"/>
        <v>9.0140931939433191E-2</v>
      </c>
      <c r="H48" s="165">
        <f>VLOOKUP($B48,'Data shares'!$C:$FB,66)</f>
        <v>87938450</v>
      </c>
      <c r="I48" s="165">
        <f>VLOOKUP($B48,'Data shares'!$C:$FB,67)</f>
        <v>69323450</v>
      </c>
      <c r="J48" s="81">
        <f t="shared" si="16"/>
        <v>26.852385448214132</v>
      </c>
      <c r="K48" s="5">
        <f>VLOOKUP($B48,'Data Vlaue (Cr)'!$C:$FB,99)</f>
        <v>1753</v>
      </c>
      <c r="L48" s="81">
        <f>VLOOKUP(B48,'OI(Value)'!$A$7:$C$226,3,0)</f>
        <v>145</v>
      </c>
      <c r="M48" s="33">
        <f t="shared" si="12"/>
        <v>8.2715345122646884</v>
      </c>
      <c r="N48" s="5">
        <f>VLOOKUP($B48,'Data Vlaue (Cr)'!$C:$FB,67)</f>
        <v>5129</v>
      </c>
      <c r="O48" s="5">
        <f>VLOOKUP($B48,'Data Vlaue (Cr)'!$C:$FB,68)</f>
        <v>4044</v>
      </c>
      <c r="P48" s="5">
        <f t="shared" si="17"/>
        <v>21.154221095730161</v>
      </c>
      <c r="Q48" s="1"/>
      <c r="R48" s="1"/>
      <c r="S48" s="1"/>
      <c r="T48" s="1"/>
      <c r="U48" s="1"/>
      <c r="V48" s="1"/>
      <c r="W48" s="1"/>
      <c r="X48" s="1"/>
      <c r="Y48" s="1"/>
      <c r="Z48" s="1"/>
      <c r="AA48" s="1"/>
      <c r="AB48" s="1"/>
      <c r="AC48" s="1"/>
      <c r="AD48" s="1"/>
      <c r="AE48" s="1"/>
      <c r="AF48" s="1"/>
      <c r="AG48" s="1"/>
      <c r="AH48" s="1"/>
      <c r="AI48" s="1"/>
      <c r="AJ48" s="1"/>
    </row>
    <row r="49" spans="1:36" x14ac:dyDescent="0.25">
      <c r="A49" s="79" t="str">
        <f>'Data shares'!B44</f>
        <v>Finance</v>
      </c>
      <c r="B49" s="79" t="str">
        <f>'Data shares'!C44</f>
        <v>CHOLAFIN</v>
      </c>
      <c r="C49" s="4">
        <f>VLOOKUP($B49,'Data shares'!$C:$FB,7)</f>
        <v>1636.8</v>
      </c>
      <c r="D49" s="82">
        <f>VLOOKUP($B49,'Data shares'!$C:$FB,98)</f>
        <v>17715625</v>
      </c>
      <c r="E49" s="165">
        <f>VLOOKUP(B49,'Snapshot (Volume)'!$A$7:$G$168,7,0)</f>
        <v>16855625</v>
      </c>
      <c r="F49" s="165">
        <f t="shared" si="14"/>
        <v>860000</v>
      </c>
      <c r="G49" s="166">
        <f t="shared" si="15"/>
        <v>5.1021543253364977E-2</v>
      </c>
      <c r="H49" s="165">
        <f>VLOOKUP($B49,'Data shares'!$C:$FB,66)</f>
        <v>3774375</v>
      </c>
      <c r="I49" s="165">
        <f>VLOOKUP($B49,'Data shares'!$C:$FB,67)</f>
        <v>13685625</v>
      </c>
      <c r="J49" s="81">
        <f t="shared" si="16"/>
        <v>-72.42087957254418</v>
      </c>
      <c r="K49" s="5">
        <f>VLOOKUP($B49,'Data Vlaue (Cr)'!$C:$FB,99)</f>
        <v>2917</v>
      </c>
      <c r="L49" s="81">
        <f>VLOOKUP(B49,'OI(Value)'!$A$7:$C$226,3,0)</f>
        <v>142</v>
      </c>
      <c r="M49" s="33">
        <f t="shared" si="12"/>
        <v>4.8680150839904011</v>
      </c>
      <c r="N49" s="5">
        <f>VLOOKUP($B49,'Data Vlaue (Cr)'!$C:$FB,67)</f>
        <v>621</v>
      </c>
      <c r="O49" s="5">
        <f>VLOOKUP($B49,'Data Vlaue (Cr)'!$C:$FB,68)</f>
        <v>2253</v>
      </c>
      <c r="P49" s="5">
        <f t="shared" si="17"/>
        <v>-262.80193236714979</v>
      </c>
      <c r="Q49" s="1"/>
      <c r="R49" s="1"/>
      <c r="S49" s="1"/>
      <c r="T49" s="1"/>
      <c r="U49" s="1"/>
      <c r="V49" s="1"/>
      <c r="W49" s="1"/>
      <c r="X49" s="1"/>
      <c r="Y49" s="1"/>
      <c r="Z49" s="1"/>
      <c r="AA49" s="1"/>
      <c r="AB49" s="1"/>
      <c r="AC49" s="1"/>
      <c r="AD49" s="1"/>
      <c r="AE49" s="1"/>
      <c r="AF49" s="1"/>
      <c r="AG49" s="1"/>
      <c r="AH49" s="1"/>
      <c r="AI49" s="1"/>
      <c r="AJ49" s="1"/>
    </row>
    <row r="50" spans="1:36" x14ac:dyDescent="0.25">
      <c r="A50" s="79" t="str">
        <f>'Data shares'!B45</f>
        <v>Pharma</v>
      </c>
      <c r="B50" s="79" t="str">
        <f>'Data shares'!C45</f>
        <v>CIPLA</v>
      </c>
      <c r="C50" s="4">
        <f>VLOOKUP($B50,'Data shares'!$C:$FB,7)</f>
        <v>1328.4</v>
      </c>
      <c r="D50" s="82">
        <f>VLOOKUP($B50,'Data shares'!$C:$FB,98)</f>
        <v>21015000</v>
      </c>
      <c r="E50" s="165">
        <f>VLOOKUP(B50,'Snapshot (Volume)'!$A$7:$G$168,7,0)</f>
        <v>20663625</v>
      </c>
      <c r="F50" s="165">
        <f>D50-E50</f>
        <v>351375</v>
      </c>
      <c r="G50" s="166">
        <f>F50/E50</f>
        <v>1.7004518810228117E-2</v>
      </c>
      <c r="H50" s="165">
        <f>VLOOKUP($B50,'Data shares'!$C:$FB,66)</f>
        <v>7660875</v>
      </c>
      <c r="I50" s="165">
        <f>VLOOKUP($B50,'Data shares'!$C:$FB,67)</f>
        <v>27522000</v>
      </c>
      <c r="J50" s="81">
        <f>(H50-I50)/I50*100</f>
        <v>-72.164541094397208</v>
      </c>
      <c r="K50" s="5">
        <f>VLOOKUP($B50,'Data Vlaue (Cr)'!$C:$FB,99)</f>
        <v>2804</v>
      </c>
      <c r="L50" s="81">
        <f>VLOOKUP(B50,'OI(Value)'!$A$7:$C$226,3,0)</f>
        <v>47</v>
      </c>
      <c r="M50" s="33">
        <f t="shared" si="12"/>
        <v>1.6761768901569187</v>
      </c>
      <c r="N50" s="5">
        <f>VLOOKUP($B50,'Data Vlaue (Cr)'!$C:$FB,67)</f>
        <v>1022</v>
      </c>
      <c r="O50" s="5">
        <f>VLOOKUP($B50,'Data Vlaue (Cr)'!$C:$FB,68)</f>
        <v>3672</v>
      </c>
      <c r="P50" s="5">
        <f>(N50-O50)/N50*100</f>
        <v>-259.29549902152644</v>
      </c>
      <c r="Q50" s="1"/>
      <c r="R50" s="1"/>
      <c r="S50" s="1"/>
      <c r="T50" s="1"/>
      <c r="U50" s="1"/>
      <c r="V50" s="1"/>
      <c r="W50" s="1"/>
      <c r="X50" s="1"/>
      <c r="Y50" s="1"/>
      <c r="Z50" s="1"/>
      <c r="AA50" s="1"/>
      <c r="AB50" s="1"/>
      <c r="AC50" s="1"/>
      <c r="AD50" s="1"/>
      <c r="AE50" s="1"/>
      <c r="AF50" s="1"/>
      <c r="AG50" s="1"/>
      <c r="AH50" s="1"/>
      <c r="AI50" s="1"/>
      <c r="AJ50" s="1"/>
    </row>
    <row r="51" spans="1:36" x14ac:dyDescent="0.25">
      <c r="A51" s="79" t="str">
        <f>'Data shares'!B46</f>
        <v>Metals</v>
      </c>
      <c r="B51" s="79" t="str">
        <f>'Data shares'!C46</f>
        <v>COALINDIA</v>
      </c>
      <c r="C51" s="4">
        <f>VLOOKUP($B51,'Data shares'!$C:$FB,7)</f>
        <v>444.05</v>
      </c>
      <c r="D51" s="82">
        <f>VLOOKUP($B51,'Data shares'!$C:$FB,98)</f>
        <v>71799750</v>
      </c>
      <c r="E51" s="165">
        <f>VLOOKUP(B51,'Snapshot (Volume)'!$A$7:$G$168,7,0)</f>
        <v>63396000</v>
      </c>
      <c r="F51" s="165">
        <f>D51-E51</f>
        <v>8403750</v>
      </c>
      <c r="G51" s="166">
        <f>F51/E51</f>
        <v>0.1325596252129472</v>
      </c>
      <c r="H51" s="165">
        <f>VLOOKUP($B51,'Data shares'!$C:$FB,66)</f>
        <v>139904550</v>
      </c>
      <c r="I51" s="165">
        <f>VLOOKUP($B51,'Data shares'!$C:$FB,67)</f>
        <v>89721000</v>
      </c>
      <c r="J51" s="81">
        <f>(H51-I51)/I51*100</f>
        <v>55.932891965091777</v>
      </c>
      <c r="K51" s="5">
        <f>VLOOKUP($B51,'Data Vlaue (Cr)'!$C:$FB,99)</f>
        <v>3163</v>
      </c>
      <c r="L51" s="81">
        <f>VLOOKUP(B51,'OI(Value)'!$A$7:$C$226,3,0)</f>
        <v>370</v>
      </c>
      <c r="M51" s="33">
        <f t="shared" si="12"/>
        <v>11.697755295605438</v>
      </c>
      <c r="N51" s="5">
        <f>VLOOKUP($B51,'Data Vlaue (Cr)'!$C:$FB,67)</f>
        <v>6163</v>
      </c>
      <c r="O51" s="5">
        <f>VLOOKUP($B51,'Data Vlaue (Cr)'!$C:$FB,68)</f>
        <v>3953</v>
      </c>
      <c r="P51" s="5">
        <f>(N51-O51)/N51*100</f>
        <v>35.859159500243386</v>
      </c>
      <c r="Q51" s="1"/>
      <c r="R51" s="1"/>
      <c r="S51" s="1"/>
      <c r="T51" s="1"/>
      <c r="U51" s="1"/>
      <c r="V51" s="1"/>
      <c r="W51" s="1"/>
      <c r="X51" s="1"/>
      <c r="Y51" s="1"/>
      <c r="Z51" s="1"/>
      <c r="AA51" s="1"/>
      <c r="AB51" s="1"/>
      <c r="AC51" s="1"/>
      <c r="AD51" s="1"/>
      <c r="AE51" s="1"/>
      <c r="AF51" s="1"/>
      <c r="AG51" s="1"/>
      <c r="AH51" s="1"/>
      <c r="AI51" s="1"/>
      <c r="AJ51" s="1"/>
    </row>
    <row r="52" spans="1:36" x14ac:dyDescent="0.25">
      <c r="A52" s="79" t="str">
        <f>'Data shares'!B47</f>
        <v>Technology</v>
      </c>
      <c r="B52" s="79" t="str">
        <f>'Data shares'!C47</f>
        <v>COFORGE</v>
      </c>
      <c r="C52" s="79">
        <f>VLOOKUP($B52,'Data shares'!$C:$FB,7)</f>
        <v>1694.2</v>
      </c>
      <c r="D52" s="80">
        <f>VLOOKUP($B52,'Data shares'!$C:$FB,98)</f>
        <v>17149500</v>
      </c>
      <c r="E52" s="165">
        <f>VLOOKUP(B52,'Snapshot (Volume)'!$A$7:$G$168,7,0)</f>
        <v>16599375</v>
      </c>
      <c r="F52" s="165">
        <f t="shared" ref="F52:F68" si="18">D52-E52</f>
        <v>550125</v>
      </c>
      <c r="G52" s="166">
        <f t="shared" ref="G52:G68" si="19">F52/E52</f>
        <v>3.3141308031175876E-2</v>
      </c>
      <c r="H52" s="165">
        <f>VLOOKUP($B52,'Data shares'!$C:$FB,66)</f>
        <v>9853875</v>
      </c>
      <c r="I52" s="165">
        <f>VLOOKUP($B52,'Data shares'!$C:$FB,67)</f>
        <v>28062000</v>
      </c>
      <c r="J52" s="81">
        <f t="shared" ref="J52:J68" si="20">(H52-I52)/I52*100</f>
        <v>-64.885343168697887</v>
      </c>
      <c r="K52" s="81">
        <f>VLOOKUP($B52,'Data Vlaue (Cr)'!$C:$FB,99)</f>
        <v>2903</v>
      </c>
      <c r="L52" s="81">
        <f>VLOOKUP(B52,'OI(Value)'!$A$7:$C$226,3,0)</f>
        <v>93</v>
      </c>
      <c r="M52" s="81">
        <f t="shared" si="12"/>
        <v>3.2035825008611782</v>
      </c>
      <c r="N52" s="81">
        <f>VLOOKUP($B52,'Data Vlaue (Cr)'!$C:$FB,67)</f>
        <v>1668</v>
      </c>
      <c r="O52" s="81">
        <f>VLOOKUP($B52,'Data Vlaue (Cr)'!$C:$FB,68)</f>
        <v>4751</v>
      </c>
      <c r="P52" s="81">
        <f t="shared" ref="P52:P68" si="21">(N52-O52)/N52*100</f>
        <v>-184.83213429256594</v>
      </c>
      <c r="Q52" s="1"/>
      <c r="R52" s="1"/>
      <c r="S52" s="1"/>
      <c r="T52" s="1"/>
      <c r="U52" s="1"/>
      <c r="V52" s="1"/>
      <c r="W52" s="1"/>
      <c r="X52" s="1"/>
      <c r="Y52" s="1"/>
      <c r="Z52" s="1"/>
      <c r="AA52" s="1"/>
      <c r="AB52" s="1"/>
      <c r="AC52" s="1"/>
      <c r="AD52" s="1"/>
      <c r="AE52" s="1"/>
      <c r="AF52" s="1"/>
      <c r="AG52" s="1"/>
      <c r="AH52" s="1"/>
      <c r="AI52" s="1"/>
      <c r="AJ52" s="1"/>
    </row>
    <row r="53" spans="1:36" x14ac:dyDescent="0.25">
      <c r="A53" s="79" t="str">
        <f>'Data shares'!B48</f>
        <v>FMCG</v>
      </c>
      <c r="B53" s="79" t="str">
        <f>'Data shares'!C48</f>
        <v>COLPAL</v>
      </c>
      <c r="C53" s="4">
        <f>VLOOKUP($B53,'Data shares'!$C:$FB,7)</f>
        <v>2154.4</v>
      </c>
      <c r="D53" s="82">
        <f>VLOOKUP($B53,'Data shares'!$C:$FB,98)</f>
        <v>6925725</v>
      </c>
      <c r="E53" s="165">
        <f>VLOOKUP(B53,'Snapshot (Volume)'!$A$7:$G$168,7,0)</f>
        <v>6678000</v>
      </c>
      <c r="F53" s="165">
        <f t="shared" si="18"/>
        <v>247725</v>
      </c>
      <c r="G53" s="166">
        <f t="shared" si="19"/>
        <v>3.7095687331536391E-2</v>
      </c>
      <c r="H53" s="165">
        <f>VLOOKUP($B53,'Data shares'!$C:$FB,66)</f>
        <v>2545425</v>
      </c>
      <c r="I53" s="165">
        <f>VLOOKUP($B53,'Data shares'!$C:$FB,67)</f>
        <v>5704875</v>
      </c>
      <c r="J53" s="81">
        <f t="shared" si="20"/>
        <v>-55.381581542102154</v>
      </c>
      <c r="K53" s="5">
        <f>VLOOKUP($B53,'Data Vlaue (Cr)'!$C:$FB,99)</f>
        <v>1496</v>
      </c>
      <c r="L53" s="81">
        <f>VLOOKUP(B53,'OI(Value)'!$A$7:$C$226,3,0)</f>
        <v>54</v>
      </c>
      <c r="M53" s="33">
        <f t="shared" si="12"/>
        <v>3.6096256684491976</v>
      </c>
      <c r="N53" s="5">
        <f>VLOOKUP($B53,'Data Vlaue (Cr)'!$C:$FB,67)</f>
        <v>550</v>
      </c>
      <c r="O53" s="5">
        <f>VLOOKUP($B53,'Data Vlaue (Cr)'!$C:$FB,68)</f>
        <v>1233</v>
      </c>
      <c r="P53" s="5">
        <f t="shared" si="21"/>
        <v>-124.18181818181817</v>
      </c>
      <c r="Q53" s="1"/>
      <c r="R53" s="1"/>
      <c r="S53" s="1"/>
      <c r="T53" s="1"/>
      <c r="U53" s="1"/>
      <c r="V53" s="1"/>
      <c r="W53" s="1"/>
      <c r="X53" s="1"/>
      <c r="Y53" s="1"/>
      <c r="Z53" s="1"/>
      <c r="AA53" s="1"/>
      <c r="AB53" s="1"/>
      <c r="AC53" s="1"/>
      <c r="AD53" s="1"/>
      <c r="AE53" s="1"/>
      <c r="AF53" s="1"/>
      <c r="AG53" s="1"/>
      <c r="AH53" s="1"/>
      <c r="AI53" s="1"/>
      <c r="AJ53" s="1"/>
    </row>
    <row r="54" spans="1:36" x14ac:dyDescent="0.25">
      <c r="A54" s="79" t="str">
        <f>'Data shares'!B49</f>
        <v>Infrastructure</v>
      </c>
      <c r="B54" s="79" t="str">
        <f>'Data shares'!C49</f>
        <v>CONCOR</v>
      </c>
      <c r="C54" s="4">
        <f>VLOOKUP($B54,'Data shares'!$C:$FB,7)</f>
        <v>496.35</v>
      </c>
      <c r="D54" s="82">
        <f>VLOOKUP($B54,'Data shares'!$C:$FB,98)</f>
        <v>46328750</v>
      </c>
      <c r="E54" s="165">
        <f>VLOOKUP(B54,'Snapshot (Volume)'!$A$7:$G$168,7,0)</f>
        <v>43927500</v>
      </c>
      <c r="F54" s="165">
        <f t="shared" si="18"/>
        <v>2401250</v>
      </c>
      <c r="G54" s="166">
        <f t="shared" si="19"/>
        <v>5.4663934892720964E-2</v>
      </c>
      <c r="H54" s="165">
        <f>VLOOKUP($B54,'Data shares'!$C:$FB,66)</f>
        <v>16000000</v>
      </c>
      <c r="I54" s="165">
        <f>VLOOKUP($B54,'Data shares'!$C:$FB,67)</f>
        <v>39598750</v>
      </c>
      <c r="J54" s="81">
        <f t="shared" si="20"/>
        <v>-59.594684175636857</v>
      </c>
      <c r="K54" s="5">
        <f>VLOOKUP($B54,'Data Vlaue (Cr)'!$C:$FB,99)</f>
        <v>2300</v>
      </c>
      <c r="L54" s="81">
        <f>VLOOKUP(B54,'OI(Value)'!$A$7:$C$226,3,0)</f>
        <v>119</v>
      </c>
      <c r="M54" s="33">
        <f t="shared" si="12"/>
        <v>5.1739130434782608</v>
      </c>
      <c r="N54" s="5">
        <f>VLOOKUP($B54,'Data Vlaue (Cr)'!$C:$FB,67)</f>
        <v>794</v>
      </c>
      <c r="O54" s="5">
        <f>VLOOKUP($B54,'Data Vlaue (Cr)'!$C:$FB,68)</f>
        <v>1966</v>
      </c>
      <c r="P54" s="5">
        <f t="shared" si="21"/>
        <v>-147.60705289672543</v>
      </c>
      <c r="Q54" s="1"/>
      <c r="R54" s="1"/>
      <c r="S54" s="1"/>
      <c r="T54" s="1"/>
      <c r="U54" s="1"/>
      <c r="V54" s="1"/>
      <c r="W54" s="1"/>
      <c r="X54" s="1"/>
      <c r="Y54" s="1"/>
      <c r="Z54" s="1"/>
      <c r="AA54" s="1"/>
      <c r="AB54" s="1"/>
      <c r="AC54" s="1"/>
      <c r="AD54" s="1"/>
      <c r="AE54" s="1"/>
      <c r="AF54" s="1"/>
      <c r="AG54" s="1"/>
      <c r="AH54" s="1"/>
      <c r="AI54" s="1"/>
      <c r="AJ54" s="1"/>
    </row>
    <row r="55" spans="1:36" x14ac:dyDescent="0.25">
      <c r="A55" s="79" t="str">
        <f>'Data shares'!B50</f>
        <v>Capital_Goods</v>
      </c>
      <c r="B55" s="79" t="str">
        <f>'Data shares'!C50</f>
        <v>CROMPTON</v>
      </c>
      <c r="C55" s="4">
        <f>VLOOKUP($B55,'Data shares'!$C:$FB,7)</f>
        <v>225.4</v>
      </c>
      <c r="D55" s="82">
        <f>VLOOKUP($B55,'Data shares'!$C:$FB,98)</f>
        <v>67125600</v>
      </c>
      <c r="E55" s="165">
        <f>VLOOKUP(B55,'Snapshot (Volume)'!$A$7:$G$168,7,0)</f>
        <v>64323000</v>
      </c>
      <c r="F55" s="165">
        <f t="shared" si="18"/>
        <v>2802600</v>
      </c>
      <c r="G55" s="166">
        <f t="shared" si="19"/>
        <v>4.3570728977193225E-2</v>
      </c>
      <c r="H55" s="165">
        <f>VLOOKUP($B55,'Data shares'!$C:$FB,66)</f>
        <v>16848000</v>
      </c>
      <c r="I55" s="165">
        <f>VLOOKUP($B55,'Data shares'!$C:$FB,67)</f>
        <v>58194000</v>
      </c>
      <c r="J55" s="81">
        <f t="shared" si="20"/>
        <v>-71.048561707392508</v>
      </c>
      <c r="K55" s="5">
        <f>VLOOKUP($B55,'Data Vlaue (Cr)'!$C:$FB,99)</f>
        <v>1523</v>
      </c>
      <c r="L55" s="81">
        <f>VLOOKUP(B55,'OI(Value)'!$A$7:$C$226,3,0)</f>
        <v>64</v>
      </c>
      <c r="M55" s="33">
        <f t="shared" si="12"/>
        <v>4.2022324359816148</v>
      </c>
      <c r="N55" s="5">
        <f>VLOOKUP($B55,'Data Vlaue (Cr)'!$C:$FB,67)</f>
        <v>382</v>
      </c>
      <c r="O55" s="5">
        <f>VLOOKUP($B55,'Data Vlaue (Cr)'!$C:$FB,68)</f>
        <v>1320</v>
      </c>
      <c r="P55" s="5">
        <f t="shared" si="21"/>
        <v>-245.54973821989529</v>
      </c>
      <c r="Q55" s="1"/>
      <c r="R55" s="1"/>
      <c r="S55" s="1"/>
      <c r="T55" s="1"/>
      <c r="U55" s="1"/>
      <c r="V55" s="1"/>
      <c r="W55" s="1"/>
      <c r="X55" s="1"/>
      <c r="Y55" s="1"/>
      <c r="Z55" s="1"/>
      <c r="AA55" s="1"/>
      <c r="AB55" s="1"/>
      <c r="AC55" s="1"/>
      <c r="AD55" s="1"/>
      <c r="AE55" s="1"/>
      <c r="AF55" s="1"/>
      <c r="AG55" s="1"/>
      <c r="AH55" s="1"/>
      <c r="AI55" s="1"/>
      <c r="AJ55" s="1"/>
    </row>
    <row r="56" spans="1:36" x14ac:dyDescent="0.25">
      <c r="A56" s="79" t="str">
        <f>'Data shares'!B51</f>
        <v>Capital_Goods</v>
      </c>
      <c r="B56" s="79" t="str">
        <f>'Data shares'!C51</f>
        <v>CUMMINSIND</v>
      </c>
      <c r="C56" s="4">
        <f>VLOOKUP($B56,'Data shares'!$C:$FB,7)</f>
        <v>4024</v>
      </c>
      <c r="D56" s="82">
        <f>VLOOKUP($B56,'Data shares'!$C:$FB,98)</f>
        <v>4070000</v>
      </c>
      <c r="E56" s="165">
        <f>VLOOKUP(B56,'Snapshot (Volume)'!$A$7:$G$168,7,0)</f>
        <v>3901800</v>
      </c>
      <c r="F56" s="165">
        <f t="shared" si="18"/>
        <v>168200</v>
      </c>
      <c r="G56" s="166">
        <f t="shared" si="19"/>
        <v>4.3108308985596394E-2</v>
      </c>
      <c r="H56" s="165">
        <f>VLOOKUP($B56,'Data shares'!$C:$FB,66)</f>
        <v>1408600</v>
      </c>
      <c r="I56" s="165">
        <f>VLOOKUP($B56,'Data shares'!$C:$FB,67)</f>
        <v>4511000</v>
      </c>
      <c r="J56" s="81">
        <f t="shared" si="20"/>
        <v>-68.774107736643771</v>
      </c>
      <c r="K56" s="5">
        <f>VLOOKUP($B56,'Data Vlaue (Cr)'!$C:$FB,99)</f>
        <v>1639</v>
      </c>
      <c r="L56" s="81">
        <f>VLOOKUP(B56,'OI(Value)'!$A$7:$C$226,3,0)</f>
        <v>68</v>
      </c>
      <c r="M56" s="33">
        <f t="shared" si="12"/>
        <v>4.1488712629652227</v>
      </c>
      <c r="N56" s="5">
        <f>VLOOKUP($B56,'Data Vlaue (Cr)'!$C:$FB,67)</f>
        <v>567</v>
      </c>
      <c r="O56" s="5">
        <f>VLOOKUP($B56,'Data Vlaue (Cr)'!$C:$FB,68)</f>
        <v>1816</v>
      </c>
      <c r="P56" s="5">
        <f t="shared" si="21"/>
        <v>-220.28218694885359</v>
      </c>
      <c r="Q56" s="1"/>
      <c r="R56" s="1"/>
      <c r="S56" s="1"/>
      <c r="T56" s="1"/>
      <c r="U56" s="1"/>
      <c r="V56" s="1"/>
      <c r="W56" s="1"/>
      <c r="X56" s="1"/>
      <c r="Y56" s="1"/>
      <c r="Z56" s="1"/>
      <c r="AA56" s="1"/>
      <c r="AB56" s="1"/>
      <c r="AC56" s="1"/>
      <c r="AD56" s="1"/>
      <c r="AE56" s="1"/>
      <c r="AF56" s="1"/>
      <c r="AG56" s="1"/>
      <c r="AH56" s="1"/>
      <c r="AI56" s="1"/>
      <c r="AJ56" s="1"/>
    </row>
    <row r="57" spans="1:36" x14ac:dyDescent="0.25">
      <c r="A57" s="79" t="str">
        <f>'Data shares'!B52</f>
        <v>FMCG</v>
      </c>
      <c r="B57" s="79" t="str">
        <f>'Data shares'!C52</f>
        <v>DABUR</v>
      </c>
      <c r="C57" s="4">
        <f>VLOOKUP($B57,'Data shares'!$C:$FB,7)</f>
        <v>515.75</v>
      </c>
      <c r="D57" s="82">
        <f>VLOOKUP($B57,'Data shares'!$C:$FB,98)</f>
        <v>32030000</v>
      </c>
      <c r="E57" s="165">
        <f>VLOOKUP(B57,'Snapshot (Volume)'!$A$7:$G$168,7,0)</f>
        <v>28552500</v>
      </c>
      <c r="F57" s="165">
        <f t="shared" si="18"/>
        <v>3477500</v>
      </c>
      <c r="G57" s="166">
        <f t="shared" si="19"/>
        <v>0.12179318798704142</v>
      </c>
      <c r="H57" s="165">
        <f>VLOOKUP($B57,'Data shares'!$C:$FB,66)</f>
        <v>18403750</v>
      </c>
      <c r="I57" s="165">
        <f>VLOOKUP($B57,'Data shares'!$C:$FB,67)</f>
        <v>21502500</v>
      </c>
      <c r="J57" s="81">
        <f t="shared" si="20"/>
        <v>-14.411114986629462</v>
      </c>
      <c r="K57" s="5">
        <f>VLOOKUP($B57,'Data Vlaue (Cr)'!$C:$FB,99)</f>
        <v>1658</v>
      </c>
      <c r="L57" s="81">
        <f>VLOOKUP(B57,'OI(Value)'!$A$7:$C$226,3,0)</f>
        <v>180</v>
      </c>
      <c r="M57" s="33">
        <f t="shared" si="12"/>
        <v>10.856453558504221</v>
      </c>
      <c r="N57" s="5">
        <f>VLOOKUP($B57,'Data Vlaue (Cr)'!$C:$FB,67)</f>
        <v>953</v>
      </c>
      <c r="O57" s="5">
        <f>VLOOKUP($B57,'Data Vlaue (Cr)'!$C:$FB,68)</f>
        <v>1113</v>
      </c>
      <c r="P57" s="5">
        <f t="shared" si="21"/>
        <v>-16.789087093389295</v>
      </c>
      <c r="Q57" s="1"/>
      <c r="R57" s="1"/>
      <c r="S57" s="1"/>
      <c r="T57" s="1"/>
      <c r="U57" s="1"/>
      <c r="V57" s="1"/>
      <c r="W57" s="1"/>
      <c r="X57" s="1"/>
      <c r="Y57" s="1"/>
      <c r="Z57" s="1"/>
      <c r="AA57" s="1"/>
      <c r="AB57" s="1"/>
      <c r="AC57" s="1"/>
      <c r="AD57" s="1"/>
      <c r="AE57" s="1"/>
      <c r="AF57" s="1"/>
      <c r="AG57" s="1"/>
      <c r="AH57" s="1"/>
      <c r="AI57" s="1"/>
      <c r="AJ57" s="1"/>
    </row>
    <row r="58" spans="1:36" x14ac:dyDescent="0.25">
      <c r="A58" s="79" t="str">
        <f>'Data shares'!B53</f>
        <v>Cement</v>
      </c>
      <c r="B58" s="79" t="str">
        <f>'Data shares'!C53</f>
        <v>DALBHARAT</v>
      </c>
      <c r="C58" s="4">
        <f>VLOOKUP($B58,'Data shares'!$C:$FB,7)</f>
        <v>2074.4</v>
      </c>
      <c r="D58" s="82">
        <f>VLOOKUP($B58,'Data shares'!$C:$FB,98)</f>
        <v>3726450</v>
      </c>
      <c r="E58" s="165">
        <f>VLOOKUP(B58,'Snapshot (Volume)'!$A$7:$G$168,7,0)</f>
        <v>3569150</v>
      </c>
      <c r="F58" s="165">
        <f t="shared" si="18"/>
        <v>157300</v>
      </c>
      <c r="G58" s="166">
        <f t="shared" si="19"/>
        <v>4.4072118011291204E-2</v>
      </c>
      <c r="H58" s="165">
        <f>VLOOKUP($B58,'Data shares'!$C:$FB,66)</f>
        <v>1412450</v>
      </c>
      <c r="I58" s="165">
        <f>VLOOKUP($B58,'Data shares'!$C:$FB,67)</f>
        <v>4783675</v>
      </c>
      <c r="J58" s="81">
        <f t="shared" si="20"/>
        <v>-70.473537604456823</v>
      </c>
      <c r="K58" s="5">
        <f>VLOOKUP($B58,'Data Vlaue (Cr)'!$C:$FB,99)</f>
        <v>778</v>
      </c>
      <c r="L58" s="81">
        <f>VLOOKUP(B58,'OI(Value)'!$A$7:$C$226,3,0)</f>
        <v>33</v>
      </c>
      <c r="M58" s="33">
        <f t="shared" si="12"/>
        <v>4.2416452442159382</v>
      </c>
      <c r="N58" s="5">
        <f>VLOOKUP($B58,'Data Vlaue (Cr)'!$C:$FB,67)</f>
        <v>295</v>
      </c>
      <c r="O58" s="5">
        <f>VLOOKUP($B58,'Data Vlaue (Cr)'!$C:$FB,68)</f>
        <v>999</v>
      </c>
      <c r="P58" s="5">
        <f t="shared" si="21"/>
        <v>-238.64406779661019</v>
      </c>
      <c r="Q58" s="1"/>
      <c r="R58" s="1"/>
      <c r="S58" s="1"/>
      <c r="T58" s="1"/>
      <c r="U58" s="1"/>
      <c r="V58" s="1"/>
      <c r="W58" s="1"/>
      <c r="X58" s="1"/>
      <c r="Y58" s="1"/>
      <c r="Z58" s="1"/>
      <c r="AA58" s="1"/>
      <c r="AB58" s="1"/>
      <c r="AC58" s="1"/>
      <c r="AD58" s="1"/>
      <c r="AE58" s="1"/>
      <c r="AF58" s="1"/>
      <c r="AG58" s="1"/>
      <c r="AH58" s="1"/>
      <c r="AI58" s="1"/>
      <c r="AJ58" s="1"/>
    </row>
    <row r="59" spans="1:36" x14ac:dyDescent="0.25">
      <c r="A59" s="79" t="str">
        <f>'Data shares'!B54</f>
        <v>New_Age</v>
      </c>
      <c r="B59" s="79" t="str">
        <f>'Data shares'!C54</f>
        <v>DELHIVERY</v>
      </c>
      <c r="C59" s="4">
        <f>VLOOKUP($B59,'Data shares'!$C:$FB,7)</f>
        <v>407.75</v>
      </c>
      <c r="D59" s="82">
        <f>VLOOKUP($B59,'Data shares'!$C:$FB,98)</f>
        <v>32546375</v>
      </c>
      <c r="E59" s="165">
        <f>VLOOKUP(B59,'Snapshot (Volume)'!$A$7:$G$168,7,0)</f>
        <v>28859100</v>
      </c>
      <c r="F59" s="165">
        <f t="shared" si="18"/>
        <v>3687275</v>
      </c>
      <c r="G59" s="166">
        <f t="shared" si="19"/>
        <v>0.12776819096922634</v>
      </c>
      <c r="H59" s="165">
        <f>VLOOKUP($B59,'Data shares'!$C:$FB,66)</f>
        <v>20069400</v>
      </c>
      <c r="I59" s="165">
        <f>VLOOKUP($B59,'Data shares'!$C:$FB,67)</f>
        <v>45056550</v>
      </c>
      <c r="J59" s="81">
        <f t="shared" si="20"/>
        <v>-55.457308648798012</v>
      </c>
      <c r="K59" s="5">
        <f>VLOOKUP($B59,'Data Vlaue (Cr)'!$C:$FB,99)</f>
        <v>1336</v>
      </c>
      <c r="L59" s="81">
        <f>VLOOKUP(B59,'OI(Value)'!$A$7:$C$226,3,0)</f>
        <v>151</v>
      </c>
      <c r="M59" s="33">
        <f t="shared" si="12"/>
        <v>11.302395209580839</v>
      </c>
      <c r="N59" s="5">
        <f>VLOOKUP($B59,'Data Vlaue (Cr)'!$C:$FB,67)</f>
        <v>824</v>
      </c>
      <c r="O59" s="5">
        <f>VLOOKUP($B59,'Data Vlaue (Cr)'!$C:$FB,68)</f>
        <v>1849</v>
      </c>
      <c r="P59" s="5">
        <f t="shared" si="21"/>
        <v>-124.39320388349515</v>
      </c>
      <c r="Q59" s="1"/>
      <c r="R59" s="1"/>
      <c r="S59" s="1"/>
      <c r="T59" s="1"/>
      <c r="U59" s="1"/>
      <c r="V59" s="1"/>
      <c r="W59" s="1"/>
      <c r="X59" s="1"/>
      <c r="Y59" s="1"/>
      <c r="Z59" s="1"/>
      <c r="AA59" s="1"/>
      <c r="AB59" s="1"/>
      <c r="AC59" s="1"/>
      <c r="AD59" s="1"/>
      <c r="AE59" s="1"/>
      <c r="AF59" s="1"/>
      <c r="AG59" s="1"/>
      <c r="AH59" s="1"/>
      <c r="AI59" s="1"/>
      <c r="AJ59" s="1"/>
    </row>
    <row r="60" spans="1:36" x14ac:dyDescent="0.25">
      <c r="A60" s="79" t="str">
        <f>'Data shares'!B55</f>
        <v>Pharma</v>
      </c>
      <c r="B60" s="79" t="str">
        <f>'Data shares'!C55</f>
        <v>DIVISLAB</v>
      </c>
      <c r="C60" s="4">
        <f>VLOOKUP($B60,'Data shares'!$C:$FB,7)</f>
        <v>6188</v>
      </c>
      <c r="D60" s="82">
        <f>VLOOKUP($B60,'Data shares'!$C:$FB,98)</f>
        <v>4063900</v>
      </c>
      <c r="E60" s="165">
        <f>VLOOKUP(B60,'Snapshot (Volume)'!$A$7:$G$168,7,0)</f>
        <v>3806300</v>
      </c>
      <c r="F60" s="165">
        <f t="shared" si="18"/>
        <v>257600</v>
      </c>
      <c r="G60" s="166">
        <f t="shared" si="19"/>
        <v>6.7677271891338042E-2</v>
      </c>
      <c r="H60" s="165">
        <f>VLOOKUP($B60,'Data shares'!$C:$FB,66)</f>
        <v>1400100</v>
      </c>
      <c r="I60" s="165">
        <f>VLOOKUP($B60,'Data shares'!$C:$FB,67)</f>
        <v>3134100</v>
      </c>
      <c r="J60" s="81">
        <f t="shared" si="20"/>
        <v>-55.326888101847416</v>
      </c>
      <c r="K60" s="5">
        <f>VLOOKUP($B60,'Data Vlaue (Cr)'!$C:$FB,99)</f>
        <v>2528</v>
      </c>
      <c r="L60" s="81">
        <f>VLOOKUP(B60,'OI(Value)'!$A$7:$C$226,3,0)</f>
        <v>160</v>
      </c>
      <c r="M60" s="33">
        <f t="shared" si="12"/>
        <v>6.3291139240506329</v>
      </c>
      <c r="N60" s="5">
        <f>VLOOKUP($B60,'Data Vlaue (Cr)'!$C:$FB,67)</f>
        <v>871</v>
      </c>
      <c r="O60" s="5">
        <f>VLOOKUP($B60,'Data Vlaue (Cr)'!$C:$FB,68)</f>
        <v>1950</v>
      </c>
      <c r="P60" s="5">
        <f t="shared" si="21"/>
        <v>-123.88059701492537</v>
      </c>
      <c r="Q60" s="1"/>
      <c r="R60" s="1"/>
      <c r="S60" s="1"/>
      <c r="T60" s="1"/>
      <c r="U60" s="1"/>
      <c r="V60" s="1"/>
      <c r="W60" s="1"/>
      <c r="X60" s="1"/>
      <c r="Y60" s="1"/>
      <c r="Z60" s="1"/>
      <c r="AA60" s="1"/>
      <c r="AB60" s="1"/>
      <c r="AC60" s="1"/>
      <c r="AD60" s="1"/>
      <c r="AE60" s="1"/>
      <c r="AF60" s="1"/>
      <c r="AG60" s="1"/>
      <c r="AH60" s="1"/>
      <c r="AI60" s="1"/>
      <c r="AJ60" s="1"/>
    </row>
    <row r="61" spans="1:36" x14ac:dyDescent="0.25">
      <c r="A61" s="79" t="str">
        <f>'Data shares'!B56</f>
        <v>Capital_Goods</v>
      </c>
      <c r="B61" s="79" t="str">
        <f>'Data shares'!C56</f>
        <v>DIXON</v>
      </c>
      <c r="C61" s="4">
        <f>VLOOKUP($B61,'Data shares'!$C:$FB,7)</f>
        <v>10279</v>
      </c>
      <c r="D61" s="82">
        <f>VLOOKUP($B61,'Data shares'!$C:$FB,98)</f>
        <v>4802450</v>
      </c>
      <c r="E61" s="165">
        <f>VLOOKUP(B61,'Snapshot (Volume)'!$A$7:$G$168,7,0)</f>
        <v>4422350</v>
      </c>
      <c r="F61" s="165">
        <f t="shared" si="18"/>
        <v>380100</v>
      </c>
      <c r="G61" s="166">
        <f t="shared" si="19"/>
        <v>8.5949777833052562E-2</v>
      </c>
      <c r="H61" s="165">
        <f>VLOOKUP($B61,'Data shares'!$C:$FB,66)</f>
        <v>3072000</v>
      </c>
      <c r="I61" s="165">
        <f>VLOOKUP($B61,'Data shares'!$C:$FB,67)</f>
        <v>11831400</v>
      </c>
      <c r="J61" s="81">
        <f t="shared" si="20"/>
        <v>-74.035194482478829</v>
      </c>
      <c r="K61" s="5">
        <f>VLOOKUP($B61,'Data Vlaue (Cr)'!$C:$FB,99)</f>
        <v>4958</v>
      </c>
      <c r="L61" s="81">
        <f>VLOOKUP(B61,'OI(Value)'!$A$7:$C$226,3,0)</f>
        <v>392</v>
      </c>
      <c r="M61" s="33">
        <f t="shared" si="12"/>
        <v>7.9064138765631302</v>
      </c>
      <c r="N61" s="5">
        <f>VLOOKUP($B61,'Data Vlaue (Cr)'!$C:$FB,67)</f>
        <v>3172</v>
      </c>
      <c r="O61" s="5">
        <f>VLOOKUP($B61,'Data Vlaue (Cr)'!$C:$FB,68)</f>
        <v>12215</v>
      </c>
      <c r="P61" s="5">
        <f t="shared" si="21"/>
        <v>-285.08827238335437</v>
      </c>
      <c r="Q61" s="1"/>
      <c r="R61" s="1"/>
      <c r="S61" s="1"/>
      <c r="T61" s="1"/>
      <c r="U61" s="1"/>
      <c r="V61" s="1"/>
      <c r="W61" s="1"/>
      <c r="X61" s="1"/>
      <c r="Y61" s="1"/>
      <c r="Z61" s="1"/>
      <c r="AA61" s="1"/>
      <c r="AB61" s="1"/>
      <c r="AC61" s="1"/>
      <c r="AD61" s="1"/>
      <c r="AE61" s="1"/>
      <c r="AF61" s="1"/>
      <c r="AG61" s="1"/>
      <c r="AH61" s="1"/>
      <c r="AI61" s="1"/>
      <c r="AJ61" s="1"/>
    </row>
    <row r="62" spans="1:36" x14ac:dyDescent="0.25">
      <c r="A62" s="79" t="str">
        <f>'Data shares'!B57</f>
        <v>Realty</v>
      </c>
      <c r="B62" s="79" t="str">
        <f>'Data shares'!C57</f>
        <v>DLF</v>
      </c>
      <c r="C62" s="4">
        <f>VLOOKUP($B62,'Data shares'!$C:$FB,7)</f>
        <v>625.54999999999995</v>
      </c>
      <c r="D62" s="82">
        <f>VLOOKUP($B62,'Data shares'!$C:$FB,98)</f>
        <v>77661375</v>
      </c>
      <c r="E62" s="165">
        <f>VLOOKUP(B62,'Snapshot (Volume)'!$A$7:$G$168,7,0)</f>
        <v>76443675</v>
      </c>
      <c r="F62" s="165">
        <f t="shared" si="18"/>
        <v>1217700</v>
      </c>
      <c r="G62" s="166"/>
      <c r="H62" s="165">
        <f>VLOOKUP($B62,'Data shares'!$C:$FB,66)</f>
        <v>43168950</v>
      </c>
      <c r="I62" s="165">
        <f>VLOOKUP($B62,'Data shares'!$C:$FB,67)</f>
        <v>83361300</v>
      </c>
      <c r="J62" s="81"/>
      <c r="K62" s="5">
        <f>VLOOKUP($B62,'Data Vlaue (Cr)'!$C:$FB,99)</f>
        <v>4880</v>
      </c>
      <c r="L62" s="81">
        <f>VLOOKUP(B62,'OI(Value)'!$A$7:$C$226,3,0)</f>
        <v>77</v>
      </c>
      <c r="M62" s="33"/>
      <c r="N62" s="5">
        <f>VLOOKUP($B62,'Data Vlaue (Cr)'!$C:$FB,67)</f>
        <v>2713</v>
      </c>
      <c r="O62" s="5">
        <f>VLOOKUP($B62,'Data Vlaue (Cr)'!$C:$FB,68)</f>
        <v>5238</v>
      </c>
      <c r="P62" s="5"/>
      <c r="Q62" s="1"/>
      <c r="R62" s="1"/>
      <c r="S62" s="1"/>
      <c r="T62" s="1"/>
      <c r="U62" s="1"/>
      <c r="V62" s="1"/>
      <c r="W62" s="1"/>
      <c r="X62" s="1"/>
      <c r="Y62" s="1"/>
      <c r="Z62" s="1"/>
      <c r="AA62" s="1"/>
      <c r="AB62" s="1"/>
      <c r="AC62" s="1"/>
      <c r="AD62" s="1"/>
      <c r="AE62" s="1"/>
      <c r="AF62" s="1"/>
      <c r="AG62" s="1"/>
      <c r="AH62" s="1"/>
      <c r="AI62" s="1"/>
      <c r="AJ62" s="1"/>
    </row>
    <row r="63" spans="1:36" x14ac:dyDescent="0.25">
      <c r="A63" s="79" t="str">
        <f>'Data shares'!B58</f>
        <v>New_Age</v>
      </c>
      <c r="B63" s="79" t="str">
        <f>'Data shares'!C58</f>
        <v>DMART</v>
      </c>
      <c r="C63" s="4">
        <f>VLOOKUP($B63,'Data shares'!$C:$FB,7)</f>
        <v>3735.7</v>
      </c>
      <c r="D63" s="82">
        <f>VLOOKUP($B63,'Data shares'!$C:$FB,98)</f>
        <v>7014300</v>
      </c>
      <c r="E63" s="165">
        <f>VLOOKUP(B63,'Snapshot (Volume)'!$A$7:$G$168,7,0)</f>
        <v>6261750</v>
      </c>
      <c r="F63" s="165">
        <f t="shared" si="18"/>
        <v>752550</v>
      </c>
      <c r="G63" s="166">
        <f t="shared" si="19"/>
        <v>0.12018205773146484</v>
      </c>
      <c r="H63" s="165">
        <f>VLOOKUP($B63,'Data shares'!$C:$FB,66)</f>
        <v>3515100</v>
      </c>
      <c r="I63" s="165">
        <f>VLOOKUP($B63,'Data shares'!$C:$FB,67)</f>
        <v>6192450</v>
      </c>
      <c r="J63" s="81">
        <f t="shared" si="20"/>
        <v>-43.235714458736041</v>
      </c>
      <c r="K63" s="5">
        <f>VLOOKUP($B63,'Data Vlaue (Cr)'!$C:$FB,99)</f>
        <v>2619</v>
      </c>
      <c r="L63" s="81">
        <f>VLOOKUP(B63,'OI(Value)'!$A$7:$C$226,3,0)</f>
        <v>281</v>
      </c>
      <c r="M63" s="33">
        <f t="shared" si="12"/>
        <v>10.729285987017946</v>
      </c>
      <c r="N63" s="5">
        <f>VLOOKUP($B63,'Data Vlaue (Cr)'!$C:$FB,67)</f>
        <v>1312</v>
      </c>
      <c r="O63" s="5">
        <f>VLOOKUP($B63,'Data Vlaue (Cr)'!$C:$FB,68)</f>
        <v>2312</v>
      </c>
      <c r="P63" s="5">
        <f t="shared" si="21"/>
        <v>-76.219512195121951</v>
      </c>
      <c r="Q63" s="1"/>
      <c r="R63" s="1"/>
      <c r="S63" s="1"/>
      <c r="T63" s="1"/>
      <c r="U63" s="1"/>
      <c r="V63" s="1"/>
      <c r="W63" s="1"/>
      <c r="X63" s="1"/>
      <c r="Y63" s="1"/>
      <c r="Z63" s="1"/>
      <c r="AA63" s="1"/>
      <c r="AB63" s="1"/>
      <c r="AC63" s="1"/>
      <c r="AD63" s="1"/>
      <c r="AE63" s="1"/>
      <c r="AF63" s="1"/>
      <c r="AG63" s="1"/>
      <c r="AH63" s="1"/>
      <c r="AI63" s="1"/>
      <c r="AJ63" s="1"/>
    </row>
    <row r="64" spans="1:36" x14ac:dyDescent="0.25">
      <c r="A64" s="79" t="str">
        <f>'Data shares'!B59</f>
        <v>Pharma</v>
      </c>
      <c r="B64" s="79" t="str">
        <f>'Data shares'!C59</f>
        <v>DRREDDY</v>
      </c>
      <c r="C64" s="4">
        <f>VLOOKUP($B64,'Data shares'!$C:$FB,7)</f>
        <v>1222.5</v>
      </c>
      <c r="D64" s="82">
        <f>VLOOKUP($B64,'Data shares'!$C:$FB,98)</f>
        <v>19517500</v>
      </c>
      <c r="E64" s="165">
        <f>VLOOKUP(B64,'Snapshot (Volume)'!$A$7:$G$168,7,0)</f>
        <v>18408750</v>
      </c>
      <c r="F64" s="165">
        <f t="shared" si="18"/>
        <v>1108750</v>
      </c>
      <c r="G64" s="166">
        <f t="shared" si="19"/>
        <v>6.0229510423032526E-2</v>
      </c>
      <c r="H64" s="165">
        <f>VLOOKUP($B64,'Data shares'!$C:$FB,66)</f>
        <v>10651250</v>
      </c>
      <c r="I64" s="165">
        <f>VLOOKUP($B64,'Data shares'!$C:$FB,67)</f>
        <v>25051250</v>
      </c>
      <c r="J64" s="81">
        <f t="shared" si="20"/>
        <v>-57.482161568783994</v>
      </c>
      <c r="K64" s="5">
        <f>VLOOKUP($B64,'Data Vlaue (Cr)'!$C:$FB,99)</f>
        <v>2401</v>
      </c>
      <c r="L64" s="81">
        <f>VLOOKUP(B64,'OI(Value)'!$A$7:$C$226,3,0)</f>
        <v>136</v>
      </c>
      <c r="M64" s="33">
        <f t="shared" si="12"/>
        <v>5.6643065389421068</v>
      </c>
      <c r="N64" s="5">
        <f>VLOOKUP($B64,'Data Vlaue (Cr)'!$C:$FB,67)</f>
        <v>1311</v>
      </c>
      <c r="O64" s="5">
        <f>VLOOKUP($B64,'Data Vlaue (Cr)'!$C:$FB,68)</f>
        <v>3082</v>
      </c>
      <c r="P64" s="5">
        <f t="shared" si="21"/>
        <v>-135.08771929824562</v>
      </c>
      <c r="Q64" s="1"/>
      <c r="R64" s="1"/>
      <c r="S64" s="1"/>
      <c r="T64" s="1"/>
      <c r="U64" s="1"/>
      <c r="V64" s="1"/>
      <c r="W64" s="1"/>
      <c r="X64" s="1"/>
      <c r="Y64" s="1"/>
      <c r="Z64" s="1"/>
      <c r="AA64" s="1"/>
      <c r="AB64" s="1"/>
      <c r="AC64" s="1"/>
      <c r="AD64" s="1"/>
      <c r="AE64" s="1"/>
      <c r="AF64" s="1"/>
      <c r="AG64" s="1"/>
      <c r="AH64" s="1"/>
      <c r="AI64" s="1"/>
      <c r="AJ64" s="1"/>
    </row>
    <row r="65" spans="1:36" x14ac:dyDescent="0.25">
      <c r="A65" s="79" t="str">
        <f>'Data shares'!B60</f>
        <v>Automobile</v>
      </c>
      <c r="B65" s="79" t="str">
        <f>'Data shares'!C60</f>
        <v>EICHERMOT</v>
      </c>
      <c r="C65" s="4">
        <f>VLOOKUP($B65,'Data shares'!$C:$FB,7)</f>
        <v>7071</v>
      </c>
      <c r="D65" s="82">
        <f>VLOOKUP($B65,'Data shares'!$C:$FB,98)</f>
        <v>4527900</v>
      </c>
      <c r="E65" s="165">
        <f>VLOOKUP(B65,'Snapshot (Volume)'!$A$7:$G$168,7,0)</f>
        <v>4069000</v>
      </c>
      <c r="F65" s="165">
        <f t="shared" si="18"/>
        <v>458900</v>
      </c>
      <c r="G65" s="166">
        <f t="shared" si="19"/>
        <v>0.11277955271565496</v>
      </c>
      <c r="H65" s="165">
        <f>VLOOKUP($B65,'Data shares'!$C:$FB,66)</f>
        <v>6874900</v>
      </c>
      <c r="I65" s="165">
        <f>VLOOKUP($B65,'Data shares'!$C:$FB,67)</f>
        <v>4875300</v>
      </c>
      <c r="J65" s="81">
        <f t="shared" si="20"/>
        <v>41.014911902857257</v>
      </c>
      <c r="K65" s="5">
        <f>VLOOKUP($B65,'Data Vlaue (Cr)'!$C:$FB,99)</f>
        <v>3222</v>
      </c>
      <c r="L65" s="81">
        <f>VLOOKUP(B65,'OI(Value)'!$A$7:$C$226,3,0)</f>
        <v>327</v>
      </c>
      <c r="M65" s="33">
        <f t="shared" si="12"/>
        <v>10.148975791433893</v>
      </c>
      <c r="N65" s="5">
        <f>VLOOKUP($B65,'Data Vlaue (Cr)'!$C:$FB,67)</f>
        <v>4892</v>
      </c>
      <c r="O65" s="5">
        <f>VLOOKUP($B65,'Data Vlaue (Cr)'!$C:$FB,68)</f>
        <v>3469</v>
      </c>
      <c r="P65" s="5">
        <f t="shared" si="21"/>
        <v>29.088307440719539</v>
      </c>
      <c r="Q65" s="1"/>
      <c r="R65" s="1"/>
      <c r="S65" s="1"/>
      <c r="T65" s="1"/>
      <c r="U65" s="1"/>
      <c r="V65" s="1"/>
      <c r="W65" s="1"/>
      <c r="X65" s="1"/>
      <c r="Y65" s="1"/>
      <c r="Z65" s="1"/>
      <c r="AA65" s="1"/>
      <c r="AB65" s="1"/>
      <c r="AC65" s="1"/>
      <c r="AD65" s="1"/>
      <c r="AE65" s="1"/>
      <c r="AF65" s="1"/>
      <c r="AG65" s="1"/>
      <c r="AH65" s="1"/>
      <c r="AI65" s="1"/>
      <c r="AJ65" s="1"/>
    </row>
    <row r="66" spans="1:36" x14ac:dyDescent="0.25">
      <c r="A66" s="79" t="str">
        <f>'Data shares'!B61</f>
        <v>New_Age</v>
      </c>
      <c r="B66" s="79" t="str">
        <f>'Data shares'!C61</f>
        <v>ETERNAL</v>
      </c>
      <c r="C66" s="4">
        <f>VLOOKUP($B66,'Data shares'!$C:$FB,7)</f>
        <v>266.3</v>
      </c>
      <c r="D66" s="82">
        <f>VLOOKUP($B66,'Data shares'!$C:$FB,98)</f>
        <v>430507825</v>
      </c>
      <c r="E66" s="165">
        <f>VLOOKUP(B66,'Snapshot (Volume)'!$A$7:$G$168,7,0)</f>
        <v>433427525</v>
      </c>
      <c r="F66" s="165">
        <f t="shared" si="18"/>
        <v>-2919700</v>
      </c>
      <c r="G66" s="166">
        <f t="shared" si="19"/>
        <v>-6.7363049912439223E-3</v>
      </c>
      <c r="H66" s="165">
        <f>VLOOKUP($B66,'Data shares'!$C:$FB,66)</f>
        <v>291337075</v>
      </c>
      <c r="I66" s="165">
        <f>VLOOKUP($B66,'Data shares'!$C:$FB,67)</f>
        <v>495425075</v>
      </c>
      <c r="J66" s="81">
        <f t="shared" si="20"/>
        <v>-41.194523712793504</v>
      </c>
      <c r="K66" s="5">
        <f>VLOOKUP($B66,'Data Vlaue (Cr)'!$C:$FB,99)</f>
        <v>11510</v>
      </c>
      <c r="L66" s="81">
        <f>VLOOKUP(B66,'OI(Value)'!$A$7:$C$226,3,0)</f>
        <v>-78</v>
      </c>
      <c r="M66" s="33">
        <f t="shared" ref="M66:M93" si="22">L66/K66*100</f>
        <v>-0.6776715899218072</v>
      </c>
      <c r="N66" s="5">
        <f>VLOOKUP($B66,'Data Vlaue (Cr)'!$C:$FB,67)</f>
        <v>7789</v>
      </c>
      <c r="O66" s="5">
        <f>VLOOKUP($B66,'Data Vlaue (Cr)'!$C:$FB,68)</f>
        <v>13245</v>
      </c>
      <c r="P66" s="5">
        <f t="shared" si="21"/>
        <v>-70.047502888689166</v>
      </c>
      <c r="Q66" s="1"/>
      <c r="R66" s="1"/>
      <c r="S66" s="1"/>
      <c r="T66" s="1"/>
      <c r="U66" s="1"/>
      <c r="V66" s="1"/>
      <c r="W66" s="1"/>
      <c r="X66" s="1"/>
      <c r="Y66" s="1"/>
      <c r="Z66" s="1"/>
      <c r="AA66" s="1"/>
      <c r="AB66" s="1"/>
      <c r="AC66" s="1"/>
      <c r="AD66" s="1"/>
      <c r="AE66" s="1"/>
      <c r="AF66" s="1"/>
      <c r="AG66" s="1"/>
      <c r="AH66" s="1"/>
      <c r="AI66" s="1"/>
      <c r="AJ66" s="1"/>
    </row>
    <row r="67" spans="1:36" x14ac:dyDescent="0.25">
      <c r="A67" s="79" t="str">
        <f>'Data shares'!B62</f>
        <v>Automobile</v>
      </c>
      <c r="B67" s="79" t="str">
        <f>'Data shares'!C62</f>
        <v>EXIDEIND</v>
      </c>
      <c r="C67" s="4">
        <f>VLOOKUP($B67,'Data shares'!$C:$FB,7)</f>
        <v>321.14999999999998</v>
      </c>
      <c r="D67" s="82">
        <f>VLOOKUP($B67,'Data shares'!$C:$FB,98)</f>
        <v>47230200</v>
      </c>
      <c r="E67" s="165">
        <f>VLOOKUP(B67,'Snapshot (Volume)'!$A$7:$G$168,7,0)</f>
        <v>42498000</v>
      </c>
      <c r="F67" s="165">
        <f t="shared" si="18"/>
        <v>4732200</v>
      </c>
      <c r="G67" s="166">
        <f t="shared" si="19"/>
        <v>0.11135112240576027</v>
      </c>
      <c r="H67" s="165">
        <f>VLOOKUP($B67,'Data shares'!$C:$FB,66)</f>
        <v>15634800</v>
      </c>
      <c r="I67" s="165">
        <f>VLOOKUP($B67,'Data shares'!$C:$FB,67)</f>
        <v>52356600</v>
      </c>
      <c r="J67" s="81">
        <f t="shared" si="20"/>
        <v>-70.137862275243236</v>
      </c>
      <c r="K67" s="5">
        <f>VLOOKUP($B67,'Data Vlaue (Cr)'!$C:$FB,99)</f>
        <v>1527</v>
      </c>
      <c r="L67" s="81">
        <f>VLOOKUP(B67,'OI(Value)'!$A$7:$C$226,3,0)</f>
        <v>153</v>
      </c>
      <c r="M67" s="33">
        <f t="shared" si="22"/>
        <v>10.019646365422396</v>
      </c>
      <c r="N67" s="5">
        <f>VLOOKUP($B67,'Data Vlaue (Cr)'!$C:$FB,67)</f>
        <v>506</v>
      </c>
      <c r="O67" s="5">
        <f>VLOOKUP($B67,'Data Vlaue (Cr)'!$C:$FB,68)</f>
        <v>1693</v>
      </c>
      <c r="P67" s="5">
        <f t="shared" si="21"/>
        <v>-234.58498023715416</v>
      </c>
      <c r="Q67" s="1"/>
      <c r="R67" s="1"/>
      <c r="S67" s="1"/>
      <c r="T67" s="1"/>
      <c r="U67" s="1"/>
      <c r="V67" s="1"/>
      <c r="W67" s="1"/>
      <c r="X67" s="1"/>
      <c r="Y67" s="1"/>
      <c r="Z67" s="1"/>
      <c r="AA67" s="1"/>
      <c r="AB67" s="1"/>
      <c r="AC67" s="1"/>
      <c r="AD67" s="1"/>
      <c r="AE67" s="1"/>
      <c r="AF67" s="1"/>
      <c r="AG67" s="1"/>
      <c r="AH67" s="1"/>
      <c r="AI67" s="1"/>
      <c r="AJ67" s="1"/>
    </row>
    <row r="68" spans="1:36" x14ac:dyDescent="0.25">
      <c r="A68" s="79" t="str">
        <f>'Data shares'!B63</f>
        <v>Banking</v>
      </c>
      <c r="B68" s="79" t="str">
        <f>'Data shares'!C63</f>
        <v>FEDERALBNK</v>
      </c>
      <c r="C68" s="4">
        <f>VLOOKUP($B68,'Data shares'!$C:$FB,7)</f>
        <v>284.45</v>
      </c>
      <c r="D68" s="82">
        <f>VLOOKUP($B68,'Data shares'!$C:$FB,98)</f>
        <v>99485000</v>
      </c>
      <c r="E68" s="165">
        <f>VLOOKUP(B68,'Snapshot (Volume)'!$A$7:$G$168,7,0)</f>
        <v>95870000</v>
      </c>
      <c r="F68" s="165">
        <f t="shared" si="18"/>
        <v>3615000</v>
      </c>
      <c r="G68" s="166">
        <f t="shared" si="19"/>
        <v>3.7707311984979661E-2</v>
      </c>
      <c r="H68" s="165">
        <f>VLOOKUP($B68,'Data shares'!$C:$FB,66)</f>
        <v>71345000</v>
      </c>
      <c r="I68" s="165">
        <f>VLOOKUP($B68,'Data shares'!$C:$FB,67)</f>
        <v>137905000</v>
      </c>
      <c r="J68" s="81">
        <f t="shared" si="20"/>
        <v>-48.265110039519961</v>
      </c>
      <c r="K68" s="5">
        <f>VLOOKUP($B68,'Data Vlaue (Cr)'!$C:$FB,99)</f>
        <v>2846</v>
      </c>
      <c r="L68" s="81">
        <f>VLOOKUP(B68,'OI(Value)'!$A$7:$C$226,3,0)</f>
        <v>103</v>
      </c>
      <c r="M68" s="33">
        <f t="shared" si="22"/>
        <v>3.6191145467322556</v>
      </c>
      <c r="N68" s="5">
        <f>VLOOKUP($B68,'Data Vlaue (Cr)'!$C:$FB,67)</f>
        <v>2041</v>
      </c>
      <c r="O68" s="5">
        <f>VLOOKUP($B68,'Data Vlaue (Cr)'!$C:$FB,68)</f>
        <v>3945</v>
      </c>
      <c r="P68" s="5">
        <f t="shared" si="21"/>
        <v>-93.287604115629591</v>
      </c>
      <c r="Q68" s="1"/>
      <c r="R68" s="1"/>
      <c r="S68" s="1"/>
      <c r="T68" s="1"/>
      <c r="U68" s="1"/>
      <c r="V68" s="1"/>
      <c r="W68" s="1"/>
      <c r="X68" s="1"/>
      <c r="Y68" s="1"/>
      <c r="Z68" s="1"/>
      <c r="AA68" s="1"/>
      <c r="AB68" s="1"/>
      <c r="AC68" s="1"/>
      <c r="AD68" s="1"/>
      <c r="AE68" s="1"/>
      <c r="AF68" s="1"/>
      <c r="AG68" s="1"/>
      <c r="AH68" s="1"/>
      <c r="AI68" s="1"/>
      <c r="AJ68" s="1"/>
    </row>
    <row r="69" spans="1:36" x14ac:dyDescent="0.25">
      <c r="A69" s="79" t="str">
        <f>'Data shares'!B64</f>
        <v>Index</v>
      </c>
      <c r="B69" s="79" t="str">
        <f>'Data shares'!C64</f>
        <v>FINNIFTY</v>
      </c>
      <c r="C69" s="79">
        <f>VLOOKUP($B69,'Data shares'!$C:$FB,7)</f>
        <v>27335.200000000001</v>
      </c>
      <c r="D69" s="165">
        <f>VLOOKUP($B69,'Data shares'!$C:$FB,98)</f>
        <v>265860</v>
      </c>
      <c r="E69" s="165">
        <f>VLOOKUP(B69,'Snapshot (Volume)'!$A$7:$G$168,7,0)</f>
        <v>129420</v>
      </c>
      <c r="F69" s="165">
        <f t="shared" ref="F69:F85" si="23">D69-E69</f>
        <v>136440</v>
      </c>
      <c r="G69" s="166">
        <f t="shared" ref="G69:G85" si="24">F69/E69</f>
        <v>1.0542420027816413</v>
      </c>
      <c r="H69" s="165">
        <f>VLOOKUP($B69,'Data shares'!$C:$FB,66)</f>
        <v>1073220</v>
      </c>
      <c r="I69" s="165">
        <f>VLOOKUP($B69,'Data shares'!$C:$FB,67)</f>
        <v>244676640</v>
      </c>
      <c r="J69" s="81">
        <f t="shared" ref="J69:J85" si="25">(H69-I69)/I69*100</f>
        <v>-99.561372103197101</v>
      </c>
      <c r="K69" s="81">
        <f>VLOOKUP($B69,'Data Vlaue (Cr)'!$C:$FB,99)</f>
        <v>730</v>
      </c>
      <c r="L69" s="81">
        <f>VLOOKUP(B69,'OI(Value)'!$A$7:$C$226,3,0)</f>
        <v>374</v>
      </c>
      <c r="M69" s="81">
        <f t="shared" si="22"/>
        <v>51.232876712328768</v>
      </c>
      <c r="N69" s="81">
        <f>VLOOKUP($B69,'Data Vlaue (Cr)'!$C:$FB,67)</f>
        <v>2945</v>
      </c>
      <c r="O69" s="81">
        <f>VLOOKUP($B69,'Data Vlaue (Cr)'!$C:$FB,68)</f>
        <v>671525</v>
      </c>
      <c r="P69" s="81">
        <f t="shared" ref="P69:P85" si="26">(N69-O69)/N69*100</f>
        <v>-22702.20713073005</v>
      </c>
      <c r="Q69" s="1"/>
      <c r="R69" s="1"/>
      <c r="S69" s="1"/>
      <c r="T69" s="1"/>
      <c r="U69" s="1"/>
      <c r="V69" s="1"/>
      <c r="W69" s="1"/>
      <c r="X69" s="1"/>
      <c r="Y69" s="1"/>
      <c r="Z69" s="1"/>
      <c r="AA69" s="1"/>
      <c r="AB69" s="1"/>
      <c r="AC69" s="1"/>
      <c r="AD69" s="1"/>
      <c r="AE69" s="1"/>
      <c r="AF69" s="1"/>
      <c r="AG69" s="1"/>
      <c r="AH69" s="1"/>
      <c r="AI69" s="1"/>
      <c r="AJ69" s="1"/>
    </row>
    <row r="70" spans="1:36" x14ac:dyDescent="0.25">
      <c r="A70" s="79" t="str">
        <f>'Data shares'!B65</f>
        <v>Pharma</v>
      </c>
      <c r="B70" s="79" t="str">
        <f>'Data shares'!C65</f>
        <v>FORTIS</v>
      </c>
      <c r="C70" s="79">
        <f>VLOOKUP($B70,'Data shares'!$C:$FB,7)</f>
        <v>849.05</v>
      </c>
      <c r="D70" s="165">
        <f>VLOOKUP($B70,'Data shares'!$C:$FB,98)</f>
        <v>13844600</v>
      </c>
      <c r="E70" s="165">
        <f>VLOOKUP(B70,'Snapshot (Volume)'!$A$7:$G$168,7,0)</f>
        <v>13347050</v>
      </c>
      <c r="F70" s="165">
        <f t="shared" si="23"/>
        <v>497550</v>
      </c>
      <c r="G70" s="166">
        <f t="shared" si="24"/>
        <v>3.7277900360004647E-2</v>
      </c>
      <c r="H70" s="165">
        <f>VLOOKUP($B70,'Data shares'!$C:$FB,66)</f>
        <v>3692875</v>
      </c>
      <c r="I70" s="165">
        <f>VLOOKUP($B70,'Data shares'!$C:$FB,67)</f>
        <v>13476475</v>
      </c>
      <c r="J70" s="81">
        <f t="shared" si="25"/>
        <v>-72.597619184541955</v>
      </c>
      <c r="K70" s="81">
        <f>VLOOKUP($B70,'Data Vlaue (Cr)'!$C:$FB,99)</f>
        <v>1180</v>
      </c>
      <c r="L70" s="81">
        <f>VLOOKUP(B70,'OI(Value)'!$A$7:$C$226,3,0)</f>
        <v>42</v>
      </c>
      <c r="M70" s="81">
        <f t="shared" si="22"/>
        <v>3.5593220338983054</v>
      </c>
      <c r="N70" s="81">
        <f>VLOOKUP($B70,'Data Vlaue (Cr)'!$C:$FB,67)</f>
        <v>315</v>
      </c>
      <c r="O70" s="81">
        <f>VLOOKUP($B70,'Data Vlaue (Cr)'!$C:$FB,68)</f>
        <v>1148</v>
      </c>
      <c r="P70" s="81">
        <f t="shared" si="26"/>
        <v>-264.44444444444446</v>
      </c>
      <c r="Q70" s="1"/>
      <c r="R70" s="1"/>
      <c r="S70" s="1"/>
      <c r="T70" s="1"/>
      <c r="U70" s="1"/>
      <c r="V70" s="1"/>
      <c r="W70" s="1"/>
      <c r="X70" s="1"/>
      <c r="Y70" s="1"/>
      <c r="Z70" s="1"/>
      <c r="AA70" s="1"/>
      <c r="AB70" s="1"/>
      <c r="AC70" s="1"/>
      <c r="AD70" s="1"/>
      <c r="AE70" s="1"/>
      <c r="AF70" s="1"/>
      <c r="AG70" s="1"/>
      <c r="AH70" s="1"/>
      <c r="AI70" s="1"/>
      <c r="AJ70" s="1"/>
    </row>
    <row r="71" spans="1:36" x14ac:dyDescent="0.25">
      <c r="A71" s="79" t="str">
        <f>'Data shares'!B66</f>
        <v>Oil_Gas</v>
      </c>
      <c r="B71" s="79" t="str">
        <f>'Data shares'!C66</f>
        <v>GAIL</v>
      </c>
      <c r="C71" s="4">
        <f>VLOOKUP($B71,'Data shares'!$C:$FB,7)</f>
        <v>168.14</v>
      </c>
      <c r="D71" s="82">
        <f>VLOOKUP($B71,'Data shares'!$C:$FB,98)</f>
        <v>144392850</v>
      </c>
      <c r="E71" s="165">
        <f>VLOOKUP(B71,'Snapshot (Volume)'!$A$7:$G$168,7,0)</f>
        <v>133708050</v>
      </c>
      <c r="F71" s="165">
        <f t="shared" si="23"/>
        <v>10684800</v>
      </c>
      <c r="G71" s="166">
        <f t="shared" si="24"/>
        <v>7.9911418945979695E-2</v>
      </c>
      <c r="H71" s="165">
        <f>VLOOKUP($B71,'Data shares'!$C:$FB,66)</f>
        <v>110105100</v>
      </c>
      <c r="I71" s="165">
        <f>VLOOKUP($B71,'Data shares'!$C:$FB,67)</f>
        <v>152781300</v>
      </c>
      <c r="J71" s="81">
        <f t="shared" si="25"/>
        <v>-27.932868747680505</v>
      </c>
      <c r="K71" s="5">
        <f>VLOOKUP($B71,'Data Vlaue (Cr)'!$C:$FB,99)</f>
        <v>2438</v>
      </c>
      <c r="L71" s="81">
        <f>VLOOKUP(B71,'OI(Value)'!$A$7:$C$226,3,0)</f>
        <v>180</v>
      </c>
      <c r="M71" s="33">
        <f t="shared" si="22"/>
        <v>7.3831009023789989</v>
      </c>
      <c r="N71" s="5">
        <f>VLOOKUP($B71,'Data Vlaue (Cr)'!$C:$FB,67)</f>
        <v>1859</v>
      </c>
      <c r="O71" s="5">
        <f>VLOOKUP($B71,'Data Vlaue (Cr)'!$C:$FB,68)</f>
        <v>2580</v>
      </c>
      <c r="P71" s="5">
        <f t="shared" si="26"/>
        <v>-38.78429263044648</v>
      </c>
      <c r="Q71" s="1"/>
      <c r="R71" s="1"/>
      <c r="S71" s="1"/>
      <c r="T71" s="1"/>
      <c r="U71" s="1"/>
      <c r="V71" s="1"/>
      <c r="W71" s="1"/>
      <c r="X71" s="1"/>
      <c r="Y71" s="1"/>
      <c r="Z71" s="1"/>
      <c r="AA71" s="1"/>
      <c r="AB71" s="1"/>
      <c r="AC71" s="1"/>
      <c r="AD71" s="1"/>
      <c r="AE71" s="1"/>
      <c r="AF71" s="1"/>
      <c r="AG71" s="1"/>
      <c r="AH71" s="1"/>
      <c r="AI71" s="1"/>
      <c r="AJ71" s="1"/>
    </row>
    <row r="72" spans="1:36" x14ac:dyDescent="0.25">
      <c r="A72" s="79" t="str">
        <f>'Data shares'!B67</f>
        <v>Pharma</v>
      </c>
      <c r="B72" s="79" t="str">
        <f>'Data shares'!C67</f>
        <v>GLENMARK</v>
      </c>
      <c r="C72" s="4">
        <f>VLOOKUP($B72,'Data shares'!$C:$FB,7)</f>
        <v>1993.5</v>
      </c>
      <c r="D72" s="82">
        <f>VLOOKUP($B72,'Data shares'!$C:$FB,98)</f>
        <v>13351125</v>
      </c>
      <c r="E72" s="165">
        <f>VLOOKUP(B72,'Snapshot (Volume)'!$A$7:$G$168,7,0)</f>
        <v>12949125</v>
      </c>
      <c r="F72" s="165">
        <f t="shared" si="23"/>
        <v>402000</v>
      </c>
      <c r="G72" s="166">
        <f t="shared" si="24"/>
        <v>3.1044568648460804E-2</v>
      </c>
      <c r="H72" s="165">
        <f>VLOOKUP($B72,'Data shares'!$C:$FB,66)</f>
        <v>2760375</v>
      </c>
      <c r="I72" s="165">
        <f>VLOOKUP($B72,'Data shares'!$C:$FB,67)</f>
        <v>11940000</v>
      </c>
      <c r="J72" s="81">
        <f t="shared" si="25"/>
        <v>-76.881281407035175</v>
      </c>
      <c r="K72" s="5">
        <f>VLOOKUP($B72,'Data Vlaue (Cr)'!$C:$FB,99)</f>
        <v>2672</v>
      </c>
      <c r="L72" s="81">
        <f>VLOOKUP(B72,'OI(Value)'!$A$7:$C$226,3,0)</f>
        <v>80</v>
      </c>
      <c r="M72" s="33">
        <f t="shared" si="22"/>
        <v>2.9940119760479043</v>
      </c>
      <c r="N72" s="5">
        <f>VLOOKUP($B72,'Data Vlaue (Cr)'!$C:$FB,67)</f>
        <v>552</v>
      </c>
      <c r="O72" s="5">
        <f>VLOOKUP($B72,'Data Vlaue (Cr)'!$C:$FB,68)</f>
        <v>2389</v>
      </c>
      <c r="P72" s="5">
        <f t="shared" si="26"/>
        <v>-332.78985507246375</v>
      </c>
      <c r="Q72" s="1"/>
      <c r="R72" s="1"/>
      <c r="S72" s="1"/>
      <c r="T72" s="1"/>
      <c r="U72" s="1"/>
      <c r="V72" s="1"/>
      <c r="W72" s="1"/>
      <c r="X72" s="1"/>
      <c r="Y72" s="1"/>
      <c r="Z72" s="1"/>
      <c r="AA72" s="1"/>
      <c r="AB72" s="1"/>
      <c r="AC72" s="1"/>
      <c r="AD72" s="1"/>
      <c r="AE72" s="1"/>
      <c r="AF72" s="1"/>
      <c r="AG72" s="1"/>
      <c r="AH72" s="1"/>
      <c r="AI72" s="1"/>
      <c r="AJ72" s="1"/>
    </row>
    <row r="73" spans="1:36" x14ac:dyDescent="0.25">
      <c r="A73" s="79" t="str">
        <f>'Data shares'!B68</f>
        <v>Infrastructure</v>
      </c>
      <c r="B73" s="79" t="str">
        <f>'Data shares'!C68</f>
        <v>GMRAIRPORT</v>
      </c>
      <c r="C73" s="4">
        <f>VLOOKUP($B73,'Data shares'!$C:$FB,7)</f>
        <v>93.91</v>
      </c>
      <c r="D73" s="82">
        <f>VLOOKUP($B73,'Data shares'!$C:$FB,98)</f>
        <v>253499400</v>
      </c>
      <c r="E73" s="165">
        <f>VLOOKUP(B73,'Snapshot (Volume)'!$A$7:$G$168,7,0)</f>
        <v>246963825</v>
      </c>
      <c r="F73" s="165">
        <f t="shared" si="23"/>
        <v>6535575</v>
      </c>
      <c r="G73" s="166">
        <f t="shared" si="24"/>
        <v>2.6463693619905668E-2</v>
      </c>
      <c r="H73" s="165">
        <f>VLOOKUP($B73,'Data shares'!$C:$FB,66)</f>
        <v>80812350</v>
      </c>
      <c r="I73" s="165">
        <f>VLOOKUP($B73,'Data shares'!$C:$FB,67)</f>
        <v>268767675</v>
      </c>
      <c r="J73" s="81">
        <f t="shared" si="25"/>
        <v>-69.932265850050598</v>
      </c>
      <c r="K73" s="5">
        <f>VLOOKUP($B73,'Data Vlaue (Cr)'!$C:$FB,99)</f>
        <v>2397</v>
      </c>
      <c r="L73" s="81">
        <f>VLOOKUP(B73,'OI(Value)'!$A$7:$C$226,3,0)</f>
        <v>62</v>
      </c>
      <c r="M73" s="33">
        <f t="shared" si="22"/>
        <v>2.586566541510221</v>
      </c>
      <c r="N73" s="5">
        <f>VLOOKUP($B73,'Data Vlaue (Cr)'!$C:$FB,67)</f>
        <v>764</v>
      </c>
      <c r="O73" s="5">
        <f>VLOOKUP($B73,'Data Vlaue (Cr)'!$C:$FB,68)</f>
        <v>2542</v>
      </c>
      <c r="P73" s="5">
        <f t="shared" si="26"/>
        <v>-232.72251308900525</v>
      </c>
      <c r="Q73" s="1"/>
      <c r="R73" s="1"/>
      <c r="S73" s="1"/>
      <c r="T73" s="1"/>
      <c r="U73" s="1"/>
      <c r="V73" s="1"/>
      <c r="W73" s="1"/>
      <c r="X73" s="1"/>
      <c r="Y73" s="1"/>
      <c r="Z73" s="1"/>
      <c r="AA73" s="1"/>
      <c r="AB73" s="1"/>
      <c r="AC73" s="1"/>
      <c r="AD73" s="1"/>
      <c r="AE73" s="1"/>
      <c r="AF73" s="1"/>
      <c r="AG73" s="1"/>
      <c r="AH73" s="1"/>
      <c r="AI73" s="1"/>
      <c r="AJ73" s="1"/>
    </row>
    <row r="74" spans="1:36" x14ac:dyDescent="0.25">
      <c r="A74" s="79" t="str">
        <f>'Data shares'!B69</f>
        <v>FMCG</v>
      </c>
      <c r="B74" s="79" t="str">
        <f>'Data shares'!C69</f>
        <v>GODREJCP</v>
      </c>
      <c r="C74" s="4">
        <f>VLOOKUP($B74,'Data shares'!$C:$FB,7)</f>
        <v>1171.8</v>
      </c>
      <c r="D74" s="82">
        <f>VLOOKUP($B74,'Data shares'!$C:$FB,98)</f>
        <v>10306500</v>
      </c>
      <c r="E74" s="165">
        <f>VLOOKUP(B74,'Snapshot (Volume)'!$A$7:$G$168,7,0)</f>
        <v>9672000</v>
      </c>
      <c r="F74" s="165">
        <f t="shared" si="23"/>
        <v>634500</v>
      </c>
      <c r="G74" s="166">
        <f t="shared" si="24"/>
        <v>6.5601736972704716E-2</v>
      </c>
      <c r="H74" s="165">
        <f>VLOOKUP($B74,'Data shares'!$C:$FB,66)</f>
        <v>6128000</v>
      </c>
      <c r="I74" s="165">
        <f>VLOOKUP($B74,'Data shares'!$C:$FB,67)</f>
        <v>23313500</v>
      </c>
      <c r="J74" s="81">
        <f t="shared" si="25"/>
        <v>-73.714800437514754</v>
      </c>
      <c r="K74" s="5">
        <f>VLOOKUP($B74,'Data Vlaue (Cr)'!$C:$FB,99)</f>
        <v>1209</v>
      </c>
      <c r="L74" s="81">
        <f>VLOOKUP(B74,'OI(Value)'!$A$7:$C$226,3,0)</f>
        <v>74</v>
      </c>
      <c r="M74" s="33">
        <f t="shared" si="22"/>
        <v>6.1207609594706369</v>
      </c>
      <c r="N74" s="5">
        <f>VLOOKUP($B74,'Data Vlaue (Cr)'!$C:$FB,67)</f>
        <v>719</v>
      </c>
      <c r="O74" s="5">
        <f>VLOOKUP($B74,'Data Vlaue (Cr)'!$C:$FB,68)</f>
        <v>2735</v>
      </c>
      <c r="P74" s="5">
        <f t="shared" si="26"/>
        <v>-280.38942976356054</v>
      </c>
      <c r="Q74" s="1"/>
      <c r="R74" s="1"/>
      <c r="S74" s="1"/>
      <c r="T74" s="1"/>
      <c r="U74" s="1"/>
      <c r="V74" s="1"/>
      <c r="W74" s="1"/>
      <c r="X74" s="1"/>
      <c r="Y74" s="1"/>
      <c r="Z74" s="1"/>
      <c r="AA74" s="1"/>
      <c r="AB74" s="1"/>
      <c r="AC74" s="1"/>
      <c r="AD74" s="1"/>
      <c r="AE74" s="1"/>
      <c r="AF74" s="1"/>
      <c r="AG74" s="1"/>
      <c r="AH74" s="1"/>
      <c r="AI74" s="1"/>
      <c r="AJ74" s="1"/>
    </row>
    <row r="75" spans="1:36" x14ac:dyDescent="0.25">
      <c r="A75" s="79" t="str">
        <f>'Data shares'!B70</f>
        <v>Realty</v>
      </c>
      <c r="B75" s="79" t="str">
        <f>'Data shares'!C70</f>
        <v>GODREJPROP</v>
      </c>
      <c r="C75" s="4">
        <f>VLOOKUP($B75,'Data shares'!$C:$FB,7)</f>
        <v>1550.3</v>
      </c>
      <c r="D75" s="82">
        <f>VLOOKUP($B75,'Data shares'!$C:$FB,98)</f>
        <v>19662775</v>
      </c>
      <c r="E75" s="165">
        <f>VLOOKUP(B75,'Snapshot (Volume)'!$A$7:$G$168,7,0)</f>
        <v>18543800</v>
      </c>
      <c r="F75" s="165">
        <f t="shared" si="23"/>
        <v>1118975</v>
      </c>
      <c r="G75" s="166">
        <f t="shared" si="24"/>
        <v>6.0342270731996675E-2</v>
      </c>
      <c r="H75" s="165">
        <f>VLOOKUP($B75,'Data shares'!$C:$FB,66)</f>
        <v>9728950</v>
      </c>
      <c r="I75" s="165">
        <f>VLOOKUP($B75,'Data shares'!$C:$FB,67)</f>
        <v>27090800</v>
      </c>
      <c r="J75" s="81">
        <f t="shared" si="25"/>
        <v>-64.087623842780573</v>
      </c>
      <c r="K75" s="5">
        <f>VLOOKUP($B75,'Data Vlaue (Cr)'!$C:$FB,99)</f>
        <v>3069</v>
      </c>
      <c r="L75" s="81">
        <f>VLOOKUP(B75,'OI(Value)'!$A$7:$C$226,3,0)</f>
        <v>175</v>
      </c>
      <c r="M75" s="33">
        <f t="shared" si="22"/>
        <v>5.7021831215379608</v>
      </c>
      <c r="N75" s="5">
        <f>VLOOKUP($B75,'Data Vlaue (Cr)'!$C:$FB,67)</f>
        <v>1518</v>
      </c>
      <c r="O75" s="5">
        <f>VLOOKUP($B75,'Data Vlaue (Cr)'!$C:$FB,68)</f>
        <v>4228</v>
      </c>
      <c r="P75" s="5">
        <f t="shared" si="26"/>
        <v>-178.52437417654809</v>
      </c>
      <c r="Q75" s="1"/>
      <c r="R75" s="1"/>
      <c r="S75" s="1"/>
      <c r="T75" s="1"/>
      <c r="U75" s="1"/>
      <c r="V75" s="1"/>
      <c r="W75" s="1"/>
      <c r="X75" s="1"/>
      <c r="Y75" s="1"/>
      <c r="Z75" s="1"/>
      <c r="AA75" s="1"/>
      <c r="AB75" s="1"/>
      <c r="AC75" s="1"/>
      <c r="AD75" s="1"/>
      <c r="AE75" s="1"/>
      <c r="AF75" s="1"/>
      <c r="AG75" s="1"/>
      <c r="AH75" s="1"/>
      <c r="AI75" s="1"/>
      <c r="AJ75" s="1"/>
    </row>
    <row r="76" spans="1:36" x14ac:dyDescent="0.25">
      <c r="A76" s="79" t="str">
        <f>'Data shares'!B71</f>
        <v>Cement</v>
      </c>
      <c r="B76" s="79" t="str">
        <f>'Data shares'!C71</f>
        <v>GRASIM</v>
      </c>
      <c r="C76" s="4">
        <f>VLOOKUP($B76,'Data shares'!$C:$FB,7)</f>
        <v>2839.1</v>
      </c>
      <c r="D76" s="82">
        <f>VLOOKUP($B76,'Data shares'!$C:$FB,98)</f>
        <v>17317750</v>
      </c>
      <c r="E76" s="165">
        <f>VLOOKUP(B76,'Snapshot (Volume)'!$A$7:$G$168,7,0)</f>
        <v>16858750</v>
      </c>
      <c r="F76" s="165">
        <f t="shared" si="23"/>
        <v>459000</v>
      </c>
      <c r="G76" s="166">
        <f t="shared" si="24"/>
        <v>2.7226217839400903E-2</v>
      </c>
      <c r="H76" s="165">
        <f>VLOOKUP($B76,'Data shares'!$C:$FB,66)</f>
        <v>3221750</v>
      </c>
      <c r="I76" s="165">
        <f>VLOOKUP($B76,'Data shares'!$C:$FB,67)</f>
        <v>13785000</v>
      </c>
      <c r="J76" s="81">
        <f t="shared" si="25"/>
        <v>-76.628581791802688</v>
      </c>
      <c r="K76" s="5">
        <f>VLOOKUP($B76,'Data Vlaue (Cr)'!$C:$FB,99)</f>
        <v>4946</v>
      </c>
      <c r="L76" s="81">
        <f>VLOOKUP(B76,'OI(Value)'!$A$7:$C$226,3,0)</f>
        <v>131</v>
      </c>
      <c r="M76" s="33">
        <f t="shared" si="22"/>
        <v>2.6486049332794179</v>
      </c>
      <c r="N76" s="5">
        <f>VLOOKUP($B76,'Data Vlaue (Cr)'!$C:$FB,67)</f>
        <v>920</v>
      </c>
      <c r="O76" s="5">
        <f>VLOOKUP($B76,'Data Vlaue (Cr)'!$C:$FB,68)</f>
        <v>3937</v>
      </c>
      <c r="P76" s="5">
        <f t="shared" si="26"/>
        <v>-327.93478260869568</v>
      </c>
      <c r="Q76" s="1"/>
      <c r="R76" s="1"/>
      <c r="S76" s="1"/>
      <c r="T76" s="1"/>
      <c r="U76" s="1"/>
      <c r="V76" s="1"/>
      <c r="W76" s="1"/>
      <c r="X76" s="1"/>
      <c r="Y76" s="1"/>
      <c r="Z76" s="1"/>
      <c r="AA76" s="1"/>
      <c r="AB76" s="1"/>
      <c r="AC76" s="1"/>
      <c r="AD76" s="1"/>
      <c r="AE76" s="1"/>
      <c r="AF76" s="1"/>
      <c r="AG76" s="1"/>
      <c r="AH76" s="1"/>
      <c r="AI76" s="1"/>
      <c r="AJ76" s="1"/>
    </row>
    <row r="77" spans="1:36" x14ac:dyDescent="0.25">
      <c r="A77" s="79" t="str">
        <f>'Data shares'!B72</f>
        <v>Capital_Goods</v>
      </c>
      <c r="B77" s="79" t="str">
        <f>'Data shares'!C72</f>
        <v>HAL</v>
      </c>
      <c r="C77" s="4">
        <f>VLOOKUP($B77,'Data shares'!$C:$FB,7)</f>
        <v>4624</v>
      </c>
      <c r="D77" s="82">
        <f>VLOOKUP($B77,'Data shares'!$C:$FB,98)</f>
        <v>14548200</v>
      </c>
      <c r="E77" s="165">
        <f>VLOOKUP(B77,'Snapshot (Volume)'!$A$7:$G$168,7,0)</f>
        <v>13265550</v>
      </c>
      <c r="F77" s="165">
        <f t="shared" si="23"/>
        <v>1282650</v>
      </c>
      <c r="G77" s="166">
        <f t="shared" si="24"/>
        <v>9.6690299309112701E-2</v>
      </c>
      <c r="H77" s="165">
        <f>VLOOKUP($B77,'Data shares'!$C:$FB,66)</f>
        <v>21934950</v>
      </c>
      <c r="I77" s="165">
        <f>VLOOKUP($B77,'Data shares'!$C:$FB,67)</f>
        <v>19661850</v>
      </c>
      <c r="J77" s="81">
        <f t="shared" si="25"/>
        <v>11.560967050404718</v>
      </c>
      <c r="K77" s="5">
        <f>VLOOKUP($B77,'Data Vlaue (Cr)'!$C:$FB,99)</f>
        <v>6750</v>
      </c>
      <c r="L77" s="81">
        <f>VLOOKUP(B77,'OI(Value)'!$A$7:$C$226,3,0)</f>
        <v>595</v>
      </c>
      <c r="M77" s="33">
        <f t="shared" si="22"/>
        <v>8.8148148148148149</v>
      </c>
      <c r="N77" s="5">
        <f>VLOOKUP($B77,'Data Vlaue (Cr)'!$C:$FB,67)</f>
        <v>10177</v>
      </c>
      <c r="O77" s="5">
        <f>VLOOKUP($B77,'Data Vlaue (Cr)'!$C:$FB,68)</f>
        <v>9122</v>
      </c>
      <c r="P77" s="5">
        <f t="shared" si="26"/>
        <v>10.366512724771544</v>
      </c>
      <c r="Q77" s="1"/>
      <c r="R77" s="1"/>
      <c r="S77" s="1"/>
      <c r="T77" s="1"/>
      <c r="U77" s="1"/>
      <c r="V77" s="1"/>
      <c r="W77" s="1"/>
      <c r="X77" s="1"/>
      <c r="Y77" s="1"/>
      <c r="Z77" s="1"/>
      <c r="AA77" s="1"/>
      <c r="AB77" s="1"/>
      <c r="AC77" s="1"/>
      <c r="AD77" s="1"/>
      <c r="AE77" s="1"/>
      <c r="AF77" s="1"/>
      <c r="AG77" s="1"/>
      <c r="AH77" s="1"/>
      <c r="AI77" s="1"/>
      <c r="AJ77" s="1"/>
    </row>
    <row r="78" spans="1:36" x14ac:dyDescent="0.25">
      <c r="A78" s="79" t="str">
        <f>'Data shares'!B73</f>
        <v>Capital_Goods</v>
      </c>
      <c r="B78" s="79" t="str">
        <f>'Data shares'!C73</f>
        <v>HAVELLS</v>
      </c>
      <c r="C78" s="4">
        <f>VLOOKUP($B78,'Data shares'!$C:$FB,7)</f>
        <v>1286.8</v>
      </c>
      <c r="D78" s="82">
        <f>VLOOKUP($B78,'Data shares'!$C:$FB,98)</f>
        <v>12961000</v>
      </c>
      <c r="E78" s="165">
        <f>VLOOKUP(B78,'Snapshot (Volume)'!$A$7:$G$168,7,0)</f>
        <v>12161500</v>
      </c>
      <c r="F78" s="165">
        <f t="shared" si="23"/>
        <v>799500</v>
      </c>
      <c r="G78" s="166">
        <f t="shared" si="24"/>
        <v>6.5740245857830032E-2</v>
      </c>
      <c r="H78" s="165">
        <f>VLOOKUP($B78,'Data shares'!$C:$FB,66)</f>
        <v>3292000</v>
      </c>
      <c r="I78" s="165">
        <f>VLOOKUP($B78,'Data shares'!$C:$FB,67)</f>
        <v>16292500</v>
      </c>
      <c r="J78" s="81">
        <f t="shared" si="25"/>
        <v>-79.794383918981126</v>
      </c>
      <c r="K78" s="5">
        <f>VLOOKUP($B78,'Data Vlaue (Cr)'!$C:$FB,99)</f>
        <v>1679</v>
      </c>
      <c r="L78" s="81">
        <f>VLOOKUP(B78,'OI(Value)'!$A$7:$C$226,3,0)</f>
        <v>104</v>
      </c>
      <c r="M78" s="33">
        <f t="shared" si="22"/>
        <v>6.1941631923764149</v>
      </c>
      <c r="N78" s="5">
        <f>VLOOKUP($B78,'Data Vlaue (Cr)'!$C:$FB,67)</f>
        <v>426</v>
      </c>
      <c r="O78" s="5">
        <f>VLOOKUP($B78,'Data Vlaue (Cr)'!$C:$FB,68)</f>
        <v>2111</v>
      </c>
      <c r="P78" s="5">
        <f t="shared" si="26"/>
        <v>-395.5399061032864</v>
      </c>
      <c r="Q78" s="1"/>
      <c r="R78" s="1"/>
      <c r="S78" s="1"/>
      <c r="T78" s="1"/>
      <c r="U78" s="1"/>
      <c r="V78" s="1"/>
      <c r="W78" s="1"/>
      <c r="X78" s="1"/>
      <c r="Y78" s="1"/>
      <c r="Z78" s="1"/>
      <c r="AA78" s="1"/>
      <c r="AB78" s="1"/>
      <c r="AC78" s="1"/>
      <c r="AD78" s="1"/>
      <c r="AE78" s="1"/>
      <c r="AF78" s="1"/>
      <c r="AG78" s="1"/>
      <c r="AH78" s="1"/>
      <c r="AI78" s="1"/>
      <c r="AJ78" s="1"/>
    </row>
    <row r="79" spans="1:36" x14ac:dyDescent="0.25">
      <c r="A79" s="79" t="str">
        <f>'Data shares'!B74</f>
        <v>Technology</v>
      </c>
      <c r="B79" s="79" t="str">
        <f>'Data shares'!C74</f>
        <v>HCLTECH</v>
      </c>
      <c r="C79" s="4">
        <f>VLOOKUP($B79,'Data shares'!$C:$FB,7)</f>
        <v>1729.6</v>
      </c>
      <c r="D79" s="82">
        <f>VLOOKUP($B79,'Data shares'!$C:$FB,98)</f>
        <v>21103250</v>
      </c>
      <c r="E79" s="165">
        <f>VLOOKUP(B79,'Snapshot (Volume)'!$A$7:$G$168,7,0)</f>
        <v>20304550</v>
      </c>
      <c r="F79" s="165">
        <f t="shared" si="23"/>
        <v>798700</v>
      </c>
      <c r="G79" s="166">
        <f t="shared" si="24"/>
        <v>3.9336010894109943E-2</v>
      </c>
      <c r="H79" s="165">
        <f>VLOOKUP($B79,'Data shares'!$C:$FB,66)</f>
        <v>10789100</v>
      </c>
      <c r="I79" s="165">
        <f>VLOOKUP($B79,'Data shares'!$C:$FB,67)</f>
        <v>19979750</v>
      </c>
      <c r="J79" s="81">
        <f t="shared" si="25"/>
        <v>-45.999824822632917</v>
      </c>
      <c r="K79" s="5">
        <f>VLOOKUP($B79,'Data Vlaue (Cr)'!$C:$FB,99)</f>
        <v>3663</v>
      </c>
      <c r="L79" s="81">
        <f>VLOOKUP(B79,'OI(Value)'!$A$7:$C$226,3,0)</f>
        <v>139</v>
      </c>
      <c r="M79" s="33">
        <f t="shared" si="22"/>
        <v>3.7947037947037945</v>
      </c>
      <c r="N79" s="5">
        <f>VLOOKUP($B79,'Data Vlaue (Cr)'!$C:$FB,67)</f>
        <v>1873</v>
      </c>
      <c r="O79" s="5">
        <f>VLOOKUP($B79,'Data Vlaue (Cr)'!$C:$FB,68)</f>
        <v>3468</v>
      </c>
      <c r="P79" s="5">
        <f t="shared" si="26"/>
        <v>-85.157501334757086</v>
      </c>
      <c r="Q79" s="1"/>
      <c r="R79" s="1"/>
      <c r="S79" s="1"/>
      <c r="T79" s="1"/>
      <c r="U79" s="1"/>
      <c r="V79" s="1"/>
      <c r="W79" s="1"/>
      <c r="X79" s="1"/>
      <c r="Y79" s="1"/>
      <c r="Z79" s="1"/>
      <c r="AA79" s="1"/>
      <c r="AB79" s="1"/>
      <c r="AC79" s="1"/>
      <c r="AD79" s="1"/>
      <c r="AE79" s="1"/>
      <c r="AF79" s="1"/>
      <c r="AG79" s="1"/>
      <c r="AH79" s="1"/>
      <c r="AI79" s="1"/>
      <c r="AJ79" s="1"/>
    </row>
    <row r="80" spans="1:36" x14ac:dyDescent="0.25">
      <c r="A80" s="79" t="str">
        <f>'Data shares'!B75</f>
        <v>Finance</v>
      </c>
      <c r="B80" s="79" t="str">
        <f>'Data shares'!C75</f>
        <v>HDFCAMC</v>
      </c>
      <c r="C80" s="4">
        <f>VLOOKUP($B80,'Data shares'!$C:$FB,7)</f>
        <v>2477.6</v>
      </c>
      <c r="D80" s="82">
        <f>VLOOKUP($B80,'Data shares'!$C:$FB,98)</f>
        <v>8881200</v>
      </c>
      <c r="E80" s="165">
        <f>VLOOKUP(B80,'Snapshot (Volume)'!$A$7:$G$168,7,0)</f>
        <v>8375400</v>
      </c>
      <c r="F80" s="165">
        <f t="shared" si="23"/>
        <v>505800</v>
      </c>
      <c r="G80" s="166">
        <f t="shared" si="24"/>
        <v>6.0391145497528477E-2</v>
      </c>
      <c r="H80" s="165">
        <f>VLOOKUP($B80,'Data shares'!$C:$FB,66)</f>
        <v>2917500</v>
      </c>
      <c r="I80" s="165">
        <f>VLOOKUP($B80,'Data shares'!$C:$FB,67)</f>
        <v>5674800</v>
      </c>
      <c r="J80" s="81">
        <f t="shared" si="25"/>
        <v>-48.588496510890252</v>
      </c>
      <c r="K80" s="5">
        <f>VLOOKUP($B80,'Data Vlaue (Cr)'!$C:$FB,99)</f>
        <v>2211</v>
      </c>
      <c r="L80" s="81">
        <f>VLOOKUP(B80,'OI(Value)'!$A$7:$C$226,3,0)</f>
        <v>126</v>
      </c>
      <c r="M80" s="33">
        <f t="shared" si="22"/>
        <v>5.6987788331071911</v>
      </c>
      <c r="N80" s="5">
        <f>VLOOKUP($B80,'Data Vlaue (Cr)'!$C:$FB,67)</f>
        <v>726</v>
      </c>
      <c r="O80" s="5">
        <f>VLOOKUP($B80,'Data Vlaue (Cr)'!$C:$FB,68)</f>
        <v>1413</v>
      </c>
      <c r="P80" s="5">
        <f t="shared" si="26"/>
        <v>-94.628099173553721</v>
      </c>
      <c r="Q80" s="1"/>
      <c r="R80" s="1"/>
      <c r="S80" s="1"/>
      <c r="T80" s="1"/>
      <c r="U80" s="1"/>
      <c r="V80" s="1"/>
      <c r="W80" s="1"/>
      <c r="X80" s="1"/>
      <c r="Y80" s="1"/>
      <c r="Z80" s="1"/>
      <c r="AA80" s="1"/>
      <c r="AB80" s="1"/>
      <c r="AC80" s="1"/>
      <c r="AD80" s="1"/>
      <c r="AE80" s="1"/>
      <c r="AF80" s="1"/>
      <c r="AG80" s="1"/>
      <c r="AH80" s="1"/>
      <c r="AI80" s="1"/>
      <c r="AJ80" s="1"/>
    </row>
    <row r="81" spans="1:36" x14ac:dyDescent="0.25">
      <c r="A81" s="79" t="str">
        <f>'Data shares'!B76</f>
        <v>Banking</v>
      </c>
      <c r="B81" s="79" t="str">
        <f>'Data shares'!C76</f>
        <v>HDFCBANK</v>
      </c>
      <c r="C81" s="4">
        <f>VLOOKUP($B81,'Data shares'!$C:$FB,7)</f>
        <v>932.7</v>
      </c>
      <c r="D81" s="82">
        <f>VLOOKUP($B81,'Data shares'!$C:$FB,98)</f>
        <v>320298000</v>
      </c>
      <c r="E81" s="165">
        <f>VLOOKUP(B81,'Snapshot (Volume)'!$A$7:$G$168,7,0)</f>
        <v>321142250</v>
      </c>
      <c r="F81" s="165">
        <f t="shared" si="23"/>
        <v>-844250</v>
      </c>
      <c r="G81" s="166">
        <f t="shared" si="24"/>
        <v>-2.6288973188672623E-3</v>
      </c>
      <c r="H81" s="165">
        <f>VLOOKUP($B81,'Data shares'!$C:$FB,66)</f>
        <v>135216950</v>
      </c>
      <c r="I81" s="165">
        <f>VLOOKUP($B81,'Data shares'!$C:$FB,67)</f>
        <v>240249900</v>
      </c>
      <c r="J81" s="81">
        <f t="shared" si="25"/>
        <v>-43.718207583020849</v>
      </c>
      <c r="K81" s="5">
        <f>VLOOKUP($B81,'Data Vlaue (Cr)'!$C:$FB,99)</f>
        <v>29986</v>
      </c>
      <c r="L81" s="81">
        <f>VLOOKUP(B81,'OI(Value)'!$A$7:$C$226,3,0)</f>
        <v>-79</v>
      </c>
      <c r="M81" s="33">
        <f t="shared" si="22"/>
        <v>-0.26345627959714535</v>
      </c>
      <c r="N81" s="5">
        <f>VLOOKUP($B81,'Data Vlaue (Cr)'!$C:$FB,67)</f>
        <v>12659</v>
      </c>
      <c r="O81" s="5">
        <f>VLOOKUP($B81,'Data Vlaue (Cr)'!$C:$FB,68)</f>
        <v>22492</v>
      </c>
      <c r="P81" s="5">
        <f t="shared" si="26"/>
        <v>-77.675961766332264</v>
      </c>
      <c r="Q81" s="1"/>
      <c r="R81" s="1"/>
      <c r="S81" s="1"/>
      <c r="T81" s="1"/>
      <c r="U81" s="1"/>
      <c r="V81" s="1"/>
      <c r="W81" s="1"/>
      <c r="X81" s="1"/>
      <c r="Y81" s="1"/>
      <c r="Z81" s="1"/>
      <c r="AA81" s="1"/>
      <c r="AB81" s="1"/>
      <c r="AC81" s="1"/>
      <c r="AD81" s="1"/>
      <c r="AE81" s="1"/>
      <c r="AF81" s="1"/>
      <c r="AG81" s="1"/>
      <c r="AH81" s="1"/>
      <c r="AI81" s="1"/>
      <c r="AJ81" s="1"/>
    </row>
    <row r="82" spans="1:36" x14ac:dyDescent="0.25">
      <c r="A82" s="79" t="str">
        <f>'Data shares'!B77</f>
        <v>Finance</v>
      </c>
      <c r="B82" s="79" t="str">
        <f>'Data shares'!C77</f>
        <v>HDFCLIFE</v>
      </c>
      <c r="C82" s="4">
        <f>VLOOKUP($B82,'Data shares'!$C:$FB,7)</f>
        <v>728.6</v>
      </c>
      <c r="D82" s="82">
        <f>VLOOKUP($B82,'Data shares'!$C:$FB,98)</f>
        <v>41780200</v>
      </c>
      <c r="E82" s="165">
        <f>VLOOKUP(B82,'Snapshot (Volume)'!$A$7:$G$168,7,0)</f>
        <v>40023500</v>
      </c>
      <c r="F82" s="165">
        <f t="shared" si="23"/>
        <v>1756700</v>
      </c>
      <c r="G82" s="166">
        <f t="shared" si="24"/>
        <v>4.3891713618249277E-2</v>
      </c>
      <c r="H82" s="165">
        <f>VLOOKUP($B82,'Data shares'!$C:$FB,66)</f>
        <v>16353700</v>
      </c>
      <c r="I82" s="165">
        <f>VLOOKUP($B82,'Data shares'!$C:$FB,67)</f>
        <v>28641800</v>
      </c>
      <c r="J82" s="81">
        <f t="shared" si="25"/>
        <v>-42.9026806974422</v>
      </c>
      <c r="K82" s="5">
        <f>VLOOKUP($B82,'Data Vlaue (Cr)'!$C:$FB,99)</f>
        <v>3052</v>
      </c>
      <c r="L82" s="81">
        <f>VLOOKUP(B82,'OI(Value)'!$A$7:$C$226,3,0)</f>
        <v>128</v>
      </c>
      <c r="M82" s="33">
        <f t="shared" si="22"/>
        <v>4.1939711664482306</v>
      </c>
      <c r="N82" s="5">
        <f>VLOOKUP($B82,'Data Vlaue (Cr)'!$C:$FB,67)</f>
        <v>1195</v>
      </c>
      <c r="O82" s="5">
        <f>VLOOKUP($B82,'Data Vlaue (Cr)'!$C:$FB,68)</f>
        <v>2092</v>
      </c>
      <c r="P82" s="5">
        <f t="shared" si="26"/>
        <v>-75.062761506276161</v>
      </c>
      <c r="Q82" s="1"/>
      <c r="R82" s="1"/>
      <c r="S82" s="1"/>
      <c r="T82" s="1"/>
      <c r="U82" s="1"/>
      <c r="V82" s="1"/>
      <c r="W82" s="1"/>
      <c r="X82" s="1"/>
      <c r="Y82" s="1"/>
      <c r="Z82" s="1"/>
      <c r="AA82" s="1"/>
      <c r="AB82" s="1"/>
      <c r="AC82" s="1"/>
      <c r="AD82" s="1"/>
      <c r="AE82" s="1"/>
      <c r="AF82" s="1"/>
      <c r="AG82" s="1"/>
      <c r="AH82" s="1"/>
      <c r="AI82" s="1"/>
      <c r="AJ82" s="1"/>
    </row>
    <row r="83" spans="1:36" x14ac:dyDescent="0.25">
      <c r="A83" s="79" t="str">
        <f>'Data shares'!B78</f>
        <v>Automobile</v>
      </c>
      <c r="B83" s="79" t="str">
        <f>'Data shares'!C78</f>
        <v>HEROMOTOCO</v>
      </c>
      <c r="C83" s="4">
        <f>VLOOKUP($B83,'Data shares'!$C:$FB,7)</f>
        <v>5512.5</v>
      </c>
      <c r="D83" s="82">
        <f>VLOOKUP($B83,'Data shares'!$C:$FB,98)</f>
        <v>5125050</v>
      </c>
      <c r="E83" s="165">
        <f>VLOOKUP(B83,'Snapshot (Volume)'!$A$7:$G$168,7,0)</f>
        <v>4900950</v>
      </c>
      <c r="F83" s="165">
        <f t="shared" si="23"/>
        <v>224100</v>
      </c>
      <c r="G83" s="166">
        <f t="shared" si="24"/>
        <v>4.5725828665870903E-2</v>
      </c>
      <c r="H83" s="165">
        <f>VLOOKUP($B83,'Data shares'!$C:$FB,66)</f>
        <v>4766550</v>
      </c>
      <c r="I83" s="165">
        <f>VLOOKUP($B83,'Data shares'!$C:$FB,67)</f>
        <v>7159500</v>
      </c>
      <c r="J83" s="81">
        <f t="shared" si="25"/>
        <v>-33.423423423423422</v>
      </c>
      <c r="K83" s="5">
        <f>VLOOKUP($B83,'Data Vlaue (Cr)'!$C:$FB,99)</f>
        <v>2824</v>
      </c>
      <c r="L83" s="81">
        <f>VLOOKUP(B83,'OI(Value)'!$A$7:$C$226,3,0)</f>
        <v>124</v>
      </c>
      <c r="M83" s="33">
        <f t="shared" si="22"/>
        <v>4.3909348441926346</v>
      </c>
      <c r="N83" s="5">
        <f>VLOOKUP($B83,'Data Vlaue (Cr)'!$C:$FB,67)</f>
        <v>2627</v>
      </c>
      <c r="O83" s="5">
        <f>VLOOKUP($B83,'Data Vlaue (Cr)'!$C:$FB,68)</f>
        <v>3946</v>
      </c>
      <c r="P83" s="5">
        <f t="shared" si="26"/>
        <v>-50.209364293871339</v>
      </c>
      <c r="Q83" s="1"/>
      <c r="R83" s="1"/>
      <c r="S83" s="1"/>
      <c r="T83" s="1"/>
      <c r="U83" s="1"/>
      <c r="V83" s="1"/>
      <c r="W83" s="1"/>
      <c r="X83" s="1"/>
      <c r="Y83" s="1"/>
      <c r="Z83" s="1"/>
      <c r="AA83" s="1"/>
      <c r="AB83" s="1"/>
      <c r="AC83" s="1"/>
      <c r="AD83" s="1"/>
      <c r="AE83" s="1"/>
      <c r="AF83" s="1"/>
      <c r="AG83" s="1"/>
      <c r="AH83" s="1"/>
      <c r="AI83" s="1"/>
      <c r="AJ83" s="1"/>
    </row>
    <row r="84" spans="1:36" x14ac:dyDescent="0.25">
      <c r="A84" s="79" t="str">
        <f>'Data shares'!B79</f>
        <v>Metals</v>
      </c>
      <c r="B84" s="79" t="str">
        <f>'Data shares'!C79</f>
        <v>HINDALCO</v>
      </c>
      <c r="C84" s="4">
        <f>VLOOKUP($B84,'Data shares'!$C:$FB,7)</f>
        <v>998.2</v>
      </c>
      <c r="D84" s="82">
        <f>VLOOKUP($B84,'Data shares'!$C:$FB,98)</f>
        <v>57048600</v>
      </c>
      <c r="E84" s="165">
        <f>VLOOKUP(B84,'Snapshot (Volume)'!$A$7:$G$168,7,0)</f>
        <v>55309800</v>
      </c>
      <c r="F84" s="165">
        <f t="shared" si="23"/>
        <v>1738800</v>
      </c>
      <c r="G84" s="166">
        <f t="shared" si="24"/>
        <v>3.1437466778039332E-2</v>
      </c>
      <c r="H84" s="165">
        <f>VLOOKUP($B84,'Data shares'!$C:$FB,66)</f>
        <v>74535300</v>
      </c>
      <c r="I84" s="165">
        <f>VLOOKUP($B84,'Data shares'!$C:$FB,67)</f>
        <v>69287400</v>
      </c>
      <c r="J84" s="81">
        <f t="shared" si="25"/>
        <v>7.5741043826150207</v>
      </c>
      <c r="K84" s="5">
        <f>VLOOKUP($B84,'Data Vlaue (Cr)'!$C:$FB,99)</f>
        <v>5698</v>
      </c>
      <c r="L84" s="81">
        <f>VLOOKUP(B84,'OI(Value)'!$A$7:$C$226,3,0)</f>
        <v>174</v>
      </c>
      <c r="M84" s="33">
        <f t="shared" si="22"/>
        <v>3.0537030537030536</v>
      </c>
      <c r="N84" s="5">
        <f>VLOOKUP($B84,'Data Vlaue (Cr)'!$C:$FB,67)</f>
        <v>7445</v>
      </c>
      <c r="O84" s="5">
        <f>VLOOKUP($B84,'Data Vlaue (Cr)'!$C:$FB,68)</f>
        <v>6921</v>
      </c>
      <c r="P84" s="5">
        <f t="shared" si="26"/>
        <v>7.0382807253190061</v>
      </c>
      <c r="Q84" s="1"/>
      <c r="R84" s="1"/>
      <c r="S84" s="1"/>
      <c r="T84" s="1"/>
      <c r="U84" s="1"/>
      <c r="V84" s="1"/>
      <c r="W84" s="1"/>
      <c r="X84" s="1"/>
      <c r="Y84" s="1"/>
      <c r="Z84" s="1"/>
      <c r="AA84" s="1"/>
      <c r="AB84" s="1"/>
      <c r="AC84" s="1"/>
      <c r="AD84" s="1"/>
      <c r="AE84" s="1"/>
      <c r="AF84" s="1"/>
      <c r="AG84" s="1"/>
      <c r="AH84" s="1"/>
      <c r="AI84" s="1"/>
      <c r="AJ84" s="1"/>
    </row>
    <row r="85" spans="1:36" x14ac:dyDescent="0.25">
      <c r="A85" s="79" t="str">
        <f>'Data shares'!B80</f>
        <v>Oil_Gas</v>
      </c>
      <c r="B85" s="79" t="str">
        <f>'Data shares'!C80</f>
        <v>HINDPETRO</v>
      </c>
      <c r="C85" s="4">
        <f>VLOOKUP($B85,'Data shares'!$C:$FB,7)</f>
        <v>433.25</v>
      </c>
      <c r="D85" s="82">
        <f>VLOOKUP($B85,'Data shares'!$C:$FB,98)</f>
        <v>52048575</v>
      </c>
      <c r="E85" s="165">
        <f>VLOOKUP(B85,'Snapshot (Volume)'!$A$7:$G$168,7,0)</f>
        <v>49685400</v>
      </c>
      <c r="F85" s="165">
        <f t="shared" si="23"/>
        <v>2363175</v>
      </c>
      <c r="G85" s="166">
        <f t="shared" si="24"/>
        <v>4.7562764916856862E-2</v>
      </c>
      <c r="H85" s="165">
        <f>VLOOKUP($B85,'Data shares'!$C:$FB,66)</f>
        <v>39799350</v>
      </c>
      <c r="I85" s="165">
        <f>VLOOKUP($B85,'Data shares'!$C:$FB,67)</f>
        <v>51260850</v>
      </c>
      <c r="J85" s="81">
        <f t="shared" si="25"/>
        <v>-22.359168839377418</v>
      </c>
      <c r="K85" s="5">
        <f>VLOOKUP($B85,'Data Vlaue (Cr)'!$C:$FB,99)</f>
        <v>2263</v>
      </c>
      <c r="L85" s="81">
        <f>VLOOKUP(B85,'OI(Value)'!$A$7:$C$226,3,0)</f>
        <v>103</v>
      </c>
      <c r="M85" s="33">
        <f t="shared" si="22"/>
        <v>4.5514803358373834</v>
      </c>
      <c r="N85" s="5">
        <f>VLOOKUP($B85,'Data Vlaue (Cr)'!$C:$FB,67)</f>
        <v>1730</v>
      </c>
      <c r="O85" s="5">
        <f>VLOOKUP($B85,'Data Vlaue (Cr)'!$C:$FB,68)</f>
        <v>2229</v>
      </c>
      <c r="P85" s="5">
        <f t="shared" si="26"/>
        <v>-28.843930635838149</v>
      </c>
      <c r="Q85" s="1"/>
      <c r="R85" s="1"/>
      <c r="S85" s="1"/>
      <c r="T85" s="1"/>
      <c r="U85" s="1"/>
      <c r="V85" s="1"/>
      <c r="W85" s="1"/>
      <c r="X85" s="1"/>
      <c r="Y85" s="1"/>
      <c r="Z85" s="1"/>
      <c r="AA85" s="1"/>
      <c r="AB85" s="1"/>
      <c r="AC85" s="1"/>
      <c r="AD85" s="1"/>
      <c r="AE85" s="1"/>
      <c r="AF85" s="1"/>
      <c r="AG85" s="1"/>
      <c r="AH85" s="1"/>
      <c r="AI85" s="1"/>
      <c r="AJ85" s="1"/>
    </row>
    <row r="86" spans="1:36" x14ac:dyDescent="0.25">
      <c r="A86" s="79" t="str">
        <f>'Data shares'!B81</f>
        <v>FMCG</v>
      </c>
      <c r="B86" s="79" t="str">
        <f>'Data shares'!C81</f>
        <v>HINDUNILVR</v>
      </c>
      <c r="C86" s="4">
        <f>VLOOKUP($B86,'Data shares'!$C:$FB,7)</f>
        <v>2378.4</v>
      </c>
      <c r="D86" s="82">
        <f>VLOOKUP($B86,'Data shares'!$C:$FB,98)</f>
        <v>18249900</v>
      </c>
      <c r="E86" s="165">
        <f>VLOOKUP(B86,'Snapshot (Volume)'!$A$7:$G$168,7,0)</f>
        <v>16654200</v>
      </c>
      <c r="F86" s="165">
        <f t="shared" ref="F86:F96" si="27">D86-E86</f>
        <v>1595700</v>
      </c>
      <c r="G86" s="166">
        <f t="shared" ref="G86:G96" si="28">F86/E86</f>
        <v>9.5813668624130849E-2</v>
      </c>
      <c r="H86" s="165">
        <f>VLOOKUP($B86,'Data shares'!$C:$FB,66)</f>
        <v>11094900</v>
      </c>
      <c r="I86" s="165">
        <f>VLOOKUP($B86,'Data shares'!$C:$FB,67)</f>
        <v>17518500</v>
      </c>
      <c r="J86" s="81">
        <f t="shared" ref="J86:J96" si="29">(H86-I86)/I86*100</f>
        <v>-36.66752290435825</v>
      </c>
      <c r="K86" s="5">
        <f>VLOOKUP($B86,'Data Vlaue (Cr)'!$C:$FB,99)</f>
        <v>4348</v>
      </c>
      <c r="L86" s="81">
        <f>VLOOKUP(B86,'OI(Value)'!$A$7:$C$226,3,0)</f>
        <v>380</v>
      </c>
      <c r="M86" s="33">
        <f t="shared" si="22"/>
        <v>8.7396504139834406</v>
      </c>
      <c r="N86" s="5">
        <f>VLOOKUP($B86,'Data Vlaue (Cr)'!$C:$FB,67)</f>
        <v>2643</v>
      </c>
      <c r="O86" s="5">
        <f>VLOOKUP($B86,'Data Vlaue (Cr)'!$C:$FB,68)</f>
        <v>4174</v>
      </c>
      <c r="P86" s="5">
        <f t="shared" ref="P86:P96" si="30">(N86-O86)/N86*100</f>
        <v>-57.926598562239882</v>
      </c>
      <c r="Q86" s="1"/>
      <c r="R86" s="1"/>
      <c r="S86" s="1"/>
      <c r="T86" s="1"/>
      <c r="U86" s="1"/>
      <c r="V86" s="1"/>
      <c r="W86" s="1"/>
      <c r="X86" s="1"/>
      <c r="Y86" s="1"/>
      <c r="Z86" s="1"/>
      <c r="AA86" s="1"/>
      <c r="AB86" s="1"/>
      <c r="AC86" s="1"/>
      <c r="AD86" s="1"/>
      <c r="AE86" s="1"/>
      <c r="AF86" s="1"/>
      <c r="AG86" s="1"/>
      <c r="AH86" s="1"/>
      <c r="AI86" s="1"/>
      <c r="AJ86" s="1"/>
    </row>
    <row r="87" spans="1:36" x14ac:dyDescent="0.25">
      <c r="A87" s="79" t="str">
        <f>'Data shares'!B82</f>
        <v>Metals</v>
      </c>
      <c r="B87" s="79" t="str">
        <f>'Data shares'!C82</f>
        <v>HINDZINC</v>
      </c>
      <c r="C87" s="4">
        <f>VLOOKUP($B87,'Data shares'!$C:$FB,7)</f>
        <v>708.2</v>
      </c>
      <c r="D87" s="82">
        <f>VLOOKUP($B87,'Data shares'!$C:$FB,98)</f>
        <v>95443425</v>
      </c>
      <c r="E87" s="165">
        <f>VLOOKUP(B87,'Snapshot (Volume)'!$A$7:$G$168,7,0)</f>
        <v>75393850</v>
      </c>
      <c r="F87" s="165">
        <f t="shared" si="27"/>
        <v>20049575</v>
      </c>
      <c r="G87" s="166">
        <f t="shared" si="28"/>
        <v>0.26593117343125466</v>
      </c>
      <c r="H87" s="165">
        <f>VLOOKUP($B87,'Data shares'!$C:$FB,66)</f>
        <v>283234700</v>
      </c>
      <c r="I87" s="165">
        <f>VLOOKUP($B87,'Data shares'!$C:$FB,67)</f>
        <v>290348275</v>
      </c>
      <c r="J87" s="81">
        <f t="shared" si="29"/>
        <v>-2.450014555795105</v>
      </c>
      <c r="K87" s="5">
        <f>VLOOKUP($B87,'Data Vlaue (Cr)'!$C:$FB,99)</f>
        <v>6742</v>
      </c>
      <c r="L87" s="81">
        <f>VLOOKUP(B87,'OI(Value)'!$A$7:$C$226,3,0)</f>
        <v>1416</v>
      </c>
      <c r="M87" s="33">
        <f t="shared" si="22"/>
        <v>21.002669830910708</v>
      </c>
      <c r="N87" s="5">
        <f>VLOOKUP($B87,'Data Vlaue (Cr)'!$C:$FB,67)</f>
        <v>20006</v>
      </c>
      <c r="O87" s="5">
        <f>VLOOKUP($B87,'Data Vlaue (Cr)'!$C:$FB,68)</f>
        <v>20509</v>
      </c>
      <c r="P87" s="5">
        <f t="shared" si="30"/>
        <v>-2.5142457262821152</v>
      </c>
      <c r="Q87" s="1"/>
      <c r="R87" s="1"/>
      <c r="S87" s="1"/>
      <c r="T87" s="1"/>
      <c r="U87" s="1"/>
      <c r="V87" s="1"/>
      <c r="W87" s="1"/>
      <c r="X87" s="1"/>
      <c r="Y87" s="1"/>
      <c r="Z87" s="1"/>
      <c r="AA87" s="1"/>
      <c r="AB87" s="1"/>
      <c r="AC87" s="1"/>
      <c r="AD87" s="1"/>
      <c r="AE87" s="1"/>
      <c r="AF87" s="1"/>
      <c r="AG87" s="1"/>
      <c r="AH87" s="1"/>
      <c r="AI87" s="1"/>
      <c r="AJ87" s="1"/>
    </row>
    <row r="88" spans="1:36" x14ac:dyDescent="0.25">
      <c r="A88" s="79" t="str">
        <f>'Data shares'!B83</f>
        <v>Realty</v>
      </c>
      <c r="B88" s="79" t="str">
        <f>'Data shares'!C83</f>
        <v>HUDCO</v>
      </c>
      <c r="C88" s="4">
        <f>VLOOKUP($B88,'Data shares'!$C:$FB,7)</f>
        <v>204.33</v>
      </c>
      <c r="D88" s="82">
        <f>VLOOKUP($B88,'Data shares'!$C:$FB,98)</f>
        <v>60680925</v>
      </c>
      <c r="E88" s="165">
        <f>VLOOKUP(B88,'Snapshot (Volume)'!$A$7:$G$168,7,0)</f>
        <v>56313075</v>
      </c>
      <c r="F88" s="165">
        <f t="shared" si="27"/>
        <v>4367850</v>
      </c>
      <c r="G88" s="166">
        <f t="shared" si="28"/>
        <v>7.7563691913467694E-2</v>
      </c>
      <c r="H88" s="165">
        <f>VLOOKUP($B88,'Data shares'!$C:$FB,66)</f>
        <v>33169575</v>
      </c>
      <c r="I88" s="165">
        <f>VLOOKUP($B88,'Data shares'!$C:$FB,67)</f>
        <v>85889025</v>
      </c>
      <c r="J88" s="81">
        <f t="shared" si="29"/>
        <v>-61.380892378275341</v>
      </c>
      <c r="K88" s="5">
        <f>VLOOKUP($B88,'Data Vlaue (Cr)'!$C:$FB,99)</f>
        <v>1242</v>
      </c>
      <c r="L88" s="81">
        <f>VLOOKUP(B88,'OI(Value)'!$A$7:$C$226,3,0)</f>
        <v>89</v>
      </c>
      <c r="M88" s="33">
        <f t="shared" si="22"/>
        <v>7.1658615136876005</v>
      </c>
      <c r="N88" s="5">
        <f>VLOOKUP($B88,'Data Vlaue (Cr)'!$C:$FB,67)</f>
        <v>679</v>
      </c>
      <c r="O88" s="5">
        <f>VLOOKUP($B88,'Data Vlaue (Cr)'!$C:$FB,68)</f>
        <v>1758</v>
      </c>
      <c r="P88" s="5">
        <f t="shared" si="30"/>
        <v>-158.9101620029455</v>
      </c>
      <c r="Q88" s="1"/>
      <c r="R88" s="1"/>
      <c r="S88" s="1"/>
      <c r="T88" s="1"/>
      <c r="U88" s="1"/>
      <c r="V88" s="1"/>
      <c r="W88" s="1"/>
      <c r="X88" s="1"/>
      <c r="Y88" s="1"/>
      <c r="Z88" s="1"/>
      <c r="AA88" s="1"/>
      <c r="AB88" s="1"/>
      <c r="AC88" s="1"/>
      <c r="AD88" s="1"/>
      <c r="AE88" s="1"/>
      <c r="AF88" s="1"/>
      <c r="AG88" s="1"/>
      <c r="AH88" s="1"/>
      <c r="AI88" s="1"/>
      <c r="AJ88" s="1"/>
    </row>
    <row r="89" spans="1:36" x14ac:dyDescent="0.25">
      <c r="A89" s="79" t="str">
        <f>'Data shares'!B84</f>
        <v>Banking</v>
      </c>
      <c r="B89" s="79" t="str">
        <f>'Data shares'!C84</f>
        <v>ICICIBANK</v>
      </c>
      <c r="C89" s="4">
        <f>VLOOKUP($B89,'Data shares'!$C:$FB,7)</f>
        <v>1367.7</v>
      </c>
      <c r="D89" s="82">
        <f>VLOOKUP($B89,'Data shares'!$C:$FB,98)</f>
        <v>159618900</v>
      </c>
      <c r="E89" s="165">
        <f>VLOOKUP(B89,'Snapshot (Volume)'!$A$7:$G$168,7,0)</f>
        <v>158027100</v>
      </c>
      <c r="F89" s="165">
        <f t="shared" si="27"/>
        <v>1591800</v>
      </c>
      <c r="G89" s="166">
        <f t="shared" si="28"/>
        <v>1.007295584111839E-2</v>
      </c>
      <c r="H89" s="165">
        <f>VLOOKUP($B89,'Data shares'!$C:$FB,66)</f>
        <v>65291800</v>
      </c>
      <c r="I89" s="165">
        <f>VLOOKUP($B89,'Data shares'!$C:$FB,67)</f>
        <v>161403200</v>
      </c>
      <c r="J89" s="81">
        <f t="shared" si="29"/>
        <v>-59.547394351537022</v>
      </c>
      <c r="K89" s="5">
        <f>VLOOKUP($B89,'Data Vlaue (Cr)'!$C:$FB,99)</f>
        <v>21919</v>
      </c>
      <c r="L89" s="81">
        <f>VLOOKUP(B89,'OI(Value)'!$A$7:$C$226,3,0)</f>
        <v>219</v>
      </c>
      <c r="M89" s="33">
        <f t="shared" si="22"/>
        <v>0.99913317213376518</v>
      </c>
      <c r="N89" s="5">
        <f>VLOOKUP($B89,'Data Vlaue (Cr)'!$C:$FB,67)</f>
        <v>8966</v>
      </c>
      <c r="O89" s="5">
        <f>VLOOKUP($B89,'Data Vlaue (Cr)'!$C:$FB,68)</f>
        <v>22164</v>
      </c>
      <c r="P89" s="5">
        <f t="shared" si="30"/>
        <v>-147.20053535578853</v>
      </c>
      <c r="Q89" s="1"/>
      <c r="R89" s="1"/>
      <c r="S89" s="1"/>
      <c r="T89" s="1"/>
      <c r="U89" s="1"/>
      <c r="V89" s="1"/>
      <c r="W89" s="1"/>
      <c r="X89" s="1"/>
      <c r="Y89" s="1"/>
      <c r="Z89" s="1"/>
      <c r="AA89" s="1"/>
      <c r="AB89" s="1"/>
      <c r="AC89" s="1"/>
      <c r="AD89" s="1"/>
      <c r="AE89" s="1"/>
      <c r="AF89" s="1"/>
      <c r="AG89" s="1"/>
      <c r="AH89" s="1"/>
      <c r="AI89" s="1"/>
      <c r="AJ89" s="1"/>
    </row>
    <row r="90" spans="1:36" x14ac:dyDescent="0.25">
      <c r="A90" s="79" t="str">
        <f>'Data shares'!B85</f>
        <v>Finance</v>
      </c>
      <c r="B90" s="79" t="str">
        <f>'Data shares'!C85</f>
        <v>ICICIGI</v>
      </c>
      <c r="C90" s="4">
        <f>VLOOKUP($B90,'Data shares'!$C:$FB,7)</f>
        <v>1822.2</v>
      </c>
      <c r="D90" s="82">
        <f>VLOOKUP($B90,'Data shares'!$C:$FB,98)</f>
        <v>6205550</v>
      </c>
      <c r="E90" s="165">
        <f>VLOOKUP(B90,'Snapshot (Volume)'!$A$7:$G$168,7,0)</f>
        <v>6096025</v>
      </c>
      <c r="F90" s="165">
        <f t="shared" si="27"/>
        <v>109525</v>
      </c>
      <c r="G90" s="166">
        <f t="shared" si="28"/>
        <v>1.7966625793037268E-2</v>
      </c>
      <c r="H90" s="165">
        <f>VLOOKUP($B90,'Data shares'!$C:$FB,66)</f>
        <v>963950</v>
      </c>
      <c r="I90" s="165">
        <f>VLOOKUP($B90,'Data shares'!$C:$FB,67)</f>
        <v>4083950</v>
      </c>
      <c r="J90" s="81">
        <f t="shared" si="29"/>
        <v>-76.396625815693142</v>
      </c>
      <c r="K90" s="5">
        <f>VLOOKUP($B90,'Data Vlaue (Cr)'!$C:$FB,99)</f>
        <v>1133</v>
      </c>
      <c r="L90" s="81">
        <f>VLOOKUP(B90,'OI(Value)'!$A$7:$C$226,3,0)</f>
        <v>20</v>
      </c>
      <c r="M90" s="33">
        <f t="shared" si="22"/>
        <v>1.7652250661959399</v>
      </c>
      <c r="N90" s="5">
        <f>VLOOKUP($B90,'Data Vlaue (Cr)'!$C:$FB,67)</f>
        <v>176</v>
      </c>
      <c r="O90" s="5">
        <f>VLOOKUP($B90,'Data Vlaue (Cr)'!$C:$FB,68)</f>
        <v>746</v>
      </c>
      <c r="P90" s="5">
        <f t="shared" si="30"/>
        <v>-323.86363636363637</v>
      </c>
      <c r="Q90" s="1"/>
      <c r="R90" s="1"/>
      <c r="S90" s="1"/>
      <c r="T90" s="1"/>
      <c r="U90" s="1"/>
      <c r="V90" s="1"/>
      <c r="W90" s="1"/>
      <c r="X90" s="1"/>
      <c r="Y90" s="1"/>
      <c r="Z90" s="1"/>
      <c r="AA90" s="1"/>
      <c r="AB90" s="1"/>
      <c r="AC90" s="1"/>
      <c r="AD90" s="1"/>
      <c r="AE90" s="1"/>
      <c r="AF90" s="1"/>
      <c r="AG90" s="1"/>
      <c r="AH90" s="1"/>
      <c r="AI90" s="1"/>
      <c r="AJ90" s="1"/>
    </row>
    <row r="91" spans="1:36" x14ac:dyDescent="0.25">
      <c r="A91" s="79" t="str">
        <f>'Data shares'!B86</f>
        <v>Finance</v>
      </c>
      <c r="B91" s="79" t="str">
        <f>'Data shares'!C86</f>
        <v>ICICIPRULI</v>
      </c>
      <c r="C91" s="4">
        <f>VLOOKUP($B91,'Data shares'!$C:$FB,7)</f>
        <v>642.4</v>
      </c>
      <c r="D91" s="82">
        <f>VLOOKUP($B91,'Data shares'!$C:$FB,98)</f>
        <v>16112575</v>
      </c>
      <c r="E91" s="165">
        <f>VLOOKUP(B91,'Snapshot (Volume)'!$A$7:$G$168,7,0)</f>
        <v>15347600</v>
      </c>
      <c r="F91" s="165">
        <f t="shared" si="27"/>
        <v>764975</v>
      </c>
      <c r="G91" s="166">
        <f t="shared" si="28"/>
        <v>4.9843297974927675E-2</v>
      </c>
      <c r="H91" s="165">
        <f>VLOOKUP($B91,'Data shares'!$C:$FB,66)</f>
        <v>3725900</v>
      </c>
      <c r="I91" s="165">
        <f>VLOOKUP($B91,'Data shares'!$C:$FB,67)</f>
        <v>9929875</v>
      </c>
      <c r="J91" s="81">
        <f t="shared" si="29"/>
        <v>-62.477876106194685</v>
      </c>
      <c r="K91" s="5">
        <f>VLOOKUP($B91,'Data Vlaue (Cr)'!$C:$FB,99)</f>
        <v>1039</v>
      </c>
      <c r="L91" s="81">
        <f>VLOOKUP(B91,'OI(Value)'!$A$7:$C$226,3,0)</f>
        <v>49</v>
      </c>
      <c r="M91" s="33">
        <f t="shared" si="22"/>
        <v>4.7160731472569779</v>
      </c>
      <c r="N91" s="5">
        <f>VLOOKUP($B91,'Data Vlaue (Cr)'!$C:$FB,67)</f>
        <v>240</v>
      </c>
      <c r="O91" s="5">
        <f>VLOOKUP($B91,'Data Vlaue (Cr)'!$C:$FB,68)</f>
        <v>640</v>
      </c>
      <c r="P91" s="5">
        <f t="shared" si="30"/>
        <v>-166.66666666666669</v>
      </c>
      <c r="Q91" s="1"/>
      <c r="R91" s="1"/>
      <c r="S91" s="1"/>
      <c r="T91" s="1"/>
      <c r="U91" s="1"/>
      <c r="V91" s="1"/>
      <c r="W91" s="1"/>
      <c r="X91" s="1"/>
      <c r="Y91" s="1"/>
      <c r="Z91" s="1"/>
      <c r="AA91" s="1"/>
      <c r="AB91" s="1"/>
      <c r="AC91" s="1"/>
      <c r="AD91" s="1"/>
      <c r="AE91" s="1"/>
      <c r="AF91" s="1"/>
      <c r="AG91" s="1"/>
      <c r="AH91" s="1"/>
      <c r="AI91" s="1"/>
      <c r="AJ91" s="1"/>
    </row>
    <row r="92" spans="1:36" x14ac:dyDescent="0.25">
      <c r="A92" s="79" t="str">
        <f>'Data shares'!B87</f>
        <v>Telecom</v>
      </c>
      <c r="B92" s="79" t="str">
        <f>'Data shares'!C87</f>
        <v>IDEA</v>
      </c>
      <c r="C92" s="4">
        <f>VLOOKUP($B92,'Data shares'!$C:$FB,7)</f>
        <v>9.9499999999999993</v>
      </c>
      <c r="D92" s="82">
        <f>VLOOKUP($B92,'Data shares'!$C:$FB,98)</f>
        <v>9150801300</v>
      </c>
      <c r="E92" s="165">
        <f>VLOOKUP(B92,'Snapshot (Volume)'!$A$7:$G$168,7,0)</f>
        <v>8779560150</v>
      </c>
      <c r="F92" s="165">
        <f t="shared" si="27"/>
        <v>371241150</v>
      </c>
      <c r="G92" s="166">
        <f t="shared" si="28"/>
        <v>4.2284709445267597E-2</v>
      </c>
      <c r="H92" s="165">
        <f>VLOOKUP($B92,'Data shares'!$C:$FB,66)</f>
        <v>2994302175</v>
      </c>
      <c r="I92" s="165">
        <f>VLOOKUP($B92,'Data shares'!$C:$FB,67)</f>
        <v>7865680800</v>
      </c>
      <c r="J92" s="81">
        <f t="shared" si="29"/>
        <v>-61.932066007560337</v>
      </c>
      <c r="K92" s="5">
        <f>VLOOKUP($B92,'Data Vlaue (Cr)'!$C:$FB,99)</f>
        <v>9160</v>
      </c>
      <c r="L92" s="81">
        <f>VLOOKUP(B92,'OI(Value)'!$A$7:$C$226,3,0)</f>
        <v>372</v>
      </c>
      <c r="M92" s="33">
        <f t="shared" si="22"/>
        <v>4.0611353711790397</v>
      </c>
      <c r="N92" s="5">
        <f>VLOOKUP($B92,'Data Vlaue (Cr)'!$C:$FB,67)</f>
        <v>2997</v>
      </c>
      <c r="O92" s="5">
        <f>VLOOKUP($B92,'Data Vlaue (Cr)'!$C:$FB,68)</f>
        <v>7874</v>
      </c>
      <c r="P92" s="5">
        <f t="shared" si="30"/>
        <v>-162.72939606272939</v>
      </c>
      <c r="Q92" s="1"/>
      <c r="R92" s="1"/>
      <c r="S92" s="1"/>
      <c r="T92" s="1"/>
      <c r="U92" s="1"/>
      <c r="V92" s="1"/>
      <c r="W92" s="1"/>
      <c r="X92" s="1"/>
      <c r="Y92" s="1"/>
      <c r="Z92" s="1"/>
      <c r="AA92" s="1"/>
      <c r="AB92" s="1"/>
      <c r="AC92" s="1"/>
      <c r="AD92" s="1"/>
      <c r="AE92" s="1"/>
      <c r="AF92" s="1"/>
      <c r="AG92" s="1"/>
      <c r="AH92" s="1"/>
      <c r="AI92" s="1"/>
      <c r="AJ92" s="1"/>
    </row>
    <row r="93" spans="1:36" x14ac:dyDescent="0.25">
      <c r="A93" s="79" t="str">
        <f>'Data shares'!B88</f>
        <v>Banking</v>
      </c>
      <c r="B93" s="79" t="str">
        <f>'Data shares'!C88</f>
        <v>IDFCFIRSTB</v>
      </c>
      <c r="C93" s="4">
        <f>VLOOKUP($B93,'Data shares'!$C:$FB,7)</f>
        <v>82.93</v>
      </c>
      <c r="D93" s="82">
        <f>VLOOKUP($B93,'Data shares'!$C:$FB,98)</f>
        <v>440543950</v>
      </c>
      <c r="E93" s="165">
        <f>VLOOKUP(B93,'Snapshot (Volume)'!$A$7:$G$168,7,0)</f>
        <v>406217175</v>
      </c>
      <c r="F93" s="165">
        <f t="shared" si="27"/>
        <v>34326775</v>
      </c>
      <c r="G93" s="166">
        <f t="shared" si="28"/>
        <v>8.450350480626527E-2</v>
      </c>
      <c r="H93" s="165">
        <f>VLOOKUP($B93,'Data shares'!$C:$FB,66)</f>
        <v>153399225</v>
      </c>
      <c r="I93" s="165">
        <f>VLOOKUP($B93,'Data shares'!$C:$FB,67)</f>
        <v>340067875</v>
      </c>
      <c r="J93" s="81">
        <f t="shared" si="29"/>
        <v>-54.891585981180967</v>
      </c>
      <c r="K93" s="5">
        <f>VLOOKUP($B93,'Data Vlaue (Cr)'!$C:$FB,99)</f>
        <v>3667</v>
      </c>
      <c r="L93" s="81">
        <f>VLOOKUP(B93,'OI(Value)'!$A$7:$C$226,3,0)</f>
        <v>286</v>
      </c>
      <c r="M93" s="33">
        <f t="shared" si="22"/>
        <v>7.7992909735478593</v>
      </c>
      <c r="N93" s="5">
        <f>VLOOKUP($B93,'Data Vlaue (Cr)'!$C:$FB,67)</f>
        <v>1277</v>
      </c>
      <c r="O93" s="5">
        <f>VLOOKUP($B93,'Data Vlaue (Cr)'!$C:$FB,68)</f>
        <v>2830</v>
      </c>
      <c r="P93" s="5">
        <f t="shared" si="30"/>
        <v>-121.61315583398591</v>
      </c>
      <c r="Q93" s="1"/>
      <c r="R93" s="1"/>
      <c r="S93" s="1"/>
      <c r="T93" s="1"/>
      <c r="U93" s="1"/>
      <c r="V93" s="1"/>
      <c r="W93" s="1"/>
      <c r="X93" s="1"/>
      <c r="Y93" s="1"/>
      <c r="Z93" s="1"/>
      <c r="AA93" s="1"/>
      <c r="AB93" s="1"/>
      <c r="AC93" s="1"/>
      <c r="AD93" s="1"/>
      <c r="AE93" s="1"/>
      <c r="AF93" s="1"/>
      <c r="AG93" s="1"/>
      <c r="AH93" s="1"/>
      <c r="AI93" s="1"/>
      <c r="AJ93" s="1"/>
    </row>
    <row r="94" spans="1:36" x14ac:dyDescent="0.25">
      <c r="A94" s="79" t="str">
        <f>'Data shares'!B89</f>
        <v>Power</v>
      </c>
      <c r="B94" s="79" t="str">
        <f>'Data shares'!C89</f>
        <v>IEX</v>
      </c>
      <c r="C94" s="4">
        <f>VLOOKUP($B94,'Data shares'!$C:$FB,7)</f>
        <v>128.71</v>
      </c>
      <c r="D94" s="82">
        <f>VLOOKUP($B94,'Data shares'!$C:$FB,98)</f>
        <v>136365000</v>
      </c>
      <c r="E94" s="165">
        <f>VLOOKUP(B94,'Snapshot (Volume)'!$A$7:$G$168,7,0)</f>
        <v>128865000</v>
      </c>
      <c r="F94" s="165">
        <f t="shared" si="27"/>
        <v>7500000</v>
      </c>
      <c r="G94" s="166">
        <f t="shared" si="28"/>
        <v>5.8200442323361655E-2</v>
      </c>
      <c r="H94" s="165">
        <f>VLOOKUP($B94,'Data shares'!$C:$FB,66)</f>
        <v>43331250</v>
      </c>
      <c r="I94" s="165">
        <f>VLOOKUP($B94,'Data shares'!$C:$FB,67)</f>
        <v>164696250</v>
      </c>
      <c r="J94" s="81">
        <f t="shared" si="29"/>
        <v>-73.69020241808785</v>
      </c>
      <c r="K94" s="5">
        <f>VLOOKUP($B94,'Data Vlaue (Cr)'!$C:$FB,99)</f>
        <v>1750</v>
      </c>
      <c r="L94" s="81">
        <f>VLOOKUP(B94,'OI(Value)'!$A$7:$C$226,3,0)</f>
        <v>96</v>
      </c>
      <c r="M94" s="33">
        <f t="shared" ref="M94:M122" si="31">L94/K94*100</f>
        <v>5.4857142857142858</v>
      </c>
      <c r="N94" s="5">
        <f>VLOOKUP($B94,'Data Vlaue (Cr)'!$C:$FB,67)</f>
        <v>556</v>
      </c>
      <c r="O94" s="5">
        <f>VLOOKUP($B94,'Data Vlaue (Cr)'!$C:$FB,68)</f>
        <v>2113</v>
      </c>
      <c r="P94" s="5">
        <f t="shared" si="30"/>
        <v>-280.03597122302159</v>
      </c>
      <c r="Q94" s="1"/>
      <c r="R94" s="1"/>
      <c r="S94" s="1"/>
      <c r="T94" s="1"/>
      <c r="U94" s="1"/>
      <c r="V94" s="1"/>
      <c r="W94" s="1"/>
      <c r="X94" s="1"/>
      <c r="Y94" s="1"/>
      <c r="Z94" s="1"/>
      <c r="AA94" s="1"/>
      <c r="AB94" s="1"/>
      <c r="AC94" s="1"/>
      <c r="AD94" s="1"/>
      <c r="AE94" s="1"/>
      <c r="AF94" s="1"/>
      <c r="AG94" s="1"/>
      <c r="AH94" s="1"/>
      <c r="AI94" s="1"/>
      <c r="AJ94" s="1"/>
    </row>
    <row r="95" spans="1:36" x14ac:dyDescent="0.25">
      <c r="A95" s="79" t="str">
        <f>'Data shares'!B90</f>
        <v>Realty</v>
      </c>
      <c r="B95" s="79" t="str">
        <f>'Data shares'!C90</f>
        <v>INDHOTEL</v>
      </c>
      <c r="C95" s="4">
        <f>VLOOKUP($B95,'Data shares'!$C:$FB,7)</f>
        <v>656.2</v>
      </c>
      <c r="D95" s="82">
        <f>VLOOKUP($B95,'Data shares'!$C:$FB,98)</f>
        <v>38901000</v>
      </c>
      <c r="E95" s="165">
        <f>VLOOKUP(B95,'Snapshot (Volume)'!$A$7:$G$168,7,0)</f>
        <v>38166000</v>
      </c>
      <c r="F95" s="165">
        <f t="shared" si="27"/>
        <v>735000</v>
      </c>
      <c r="G95" s="166">
        <f t="shared" si="28"/>
        <v>1.925797830529791E-2</v>
      </c>
      <c r="H95" s="165">
        <f>VLOOKUP($B95,'Data shares'!$C:$FB,66)</f>
        <v>7786000</v>
      </c>
      <c r="I95" s="165">
        <f>VLOOKUP($B95,'Data shares'!$C:$FB,67)</f>
        <v>38683000</v>
      </c>
      <c r="J95" s="81">
        <f t="shared" si="29"/>
        <v>-79.872295323527126</v>
      </c>
      <c r="K95" s="5">
        <f>VLOOKUP($B95,'Data Vlaue (Cr)'!$C:$FB,99)</f>
        <v>2565</v>
      </c>
      <c r="L95" s="81">
        <f>VLOOKUP(B95,'OI(Value)'!$A$7:$C$226,3,0)</f>
        <v>48</v>
      </c>
      <c r="M95" s="33">
        <f t="shared" si="31"/>
        <v>1.8713450292397662</v>
      </c>
      <c r="N95" s="5">
        <f>VLOOKUP($B95,'Data Vlaue (Cr)'!$C:$FB,67)</f>
        <v>513</v>
      </c>
      <c r="O95" s="5">
        <f>VLOOKUP($B95,'Data Vlaue (Cr)'!$C:$FB,68)</f>
        <v>2550</v>
      </c>
      <c r="P95" s="5">
        <f t="shared" si="30"/>
        <v>-397.0760233918129</v>
      </c>
      <c r="Q95" s="1"/>
      <c r="R95" s="1"/>
      <c r="S95" s="1"/>
      <c r="T95" s="1"/>
      <c r="U95" s="1"/>
      <c r="V95" s="1"/>
      <c r="W95" s="1"/>
      <c r="X95" s="1"/>
      <c r="Y95" s="1"/>
      <c r="Z95" s="1"/>
      <c r="AA95" s="1"/>
      <c r="AB95" s="1"/>
      <c r="AC95" s="1"/>
      <c r="AD95" s="1"/>
      <c r="AE95" s="1"/>
      <c r="AF95" s="1"/>
      <c r="AG95" s="1"/>
      <c r="AH95" s="1"/>
      <c r="AI95" s="1"/>
      <c r="AJ95" s="1"/>
    </row>
    <row r="96" spans="1:36" x14ac:dyDescent="0.25">
      <c r="A96" s="79" t="str">
        <f>'Data shares'!B91</f>
        <v>Banking</v>
      </c>
      <c r="B96" s="79" t="str">
        <f>'Data shares'!C91</f>
        <v>INDIANB</v>
      </c>
      <c r="C96" s="4">
        <f>VLOOKUP($B96,'Data shares'!$C:$FB,7)</f>
        <v>898.35</v>
      </c>
      <c r="D96" s="82">
        <f>VLOOKUP($B96,'Data shares'!$C:$FB,98)</f>
        <v>14033000</v>
      </c>
      <c r="E96" s="165">
        <f>VLOOKUP(B96,'Snapshot (Volume)'!$A$7:$G$168,7,0)</f>
        <v>13170000</v>
      </c>
      <c r="F96" s="165">
        <f t="shared" si="27"/>
        <v>863000</v>
      </c>
      <c r="G96" s="166">
        <f t="shared" si="28"/>
        <v>6.5527714502657555E-2</v>
      </c>
      <c r="H96" s="165">
        <f>VLOOKUP($B96,'Data shares'!$C:$FB,66)</f>
        <v>9002000</v>
      </c>
      <c r="I96" s="165">
        <f>VLOOKUP($B96,'Data shares'!$C:$FB,67)</f>
        <v>17774000</v>
      </c>
      <c r="J96" s="81">
        <f t="shared" si="29"/>
        <v>-49.352987509845839</v>
      </c>
      <c r="K96" s="5">
        <f>VLOOKUP($B96,'Data Vlaue (Cr)'!$C:$FB,99)</f>
        <v>1264</v>
      </c>
      <c r="L96" s="81">
        <f>VLOOKUP(B96,'OI(Value)'!$A$7:$C$226,3,0)</f>
        <v>78</v>
      </c>
      <c r="M96" s="33">
        <f t="shared" si="31"/>
        <v>6.1708860759493671</v>
      </c>
      <c r="N96" s="5">
        <f>VLOOKUP($B96,'Data Vlaue (Cr)'!$C:$FB,67)</f>
        <v>811</v>
      </c>
      <c r="O96" s="5">
        <f>VLOOKUP($B96,'Data Vlaue (Cr)'!$C:$FB,68)</f>
        <v>1601</v>
      </c>
      <c r="P96" s="5">
        <f t="shared" si="30"/>
        <v>-97.410604192355123</v>
      </c>
      <c r="Q96" s="1"/>
      <c r="R96" s="1"/>
      <c r="S96" s="1"/>
      <c r="T96" s="1"/>
      <c r="U96" s="1"/>
      <c r="V96" s="1"/>
      <c r="W96" s="1"/>
      <c r="X96" s="1"/>
      <c r="Y96" s="1"/>
      <c r="Z96" s="1"/>
      <c r="AA96" s="1"/>
      <c r="AB96" s="1"/>
      <c r="AC96" s="1"/>
      <c r="AD96" s="1"/>
      <c r="AE96" s="1"/>
      <c r="AF96" s="1"/>
      <c r="AG96" s="1"/>
      <c r="AH96" s="1"/>
      <c r="AI96" s="1"/>
      <c r="AJ96" s="1"/>
    </row>
    <row r="97" spans="1:36" x14ac:dyDescent="0.25">
      <c r="A97" s="79" t="str">
        <f>'Data shares'!B92</f>
        <v>Index</v>
      </c>
      <c r="B97" s="79" t="str">
        <f>'Data shares'!C92</f>
        <v>INDIAVIX</v>
      </c>
      <c r="C97" s="4">
        <f>VLOOKUP($B97,'Data shares'!$C:$FB,7)</f>
        <v>13.53</v>
      </c>
      <c r="D97" s="82">
        <f>VLOOKUP($B97,'Data shares'!$C:$FB,98)</f>
        <v>0</v>
      </c>
      <c r="E97" s="165">
        <f>VLOOKUP(B97,'Snapshot (Volume)'!$A$7:$G$168,7,0)</f>
        <v>0</v>
      </c>
      <c r="F97" s="165">
        <f t="shared" ref="F97:F105" si="32">D97-E97</f>
        <v>0</v>
      </c>
      <c r="G97" s="166" t="e">
        <f t="shared" ref="G97:G105" si="33">F97/E97</f>
        <v>#DIV/0!</v>
      </c>
      <c r="H97" s="165">
        <f>VLOOKUP($B97,'Data shares'!$C:$FB,66)</f>
        <v>0</v>
      </c>
      <c r="I97" s="165">
        <f>VLOOKUP($B97,'Data shares'!$C:$FB,67)</f>
        <v>0</v>
      </c>
      <c r="J97" s="81" t="e">
        <f t="shared" ref="J97:J105" si="34">(H97-I97)/I97*100</f>
        <v>#DIV/0!</v>
      </c>
      <c r="K97" s="5">
        <f>VLOOKUP($B97,'Data Vlaue (Cr)'!$C:$FB,99)</f>
        <v>0</v>
      </c>
      <c r="L97" s="81">
        <f>VLOOKUP(B97,'OI(Value)'!$A$7:$C$226,3,0)</f>
        <v>0</v>
      </c>
      <c r="M97" s="33" t="e">
        <f t="shared" si="31"/>
        <v>#DIV/0!</v>
      </c>
      <c r="N97" s="5">
        <f>VLOOKUP($B97,'Data Vlaue (Cr)'!$C:$FB,67)</f>
        <v>0</v>
      </c>
      <c r="O97" s="5">
        <f>VLOOKUP($B97,'Data Vlaue (Cr)'!$C:$FB,68)</f>
        <v>0</v>
      </c>
      <c r="P97" s="5" t="e">
        <f t="shared" ref="P97:P105" si="35">(N97-O97)/N97*100</f>
        <v>#DIV/0!</v>
      </c>
      <c r="Q97" s="1"/>
      <c r="R97" s="1"/>
      <c r="S97" s="1"/>
      <c r="T97" s="1"/>
      <c r="U97" s="1"/>
      <c r="V97" s="1"/>
      <c r="W97" s="1"/>
      <c r="X97" s="1"/>
      <c r="Y97" s="1"/>
      <c r="Z97" s="1"/>
      <c r="AA97" s="1"/>
      <c r="AB97" s="1"/>
      <c r="AC97" s="1"/>
      <c r="AD97" s="1"/>
      <c r="AE97" s="1"/>
      <c r="AF97" s="1"/>
      <c r="AG97" s="1"/>
      <c r="AH97" s="1"/>
      <c r="AI97" s="1"/>
      <c r="AJ97" s="1"/>
    </row>
    <row r="98" spans="1:36" x14ac:dyDescent="0.25">
      <c r="A98" s="79" t="str">
        <f>'Data shares'!B93</f>
        <v>Infrastructure</v>
      </c>
      <c r="B98" s="79" t="str">
        <f>'Data shares'!C93</f>
        <v>INDIGO</v>
      </c>
      <c r="C98" s="4">
        <f>VLOOKUP($B98,'Data shares'!$C:$FB,7)</f>
        <v>4749</v>
      </c>
      <c r="D98" s="82">
        <f>VLOOKUP($B98,'Data shares'!$C:$FB,98)</f>
        <v>12474000</v>
      </c>
      <c r="E98" s="165">
        <f>VLOOKUP(B98,'Snapshot (Volume)'!$A$7:$G$168,7,0)</f>
        <v>11562150</v>
      </c>
      <c r="F98" s="165">
        <f t="shared" si="32"/>
        <v>911850</v>
      </c>
      <c r="G98" s="166">
        <f t="shared" si="33"/>
        <v>7.8865089970290986E-2</v>
      </c>
      <c r="H98" s="165">
        <f>VLOOKUP($B98,'Data shares'!$C:$FB,66)</f>
        <v>5868450</v>
      </c>
      <c r="I98" s="165">
        <f>VLOOKUP($B98,'Data shares'!$C:$FB,67)</f>
        <v>17053950</v>
      </c>
      <c r="J98" s="81">
        <f t="shared" si="34"/>
        <v>-65.58891048701328</v>
      </c>
      <c r="K98" s="5">
        <f>VLOOKUP($B98,'Data Vlaue (Cr)'!$C:$FB,99)</f>
        <v>5963</v>
      </c>
      <c r="L98" s="81">
        <f>VLOOKUP(B98,'OI(Value)'!$A$7:$C$226,3,0)</f>
        <v>436</v>
      </c>
      <c r="M98" s="33">
        <f t="shared" si="31"/>
        <v>7.3117558276035552</v>
      </c>
      <c r="N98" s="5">
        <f>VLOOKUP($B98,'Data Vlaue (Cr)'!$C:$FB,67)</f>
        <v>2805</v>
      </c>
      <c r="O98" s="5">
        <f>VLOOKUP($B98,'Data Vlaue (Cr)'!$C:$FB,68)</f>
        <v>8152</v>
      </c>
      <c r="P98" s="5">
        <f t="shared" si="35"/>
        <v>-190.62388591800357</v>
      </c>
      <c r="Q98" s="1"/>
      <c r="R98" s="1"/>
      <c r="S98" s="1"/>
      <c r="T98" s="1"/>
      <c r="U98" s="1"/>
      <c r="V98" s="1"/>
      <c r="W98" s="1"/>
      <c r="X98" s="1"/>
      <c r="Y98" s="1"/>
      <c r="Z98" s="1"/>
      <c r="AA98" s="1"/>
      <c r="AB98" s="1"/>
      <c r="AC98" s="1"/>
      <c r="AD98" s="1"/>
      <c r="AE98" s="1"/>
      <c r="AF98" s="1"/>
      <c r="AG98" s="1"/>
      <c r="AH98" s="1"/>
      <c r="AI98" s="1"/>
      <c r="AJ98" s="1"/>
    </row>
    <row r="99" spans="1:36" x14ac:dyDescent="0.25">
      <c r="A99" s="79" t="str">
        <f>'Data shares'!B94</f>
        <v>Banking</v>
      </c>
      <c r="B99" s="79" t="str">
        <f>'Data shares'!C94</f>
        <v>INDUSINDBK</v>
      </c>
      <c r="C99" s="4">
        <f>VLOOKUP($B99,'Data shares'!$C:$FB,7)</f>
        <v>901.7</v>
      </c>
      <c r="D99" s="82">
        <f>VLOOKUP($B99,'Data shares'!$C:$FB,98)</f>
        <v>47147800</v>
      </c>
      <c r="E99" s="165">
        <f>VLOOKUP(B99,'Snapshot (Volume)'!$A$7:$G$168,7,0)</f>
        <v>45907400</v>
      </c>
      <c r="F99" s="165">
        <f t="shared" si="32"/>
        <v>1240400</v>
      </c>
      <c r="G99" s="166">
        <f t="shared" si="33"/>
        <v>2.7019609039065598E-2</v>
      </c>
      <c r="H99" s="165">
        <f>VLOOKUP($B99,'Data shares'!$C:$FB,66)</f>
        <v>22726900</v>
      </c>
      <c r="I99" s="165">
        <f>VLOOKUP($B99,'Data shares'!$C:$FB,67)</f>
        <v>100676800</v>
      </c>
      <c r="J99" s="81">
        <f t="shared" si="34"/>
        <v>-77.425881633107124</v>
      </c>
      <c r="K99" s="5">
        <f>VLOOKUP($B99,'Data Vlaue (Cr)'!$C:$FB,99)</f>
        <v>4261</v>
      </c>
      <c r="L99" s="81">
        <f>VLOOKUP(B99,'OI(Value)'!$A$7:$C$226,3,0)</f>
        <v>112</v>
      </c>
      <c r="M99" s="33">
        <f t="shared" si="31"/>
        <v>2.6284909645623094</v>
      </c>
      <c r="N99" s="5">
        <f>VLOOKUP($B99,'Data Vlaue (Cr)'!$C:$FB,67)</f>
        <v>2054</v>
      </c>
      <c r="O99" s="5">
        <f>VLOOKUP($B99,'Data Vlaue (Cr)'!$C:$FB,68)</f>
        <v>9100</v>
      </c>
      <c r="P99" s="5">
        <f t="shared" si="35"/>
        <v>-343.03797468354429</v>
      </c>
      <c r="Q99" s="1"/>
      <c r="R99" s="1"/>
      <c r="S99" s="1"/>
      <c r="T99" s="1"/>
      <c r="U99" s="1"/>
      <c r="V99" s="1"/>
      <c r="W99" s="1"/>
      <c r="X99" s="1"/>
      <c r="Y99" s="1"/>
      <c r="Z99" s="1"/>
      <c r="AA99" s="1"/>
      <c r="AB99" s="1"/>
      <c r="AC99" s="1"/>
      <c r="AD99" s="1"/>
      <c r="AE99" s="1"/>
      <c r="AF99" s="1"/>
      <c r="AG99" s="1"/>
      <c r="AH99" s="1"/>
      <c r="AI99" s="1"/>
      <c r="AJ99" s="1"/>
    </row>
    <row r="100" spans="1:36" x14ac:dyDescent="0.25">
      <c r="A100" s="79" t="str">
        <f>'Data shares'!B95</f>
        <v>Telecom</v>
      </c>
      <c r="B100" s="79" t="str">
        <f>'Data shares'!C95</f>
        <v>INDUSTOWER</v>
      </c>
      <c r="C100" s="4">
        <f>VLOOKUP($B100,'Data shares'!$C:$FB,7)</f>
        <v>425.3</v>
      </c>
      <c r="D100" s="82">
        <f>VLOOKUP($B100,'Data shares'!$C:$FB,98)</f>
        <v>109745200</v>
      </c>
      <c r="E100" s="165">
        <f>VLOOKUP(B100,'Snapshot (Volume)'!$A$7:$G$168,7,0)</f>
        <v>108230500</v>
      </c>
      <c r="F100" s="165">
        <f t="shared" si="32"/>
        <v>1514700</v>
      </c>
      <c r="G100" s="166">
        <f t="shared" si="33"/>
        <v>1.3995130762585408E-2</v>
      </c>
      <c r="H100" s="165">
        <f>VLOOKUP($B100,'Data shares'!$C:$FB,66)</f>
        <v>28240400</v>
      </c>
      <c r="I100" s="165">
        <f>VLOOKUP($B100,'Data shares'!$C:$FB,67)</f>
        <v>91601100</v>
      </c>
      <c r="J100" s="81">
        <f t="shared" si="34"/>
        <v>-69.170239222018083</v>
      </c>
      <c r="K100" s="5">
        <f>VLOOKUP($B100,'Data Vlaue (Cr)'!$C:$FB,99)</f>
        <v>4686</v>
      </c>
      <c r="L100" s="81">
        <f>VLOOKUP(B100,'OI(Value)'!$A$7:$C$226,3,0)</f>
        <v>65</v>
      </c>
      <c r="M100" s="33">
        <f t="shared" si="31"/>
        <v>1.3871105420401195</v>
      </c>
      <c r="N100" s="5">
        <f>VLOOKUP($B100,'Data Vlaue (Cr)'!$C:$FB,67)</f>
        <v>1206</v>
      </c>
      <c r="O100" s="5">
        <f>VLOOKUP($B100,'Data Vlaue (Cr)'!$C:$FB,68)</f>
        <v>3911</v>
      </c>
      <c r="P100" s="5">
        <f t="shared" si="35"/>
        <v>-224.29519071310119</v>
      </c>
      <c r="Q100" s="1"/>
      <c r="R100" s="1"/>
      <c r="S100" s="1"/>
      <c r="T100" s="1"/>
      <c r="U100" s="1"/>
      <c r="V100" s="1"/>
      <c r="W100" s="1"/>
      <c r="X100" s="1"/>
      <c r="Y100" s="1"/>
      <c r="Z100" s="1"/>
      <c r="AA100" s="1"/>
      <c r="AB100" s="1"/>
      <c r="AC100" s="1"/>
      <c r="AD100" s="1"/>
      <c r="AE100" s="1"/>
      <c r="AF100" s="1"/>
      <c r="AG100" s="1"/>
      <c r="AH100" s="1"/>
      <c r="AI100" s="1"/>
      <c r="AJ100" s="1"/>
    </row>
    <row r="101" spans="1:36" x14ac:dyDescent="0.25">
      <c r="A101" s="79" t="str">
        <f>'Data shares'!B96</f>
        <v>Technology</v>
      </c>
      <c r="B101" s="79" t="str">
        <f>'Data shares'!C96</f>
        <v>INFY</v>
      </c>
      <c r="C101" s="4">
        <f>VLOOKUP($B101,'Data shares'!$C:$FB,7)</f>
        <v>1666.5</v>
      </c>
      <c r="D101" s="82">
        <f>VLOOKUP($B101,'Data shares'!$C:$FB,98)</f>
        <v>78214800</v>
      </c>
      <c r="E101" s="165">
        <f>VLOOKUP(B101,'Snapshot (Volume)'!$A$7:$G$168,7,0)</f>
        <v>76092800</v>
      </c>
      <c r="F101" s="165">
        <f t="shared" si="32"/>
        <v>2122000</v>
      </c>
      <c r="G101" s="166">
        <f t="shared" si="33"/>
        <v>2.7887001135455655E-2</v>
      </c>
      <c r="H101" s="165">
        <f>VLOOKUP($B101,'Data shares'!$C:$FB,66)</f>
        <v>38088400</v>
      </c>
      <c r="I101" s="165">
        <f>VLOOKUP($B101,'Data shares'!$C:$FB,67)</f>
        <v>83403200</v>
      </c>
      <c r="J101" s="81">
        <f t="shared" si="34"/>
        <v>-54.332207876915994</v>
      </c>
      <c r="K101" s="5">
        <f>VLOOKUP($B101,'Data Vlaue (Cr)'!$C:$FB,99)</f>
        <v>13087</v>
      </c>
      <c r="L101" s="81">
        <f>VLOOKUP(B101,'OI(Value)'!$A$7:$C$226,3,0)</f>
        <v>355</v>
      </c>
      <c r="M101" s="33">
        <f t="shared" si="31"/>
        <v>2.7126155727057384</v>
      </c>
      <c r="N101" s="5">
        <f>VLOOKUP($B101,'Data Vlaue (Cr)'!$C:$FB,67)</f>
        <v>6373</v>
      </c>
      <c r="O101" s="5">
        <f>VLOOKUP($B101,'Data Vlaue (Cr)'!$C:$FB,68)</f>
        <v>13955</v>
      </c>
      <c r="P101" s="5">
        <f t="shared" si="35"/>
        <v>-118.97065746116428</v>
      </c>
      <c r="Q101" s="1"/>
      <c r="R101" s="1"/>
      <c r="S101" s="1"/>
      <c r="T101" s="1"/>
      <c r="U101" s="1"/>
      <c r="V101" s="1"/>
      <c r="W101" s="1"/>
      <c r="X101" s="1"/>
      <c r="Y101" s="1"/>
      <c r="Z101" s="1"/>
      <c r="AA101" s="1"/>
      <c r="AB101" s="1"/>
      <c r="AC101" s="1"/>
      <c r="AD101" s="1"/>
      <c r="AE101" s="1"/>
      <c r="AF101" s="1"/>
      <c r="AG101" s="1"/>
      <c r="AH101" s="1"/>
      <c r="AI101" s="1"/>
      <c r="AJ101" s="1"/>
    </row>
    <row r="102" spans="1:36" x14ac:dyDescent="0.25">
      <c r="A102" s="79" t="str">
        <f>'Data shares'!B97</f>
        <v>Power</v>
      </c>
      <c r="B102" s="79" t="str">
        <f>'Data shares'!C97</f>
        <v>INOXWIND</v>
      </c>
      <c r="C102" s="4">
        <f>VLOOKUP($B102,'Data shares'!$C:$FB,7)</f>
        <v>109.25</v>
      </c>
      <c r="D102" s="82">
        <f>VLOOKUP($B102,'Data shares'!$C:$FB,98)</f>
        <v>119394275</v>
      </c>
      <c r="E102" s="165">
        <f>VLOOKUP(B102,'Snapshot (Volume)'!$A$7:$G$168,7,0)</f>
        <v>113138025</v>
      </c>
      <c r="F102" s="165">
        <f t="shared" si="32"/>
        <v>6256250</v>
      </c>
      <c r="G102" s="166">
        <f t="shared" si="33"/>
        <v>5.5297500552975005E-2</v>
      </c>
      <c r="H102" s="165">
        <f>VLOOKUP($B102,'Data shares'!$C:$FB,66)</f>
        <v>34588125</v>
      </c>
      <c r="I102" s="165">
        <f>VLOOKUP($B102,'Data shares'!$C:$FB,67)</f>
        <v>145234375</v>
      </c>
      <c r="J102" s="81">
        <f t="shared" si="34"/>
        <v>-76.184615384615384</v>
      </c>
      <c r="K102" s="5">
        <f>VLOOKUP($B102,'Data Vlaue (Cr)'!$C:$FB,99)</f>
        <v>1311</v>
      </c>
      <c r="L102" s="81">
        <f>VLOOKUP(B102,'OI(Value)'!$A$7:$C$226,3,0)</f>
        <v>69</v>
      </c>
      <c r="M102" s="33">
        <f t="shared" si="31"/>
        <v>5.2631578947368416</v>
      </c>
      <c r="N102" s="5">
        <f>VLOOKUP($B102,'Data Vlaue (Cr)'!$C:$FB,67)</f>
        <v>380</v>
      </c>
      <c r="O102" s="5">
        <f>VLOOKUP($B102,'Data Vlaue (Cr)'!$C:$FB,68)</f>
        <v>1595</v>
      </c>
      <c r="P102" s="5">
        <f t="shared" si="35"/>
        <v>-319.73684210526312</v>
      </c>
      <c r="Q102" s="1"/>
      <c r="R102" s="1"/>
      <c r="S102" s="1"/>
      <c r="T102" s="1"/>
      <c r="U102" s="1"/>
      <c r="V102" s="1"/>
      <c r="W102" s="1"/>
      <c r="X102" s="1"/>
      <c r="Y102" s="1"/>
      <c r="Z102" s="1"/>
      <c r="AA102" s="1"/>
      <c r="AB102" s="1"/>
      <c r="AC102" s="1"/>
      <c r="AD102" s="1"/>
      <c r="AE102" s="1"/>
      <c r="AF102" s="1"/>
      <c r="AG102" s="1"/>
      <c r="AH102" s="1"/>
      <c r="AI102" s="1"/>
      <c r="AJ102" s="1"/>
    </row>
    <row r="103" spans="1:36" x14ac:dyDescent="0.25">
      <c r="A103" s="79" t="str">
        <f>'Data shares'!B98</f>
        <v>Oil_Gas</v>
      </c>
      <c r="B103" s="79" t="str">
        <f>'Data shares'!C98</f>
        <v>IOC</v>
      </c>
      <c r="C103" s="4">
        <f>VLOOKUP($B103,'Data shares'!$C:$FB,7)</f>
        <v>162.85</v>
      </c>
      <c r="D103" s="82">
        <f>VLOOKUP($B103,'Data shares'!$C:$FB,98)</f>
        <v>131644500</v>
      </c>
      <c r="E103" s="165">
        <f>VLOOKUP(B103,'Snapshot (Volume)'!$A$7:$G$168,7,0)</f>
        <v>119544750</v>
      </c>
      <c r="F103" s="165">
        <f t="shared" si="32"/>
        <v>12099750</v>
      </c>
      <c r="G103" s="166">
        <f t="shared" si="33"/>
        <v>0.10121523529891525</v>
      </c>
      <c r="H103" s="165">
        <f>VLOOKUP($B103,'Data shares'!$C:$FB,66)</f>
        <v>108298125</v>
      </c>
      <c r="I103" s="165">
        <f>VLOOKUP($B103,'Data shares'!$C:$FB,67)</f>
        <v>109170750</v>
      </c>
      <c r="J103" s="81">
        <f t="shared" si="34"/>
        <v>-0.79932124676252569</v>
      </c>
      <c r="K103" s="5">
        <f>VLOOKUP($B103,'Data Vlaue (Cr)'!$C:$FB,99)</f>
        <v>2156</v>
      </c>
      <c r="L103" s="81">
        <f>VLOOKUP(B103,'OI(Value)'!$A$7:$C$226,3,0)</f>
        <v>198</v>
      </c>
      <c r="M103" s="33">
        <f t="shared" si="31"/>
        <v>9.183673469387756</v>
      </c>
      <c r="N103" s="5">
        <f>VLOOKUP($B103,'Data Vlaue (Cr)'!$C:$FB,67)</f>
        <v>1773</v>
      </c>
      <c r="O103" s="5">
        <f>VLOOKUP($B103,'Data Vlaue (Cr)'!$C:$FB,68)</f>
        <v>1788</v>
      </c>
      <c r="P103" s="5">
        <f t="shared" si="35"/>
        <v>-0.84602368866328259</v>
      </c>
      <c r="Q103" s="1"/>
      <c r="R103" s="1"/>
      <c r="S103" s="1"/>
      <c r="T103" s="1"/>
      <c r="U103" s="1"/>
      <c r="V103" s="1"/>
      <c r="W103" s="1"/>
      <c r="X103" s="1"/>
      <c r="Y103" s="1"/>
      <c r="Z103" s="1"/>
      <c r="AA103" s="1"/>
      <c r="AB103" s="1"/>
      <c r="AC103" s="1"/>
      <c r="AD103" s="1"/>
      <c r="AE103" s="1"/>
      <c r="AF103" s="1"/>
      <c r="AG103" s="1"/>
      <c r="AH103" s="1"/>
      <c r="AI103" s="1"/>
      <c r="AJ103" s="1"/>
    </row>
    <row r="104" spans="1:36" x14ac:dyDescent="0.25">
      <c r="A104" s="79" t="str">
        <f>'Data shares'!B99</f>
        <v>Infrastructure</v>
      </c>
      <c r="B104" s="79" t="str">
        <f>'Data shares'!C99</f>
        <v>IRCTC</v>
      </c>
      <c r="C104" s="4">
        <f>VLOOKUP($B104,'Data shares'!$C:$FB,7)</f>
        <v>625.1</v>
      </c>
      <c r="D104" s="82">
        <f>VLOOKUP($B104,'Data shares'!$C:$FB,98)</f>
        <v>35960750</v>
      </c>
      <c r="E104" s="165">
        <f>VLOOKUP(B104,'Snapshot (Volume)'!$A$7:$G$168,7,0)</f>
        <v>34451375</v>
      </c>
      <c r="F104" s="165">
        <f t="shared" si="32"/>
        <v>1509375</v>
      </c>
      <c r="G104" s="166">
        <f t="shared" si="33"/>
        <v>4.3811749168211719E-2</v>
      </c>
      <c r="H104" s="165">
        <f>VLOOKUP($B104,'Data shares'!$C:$FB,66)</f>
        <v>18474750</v>
      </c>
      <c r="I104" s="165">
        <f>VLOOKUP($B104,'Data shares'!$C:$FB,67)</f>
        <v>35112000</v>
      </c>
      <c r="J104" s="81">
        <f t="shared" si="34"/>
        <v>-47.383373205741627</v>
      </c>
      <c r="K104" s="5">
        <f>VLOOKUP($B104,'Data Vlaue (Cr)'!$C:$FB,99)</f>
        <v>2242</v>
      </c>
      <c r="L104" s="81">
        <f>VLOOKUP(B104,'OI(Value)'!$A$7:$C$226,3,0)</f>
        <v>94</v>
      </c>
      <c r="M104" s="33">
        <f t="shared" si="31"/>
        <v>4.1926851025869762</v>
      </c>
      <c r="N104" s="5">
        <f>VLOOKUP($B104,'Data Vlaue (Cr)'!$C:$FB,67)</f>
        <v>1152</v>
      </c>
      <c r="O104" s="5">
        <f>VLOOKUP($B104,'Data Vlaue (Cr)'!$C:$FB,68)</f>
        <v>2189</v>
      </c>
      <c r="P104" s="5">
        <f t="shared" si="35"/>
        <v>-90.017361111111114</v>
      </c>
      <c r="Q104" s="1"/>
      <c r="R104" s="1"/>
      <c r="S104" s="1"/>
      <c r="T104" s="1"/>
      <c r="U104" s="1"/>
      <c r="V104" s="1"/>
      <c r="W104" s="1"/>
      <c r="X104" s="1"/>
      <c r="Y104" s="1"/>
      <c r="Z104" s="1"/>
      <c r="AA104" s="1"/>
      <c r="AB104" s="1"/>
      <c r="AC104" s="1"/>
      <c r="AD104" s="1"/>
      <c r="AE104" s="1"/>
      <c r="AF104" s="1"/>
      <c r="AG104" s="1"/>
      <c r="AH104" s="1"/>
      <c r="AI104" s="1"/>
      <c r="AJ104" s="1"/>
    </row>
    <row r="105" spans="1:36" x14ac:dyDescent="0.25">
      <c r="A105" s="79" t="str">
        <f>'Data shares'!B100</f>
        <v>Finance</v>
      </c>
      <c r="B105" s="79" t="str">
        <f>'Data shares'!C100</f>
        <v>IREDA</v>
      </c>
      <c r="C105" s="4">
        <f>VLOOKUP($B105,'Data shares'!$C:$FB,7)</f>
        <v>133.87</v>
      </c>
      <c r="D105" s="82">
        <f>VLOOKUP($B105,'Data shares'!$C:$FB,98)</f>
        <v>99052950</v>
      </c>
      <c r="E105" s="165">
        <f>VLOOKUP(B105,'Snapshot (Volume)'!$A$7:$G$168,7,0)</f>
        <v>89865600</v>
      </c>
      <c r="F105" s="165">
        <f t="shared" si="32"/>
        <v>9187350</v>
      </c>
      <c r="G105" s="166">
        <f t="shared" si="33"/>
        <v>0.1022343366093366</v>
      </c>
      <c r="H105" s="165">
        <f>VLOOKUP($B105,'Data shares'!$C:$FB,66)</f>
        <v>64197600</v>
      </c>
      <c r="I105" s="165">
        <f>VLOOKUP($B105,'Data shares'!$C:$FB,67)</f>
        <v>91908000</v>
      </c>
      <c r="J105" s="81">
        <f t="shared" si="34"/>
        <v>-30.15015015015015</v>
      </c>
      <c r="K105" s="5">
        <f>VLOOKUP($B105,'Data Vlaue (Cr)'!$C:$FB,99)</f>
        <v>1303</v>
      </c>
      <c r="L105" s="81">
        <f>VLOOKUP(B105,'OI(Value)'!$A$7:$C$226,3,0)</f>
        <v>121</v>
      </c>
      <c r="M105" s="33">
        <f t="shared" si="31"/>
        <v>9.2862624712202599</v>
      </c>
      <c r="N105" s="5">
        <f>VLOOKUP($B105,'Data Vlaue (Cr)'!$C:$FB,67)</f>
        <v>844</v>
      </c>
      <c r="O105" s="5">
        <f>VLOOKUP($B105,'Data Vlaue (Cr)'!$C:$FB,68)</f>
        <v>1209</v>
      </c>
      <c r="P105" s="5">
        <f t="shared" si="35"/>
        <v>-43.246445497630333</v>
      </c>
      <c r="Q105" s="1"/>
      <c r="R105" s="1"/>
      <c r="S105" s="1"/>
      <c r="T105" s="1"/>
      <c r="U105" s="1"/>
      <c r="V105" s="1"/>
      <c r="W105" s="1"/>
      <c r="X105" s="1"/>
      <c r="Y105" s="1"/>
      <c r="Z105" s="1"/>
      <c r="AA105" s="1"/>
      <c r="AB105" s="1"/>
      <c r="AC105" s="1"/>
      <c r="AD105" s="1"/>
      <c r="AE105" s="1"/>
      <c r="AF105" s="1"/>
      <c r="AG105" s="1"/>
      <c r="AH105" s="1"/>
      <c r="AI105" s="1"/>
      <c r="AJ105" s="1"/>
    </row>
    <row r="106" spans="1:36" x14ac:dyDescent="0.25">
      <c r="A106" s="79" t="str">
        <f>'Data shares'!B101</f>
        <v>Infrastructure</v>
      </c>
      <c r="B106" s="79" t="str">
        <f>'Data shares'!C101</f>
        <v>IRFC</v>
      </c>
      <c r="C106" s="79">
        <f>VLOOKUP($B106,'Data shares'!$C:$FB,7)</f>
        <v>120.15</v>
      </c>
      <c r="D106" s="80">
        <f>VLOOKUP($B106,'Data shares'!$C:$FB,98)</f>
        <v>133683750</v>
      </c>
      <c r="E106" s="165">
        <f>VLOOKUP(B106,'Snapshot (Volume)'!$A$7:$G$168,7,0)</f>
        <v>118230750</v>
      </c>
      <c r="F106" s="165">
        <f t="shared" ref="F106:F114" si="36">D106-E106</f>
        <v>15453000</v>
      </c>
      <c r="G106" s="166">
        <f t="shared" ref="G106:G114" si="37">F106/E106</f>
        <v>0.13070203817534778</v>
      </c>
      <c r="H106" s="165">
        <f>VLOOKUP($B106,'Data shares'!$C:$FB,66)</f>
        <v>152201000</v>
      </c>
      <c r="I106" s="165">
        <f>VLOOKUP($B106,'Data shares'!$C:$FB,67)</f>
        <v>174407250</v>
      </c>
      <c r="J106" s="81">
        <f t="shared" ref="J106:J114" si="38">(H106-I106)/I106*100</f>
        <v>-12.732412213368423</v>
      </c>
      <c r="K106" s="81">
        <f>VLOOKUP($B106,'Data Vlaue (Cr)'!$C:$FB,99)</f>
        <v>1609</v>
      </c>
      <c r="L106" s="81">
        <f>VLOOKUP(B106,'OI(Value)'!$A$7:$C$226,3,0)</f>
        <v>186</v>
      </c>
      <c r="M106" s="81">
        <f t="shared" si="31"/>
        <v>11.559975139838409</v>
      </c>
      <c r="N106" s="81">
        <f>VLOOKUP($B106,'Data Vlaue (Cr)'!$C:$FB,67)</f>
        <v>1831</v>
      </c>
      <c r="O106" s="81">
        <f>VLOOKUP($B106,'Data Vlaue (Cr)'!$C:$FB,68)</f>
        <v>2099</v>
      </c>
      <c r="P106" s="81">
        <f t="shared" ref="P106:P114" si="39">(N106-O106)/N106*100</f>
        <v>-14.636810486073184</v>
      </c>
      <c r="Q106" s="1"/>
      <c r="R106" s="1"/>
      <c r="S106" s="1"/>
      <c r="T106" s="1"/>
      <c r="U106" s="1"/>
      <c r="V106" s="1"/>
      <c r="W106" s="1"/>
      <c r="X106" s="1"/>
      <c r="Y106" s="1"/>
      <c r="Z106" s="1"/>
      <c r="AA106" s="1"/>
      <c r="AB106" s="1"/>
      <c r="AC106" s="1"/>
      <c r="AD106" s="1"/>
      <c r="AE106" s="1"/>
      <c r="AF106" s="1"/>
      <c r="AG106" s="1"/>
      <c r="AH106" s="1"/>
      <c r="AI106" s="1"/>
      <c r="AJ106" s="1"/>
    </row>
    <row r="107" spans="1:36" x14ac:dyDescent="0.25">
      <c r="A107" s="79" t="str">
        <f>'Data shares'!B102</f>
        <v>FMCG</v>
      </c>
      <c r="B107" s="79" t="str">
        <f>'Data shares'!C102</f>
        <v>ITC</v>
      </c>
      <c r="C107" s="79">
        <f>VLOOKUP($B107,'Data shares'!$C:$FB,7)</f>
        <v>321.14999999999998</v>
      </c>
      <c r="D107" s="80">
        <f>VLOOKUP($B107,'Data shares'!$C:$FB,98)</f>
        <v>337249600</v>
      </c>
      <c r="E107" s="165">
        <f>VLOOKUP(B107,'Snapshot (Volume)'!$A$7:$G$168,7,0)</f>
        <v>317992000</v>
      </c>
      <c r="F107" s="165">
        <f t="shared" si="36"/>
        <v>19257600</v>
      </c>
      <c r="G107" s="166">
        <f t="shared" si="37"/>
        <v>6.0560014088404737E-2</v>
      </c>
      <c r="H107" s="165">
        <f>VLOOKUP($B107,'Data shares'!$C:$FB,66)</f>
        <v>151667200</v>
      </c>
      <c r="I107" s="165">
        <f>VLOOKUP($B107,'Data shares'!$C:$FB,67)</f>
        <v>437452800</v>
      </c>
      <c r="J107" s="81">
        <f t="shared" si="38"/>
        <v>-65.329470973782762</v>
      </c>
      <c r="K107" s="81">
        <f>VLOOKUP($B107,'Data Vlaue (Cr)'!$C:$FB,99)</f>
        <v>10885</v>
      </c>
      <c r="L107" s="81">
        <f>VLOOKUP(B107,'OI(Value)'!$A$7:$C$226,3,0)</f>
        <v>622</v>
      </c>
      <c r="M107" s="81">
        <f t="shared" si="31"/>
        <v>5.7142857142857144</v>
      </c>
      <c r="N107" s="81">
        <f>VLOOKUP($B107,'Data Vlaue (Cr)'!$C:$FB,67)</f>
        <v>4895</v>
      </c>
      <c r="O107" s="81">
        <f>VLOOKUP($B107,'Data Vlaue (Cr)'!$C:$FB,68)</f>
        <v>14119</v>
      </c>
      <c r="P107" s="81">
        <f t="shared" si="39"/>
        <v>-188.43718079673135</v>
      </c>
      <c r="Q107" s="1"/>
      <c r="R107" s="1"/>
      <c r="S107" s="1"/>
      <c r="T107" s="1"/>
      <c r="U107" s="1"/>
      <c r="V107" s="1"/>
      <c r="W107" s="1"/>
      <c r="X107" s="1"/>
      <c r="Y107" s="1"/>
      <c r="Z107" s="1"/>
      <c r="AA107" s="1"/>
      <c r="AB107" s="1"/>
      <c r="AC107" s="1"/>
      <c r="AD107" s="1"/>
      <c r="AE107" s="1"/>
      <c r="AF107" s="1"/>
      <c r="AG107" s="1"/>
      <c r="AH107" s="1"/>
      <c r="AI107" s="1"/>
      <c r="AJ107" s="1"/>
    </row>
    <row r="108" spans="1:36" x14ac:dyDescent="0.25">
      <c r="A108" s="79" t="str">
        <f>'Data shares'!B103</f>
        <v>Metals</v>
      </c>
      <c r="B108" s="79" t="str">
        <f>'Data shares'!C103</f>
        <v>JINDALSTEL</v>
      </c>
      <c r="C108" s="4">
        <f>VLOOKUP($B108,'Data shares'!$C:$FB,7)</f>
        <v>1119.4000000000001</v>
      </c>
      <c r="D108" s="82">
        <f>VLOOKUP($B108,'Data shares'!$C:$FB,98)</f>
        <v>14973125</v>
      </c>
      <c r="E108" s="165">
        <f>VLOOKUP(B108,'Snapshot (Volume)'!$A$7:$G$168,7,0)</f>
        <v>13751250</v>
      </c>
      <c r="F108" s="165">
        <f t="shared" si="36"/>
        <v>1221875</v>
      </c>
      <c r="G108" s="166">
        <f t="shared" si="37"/>
        <v>8.8855558585583125E-2</v>
      </c>
      <c r="H108" s="165">
        <f>VLOOKUP($B108,'Data shares'!$C:$FB,66)</f>
        <v>16938125</v>
      </c>
      <c r="I108" s="165">
        <f>VLOOKUP($B108,'Data shares'!$C:$FB,67)</f>
        <v>14326250</v>
      </c>
      <c r="J108" s="81">
        <f t="shared" si="38"/>
        <v>18.231393421167439</v>
      </c>
      <c r="K108" s="5">
        <f>VLOOKUP($B108,'Data Vlaue (Cr)'!$C:$FB,99)</f>
        <v>1683</v>
      </c>
      <c r="L108" s="81">
        <f>VLOOKUP(B108,'OI(Value)'!$A$7:$C$226,3,0)</f>
        <v>137</v>
      </c>
      <c r="M108" s="33">
        <f t="shared" si="31"/>
        <v>8.14022578728461</v>
      </c>
      <c r="N108" s="5">
        <f>VLOOKUP($B108,'Data Vlaue (Cr)'!$C:$FB,67)</f>
        <v>1904</v>
      </c>
      <c r="O108" s="5">
        <f>VLOOKUP($B108,'Data Vlaue (Cr)'!$C:$FB,68)</f>
        <v>1610</v>
      </c>
      <c r="P108" s="5">
        <f t="shared" si="39"/>
        <v>15.441176470588236</v>
      </c>
      <c r="Q108" s="1"/>
      <c r="R108" s="1"/>
      <c r="S108" s="1"/>
      <c r="T108" s="1"/>
      <c r="U108" s="1"/>
      <c r="V108" s="1"/>
      <c r="W108" s="1"/>
      <c r="X108" s="1"/>
      <c r="Y108" s="1"/>
      <c r="Z108" s="1"/>
      <c r="AA108" s="1"/>
      <c r="AB108" s="1"/>
      <c r="AC108" s="1"/>
      <c r="AD108" s="1"/>
      <c r="AE108" s="1"/>
      <c r="AF108" s="1"/>
      <c r="AG108" s="1"/>
      <c r="AH108" s="1"/>
      <c r="AI108" s="1"/>
      <c r="AJ108" s="1"/>
    </row>
    <row r="109" spans="1:36" x14ac:dyDescent="0.25">
      <c r="A109" s="79" t="str">
        <f>'Data shares'!B104</f>
        <v>Finance</v>
      </c>
      <c r="B109" s="79" t="str">
        <f>'Data shares'!C104</f>
        <v>JIOFIN</v>
      </c>
      <c r="C109" s="4">
        <f>VLOOKUP($B109,'Data shares'!$C:$FB,7)</f>
        <v>255.2</v>
      </c>
      <c r="D109" s="82">
        <f>VLOOKUP($B109,'Data shares'!$C:$FB,98)</f>
        <v>260605600</v>
      </c>
      <c r="E109" s="165">
        <f>VLOOKUP(B109,'Snapshot (Volume)'!$A$7:$G$168,7,0)</f>
        <v>242752650</v>
      </c>
      <c r="F109" s="165">
        <f t="shared" si="36"/>
        <v>17852950</v>
      </c>
      <c r="G109" s="166">
        <f t="shared" si="37"/>
        <v>7.3543790356150593E-2</v>
      </c>
      <c r="H109" s="165">
        <f>VLOOKUP($B109,'Data shares'!$C:$FB,66)</f>
        <v>121513800</v>
      </c>
      <c r="I109" s="165">
        <f>VLOOKUP($B109,'Data shares'!$C:$FB,67)</f>
        <v>237436950</v>
      </c>
      <c r="J109" s="81">
        <f t="shared" si="38"/>
        <v>-48.822708512723061</v>
      </c>
      <c r="K109" s="5">
        <f>VLOOKUP($B109,'Data Vlaue (Cr)'!$C:$FB,99)</f>
        <v>6696</v>
      </c>
      <c r="L109" s="81">
        <f>VLOOKUP(B109,'OI(Value)'!$A$7:$C$226,3,0)</f>
        <v>459</v>
      </c>
      <c r="M109" s="33">
        <f t="shared" si="31"/>
        <v>6.854838709677419</v>
      </c>
      <c r="N109" s="5">
        <f>VLOOKUP($B109,'Data Vlaue (Cr)'!$C:$FB,67)</f>
        <v>3122</v>
      </c>
      <c r="O109" s="5">
        <f>VLOOKUP($B109,'Data Vlaue (Cr)'!$C:$FB,68)</f>
        <v>6101</v>
      </c>
      <c r="P109" s="5">
        <f t="shared" si="39"/>
        <v>-95.419602818705968</v>
      </c>
      <c r="Q109" s="1"/>
      <c r="R109" s="1"/>
      <c r="S109" s="1"/>
      <c r="T109" s="1"/>
      <c r="U109" s="1"/>
      <c r="V109" s="1"/>
      <c r="W109" s="1"/>
      <c r="X109" s="1"/>
      <c r="Y109" s="1"/>
      <c r="Z109" s="1"/>
      <c r="AA109" s="1"/>
      <c r="AB109" s="1"/>
      <c r="AC109" s="1"/>
      <c r="AD109" s="1"/>
      <c r="AE109" s="1"/>
      <c r="AF109" s="1"/>
      <c r="AG109" s="1"/>
      <c r="AH109" s="1"/>
      <c r="AI109" s="1"/>
      <c r="AJ109" s="1"/>
    </row>
    <row r="110" spans="1:36" x14ac:dyDescent="0.25">
      <c r="A110" s="79" t="str">
        <f>'Data shares'!B105</f>
        <v>Power</v>
      </c>
      <c r="B110" s="79" t="str">
        <f>'Data shares'!C105</f>
        <v>JSWENERGY</v>
      </c>
      <c r="C110" s="4">
        <f>VLOOKUP($B110,'Data shares'!$C:$FB,7)</f>
        <v>446.25</v>
      </c>
      <c r="D110" s="82">
        <f>VLOOKUP($B110,'Data shares'!$C:$FB,98)</f>
        <v>47700000</v>
      </c>
      <c r="E110" s="165">
        <f>VLOOKUP(B110,'Snapshot (Volume)'!$A$7:$G$168,7,0)</f>
        <v>46798000</v>
      </c>
      <c r="F110" s="165">
        <f t="shared" si="36"/>
        <v>902000</v>
      </c>
      <c r="G110" s="166">
        <f t="shared" si="37"/>
        <v>1.9274327962733449E-2</v>
      </c>
      <c r="H110" s="165">
        <f>VLOOKUP($B110,'Data shares'!$C:$FB,66)</f>
        <v>24244000</v>
      </c>
      <c r="I110" s="165">
        <f>VLOOKUP($B110,'Data shares'!$C:$FB,67)</f>
        <v>114437000</v>
      </c>
      <c r="J110" s="81">
        <f t="shared" si="38"/>
        <v>-78.814544247052964</v>
      </c>
      <c r="K110" s="5">
        <f>VLOOKUP($B110,'Data Vlaue (Cr)'!$C:$FB,99)</f>
        <v>2143</v>
      </c>
      <c r="L110" s="81">
        <f>VLOOKUP(B110,'OI(Value)'!$A$7:$C$226,3,0)</f>
        <v>41</v>
      </c>
      <c r="M110" s="33">
        <f t="shared" si="31"/>
        <v>1.9132057862809144</v>
      </c>
      <c r="N110" s="5">
        <f>VLOOKUP($B110,'Data Vlaue (Cr)'!$C:$FB,67)</f>
        <v>1089</v>
      </c>
      <c r="O110" s="5">
        <f>VLOOKUP($B110,'Data Vlaue (Cr)'!$C:$FB,68)</f>
        <v>5142</v>
      </c>
      <c r="P110" s="5">
        <f t="shared" si="39"/>
        <v>-372.1763085399449</v>
      </c>
      <c r="Q110" s="1"/>
      <c r="R110" s="1"/>
      <c r="S110" s="1"/>
      <c r="T110" s="1"/>
      <c r="U110" s="1"/>
      <c r="V110" s="1"/>
      <c r="W110" s="1"/>
      <c r="X110" s="1"/>
      <c r="Y110" s="1"/>
      <c r="Z110" s="1"/>
      <c r="AA110" s="1"/>
      <c r="AB110" s="1"/>
      <c r="AC110" s="1"/>
      <c r="AD110" s="1"/>
      <c r="AE110" s="1"/>
      <c r="AF110" s="1"/>
      <c r="AG110" s="1"/>
      <c r="AH110" s="1"/>
      <c r="AI110" s="1"/>
      <c r="AJ110" s="1"/>
    </row>
    <row r="111" spans="1:36" x14ac:dyDescent="0.25">
      <c r="A111" s="79" t="str">
        <f>'Data shares'!B106</f>
        <v>Metals</v>
      </c>
      <c r="B111" s="79" t="str">
        <f>'Data shares'!C106</f>
        <v>JSWSTEEL</v>
      </c>
      <c r="C111" s="4">
        <f>VLOOKUP($B111,'Data shares'!$C:$FB,7)</f>
        <v>1218.7</v>
      </c>
      <c r="D111" s="82">
        <f>VLOOKUP($B111,'Data shares'!$C:$FB,98)</f>
        <v>57711825</v>
      </c>
      <c r="E111" s="165">
        <f>VLOOKUP(B111,'Snapshot (Volume)'!$A$7:$G$168,7,0)</f>
        <v>56376000</v>
      </c>
      <c r="F111" s="165">
        <f t="shared" si="36"/>
        <v>1335825</v>
      </c>
      <c r="G111" s="166">
        <f t="shared" si="37"/>
        <v>2.3694923371647511E-2</v>
      </c>
      <c r="H111" s="165">
        <f>VLOOKUP($B111,'Data shares'!$C:$FB,66)</f>
        <v>18998550</v>
      </c>
      <c r="I111" s="165">
        <f>VLOOKUP($B111,'Data shares'!$C:$FB,67)</f>
        <v>63485775</v>
      </c>
      <c r="J111" s="81">
        <f t="shared" si="38"/>
        <v>-70.074319798411537</v>
      </c>
      <c r="K111" s="5">
        <f>VLOOKUP($B111,'Data Vlaue (Cr)'!$C:$FB,99)</f>
        <v>7062</v>
      </c>
      <c r="L111" s="81">
        <f>VLOOKUP(B111,'OI(Value)'!$A$7:$C$226,3,0)</f>
        <v>163</v>
      </c>
      <c r="M111" s="33">
        <f t="shared" si="31"/>
        <v>2.3081280090625884</v>
      </c>
      <c r="N111" s="5">
        <f>VLOOKUP($B111,'Data Vlaue (Cr)'!$C:$FB,67)</f>
        <v>2325</v>
      </c>
      <c r="O111" s="5">
        <f>VLOOKUP($B111,'Data Vlaue (Cr)'!$C:$FB,68)</f>
        <v>7768</v>
      </c>
      <c r="P111" s="5">
        <f t="shared" si="39"/>
        <v>-234.10752688172045</v>
      </c>
      <c r="Q111" s="1"/>
      <c r="R111" s="1"/>
      <c r="S111" s="1"/>
      <c r="T111" s="1"/>
      <c r="U111" s="1"/>
      <c r="V111" s="1"/>
      <c r="W111" s="1"/>
      <c r="X111" s="1"/>
      <c r="Y111" s="1"/>
      <c r="Z111" s="1"/>
      <c r="AA111" s="1"/>
      <c r="AB111" s="1"/>
      <c r="AC111" s="1"/>
      <c r="AD111" s="1"/>
      <c r="AE111" s="1"/>
      <c r="AF111" s="1"/>
      <c r="AG111" s="1"/>
      <c r="AH111" s="1"/>
      <c r="AI111" s="1"/>
      <c r="AJ111" s="1"/>
    </row>
    <row r="112" spans="1:36" x14ac:dyDescent="0.25">
      <c r="A112" s="79" t="str">
        <f>'Data shares'!B107</f>
        <v>FMCG</v>
      </c>
      <c r="B112" s="79" t="str">
        <f>'Data shares'!C107</f>
        <v>JUBLFOOD</v>
      </c>
      <c r="C112" s="4">
        <f>VLOOKUP($B112,'Data shares'!$C:$FB,7)</f>
        <v>493.65</v>
      </c>
      <c r="D112" s="82">
        <f>VLOOKUP($B112,'Data shares'!$C:$FB,98)</f>
        <v>31161250</v>
      </c>
      <c r="E112" s="165">
        <f>VLOOKUP(B112,'Snapshot (Volume)'!$A$7:$G$168,7,0)</f>
        <v>29718750</v>
      </c>
      <c r="F112" s="165">
        <f t="shared" si="36"/>
        <v>1442500</v>
      </c>
      <c r="G112" s="166">
        <f t="shared" si="37"/>
        <v>4.8538380651945323E-2</v>
      </c>
      <c r="H112" s="165">
        <f>VLOOKUP($B112,'Data shares'!$C:$FB,66)</f>
        <v>8723750</v>
      </c>
      <c r="I112" s="165">
        <f>VLOOKUP($B112,'Data shares'!$C:$FB,67)</f>
        <v>33492500</v>
      </c>
      <c r="J112" s="81">
        <f t="shared" si="38"/>
        <v>-73.953123833694107</v>
      </c>
      <c r="K112" s="5">
        <f>VLOOKUP($B112,'Data Vlaue (Cr)'!$C:$FB,99)</f>
        <v>1540</v>
      </c>
      <c r="L112" s="81">
        <f>VLOOKUP(B112,'OI(Value)'!$A$7:$C$226,3,0)</f>
        <v>71</v>
      </c>
      <c r="M112" s="33">
        <f t="shared" si="31"/>
        <v>4.6103896103896105</v>
      </c>
      <c r="N112" s="5">
        <f>VLOOKUP($B112,'Data Vlaue (Cr)'!$C:$FB,67)</f>
        <v>431</v>
      </c>
      <c r="O112" s="5">
        <f>VLOOKUP($B112,'Data Vlaue (Cr)'!$C:$FB,68)</f>
        <v>1655</v>
      </c>
      <c r="P112" s="5">
        <f t="shared" si="39"/>
        <v>-283.9907192575406</v>
      </c>
      <c r="Q112" s="1"/>
      <c r="R112" s="1"/>
      <c r="S112" s="1"/>
      <c r="T112" s="1"/>
      <c r="U112" s="1"/>
      <c r="V112" s="1"/>
      <c r="W112" s="1"/>
      <c r="X112" s="1"/>
      <c r="Y112" s="1"/>
      <c r="Z112" s="1"/>
      <c r="AA112" s="1"/>
      <c r="AB112" s="1"/>
      <c r="AC112" s="1"/>
      <c r="AD112" s="1"/>
      <c r="AE112" s="1"/>
      <c r="AF112" s="1"/>
      <c r="AG112" s="1"/>
      <c r="AH112" s="1"/>
      <c r="AI112" s="1"/>
      <c r="AJ112" s="1"/>
    </row>
    <row r="113" spans="1:36" x14ac:dyDescent="0.25">
      <c r="A113" s="79" t="str">
        <f>'Data shares'!B108</f>
        <v>FMCG</v>
      </c>
      <c r="B113" s="79" t="str">
        <f>'Data shares'!C108</f>
        <v>KALYANKJIL</v>
      </c>
      <c r="C113" s="4">
        <f>VLOOKUP($B113,'Data shares'!$C:$FB,7)</f>
        <v>367.95</v>
      </c>
      <c r="D113" s="82">
        <f>VLOOKUP($B113,'Data shares'!$C:$FB,98)</f>
        <v>55457650</v>
      </c>
      <c r="E113" s="165">
        <f>VLOOKUP(B113,'Snapshot (Volume)'!$A$7:$G$168,7,0)</f>
        <v>53272150</v>
      </c>
      <c r="F113" s="165">
        <f t="shared" si="36"/>
        <v>2185500</v>
      </c>
      <c r="G113" s="166">
        <f t="shared" si="37"/>
        <v>4.1025188583528167E-2</v>
      </c>
      <c r="H113" s="165">
        <f>VLOOKUP($B113,'Data shares'!$C:$FB,66)</f>
        <v>25705475</v>
      </c>
      <c r="I113" s="165">
        <f>VLOOKUP($B113,'Data shares'!$C:$FB,67)</f>
        <v>96879925</v>
      </c>
      <c r="J113" s="81">
        <f t="shared" si="38"/>
        <v>-73.466665049544574</v>
      </c>
      <c r="K113" s="5">
        <f>VLOOKUP($B113,'Data Vlaue (Cr)'!$C:$FB,99)</f>
        <v>2054</v>
      </c>
      <c r="L113" s="81">
        <f>VLOOKUP(B113,'OI(Value)'!$A$7:$C$226,3,0)</f>
        <v>81</v>
      </c>
      <c r="M113" s="33">
        <f t="shared" si="31"/>
        <v>3.9435248296007788</v>
      </c>
      <c r="N113" s="5">
        <f>VLOOKUP($B113,'Data Vlaue (Cr)'!$C:$FB,67)</f>
        <v>952</v>
      </c>
      <c r="O113" s="5">
        <f>VLOOKUP($B113,'Data Vlaue (Cr)'!$C:$FB,68)</f>
        <v>3588</v>
      </c>
      <c r="P113" s="5">
        <f t="shared" si="39"/>
        <v>-276.89075630252103</v>
      </c>
      <c r="Q113" s="1"/>
      <c r="R113" s="1"/>
      <c r="S113" s="1"/>
      <c r="T113" s="1"/>
      <c r="U113" s="1"/>
      <c r="V113" s="1"/>
      <c r="W113" s="1"/>
      <c r="X113" s="1"/>
      <c r="Y113" s="1"/>
      <c r="Z113" s="1"/>
      <c r="AA113" s="1"/>
      <c r="AB113" s="1"/>
      <c r="AC113" s="1"/>
      <c r="AD113" s="1"/>
      <c r="AE113" s="1"/>
      <c r="AF113" s="1"/>
      <c r="AG113" s="1"/>
      <c r="AH113" s="1"/>
      <c r="AI113" s="1"/>
      <c r="AJ113" s="1"/>
    </row>
    <row r="114" spans="1:36" x14ac:dyDescent="0.25">
      <c r="A114" s="79" t="str">
        <f>'Data shares'!B109</f>
        <v>Capital_Goods</v>
      </c>
      <c r="B114" s="79" t="str">
        <f>'Data shares'!C109</f>
        <v>KAYNES</v>
      </c>
      <c r="C114" s="4">
        <f>VLOOKUP($B114,'Data shares'!$C:$FB,7)</f>
        <v>3490.6</v>
      </c>
      <c r="D114" s="82">
        <f>VLOOKUP($B114,'Data shares'!$C:$FB,98)</f>
        <v>4953700</v>
      </c>
      <c r="E114" s="165">
        <f>VLOOKUP(B114,'Snapshot (Volume)'!$A$7:$G$168,7,0)</f>
        <v>4701800</v>
      </c>
      <c r="F114" s="165">
        <f t="shared" si="36"/>
        <v>251900</v>
      </c>
      <c r="G114" s="166">
        <f t="shared" si="37"/>
        <v>5.3575226508996557E-2</v>
      </c>
      <c r="H114" s="165">
        <f>VLOOKUP($B114,'Data shares'!$C:$FB,66)</f>
        <v>3192900</v>
      </c>
      <c r="I114" s="165">
        <f>VLOOKUP($B114,'Data shares'!$C:$FB,67)</f>
        <v>8590100</v>
      </c>
      <c r="J114" s="81">
        <f t="shared" si="38"/>
        <v>-62.830467631343055</v>
      </c>
      <c r="K114" s="5">
        <f>VLOOKUP($B114,'Data Vlaue (Cr)'!$C:$FB,99)</f>
        <v>1736</v>
      </c>
      <c r="L114" s="81">
        <f>VLOOKUP(B114,'OI(Value)'!$A$7:$C$226,3,0)</f>
        <v>88</v>
      </c>
      <c r="M114" s="33">
        <f t="shared" si="31"/>
        <v>5.0691244239631335</v>
      </c>
      <c r="N114" s="5">
        <f>VLOOKUP($B114,'Data Vlaue (Cr)'!$C:$FB,67)</f>
        <v>1119</v>
      </c>
      <c r="O114" s="5">
        <f>VLOOKUP($B114,'Data Vlaue (Cr)'!$C:$FB,68)</f>
        <v>3010</v>
      </c>
      <c r="P114" s="5">
        <f t="shared" si="39"/>
        <v>-168.99016979445932</v>
      </c>
      <c r="Q114" s="1"/>
      <c r="R114" s="1"/>
      <c r="S114" s="1"/>
      <c r="T114" s="1"/>
      <c r="U114" s="1"/>
      <c r="V114" s="1"/>
      <c r="W114" s="1"/>
      <c r="X114" s="1"/>
      <c r="Y114" s="1"/>
      <c r="Z114" s="1"/>
      <c r="AA114" s="1"/>
      <c r="AB114" s="1"/>
      <c r="AC114" s="1"/>
      <c r="AD114" s="1"/>
      <c r="AE114" s="1"/>
      <c r="AF114" s="1"/>
      <c r="AG114" s="1"/>
      <c r="AH114" s="1"/>
      <c r="AI114" s="1"/>
      <c r="AJ114" s="1"/>
    </row>
    <row r="115" spans="1:36" x14ac:dyDescent="0.25">
      <c r="A115" s="79" t="str">
        <f>'Data shares'!B110</f>
        <v>Power</v>
      </c>
      <c r="B115" s="79" t="str">
        <f>'Data shares'!C110</f>
        <v>KEI</v>
      </c>
      <c r="C115" s="79">
        <f>VLOOKUP($B115,'Data shares'!$C:$FB,7)</f>
        <v>3879.1</v>
      </c>
      <c r="D115" s="80">
        <f>VLOOKUP($B115,'Data shares'!$C:$FB,98)</f>
        <v>1549975</v>
      </c>
      <c r="E115" s="165">
        <f>VLOOKUP(B115,'Snapshot (Volume)'!$A$7:$G$168,7,0)</f>
        <v>1491175</v>
      </c>
      <c r="F115" s="165">
        <f t="shared" ref="F115:F126" si="40">D115-E115</f>
        <v>58800</v>
      </c>
      <c r="G115" s="166">
        <f t="shared" ref="G115:G126" si="41">F115/E115</f>
        <v>3.9431991550287523E-2</v>
      </c>
      <c r="H115" s="165">
        <f>VLOOKUP($B115,'Data shares'!$C:$FB,66)</f>
        <v>867825</v>
      </c>
      <c r="I115" s="165">
        <f>VLOOKUP($B115,'Data shares'!$C:$FB,67)</f>
        <v>2851100</v>
      </c>
      <c r="J115" s="81">
        <f t="shared" ref="J115:J126" si="42">(H115-I115)/I115*100</f>
        <v>-69.561748097225632</v>
      </c>
      <c r="K115" s="81">
        <f>VLOOKUP($B115,'Data Vlaue (Cr)'!$C:$FB,99)</f>
        <v>600</v>
      </c>
      <c r="L115" s="81">
        <f>VLOOKUP(B115,'OI(Value)'!$A$7:$C$226,3,0)</f>
        <v>23</v>
      </c>
      <c r="M115" s="81">
        <f t="shared" si="31"/>
        <v>3.833333333333333</v>
      </c>
      <c r="N115" s="81">
        <f>VLOOKUP($B115,'Data Vlaue (Cr)'!$C:$FB,67)</f>
        <v>336</v>
      </c>
      <c r="O115" s="81">
        <f>VLOOKUP($B115,'Data Vlaue (Cr)'!$C:$FB,68)</f>
        <v>1104</v>
      </c>
      <c r="P115" s="81">
        <f t="shared" ref="P115:P126" si="43">(N115-O115)/N115*100</f>
        <v>-228.57142857142856</v>
      </c>
      <c r="Q115" s="1"/>
      <c r="R115" s="1"/>
      <c r="S115" s="1"/>
      <c r="T115" s="1"/>
      <c r="U115" s="1"/>
      <c r="V115" s="1"/>
      <c r="W115" s="1"/>
      <c r="X115" s="1"/>
      <c r="Y115" s="1"/>
      <c r="Z115" s="1"/>
      <c r="AA115" s="1"/>
      <c r="AB115" s="1"/>
      <c r="AC115" s="1"/>
      <c r="AD115" s="1"/>
      <c r="AE115" s="1"/>
      <c r="AF115" s="1"/>
      <c r="AG115" s="1"/>
      <c r="AH115" s="1"/>
      <c r="AI115" s="1"/>
      <c r="AJ115" s="1"/>
    </row>
    <row r="116" spans="1:36" x14ac:dyDescent="0.25">
      <c r="A116" s="79" t="str">
        <f>'Data shares'!B111</f>
        <v>Finance</v>
      </c>
      <c r="B116" s="79" t="str">
        <f>'Data shares'!C111</f>
        <v>KFINTECH</v>
      </c>
      <c r="C116" s="4">
        <f>VLOOKUP($B116,'Data shares'!$C:$FB,7)</f>
        <v>1022.1</v>
      </c>
      <c r="D116" s="82">
        <f>VLOOKUP($B116,'Data shares'!$C:$FB,98)</f>
        <v>6685000</v>
      </c>
      <c r="E116" s="165">
        <f>VLOOKUP(B116,'Snapshot (Volume)'!$A$7:$G$168,7,0)</f>
        <v>6576000</v>
      </c>
      <c r="F116" s="165">
        <f t="shared" si="40"/>
        <v>109000</v>
      </c>
      <c r="G116" s="166">
        <f t="shared" si="41"/>
        <v>1.6575425790754258E-2</v>
      </c>
      <c r="H116" s="165">
        <f>VLOOKUP($B116,'Data shares'!$C:$FB,66)</f>
        <v>2047500</v>
      </c>
      <c r="I116" s="165">
        <f>VLOOKUP($B116,'Data shares'!$C:$FB,67)</f>
        <v>8057500</v>
      </c>
      <c r="J116" s="81">
        <f t="shared" si="42"/>
        <v>-74.588892336332606</v>
      </c>
      <c r="K116" s="5">
        <f>VLOOKUP($B116,'Data Vlaue (Cr)'!$C:$FB,99)</f>
        <v>669</v>
      </c>
      <c r="L116" s="81">
        <f>VLOOKUP(B116,'OI(Value)'!$A$7:$C$226,3,0)</f>
        <v>11</v>
      </c>
      <c r="M116" s="33">
        <f t="shared" si="31"/>
        <v>1.6442451420029895</v>
      </c>
      <c r="N116" s="5">
        <f>VLOOKUP($B116,'Data Vlaue (Cr)'!$C:$FB,67)</f>
        <v>205</v>
      </c>
      <c r="O116" s="5">
        <f>VLOOKUP($B116,'Data Vlaue (Cr)'!$C:$FB,68)</f>
        <v>806</v>
      </c>
      <c r="P116" s="5">
        <f t="shared" si="43"/>
        <v>-293.17073170731709</v>
      </c>
      <c r="Q116" s="1"/>
      <c r="R116" s="1"/>
      <c r="S116" s="1"/>
      <c r="T116" s="1"/>
      <c r="U116" s="1"/>
      <c r="V116" s="1"/>
      <c r="W116" s="1"/>
      <c r="X116" s="1"/>
      <c r="Y116" s="1"/>
      <c r="Z116" s="1"/>
      <c r="AA116" s="1"/>
      <c r="AB116" s="1"/>
      <c r="AC116" s="1"/>
      <c r="AD116" s="1"/>
      <c r="AE116" s="1"/>
      <c r="AF116" s="1"/>
      <c r="AG116" s="1"/>
      <c r="AH116" s="1"/>
      <c r="AI116" s="1"/>
      <c r="AJ116" s="1"/>
    </row>
    <row r="117" spans="1:36" x14ac:dyDescent="0.25">
      <c r="A117" s="79" t="str">
        <f>'Data shares'!B112</f>
        <v>Banking</v>
      </c>
      <c r="B117" s="79" t="str">
        <f>'Data shares'!C112</f>
        <v>KOTAKBANK</v>
      </c>
      <c r="C117" s="4">
        <f>VLOOKUP($B117,'Data shares'!$C:$FB,7)</f>
        <v>412.4</v>
      </c>
      <c r="D117" s="82">
        <f>VLOOKUP($B117,'Data shares'!$C:$FB,98)</f>
        <v>236018000</v>
      </c>
      <c r="E117" s="165">
        <f>VLOOKUP(B117,'Snapshot (Volume)'!$A$7:$G$168,7,0)</f>
        <v>229722000</v>
      </c>
      <c r="F117" s="165">
        <f t="shared" si="40"/>
        <v>6296000</v>
      </c>
      <c r="G117" s="166">
        <f t="shared" si="41"/>
        <v>2.7407039813339602E-2</v>
      </c>
      <c r="H117" s="165">
        <f>VLOOKUP($B117,'Data shares'!$C:$FB,66)</f>
        <v>65484000</v>
      </c>
      <c r="I117" s="165">
        <f>VLOOKUP($B117,'Data shares'!$C:$FB,67)</f>
        <v>237682000</v>
      </c>
      <c r="J117" s="81">
        <f t="shared" si="42"/>
        <v>-72.448902314857662</v>
      </c>
      <c r="K117" s="5">
        <f>VLOOKUP($B117,'Data Vlaue (Cr)'!$C:$FB,99)</f>
        <v>9766</v>
      </c>
      <c r="L117" s="81">
        <f>VLOOKUP(B117,'OI(Value)'!$A$7:$C$226,3,0)</f>
        <v>261</v>
      </c>
      <c r="M117" s="33">
        <f t="shared" si="31"/>
        <v>2.6725373745648167</v>
      </c>
      <c r="N117" s="5">
        <f>VLOOKUP($B117,'Data Vlaue (Cr)'!$C:$FB,67)</f>
        <v>2710</v>
      </c>
      <c r="O117" s="5">
        <f>VLOOKUP($B117,'Data Vlaue (Cr)'!$C:$FB,68)</f>
        <v>9835</v>
      </c>
      <c r="P117" s="5">
        <f t="shared" si="43"/>
        <v>-262.91512915129147</v>
      </c>
      <c r="Q117" s="1"/>
      <c r="R117" s="1"/>
      <c r="S117" s="1"/>
      <c r="T117" s="1"/>
      <c r="U117" s="1"/>
      <c r="V117" s="1"/>
      <c r="W117" s="1"/>
      <c r="X117" s="1"/>
      <c r="Y117" s="1"/>
      <c r="Z117" s="1"/>
      <c r="AA117" s="1"/>
      <c r="AB117" s="1"/>
      <c r="AC117" s="1"/>
      <c r="AD117" s="1"/>
      <c r="AE117" s="1"/>
      <c r="AF117" s="1"/>
      <c r="AG117" s="1"/>
      <c r="AH117" s="1"/>
      <c r="AI117" s="1"/>
      <c r="AJ117" s="1"/>
    </row>
    <row r="118" spans="1:36" x14ac:dyDescent="0.25">
      <c r="A118" s="79" t="str">
        <f>'Data shares'!B113</f>
        <v>Technology</v>
      </c>
      <c r="B118" s="79" t="str">
        <f>'Data shares'!C113</f>
        <v>KPITTECH</v>
      </c>
      <c r="C118" s="4">
        <f>VLOOKUP($B118,'Data shares'!$C:$FB,7)</f>
        <v>1105.8</v>
      </c>
      <c r="D118" s="82">
        <f>VLOOKUP($B118,'Data shares'!$C:$FB,98)</f>
        <v>5490150</v>
      </c>
      <c r="E118" s="165">
        <f>VLOOKUP(B118,'Snapshot (Volume)'!$A$7:$G$168,7,0)</f>
        <v>4983125</v>
      </c>
      <c r="F118" s="165">
        <f t="shared" si="40"/>
        <v>507025</v>
      </c>
      <c r="G118" s="166">
        <f t="shared" si="41"/>
        <v>0.10174840085287847</v>
      </c>
      <c r="H118" s="165">
        <f>VLOOKUP($B118,'Data shares'!$C:$FB,66)</f>
        <v>2410175</v>
      </c>
      <c r="I118" s="165">
        <f>VLOOKUP($B118,'Data shares'!$C:$FB,67)</f>
        <v>6495275</v>
      </c>
      <c r="J118" s="81">
        <f t="shared" si="42"/>
        <v>-62.893410979519729</v>
      </c>
      <c r="K118" s="5">
        <f>VLOOKUP($B118,'Data Vlaue (Cr)'!$C:$FB,99)</f>
        <v>607</v>
      </c>
      <c r="L118" s="81">
        <f>VLOOKUP(B118,'OI(Value)'!$A$7:$C$226,3,0)</f>
        <v>56</v>
      </c>
      <c r="M118" s="33">
        <f t="shared" si="31"/>
        <v>9.2257001647446462</v>
      </c>
      <c r="N118" s="5">
        <f>VLOOKUP($B118,'Data Vlaue (Cr)'!$C:$FB,67)</f>
        <v>266</v>
      </c>
      <c r="O118" s="5">
        <f>VLOOKUP($B118,'Data Vlaue (Cr)'!$C:$FB,68)</f>
        <v>718</v>
      </c>
      <c r="P118" s="5">
        <f t="shared" si="43"/>
        <v>-169.9248120300752</v>
      </c>
      <c r="Q118" s="1"/>
      <c r="R118" s="1"/>
      <c r="S118" s="1"/>
      <c r="T118" s="1"/>
      <c r="U118" s="1"/>
      <c r="V118" s="1"/>
      <c r="W118" s="1"/>
      <c r="X118" s="1"/>
      <c r="Y118" s="1"/>
      <c r="Z118" s="1"/>
      <c r="AA118" s="1"/>
      <c r="AB118" s="1"/>
      <c r="AC118" s="1"/>
      <c r="AD118" s="1"/>
      <c r="AE118" s="1"/>
      <c r="AF118" s="1"/>
      <c r="AG118" s="1"/>
      <c r="AH118" s="1"/>
      <c r="AI118" s="1"/>
      <c r="AJ118" s="1"/>
    </row>
    <row r="119" spans="1:36" x14ac:dyDescent="0.25">
      <c r="A119" s="79" t="str">
        <f>'Data shares'!B114</f>
        <v>Pharma</v>
      </c>
      <c r="B119" s="79" t="str">
        <f>'Data shares'!C114</f>
        <v>LAURUSLABS</v>
      </c>
      <c r="C119" s="4">
        <f>VLOOKUP($B119,'Data shares'!$C:$FB,7)</f>
        <v>999</v>
      </c>
      <c r="D119" s="82">
        <f>VLOOKUP($B119,'Data shares'!$C:$FB,98)</f>
        <v>30712200</v>
      </c>
      <c r="E119" s="165">
        <f>VLOOKUP(B119,'Snapshot (Volume)'!$A$7:$G$168,7,0)</f>
        <v>28395950</v>
      </c>
      <c r="F119" s="165">
        <f t="shared" si="40"/>
        <v>2316250</v>
      </c>
      <c r="G119" s="166">
        <f t="shared" si="41"/>
        <v>8.1569730894722664E-2</v>
      </c>
      <c r="H119" s="165">
        <f>VLOOKUP($B119,'Data shares'!$C:$FB,66)</f>
        <v>14736450</v>
      </c>
      <c r="I119" s="165">
        <f>VLOOKUP($B119,'Data shares'!$C:$FB,67)</f>
        <v>62359400</v>
      </c>
      <c r="J119" s="81">
        <f t="shared" si="42"/>
        <v>-76.368518619486395</v>
      </c>
      <c r="K119" s="5">
        <f>VLOOKUP($B119,'Data Vlaue (Cr)'!$C:$FB,99)</f>
        <v>3089</v>
      </c>
      <c r="L119" s="81">
        <f>VLOOKUP(B119,'OI(Value)'!$A$7:$C$226,3,0)</f>
        <v>233</v>
      </c>
      <c r="M119" s="33">
        <f t="shared" si="31"/>
        <v>7.542894140498543</v>
      </c>
      <c r="N119" s="5">
        <f>VLOOKUP($B119,'Data Vlaue (Cr)'!$C:$FB,67)</f>
        <v>1482</v>
      </c>
      <c r="O119" s="5">
        <f>VLOOKUP($B119,'Data Vlaue (Cr)'!$C:$FB,68)</f>
        <v>6271</v>
      </c>
      <c r="P119" s="5">
        <f t="shared" si="43"/>
        <v>-323.14439946018894</v>
      </c>
      <c r="Q119" s="1"/>
      <c r="R119" s="1"/>
      <c r="S119" s="1"/>
      <c r="T119" s="1"/>
      <c r="U119" s="1"/>
      <c r="V119" s="1"/>
      <c r="W119" s="1"/>
      <c r="X119" s="1"/>
      <c r="Y119" s="1"/>
      <c r="Z119" s="1"/>
      <c r="AA119" s="1"/>
      <c r="AB119" s="1"/>
      <c r="AC119" s="1"/>
      <c r="AD119" s="1"/>
      <c r="AE119" s="1"/>
      <c r="AF119" s="1"/>
      <c r="AG119" s="1"/>
      <c r="AH119" s="1"/>
      <c r="AI119" s="1"/>
      <c r="AJ119" s="1"/>
    </row>
    <row r="120" spans="1:36" x14ac:dyDescent="0.25">
      <c r="A120" s="79" t="str">
        <f>'Data shares'!B115</f>
        <v>Finance</v>
      </c>
      <c r="B120" s="79" t="str">
        <f>'Data shares'!C115</f>
        <v>LICHSGFIN</v>
      </c>
      <c r="C120" s="4">
        <f>VLOOKUP($B120,'Data shares'!$C:$FB,7)</f>
        <v>519</v>
      </c>
      <c r="D120" s="82">
        <f>VLOOKUP($B120,'Data shares'!$C:$FB,98)</f>
        <v>42423000</v>
      </c>
      <c r="E120" s="165">
        <f>VLOOKUP(B120,'Snapshot (Volume)'!$A$7:$G$168,7,0)</f>
        <v>41098000</v>
      </c>
      <c r="F120" s="165">
        <f t="shared" si="40"/>
        <v>1325000</v>
      </c>
      <c r="G120" s="166">
        <f t="shared" si="41"/>
        <v>3.2240011679400458E-2</v>
      </c>
      <c r="H120" s="165">
        <f>VLOOKUP($B120,'Data shares'!$C:$FB,66)</f>
        <v>8617000</v>
      </c>
      <c r="I120" s="165">
        <f>VLOOKUP($B120,'Data shares'!$C:$FB,67)</f>
        <v>47187000</v>
      </c>
      <c r="J120" s="81">
        <f t="shared" si="42"/>
        <v>-81.738614448894822</v>
      </c>
      <c r="K120" s="5">
        <f>VLOOKUP($B120,'Data Vlaue (Cr)'!$C:$FB,99)</f>
        <v>2211</v>
      </c>
      <c r="L120" s="81">
        <f>VLOOKUP(B120,'OI(Value)'!$A$7:$C$226,3,0)</f>
        <v>69</v>
      </c>
      <c r="M120" s="33">
        <f t="shared" si="31"/>
        <v>3.1207598371777476</v>
      </c>
      <c r="N120" s="5">
        <f>VLOOKUP($B120,'Data Vlaue (Cr)'!$C:$FB,67)</f>
        <v>449</v>
      </c>
      <c r="O120" s="5">
        <f>VLOOKUP($B120,'Data Vlaue (Cr)'!$C:$FB,68)</f>
        <v>2459</v>
      </c>
      <c r="P120" s="5">
        <f t="shared" si="43"/>
        <v>-447.66146993318489</v>
      </c>
      <c r="Q120" s="1"/>
      <c r="R120" s="1"/>
      <c r="S120" s="1"/>
      <c r="T120" s="1"/>
      <c r="U120" s="1"/>
      <c r="V120" s="1"/>
      <c r="W120" s="1"/>
      <c r="X120" s="1"/>
      <c r="Y120" s="1"/>
      <c r="Z120" s="1"/>
      <c r="AA120" s="1"/>
      <c r="AB120" s="1"/>
      <c r="AC120" s="1"/>
      <c r="AD120" s="1"/>
      <c r="AE120" s="1"/>
      <c r="AF120" s="1"/>
      <c r="AG120" s="1"/>
      <c r="AH120" s="1"/>
      <c r="AI120" s="1"/>
      <c r="AJ120" s="1"/>
    </row>
    <row r="121" spans="1:36" x14ac:dyDescent="0.25">
      <c r="A121" s="79" t="str">
        <f>'Data shares'!B116</f>
        <v>Finance</v>
      </c>
      <c r="B121" s="79" t="str">
        <f>'Data shares'!C116</f>
        <v>LICI</v>
      </c>
      <c r="C121" s="4">
        <f>VLOOKUP($B121,'Data shares'!$C:$FB,7)</f>
        <v>822.15</v>
      </c>
      <c r="D121" s="82">
        <f>VLOOKUP($B121,'Data shares'!$C:$FB,98)</f>
        <v>15231300</v>
      </c>
      <c r="E121" s="165">
        <f>VLOOKUP(B121,'Snapshot (Volume)'!$A$7:$G$168,7,0)</f>
        <v>14362600</v>
      </c>
      <c r="F121" s="165">
        <f t="shared" si="40"/>
        <v>868700</v>
      </c>
      <c r="G121" s="166">
        <f t="shared" si="41"/>
        <v>6.0483477921824742E-2</v>
      </c>
      <c r="H121" s="165">
        <f>VLOOKUP($B121,'Data shares'!$C:$FB,66)</f>
        <v>4849600</v>
      </c>
      <c r="I121" s="165">
        <f>VLOOKUP($B121,'Data shares'!$C:$FB,67)</f>
        <v>17919300</v>
      </c>
      <c r="J121" s="81">
        <f t="shared" si="42"/>
        <v>-72.93644282979804</v>
      </c>
      <c r="K121" s="5">
        <f>VLOOKUP($B121,'Data Vlaue (Cr)'!$C:$FB,99)</f>
        <v>1260</v>
      </c>
      <c r="L121" s="81">
        <f>VLOOKUP(B121,'OI(Value)'!$A$7:$C$226,3,0)</f>
        <v>72</v>
      </c>
      <c r="M121" s="33">
        <f t="shared" si="31"/>
        <v>5.7142857142857144</v>
      </c>
      <c r="N121" s="5">
        <f>VLOOKUP($B121,'Data Vlaue (Cr)'!$C:$FB,67)</f>
        <v>401</v>
      </c>
      <c r="O121" s="5">
        <f>VLOOKUP($B121,'Data Vlaue (Cr)'!$C:$FB,68)</f>
        <v>1482</v>
      </c>
      <c r="P121" s="5">
        <f t="shared" si="43"/>
        <v>-269.57605985037407</v>
      </c>
      <c r="Q121" s="1"/>
      <c r="R121" s="1"/>
      <c r="S121" s="1"/>
      <c r="T121" s="1"/>
      <c r="U121" s="1"/>
      <c r="V121" s="1"/>
      <c r="W121" s="1"/>
      <c r="X121" s="1"/>
      <c r="Y121" s="1"/>
      <c r="Z121" s="1"/>
      <c r="AA121" s="1"/>
      <c r="AB121" s="1"/>
      <c r="AC121" s="1"/>
      <c r="AD121" s="1"/>
      <c r="AE121" s="1"/>
      <c r="AF121" s="1"/>
      <c r="AG121" s="1"/>
      <c r="AH121" s="1"/>
      <c r="AI121" s="1"/>
      <c r="AJ121" s="1"/>
    </row>
    <row r="122" spans="1:36" x14ac:dyDescent="0.25">
      <c r="A122" s="79" t="str">
        <f>'Data shares'!B117</f>
        <v>Realty</v>
      </c>
      <c r="B122" s="79" t="str">
        <f>'Data shares'!C117</f>
        <v>LODHA</v>
      </c>
      <c r="C122" s="4">
        <f>VLOOKUP($B122,'Data shares'!$C:$FB,7)</f>
        <v>929.1</v>
      </c>
      <c r="D122" s="82">
        <f>VLOOKUP($B122,'Data shares'!$C:$FB,98)</f>
        <v>16369650</v>
      </c>
      <c r="E122" s="165">
        <f>VLOOKUP(B122,'Snapshot (Volume)'!$A$7:$G$168,7,0)</f>
        <v>14826150</v>
      </c>
      <c r="F122" s="165">
        <f t="shared" si="40"/>
        <v>1543500</v>
      </c>
      <c r="G122" s="166">
        <f t="shared" si="41"/>
        <v>0.10410659544116307</v>
      </c>
      <c r="H122" s="165">
        <f>VLOOKUP($B122,'Data shares'!$C:$FB,66)</f>
        <v>9164700</v>
      </c>
      <c r="I122" s="165">
        <f>VLOOKUP($B122,'Data shares'!$C:$FB,67)</f>
        <v>23605650</v>
      </c>
      <c r="J122" s="81">
        <f t="shared" si="42"/>
        <v>-61.17582019558877</v>
      </c>
      <c r="K122" s="5">
        <f>VLOOKUP($B122,'Data Vlaue (Cr)'!$C:$FB,99)</f>
        <v>1525</v>
      </c>
      <c r="L122" s="81">
        <f>VLOOKUP(B122,'OI(Value)'!$A$7:$C$226,3,0)</f>
        <v>144</v>
      </c>
      <c r="M122" s="33">
        <f t="shared" si="31"/>
        <v>9.442622950819672</v>
      </c>
      <c r="N122" s="5">
        <f>VLOOKUP($B122,'Data Vlaue (Cr)'!$C:$FB,67)</f>
        <v>854</v>
      </c>
      <c r="O122" s="5">
        <f>VLOOKUP($B122,'Data Vlaue (Cr)'!$C:$FB,68)</f>
        <v>2200</v>
      </c>
      <c r="P122" s="5">
        <f t="shared" si="43"/>
        <v>-157.61124121779858</v>
      </c>
      <c r="Q122" s="1"/>
      <c r="R122" s="1"/>
      <c r="S122" s="1"/>
      <c r="T122" s="1"/>
      <c r="U122" s="1"/>
      <c r="V122" s="1"/>
      <c r="W122" s="1"/>
      <c r="X122" s="1"/>
      <c r="Y122" s="1"/>
      <c r="Z122" s="1"/>
      <c r="AA122" s="1"/>
      <c r="AB122" s="1"/>
      <c r="AC122" s="1"/>
      <c r="AD122" s="1"/>
      <c r="AE122" s="1"/>
      <c r="AF122" s="1"/>
      <c r="AG122" s="1"/>
      <c r="AH122" s="1"/>
      <c r="AI122" s="1"/>
      <c r="AJ122" s="1"/>
    </row>
    <row r="123" spans="1:36" x14ac:dyDescent="0.25">
      <c r="A123" s="79" t="str">
        <f>'Data shares'!B118</f>
        <v>Capital_Goods</v>
      </c>
      <c r="B123" s="79" t="str">
        <f>'Data shares'!C118</f>
        <v>LT</v>
      </c>
      <c r="C123" s="4">
        <f>VLOOKUP($B123,'Data shares'!$C:$FB,7)</f>
        <v>3794</v>
      </c>
      <c r="D123" s="82">
        <f>VLOOKUP($B123,'Data shares'!$C:$FB,98)</f>
        <v>22885800</v>
      </c>
      <c r="E123" s="165">
        <f>VLOOKUP(B123,'Snapshot (Volume)'!$A$7:$G$168,7,0)</f>
        <v>19292525</v>
      </c>
      <c r="F123" s="165">
        <f t="shared" si="40"/>
        <v>3593275</v>
      </c>
      <c r="G123" s="166">
        <f t="shared" si="41"/>
        <v>0.18625218834755949</v>
      </c>
      <c r="H123" s="165">
        <f>VLOOKUP($B123,'Data shares'!$C:$FB,66)</f>
        <v>16404675</v>
      </c>
      <c r="I123" s="165">
        <f>VLOOKUP($B123,'Data shares'!$C:$FB,67)</f>
        <v>19664400</v>
      </c>
      <c r="J123" s="81">
        <f t="shared" si="42"/>
        <v>-16.576783425886372</v>
      </c>
      <c r="K123" s="5">
        <f>VLOOKUP($B123,'Data Vlaue (Cr)'!$C:$FB,99)</f>
        <v>8733</v>
      </c>
      <c r="L123" s="81">
        <f>VLOOKUP(B123,'OI(Value)'!$A$7:$C$226,3,0)</f>
        <v>1371</v>
      </c>
      <c r="M123" s="33">
        <f t="shared" ref="M123:M144" si="44">L123/K123*100</f>
        <v>15.699072483682583</v>
      </c>
      <c r="N123" s="5">
        <f>VLOOKUP($B123,'Data Vlaue (Cr)'!$C:$FB,67)</f>
        <v>6260</v>
      </c>
      <c r="O123" s="5">
        <f>VLOOKUP($B123,'Data Vlaue (Cr)'!$C:$FB,68)</f>
        <v>7504</v>
      </c>
      <c r="P123" s="5">
        <f t="shared" si="43"/>
        <v>-19.87220447284345</v>
      </c>
      <c r="Q123" s="1"/>
      <c r="R123" s="1"/>
      <c r="S123" s="1"/>
      <c r="T123" s="1"/>
      <c r="U123" s="1"/>
      <c r="V123" s="1"/>
      <c r="W123" s="1"/>
      <c r="X123" s="1"/>
      <c r="Y123" s="1"/>
      <c r="Z123" s="1"/>
      <c r="AA123" s="1"/>
      <c r="AB123" s="1"/>
      <c r="AC123" s="1"/>
      <c r="AD123" s="1"/>
      <c r="AE123" s="1"/>
      <c r="AF123" s="1"/>
      <c r="AG123" s="1"/>
      <c r="AH123" s="1"/>
      <c r="AI123" s="1"/>
      <c r="AJ123" s="1"/>
    </row>
    <row r="124" spans="1:36" x14ac:dyDescent="0.25">
      <c r="A124" s="79" t="str">
        <f>'Data shares'!B119</f>
        <v>Finance</v>
      </c>
      <c r="B124" s="79" t="str">
        <f>'Data shares'!C119</f>
        <v>LTF</v>
      </c>
      <c r="C124" s="4">
        <f>VLOOKUP($B124,'Data shares'!$C:$FB,7)</f>
        <v>289.39999999999998</v>
      </c>
      <c r="D124" s="82">
        <f>VLOOKUP($B124,'Data shares'!$C:$FB,98)</f>
        <v>76038750</v>
      </c>
      <c r="E124" s="165">
        <f>VLOOKUP(B124,'Snapshot (Volume)'!$A$7:$G$168,7,0)</f>
        <v>73005750</v>
      </c>
      <c r="F124" s="165">
        <f t="shared" si="40"/>
        <v>3033000</v>
      </c>
      <c r="G124" s="166">
        <f t="shared" si="41"/>
        <v>4.1544672851111041E-2</v>
      </c>
      <c r="H124" s="165">
        <f>VLOOKUP($B124,'Data shares'!$C:$FB,66)</f>
        <v>26466750</v>
      </c>
      <c r="I124" s="165">
        <f>VLOOKUP($B124,'Data shares'!$C:$FB,67)</f>
        <v>128164500</v>
      </c>
      <c r="J124" s="81">
        <f t="shared" si="42"/>
        <v>-79.349390821951474</v>
      </c>
      <c r="K124" s="5">
        <f>VLOOKUP($B124,'Data Vlaue (Cr)'!$C:$FB,99)</f>
        <v>2212</v>
      </c>
      <c r="L124" s="81">
        <f>VLOOKUP(B124,'OI(Value)'!$A$7:$C$226,3,0)</f>
        <v>88</v>
      </c>
      <c r="M124" s="33">
        <f t="shared" si="44"/>
        <v>3.9783001808318263</v>
      </c>
      <c r="N124" s="5">
        <f>VLOOKUP($B124,'Data Vlaue (Cr)'!$C:$FB,67)</f>
        <v>770</v>
      </c>
      <c r="O124" s="5">
        <f>VLOOKUP($B124,'Data Vlaue (Cr)'!$C:$FB,68)</f>
        <v>3728</v>
      </c>
      <c r="P124" s="5">
        <f t="shared" si="43"/>
        <v>-384.15584415584414</v>
      </c>
      <c r="Q124" s="1"/>
      <c r="R124" s="1"/>
      <c r="S124" s="1"/>
      <c r="T124" s="1"/>
      <c r="U124" s="1"/>
      <c r="V124" s="1"/>
      <c r="W124" s="1"/>
      <c r="X124" s="1"/>
      <c r="Y124" s="1"/>
      <c r="Z124" s="1"/>
      <c r="AA124" s="1"/>
      <c r="AB124" s="1"/>
      <c r="AC124" s="1"/>
      <c r="AD124" s="1"/>
      <c r="AE124" s="1"/>
      <c r="AF124" s="1"/>
      <c r="AG124" s="1"/>
      <c r="AH124" s="1"/>
      <c r="AI124" s="1"/>
      <c r="AJ124" s="1"/>
    </row>
    <row r="125" spans="1:36" x14ac:dyDescent="0.25">
      <c r="A125" s="79" t="str">
        <f>'Data shares'!B120</f>
        <v>Technology</v>
      </c>
      <c r="B125" s="79" t="str">
        <f>'Data shares'!C120</f>
        <v>LTIM</v>
      </c>
      <c r="C125" s="4">
        <f>VLOOKUP($B125,'Data shares'!$C:$FB,7)</f>
        <v>6015.5</v>
      </c>
      <c r="D125" s="82">
        <f>VLOOKUP($B125,'Data shares'!$C:$FB,98)</f>
        <v>3135300</v>
      </c>
      <c r="E125" s="165">
        <f>VLOOKUP(B125,'Snapshot (Volume)'!$A$7:$G$168,7,0)</f>
        <v>3033600</v>
      </c>
      <c r="F125" s="165">
        <f t="shared" si="40"/>
        <v>101700</v>
      </c>
      <c r="G125" s="166">
        <f t="shared" si="41"/>
        <v>3.3524525316455694E-2</v>
      </c>
      <c r="H125" s="165">
        <f>VLOOKUP($B125,'Data shares'!$C:$FB,66)</f>
        <v>1479450</v>
      </c>
      <c r="I125" s="165">
        <f>VLOOKUP($B125,'Data shares'!$C:$FB,67)</f>
        <v>4590000</v>
      </c>
      <c r="J125" s="81">
        <f t="shared" si="42"/>
        <v>-67.767973856209153</v>
      </c>
      <c r="K125" s="5">
        <f>VLOOKUP($B125,'Data Vlaue (Cr)'!$C:$FB,99)</f>
        <v>1896</v>
      </c>
      <c r="L125" s="81">
        <f>VLOOKUP(B125,'OI(Value)'!$A$7:$C$226,3,0)</f>
        <v>61</v>
      </c>
      <c r="M125" s="33">
        <f t="shared" si="44"/>
        <v>3.2172995780590719</v>
      </c>
      <c r="N125" s="5">
        <f>VLOOKUP($B125,'Data Vlaue (Cr)'!$C:$FB,67)</f>
        <v>895</v>
      </c>
      <c r="O125" s="5">
        <f>VLOOKUP($B125,'Data Vlaue (Cr)'!$C:$FB,68)</f>
        <v>2776</v>
      </c>
      <c r="P125" s="5">
        <f t="shared" si="43"/>
        <v>-210.1675977653631</v>
      </c>
      <c r="Q125" s="1"/>
      <c r="R125" s="1"/>
      <c r="S125" s="1"/>
      <c r="T125" s="1"/>
      <c r="U125" s="1"/>
      <c r="V125" s="1"/>
      <c r="W125" s="1"/>
      <c r="X125" s="1"/>
      <c r="Y125" s="1"/>
      <c r="Z125" s="1"/>
      <c r="AA125" s="1"/>
      <c r="AB125" s="1"/>
      <c r="AC125" s="1"/>
      <c r="AD125" s="1"/>
      <c r="AE125" s="1"/>
      <c r="AF125" s="1"/>
      <c r="AG125" s="1"/>
      <c r="AH125" s="1"/>
      <c r="AI125" s="1"/>
      <c r="AJ125" s="1"/>
    </row>
    <row r="126" spans="1:36" x14ac:dyDescent="0.25">
      <c r="A126" s="79" t="str">
        <f>'Data shares'!B121</f>
        <v>Pharma</v>
      </c>
      <c r="B126" s="79" t="str">
        <f>'Data shares'!C121</f>
        <v>LUPIN</v>
      </c>
      <c r="C126" s="4">
        <f>VLOOKUP($B126,'Data shares'!$C:$FB,7)</f>
        <v>2129.5</v>
      </c>
      <c r="D126" s="82">
        <f>VLOOKUP($B126,'Data shares'!$C:$FB,98)</f>
        <v>8199525</v>
      </c>
      <c r="E126" s="165">
        <f>VLOOKUP(B126,'Snapshot (Volume)'!$A$7:$G$168,7,0)</f>
        <v>7638100</v>
      </c>
      <c r="F126" s="165">
        <f t="shared" si="40"/>
        <v>561425</v>
      </c>
      <c r="G126" s="166">
        <f t="shared" si="41"/>
        <v>7.3503227242377026E-2</v>
      </c>
      <c r="H126" s="165">
        <f>VLOOKUP($B126,'Data shares'!$C:$FB,66)</f>
        <v>3095275</v>
      </c>
      <c r="I126" s="165">
        <f>VLOOKUP($B126,'Data shares'!$C:$FB,67)</f>
        <v>7964925</v>
      </c>
      <c r="J126" s="81">
        <f t="shared" si="42"/>
        <v>-61.138679899685179</v>
      </c>
      <c r="K126" s="5">
        <f>VLOOKUP($B126,'Data Vlaue (Cr)'!$C:$FB,99)</f>
        <v>1751</v>
      </c>
      <c r="L126" s="81">
        <f>VLOOKUP(B126,'OI(Value)'!$A$7:$C$226,3,0)</f>
        <v>120</v>
      </c>
      <c r="M126" s="33">
        <f t="shared" si="44"/>
        <v>6.8532267275842367</v>
      </c>
      <c r="N126" s="5">
        <f>VLOOKUP($B126,'Data Vlaue (Cr)'!$C:$FB,67)</f>
        <v>661</v>
      </c>
      <c r="O126" s="5">
        <f>VLOOKUP($B126,'Data Vlaue (Cr)'!$C:$FB,68)</f>
        <v>1701</v>
      </c>
      <c r="P126" s="5">
        <f t="shared" si="43"/>
        <v>-157.33736762481089</v>
      </c>
      <c r="Q126" s="1"/>
      <c r="R126" s="1"/>
      <c r="S126" s="1"/>
      <c r="T126" s="1"/>
      <c r="U126" s="1"/>
      <c r="V126" s="1"/>
      <c r="W126" s="1"/>
      <c r="X126" s="1"/>
      <c r="Y126" s="1"/>
      <c r="Z126" s="1"/>
      <c r="AA126" s="1"/>
      <c r="AB126" s="1"/>
      <c r="AC126" s="1"/>
      <c r="AD126" s="1"/>
      <c r="AE126" s="1"/>
      <c r="AF126" s="1"/>
      <c r="AG126" s="1"/>
      <c r="AH126" s="1"/>
      <c r="AI126" s="1"/>
      <c r="AJ126" s="1"/>
    </row>
    <row r="127" spans="1:36" x14ac:dyDescent="0.25">
      <c r="A127" s="79" t="str">
        <f>'Data shares'!B122</f>
        <v>Automobile</v>
      </c>
      <c r="B127" s="79" t="str">
        <f>'Data shares'!C122</f>
        <v>M&amp;M</v>
      </c>
      <c r="C127" s="4">
        <f>VLOOKUP($B127,'Data shares'!$C:$FB,7)</f>
        <v>3449.2</v>
      </c>
      <c r="D127" s="82">
        <f>VLOOKUP($B127,'Data shares'!$C:$FB,98)</f>
        <v>22986600</v>
      </c>
      <c r="E127" s="165">
        <f>VLOOKUP(B127,'Snapshot (Volume)'!$A$7:$G$168,7,0)</f>
        <v>21799400</v>
      </c>
      <c r="F127" s="165">
        <f>D127-E127</f>
        <v>1187200</v>
      </c>
      <c r="G127" s="166">
        <f>F127/E127</f>
        <v>5.4460214501316551E-2</v>
      </c>
      <c r="H127" s="165">
        <f>VLOOKUP($B127,'Data shares'!$C:$FB,66)</f>
        <v>13588200</v>
      </c>
      <c r="I127" s="165">
        <f>VLOOKUP($B127,'Data shares'!$C:$FB,67)</f>
        <v>34479000</v>
      </c>
      <c r="J127" s="81">
        <f>(H127-I127)/I127*100</f>
        <v>-60.589924301748887</v>
      </c>
      <c r="K127" s="5">
        <f>VLOOKUP($B127,'Data Vlaue (Cr)'!$C:$FB,99)</f>
        <v>7977</v>
      </c>
      <c r="L127" s="81">
        <f>VLOOKUP(B127,'OI(Value)'!$A$7:$C$226,3,0)</f>
        <v>412</v>
      </c>
      <c r="M127" s="33">
        <f t="shared" si="44"/>
        <v>5.1648489407045259</v>
      </c>
      <c r="N127" s="5">
        <f>VLOOKUP($B127,'Data Vlaue (Cr)'!$C:$FB,67)</f>
        <v>4716</v>
      </c>
      <c r="O127" s="5">
        <f>VLOOKUP($B127,'Data Vlaue (Cr)'!$C:$FB,68)</f>
        <v>11966</v>
      </c>
      <c r="P127" s="5">
        <f>(N127-O127)/N127*100</f>
        <v>-153.73197625106022</v>
      </c>
      <c r="Q127" s="1"/>
      <c r="R127" s="1"/>
      <c r="S127" s="1"/>
      <c r="T127" s="1"/>
      <c r="U127" s="1"/>
      <c r="V127" s="1"/>
      <c r="W127" s="1"/>
      <c r="X127" s="1"/>
      <c r="Y127" s="1"/>
      <c r="Z127" s="1"/>
      <c r="AA127" s="1"/>
      <c r="AB127" s="1"/>
      <c r="AC127" s="1"/>
      <c r="AD127" s="1"/>
      <c r="AE127" s="1"/>
      <c r="AF127" s="1"/>
      <c r="AG127" s="1"/>
      <c r="AH127" s="1"/>
      <c r="AI127" s="1"/>
      <c r="AJ127" s="1"/>
    </row>
    <row r="128" spans="1:36" x14ac:dyDescent="0.25">
      <c r="A128" s="79" t="str">
        <f>'Data shares'!B123</f>
        <v>Finance</v>
      </c>
      <c r="B128" s="79" t="str">
        <f>'Data shares'!C123</f>
        <v>MANAPPURAM</v>
      </c>
      <c r="C128" s="4">
        <f>VLOOKUP($B128,'Data shares'!$C:$FB,7)</f>
        <v>291.7</v>
      </c>
      <c r="D128" s="82">
        <f>VLOOKUP($B128,'Data shares'!$C:$FB,98)</f>
        <v>62955000</v>
      </c>
      <c r="E128" s="165">
        <f>VLOOKUP(B128,'Snapshot (Volume)'!$A$7:$G$168,7,0)</f>
        <v>57288000</v>
      </c>
      <c r="F128" s="165">
        <f>D128-E128</f>
        <v>5667000</v>
      </c>
      <c r="G128" s="166">
        <f>F128/E128</f>
        <v>9.8921240050272308E-2</v>
      </c>
      <c r="H128" s="165">
        <f>VLOOKUP($B128,'Data shares'!$C:$FB,66)</f>
        <v>45483000</v>
      </c>
      <c r="I128" s="165">
        <f>VLOOKUP($B128,'Data shares'!$C:$FB,67)</f>
        <v>72567000</v>
      </c>
      <c r="J128" s="81">
        <f>(H128-I128)/I128*100</f>
        <v>-37.322750010335277</v>
      </c>
      <c r="K128" s="5">
        <f>VLOOKUP($B128,'Data Vlaue (Cr)'!$C:$FB,99)</f>
        <v>1841</v>
      </c>
      <c r="L128" s="81">
        <f>VLOOKUP(B128,'OI(Value)'!$A$7:$C$226,3,0)</f>
        <v>166</v>
      </c>
      <c r="M128" s="33">
        <f t="shared" si="44"/>
        <v>9.0168386746333518</v>
      </c>
      <c r="N128" s="5">
        <f>VLOOKUP($B128,'Data Vlaue (Cr)'!$C:$FB,67)</f>
        <v>1330</v>
      </c>
      <c r="O128" s="5">
        <f>VLOOKUP($B128,'Data Vlaue (Cr)'!$C:$FB,68)</f>
        <v>2122</v>
      </c>
      <c r="P128" s="5">
        <f>(N128-O128)/N128*100</f>
        <v>-59.548872180451127</v>
      </c>
      <c r="Q128" s="1"/>
      <c r="R128" s="1"/>
      <c r="S128" s="1"/>
      <c r="T128" s="1"/>
      <c r="U128" s="1"/>
      <c r="V128" s="1"/>
      <c r="W128" s="1"/>
      <c r="X128" s="1"/>
      <c r="Y128" s="1"/>
      <c r="Z128" s="1"/>
      <c r="AA128" s="1"/>
      <c r="AB128" s="1"/>
      <c r="AC128" s="1"/>
      <c r="AD128" s="1"/>
      <c r="AE128" s="1"/>
      <c r="AF128" s="1"/>
      <c r="AG128" s="1"/>
      <c r="AH128" s="1"/>
      <c r="AI128" s="1"/>
      <c r="AJ128" s="1"/>
    </row>
    <row r="129" spans="1:36" x14ac:dyDescent="0.25">
      <c r="A129" s="79" t="str">
        <f>'Data shares'!B124</f>
        <v>Pharma</v>
      </c>
      <c r="B129" s="79" t="str">
        <f>'Data shares'!C124</f>
        <v>MANKIND</v>
      </c>
      <c r="C129" s="4">
        <f>VLOOKUP($B129,'Data shares'!$C:$FB,7)</f>
        <v>2116.9</v>
      </c>
      <c r="D129" s="82">
        <f>VLOOKUP($B129,'Data shares'!$C:$FB,98)</f>
        <v>2531475</v>
      </c>
      <c r="E129" s="165">
        <f>VLOOKUP(B129,'Snapshot (Volume)'!$A$7:$G$168,7,0)</f>
        <v>2260575</v>
      </c>
      <c r="F129" s="165">
        <f>D129-E129</f>
        <v>270900</v>
      </c>
      <c r="G129" s="166">
        <f>F129/E129</f>
        <v>0.11983676719418732</v>
      </c>
      <c r="H129" s="165">
        <f>VLOOKUP($B129,'Data shares'!$C:$FB,66)</f>
        <v>1291500</v>
      </c>
      <c r="I129" s="165">
        <f>VLOOKUP($B129,'Data shares'!$C:$FB,67)</f>
        <v>2526975</v>
      </c>
      <c r="J129" s="81">
        <f>(H129-I129)/I129*100</f>
        <v>-48.891461134360256</v>
      </c>
      <c r="K129" s="5">
        <f>VLOOKUP($B129,'Data Vlaue (Cr)'!$C:$FB,99)</f>
        <v>537</v>
      </c>
      <c r="L129" s="81">
        <f>VLOOKUP(B129,'OI(Value)'!$A$7:$C$226,3,0)</f>
        <v>57</v>
      </c>
      <c r="M129" s="33">
        <f t="shared" si="44"/>
        <v>10.614525139664805</v>
      </c>
      <c r="N129" s="5">
        <f>VLOOKUP($B129,'Data Vlaue (Cr)'!$C:$FB,67)</f>
        <v>274</v>
      </c>
      <c r="O129" s="5">
        <f>VLOOKUP($B129,'Data Vlaue (Cr)'!$C:$FB,68)</f>
        <v>536</v>
      </c>
      <c r="P129" s="5">
        <f>(N129-O129)/N129*100</f>
        <v>-95.620437956204384</v>
      </c>
      <c r="Q129" s="1"/>
      <c r="R129" s="1"/>
      <c r="S129" s="1"/>
      <c r="T129" s="1"/>
      <c r="U129" s="1"/>
      <c r="V129" s="1"/>
      <c r="W129" s="1"/>
      <c r="X129" s="1"/>
      <c r="Y129" s="1"/>
      <c r="Z129" s="1"/>
      <c r="AA129" s="1"/>
      <c r="AB129" s="1"/>
      <c r="AC129" s="1"/>
      <c r="AD129" s="1"/>
      <c r="AE129" s="1"/>
      <c r="AF129" s="1"/>
      <c r="AG129" s="1"/>
      <c r="AH129" s="1"/>
      <c r="AI129" s="1"/>
      <c r="AJ129" s="1"/>
    </row>
    <row r="130" spans="1:36" x14ac:dyDescent="0.25">
      <c r="A130" s="79" t="str">
        <f>'Data shares'!B125</f>
        <v>FMCG</v>
      </c>
      <c r="B130" s="79" t="str">
        <f>'Data shares'!C125</f>
        <v>MARICO</v>
      </c>
      <c r="C130" s="4">
        <f>VLOOKUP($B130,'Data shares'!$C:$FB,7)</f>
        <v>736.65</v>
      </c>
      <c r="D130" s="82">
        <f>VLOOKUP($B130,'Data shares'!$C:$FB,98)</f>
        <v>35424000</v>
      </c>
      <c r="E130" s="165">
        <f>VLOOKUP(B130,'Snapshot (Volume)'!$A$7:$G$168,7,0)</f>
        <v>33195600</v>
      </c>
      <c r="F130" s="165">
        <f>D130-E130</f>
        <v>2228400</v>
      </c>
      <c r="G130" s="166">
        <f>F130/E130</f>
        <v>6.7129378592343567E-2</v>
      </c>
      <c r="H130" s="165">
        <f>VLOOKUP($B130,'Data shares'!$C:$FB,66)</f>
        <v>37267200</v>
      </c>
      <c r="I130" s="165">
        <f>VLOOKUP($B130,'Data shares'!$C:$FB,67)</f>
        <v>29494800</v>
      </c>
      <c r="J130" s="81">
        <f>(H130-I130)/I130*100</f>
        <v>26.351763700720127</v>
      </c>
      <c r="K130" s="5">
        <f>VLOOKUP($B130,'Data Vlaue (Cr)'!$C:$FB,99)</f>
        <v>2627</v>
      </c>
      <c r="L130" s="81">
        <f>VLOOKUP(B130,'OI(Value)'!$A$7:$C$226,3,0)</f>
        <v>165</v>
      </c>
      <c r="M130" s="33">
        <f t="shared" si="44"/>
        <v>6.2809288161400838</v>
      </c>
      <c r="N130" s="5">
        <f>VLOOKUP($B130,'Data Vlaue (Cr)'!$C:$FB,67)</f>
        <v>2764</v>
      </c>
      <c r="O130" s="5">
        <f>VLOOKUP($B130,'Data Vlaue (Cr)'!$C:$FB,68)</f>
        <v>2187</v>
      </c>
      <c r="P130" s="5">
        <f>(N130-O130)/N130*100</f>
        <v>20.875542691751086</v>
      </c>
      <c r="Q130" s="1"/>
      <c r="R130" s="1"/>
      <c r="S130" s="1"/>
      <c r="T130" s="1"/>
      <c r="U130" s="1"/>
      <c r="V130" s="1"/>
      <c r="W130" s="1"/>
      <c r="X130" s="1"/>
      <c r="Y130" s="1"/>
      <c r="Z130" s="1"/>
      <c r="AA130" s="1"/>
      <c r="AB130" s="1"/>
      <c r="AC130" s="1"/>
      <c r="AD130" s="1"/>
      <c r="AE130" s="1"/>
      <c r="AF130" s="1"/>
      <c r="AG130" s="1"/>
      <c r="AH130" s="1"/>
      <c r="AI130" s="1"/>
      <c r="AJ130" s="1"/>
    </row>
    <row r="131" spans="1:36" x14ac:dyDescent="0.25">
      <c r="A131" s="79" t="str">
        <f>'Data shares'!B126</f>
        <v>Automobile</v>
      </c>
      <c r="B131" s="79" t="str">
        <f>'Data shares'!C126</f>
        <v>MARUTI</v>
      </c>
      <c r="C131" s="4">
        <f>VLOOKUP($B131,'Data shares'!$C:$FB,7)</f>
        <v>14877</v>
      </c>
      <c r="D131" s="82">
        <f>VLOOKUP($B131,'Data shares'!$C:$FB,98)</f>
        <v>6144900</v>
      </c>
      <c r="E131" s="165">
        <f>VLOOKUP(B131,'Snapshot (Volume)'!$A$7:$G$168,7,0)</f>
        <v>4083950</v>
      </c>
      <c r="F131" s="165">
        <f>D131-E131</f>
        <v>2060950</v>
      </c>
      <c r="G131" s="166">
        <f>F131/E131</f>
        <v>0.50464623709888712</v>
      </c>
      <c r="H131" s="165">
        <f>VLOOKUP($B131,'Data shares'!$C:$FB,66)</f>
        <v>23870300</v>
      </c>
      <c r="I131" s="165">
        <f>VLOOKUP($B131,'Data shares'!$C:$FB,67)</f>
        <v>13489800</v>
      </c>
      <c r="J131" s="81">
        <f>(H131-I131)/I131*100</f>
        <v>76.950733146525522</v>
      </c>
      <c r="K131" s="5">
        <f>VLOOKUP($B131,'Data Vlaue (Cr)'!$C:$FB,99)</f>
        <v>9187</v>
      </c>
      <c r="L131" s="81">
        <f>VLOOKUP(B131,'OI(Value)'!$A$7:$C$226,3,0)</f>
        <v>3081</v>
      </c>
      <c r="M131" s="33">
        <f t="shared" si="44"/>
        <v>33.536518994230981</v>
      </c>
      <c r="N131" s="5">
        <f>VLOOKUP($B131,'Data Vlaue (Cr)'!$C:$FB,67)</f>
        <v>35686</v>
      </c>
      <c r="O131" s="5">
        <f>VLOOKUP($B131,'Data Vlaue (Cr)'!$C:$FB,68)</f>
        <v>20167</v>
      </c>
      <c r="P131" s="5">
        <f>(N131-O131)/N131*100</f>
        <v>43.487642212632402</v>
      </c>
      <c r="Q131" s="1"/>
      <c r="R131" s="1"/>
      <c r="S131" s="1"/>
      <c r="T131" s="1"/>
      <c r="U131" s="1"/>
      <c r="V131" s="1"/>
      <c r="W131" s="1"/>
      <c r="X131" s="1"/>
      <c r="Y131" s="1"/>
      <c r="Z131" s="1"/>
      <c r="AA131" s="1"/>
      <c r="AB131" s="1"/>
      <c r="AC131" s="1"/>
      <c r="AD131" s="1"/>
      <c r="AE131" s="1"/>
      <c r="AF131" s="1"/>
      <c r="AG131" s="1"/>
      <c r="AH131" s="1"/>
      <c r="AI131" s="1"/>
      <c r="AJ131" s="1"/>
    </row>
    <row r="132" spans="1:36" s="170" customFormat="1" x14ac:dyDescent="0.25">
      <c r="A132" s="79" t="str">
        <f>'Data shares'!B127</f>
        <v>Pharma</v>
      </c>
      <c r="B132" s="79" t="str">
        <f>'Data shares'!C127</f>
        <v>MAXHEALTH</v>
      </c>
      <c r="C132" s="79">
        <f>VLOOKUP($B132,'Data shares'!$C:$FB,7)</f>
        <v>958.6</v>
      </c>
      <c r="D132" s="165">
        <f>VLOOKUP($B132,'Data shares'!$C:$FB,98)</f>
        <v>21025200</v>
      </c>
      <c r="E132" s="165">
        <f>VLOOKUP(B132,'Snapshot (Volume)'!$A$7:$G$168,7,0)</f>
        <v>19980450</v>
      </c>
      <c r="F132" s="165">
        <f t="shared" ref="F132:F139" si="45">D132-E132</f>
        <v>1044750</v>
      </c>
      <c r="G132" s="166">
        <f t="shared" ref="G132:G139" si="46">F132/E132</f>
        <v>5.2288612118345686E-2</v>
      </c>
      <c r="H132" s="165">
        <f>VLOOKUP($B132,'Data shares'!$C:$FB,66)</f>
        <v>6370875</v>
      </c>
      <c r="I132" s="165">
        <f>VLOOKUP($B132,'Data shares'!$C:$FB,67)</f>
        <v>12871950</v>
      </c>
      <c r="J132" s="81">
        <f t="shared" ref="J132:J139" si="47">(H132-I132)/I132*100</f>
        <v>-50.50575087690676</v>
      </c>
      <c r="K132" s="81">
        <f>VLOOKUP($B132,'Data Vlaue (Cr)'!$C:$FB,99)</f>
        <v>2027</v>
      </c>
      <c r="L132" s="81">
        <f>VLOOKUP(B132,'OI(Value)'!$A$7:$C$226,3,0)</f>
        <v>101</v>
      </c>
      <c r="M132" s="81">
        <f t="shared" si="44"/>
        <v>4.9827331031080409</v>
      </c>
      <c r="N132" s="81">
        <f>VLOOKUP($B132,'Data Vlaue (Cr)'!$C:$FB,67)</f>
        <v>614</v>
      </c>
      <c r="O132" s="81">
        <f>VLOOKUP($B132,'Data Vlaue (Cr)'!$C:$FB,68)</f>
        <v>1241</v>
      </c>
      <c r="P132" s="81">
        <f t="shared" ref="P132:P139" si="48">(N132-O132)/N132*100</f>
        <v>-102.1172638436482</v>
      </c>
      <c r="Q132" s="169"/>
      <c r="R132" s="169"/>
      <c r="S132" s="169"/>
      <c r="T132" s="169"/>
      <c r="U132" s="169"/>
      <c r="V132" s="169"/>
      <c r="W132" s="169"/>
      <c r="X132" s="169"/>
      <c r="Y132" s="169"/>
      <c r="Z132" s="169"/>
      <c r="AA132" s="169"/>
      <c r="AB132" s="169"/>
      <c r="AC132" s="169"/>
      <c r="AD132" s="169"/>
      <c r="AE132" s="169"/>
      <c r="AF132" s="169"/>
      <c r="AG132" s="169"/>
      <c r="AH132" s="169"/>
      <c r="AI132" s="169"/>
      <c r="AJ132" s="169"/>
    </row>
    <row r="133" spans="1:36" s="170" customFormat="1" x14ac:dyDescent="0.25">
      <c r="A133" s="79" t="str">
        <f>'Data shares'!B128</f>
        <v>Infrastructure</v>
      </c>
      <c r="B133" s="79" t="str">
        <f>'Data shares'!C128</f>
        <v>MAZDOCK</v>
      </c>
      <c r="C133" s="79">
        <f>VLOOKUP($B133,'Data shares'!$C:$FB,7)</f>
        <v>2505.6</v>
      </c>
      <c r="D133" s="165">
        <f>VLOOKUP($B133,'Data shares'!$C:$FB,98)</f>
        <v>7220400</v>
      </c>
      <c r="E133" s="165">
        <f>VLOOKUP(B133,'Snapshot (Volume)'!$A$7:$G$168,7,0)</f>
        <v>6353800</v>
      </c>
      <c r="F133" s="165">
        <f t="shared" si="45"/>
        <v>866600</v>
      </c>
      <c r="G133" s="166">
        <f t="shared" si="46"/>
        <v>0.13639082124083227</v>
      </c>
      <c r="H133" s="165">
        <f>VLOOKUP($B133,'Data shares'!$C:$FB,66)</f>
        <v>11001600</v>
      </c>
      <c r="I133" s="165">
        <f>VLOOKUP($B133,'Data shares'!$C:$FB,67)</f>
        <v>11042600</v>
      </c>
      <c r="J133" s="81">
        <f t="shared" si="47"/>
        <v>-0.3712893702570047</v>
      </c>
      <c r="K133" s="81">
        <f>VLOOKUP($B133,'Data Vlaue (Cr)'!$C:$FB,99)</f>
        <v>1818</v>
      </c>
      <c r="L133" s="81">
        <f>VLOOKUP(B133,'OI(Value)'!$A$7:$C$226,3,0)</f>
        <v>218</v>
      </c>
      <c r="M133" s="81">
        <f t="shared" si="44"/>
        <v>11.991199119911991</v>
      </c>
      <c r="N133" s="81">
        <f>VLOOKUP($B133,'Data Vlaue (Cr)'!$C:$FB,67)</f>
        <v>2770</v>
      </c>
      <c r="O133" s="81">
        <f>VLOOKUP($B133,'Data Vlaue (Cr)'!$C:$FB,68)</f>
        <v>2781</v>
      </c>
      <c r="P133" s="81">
        <f t="shared" si="48"/>
        <v>-0.3971119133574007</v>
      </c>
      <c r="Q133" s="169"/>
      <c r="R133" s="169"/>
      <c r="S133" s="169"/>
      <c r="T133" s="169"/>
      <c r="U133" s="169"/>
      <c r="V133" s="169"/>
      <c r="W133" s="169"/>
      <c r="X133" s="169"/>
      <c r="Y133" s="169"/>
      <c r="Z133" s="169"/>
      <c r="AA133" s="169"/>
      <c r="AB133" s="169"/>
      <c r="AC133" s="169"/>
      <c r="AD133" s="169"/>
      <c r="AE133" s="169"/>
      <c r="AF133" s="169"/>
      <c r="AG133" s="169"/>
      <c r="AH133" s="169"/>
      <c r="AI133" s="169"/>
      <c r="AJ133" s="169"/>
    </row>
    <row r="134" spans="1:36" x14ac:dyDescent="0.25">
      <c r="A134" s="79" t="str">
        <f>'Data shares'!B129</f>
        <v>Finance</v>
      </c>
      <c r="B134" s="79" t="str">
        <f>'Data shares'!C129</f>
        <v>MCX</v>
      </c>
      <c r="C134" s="4">
        <f>VLOOKUP($B134,'Data shares'!$C:$FB,7)</f>
        <v>2593</v>
      </c>
      <c r="D134" s="82">
        <f>VLOOKUP($B134,'Data shares'!$C:$FB,98)</f>
        <v>24893125</v>
      </c>
      <c r="E134" s="165">
        <f>VLOOKUP(B134,'Snapshot (Volume)'!$A$7:$G$168,7,0)</f>
        <v>22806875</v>
      </c>
      <c r="F134" s="165">
        <f t="shared" si="45"/>
        <v>2086250</v>
      </c>
      <c r="G134" s="166">
        <f t="shared" si="46"/>
        <v>9.1474610177852078E-2</v>
      </c>
      <c r="H134" s="165">
        <f>VLOOKUP($B134,'Data shares'!$C:$FB,66)</f>
        <v>64013750</v>
      </c>
      <c r="I134" s="165">
        <f>VLOOKUP($B134,'Data shares'!$C:$FB,67)</f>
        <v>115851250</v>
      </c>
      <c r="J134" s="81">
        <f t="shared" si="47"/>
        <v>-44.744877590876229</v>
      </c>
      <c r="K134" s="5">
        <f>VLOOKUP($B134,'Data Vlaue (Cr)'!$C:$FB,99)</f>
        <v>6485</v>
      </c>
      <c r="L134" s="81">
        <f>VLOOKUP(B134,'OI(Value)'!$A$7:$C$226,3,0)</f>
        <v>543</v>
      </c>
      <c r="M134" s="33">
        <f t="shared" si="44"/>
        <v>8.3731688511950662</v>
      </c>
      <c r="N134" s="5">
        <f>VLOOKUP($B134,'Data Vlaue (Cr)'!$C:$FB,67)</f>
        <v>16676</v>
      </c>
      <c r="O134" s="5">
        <f>VLOOKUP($B134,'Data Vlaue (Cr)'!$C:$FB,68)</f>
        <v>30179</v>
      </c>
      <c r="P134" s="5">
        <f t="shared" si="48"/>
        <v>-80.972655313024717</v>
      </c>
      <c r="Q134" s="1"/>
      <c r="R134" s="1"/>
      <c r="S134" s="1"/>
      <c r="T134" s="1"/>
      <c r="U134" s="1"/>
      <c r="V134" s="1"/>
      <c r="W134" s="1"/>
      <c r="X134" s="1"/>
      <c r="Y134" s="1"/>
      <c r="Z134" s="1"/>
      <c r="AA134" s="1"/>
      <c r="AB134" s="1"/>
      <c r="AC134" s="1"/>
      <c r="AD134" s="1"/>
      <c r="AE134" s="1"/>
      <c r="AF134" s="1"/>
      <c r="AG134" s="1"/>
      <c r="AH134" s="1"/>
      <c r="AI134" s="1"/>
      <c r="AJ134" s="1"/>
    </row>
    <row r="135" spans="1:36" x14ac:dyDescent="0.25">
      <c r="A135" s="79" t="str">
        <f>'Data shares'!B130</f>
        <v>Finance</v>
      </c>
      <c r="B135" s="79" t="str">
        <f>'Data shares'!C130</f>
        <v>MFSL</v>
      </c>
      <c r="C135" s="4">
        <f>VLOOKUP($B135,'Data shares'!$C:$FB,7)</f>
        <v>1623.9</v>
      </c>
      <c r="D135" s="82">
        <f>VLOOKUP($B135,'Data shares'!$C:$FB,98)</f>
        <v>9769200</v>
      </c>
      <c r="E135" s="165">
        <f>VLOOKUP(B135,'Snapshot (Volume)'!$A$7:$G$168,7,0)</f>
        <v>9376000</v>
      </c>
      <c r="F135" s="165">
        <f t="shared" si="45"/>
        <v>393200</v>
      </c>
      <c r="G135" s="166">
        <f t="shared" si="46"/>
        <v>4.1936860068259384E-2</v>
      </c>
      <c r="H135" s="165">
        <f>VLOOKUP($B135,'Data shares'!$C:$FB,66)</f>
        <v>2902800</v>
      </c>
      <c r="I135" s="165">
        <f>VLOOKUP($B135,'Data shares'!$C:$FB,67)</f>
        <v>5722000</v>
      </c>
      <c r="J135" s="81">
        <f t="shared" si="47"/>
        <v>-49.269486193638592</v>
      </c>
      <c r="K135" s="5">
        <f>VLOOKUP($B135,'Data Vlaue (Cr)'!$C:$FB,99)</f>
        <v>1592</v>
      </c>
      <c r="L135" s="81">
        <f>VLOOKUP(B135,'OI(Value)'!$A$7:$C$226,3,0)</f>
        <v>64</v>
      </c>
      <c r="M135" s="33">
        <f t="shared" si="44"/>
        <v>4.0201005025125625</v>
      </c>
      <c r="N135" s="5">
        <f>VLOOKUP($B135,'Data Vlaue (Cr)'!$C:$FB,67)</f>
        <v>473</v>
      </c>
      <c r="O135" s="5">
        <f>VLOOKUP($B135,'Data Vlaue (Cr)'!$C:$FB,68)</f>
        <v>933</v>
      </c>
      <c r="P135" s="5">
        <f t="shared" si="48"/>
        <v>-97.25158562367865</v>
      </c>
      <c r="Q135" s="1"/>
      <c r="R135" s="1"/>
      <c r="S135" s="1"/>
      <c r="T135" s="1"/>
      <c r="U135" s="1"/>
      <c r="V135" s="1"/>
      <c r="W135" s="1"/>
      <c r="X135" s="1"/>
      <c r="Y135" s="1"/>
      <c r="Z135" s="1"/>
      <c r="AA135" s="1"/>
      <c r="AB135" s="1"/>
      <c r="AC135" s="1"/>
      <c r="AD135" s="1"/>
      <c r="AE135" s="1"/>
      <c r="AF135" s="1"/>
      <c r="AG135" s="1"/>
      <c r="AH135" s="1"/>
      <c r="AI135" s="1"/>
      <c r="AJ135" s="1"/>
    </row>
    <row r="136" spans="1:36" x14ac:dyDescent="0.25">
      <c r="A136" s="79" t="str">
        <f>'Data shares'!B131</f>
        <v>Index</v>
      </c>
      <c r="B136" s="79" t="str">
        <f>'Data shares'!C131</f>
        <v>MIDCPNIFTY</v>
      </c>
      <c r="C136" s="4">
        <f>VLOOKUP($B136,'Data shares'!$C:$FB,7)</f>
        <v>13381.9</v>
      </c>
      <c r="D136" s="82">
        <f>VLOOKUP($B136,'Data shares'!$C:$FB,98)</f>
        <v>10161120</v>
      </c>
      <c r="E136" s="165">
        <f>VLOOKUP(B136,'Snapshot (Volume)'!$A$7:$G$168,7,0)</f>
        <v>6535920</v>
      </c>
      <c r="F136" s="165">
        <f t="shared" si="45"/>
        <v>3625200</v>
      </c>
      <c r="G136" s="166">
        <f t="shared" si="46"/>
        <v>0.55465795174971544</v>
      </c>
      <c r="H136" s="165">
        <f>VLOOKUP($B136,'Data shares'!$C:$FB,66)</f>
        <v>28191720</v>
      </c>
      <c r="I136" s="165">
        <f>VLOOKUP($B136,'Data shares'!$C:$FB,67)</f>
        <v>1145465400</v>
      </c>
      <c r="J136" s="81">
        <f t="shared" si="47"/>
        <v>-97.538841417645614</v>
      </c>
      <c r="K136" s="5">
        <f>VLOOKUP($B136,'Data Vlaue (Cr)'!$C:$FB,99)</f>
        <v>13625</v>
      </c>
      <c r="L136" s="81">
        <f>VLOOKUP(B136,'OI(Value)'!$A$7:$C$226,3,0)</f>
        <v>4861</v>
      </c>
      <c r="M136" s="33">
        <f t="shared" si="44"/>
        <v>35.677064220183482</v>
      </c>
      <c r="N136" s="5">
        <f>VLOOKUP($B136,'Data Vlaue (Cr)'!$C:$FB,67)</f>
        <v>37802</v>
      </c>
      <c r="O136" s="5">
        <f>VLOOKUP($B136,'Data Vlaue (Cr)'!$C:$FB,68)</f>
        <v>1535960</v>
      </c>
      <c r="P136" s="5">
        <f t="shared" si="48"/>
        <v>-3963.1712607798527</v>
      </c>
      <c r="Q136" s="1"/>
      <c r="R136" s="1"/>
      <c r="S136" s="1"/>
      <c r="T136" s="1"/>
      <c r="U136" s="1"/>
      <c r="V136" s="1"/>
      <c r="W136" s="1"/>
      <c r="X136" s="1"/>
      <c r="Y136" s="1"/>
      <c r="Z136" s="1"/>
      <c r="AA136" s="1"/>
      <c r="AB136" s="1"/>
      <c r="AC136" s="1"/>
      <c r="AD136" s="1"/>
      <c r="AE136" s="1"/>
      <c r="AF136" s="1"/>
      <c r="AG136" s="1"/>
      <c r="AH136" s="1"/>
      <c r="AI136" s="1"/>
      <c r="AJ136" s="1"/>
    </row>
    <row r="137" spans="1:36" x14ac:dyDescent="0.25">
      <c r="A137" s="79" t="str">
        <f>'Data shares'!B132</f>
        <v>Automobile</v>
      </c>
      <c r="B137" s="79" t="str">
        <f>'Data shares'!C132</f>
        <v>MOTHERSON</v>
      </c>
      <c r="C137" s="4">
        <f>VLOOKUP($B137,'Data shares'!$C:$FB,7)</f>
        <v>111.43</v>
      </c>
      <c r="D137" s="82">
        <f>VLOOKUP($B137,'Data shares'!$C:$FB,98)</f>
        <v>214315200</v>
      </c>
      <c r="E137" s="165">
        <f>VLOOKUP(B137,'Snapshot (Volume)'!$A$7:$G$168,7,0)</f>
        <v>210194700</v>
      </c>
      <c r="F137" s="165">
        <f t="shared" si="45"/>
        <v>4120500</v>
      </c>
      <c r="G137" s="166">
        <f t="shared" si="46"/>
        <v>1.9603253554918369E-2</v>
      </c>
      <c r="H137" s="165">
        <f>VLOOKUP($B137,'Data shares'!$C:$FB,66)</f>
        <v>63240450</v>
      </c>
      <c r="I137" s="165">
        <f>VLOOKUP($B137,'Data shares'!$C:$FB,67)</f>
        <v>169020450</v>
      </c>
      <c r="J137" s="81">
        <f t="shared" si="47"/>
        <v>-62.584142924717099</v>
      </c>
      <c r="K137" s="5">
        <f>VLOOKUP($B137,'Data Vlaue (Cr)'!$C:$FB,99)</f>
        <v>2398</v>
      </c>
      <c r="L137" s="81">
        <f>VLOOKUP(B137,'OI(Value)'!$A$7:$C$226,3,0)</f>
        <v>46</v>
      </c>
      <c r="M137" s="33">
        <f t="shared" si="44"/>
        <v>1.9182652210175146</v>
      </c>
      <c r="N137" s="5">
        <f>VLOOKUP($B137,'Data Vlaue (Cr)'!$C:$FB,67)</f>
        <v>708</v>
      </c>
      <c r="O137" s="5">
        <f>VLOOKUP($B137,'Data Vlaue (Cr)'!$C:$FB,68)</f>
        <v>1891</v>
      </c>
      <c r="P137" s="5">
        <f t="shared" si="48"/>
        <v>-167.09039548022599</v>
      </c>
      <c r="Q137" s="1"/>
      <c r="R137" s="1"/>
      <c r="S137" s="1"/>
      <c r="T137" s="1"/>
      <c r="U137" s="1"/>
      <c r="V137" s="1"/>
      <c r="W137" s="1"/>
      <c r="X137" s="1"/>
      <c r="Y137" s="1"/>
      <c r="Z137" s="1"/>
      <c r="AA137" s="1"/>
      <c r="AB137" s="1"/>
      <c r="AC137" s="1"/>
      <c r="AD137" s="1"/>
      <c r="AE137" s="1"/>
      <c r="AF137" s="1"/>
      <c r="AG137" s="1"/>
      <c r="AH137" s="1"/>
      <c r="AI137" s="1"/>
      <c r="AJ137" s="1"/>
    </row>
    <row r="138" spans="1:36" x14ac:dyDescent="0.25">
      <c r="A138" s="79" t="str">
        <f>'Data shares'!B133</f>
        <v>Technology</v>
      </c>
      <c r="B138" s="79" t="str">
        <f>'Data shares'!C133</f>
        <v>MPHASIS</v>
      </c>
      <c r="C138" s="4">
        <f>VLOOKUP($B138,'Data shares'!$C:$FB,7)</f>
        <v>2833.7</v>
      </c>
      <c r="D138" s="82">
        <f>VLOOKUP($B138,'Data shares'!$C:$FB,98)</f>
        <v>5375700</v>
      </c>
      <c r="E138" s="165">
        <f>VLOOKUP(B138,'Snapshot (Volume)'!$A$7:$G$168,7,0)</f>
        <v>5267625</v>
      </c>
      <c r="F138" s="165">
        <f t="shared" si="45"/>
        <v>108075</v>
      </c>
      <c r="G138" s="166">
        <f t="shared" si="46"/>
        <v>2.0516836335160531E-2</v>
      </c>
      <c r="H138" s="165">
        <f>VLOOKUP($B138,'Data shares'!$C:$FB,66)</f>
        <v>1558975</v>
      </c>
      <c r="I138" s="165">
        <f>VLOOKUP($B138,'Data shares'!$C:$FB,67)</f>
        <v>5592950</v>
      </c>
      <c r="J138" s="81">
        <f t="shared" si="47"/>
        <v>-72.126069426688957</v>
      </c>
      <c r="K138" s="5">
        <f>VLOOKUP($B138,'Data Vlaue (Cr)'!$C:$FB,99)</f>
        <v>1529</v>
      </c>
      <c r="L138" s="81">
        <f>VLOOKUP(B138,'OI(Value)'!$A$7:$C$226,3,0)</f>
        <v>31</v>
      </c>
      <c r="M138" s="33">
        <f t="shared" si="44"/>
        <v>2.0274689339437542</v>
      </c>
      <c r="N138" s="5">
        <f>VLOOKUP($B138,'Data Vlaue (Cr)'!$C:$FB,67)</f>
        <v>443</v>
      </c>
      <c r="O138" s="5">
        <f>VLOOKUP($B138,'Data Vlaue (Cr)'!$C:$FB,68)</f>
        <v>1590</v>
      </c>
      <c r="P138" s="5">
        <f t="shared" si="48"/>
        <v>-258.91647855530471</v>
      </c>
      <c r="Q138" s="1"/>
      <c r="R138" s="1"/>
      <c r="S138" s="1"/>
      <c r="T138" s="1"/>
      <c r="U138" s="1"/>
      <c r="V138" s="1"/>
      <c r="W138" s="1"/>
      <c r="X138" s="1"/>
      <c r="Y138" s="1"/>
      <c r="Z138" s="1"/>
      <c r="AA138" s="1"/>
      <c r="AB138" s="1"/>
      <c r="AC138" s="1"/>
      <c r="AD138" s="1"/>
      <c r="AE138" s="1"/>
      <c r="AF138" s="1"/>
      <c r="AG138" s="1"/>
      <c r="AH138" s="1"/>
      <c r="AI138" s="1"/>
      <c r="AJ138" s="1"/>
    </row>
    <row r="139" spans="1:36" x14ac:dyDescent="0.25">
      <c r="A139" s="79" t="str">
        <f>'Data shares'!B134</f>
        <v>Finance</v>
      </c>
      <c r="B139" s="79" t="str">
        <f>'Data shares'!C134</f>
        <v>MUTHOOTFIN</v>
      </c>
      <c r="C139" s="4">
        <f>VLOOKUP($B139,'Data shares'!$C:$FB,7)</f>
        <v>3955.5</v>
      </c>
      <c r="D139" s="82">
        <f>VLOOKUP($B139,'Data shares'!$C:$FB,98)</f>
        <v>5564075</v>
      </c>
      <c r="E139" s="165">
        <f>VLOOKUP(B139,'Snapshot (Volume)'!$A$7:$G$168,7,0)</f>
        <v>5047350</v>
      </c>
      <c r="F139" s="165">
        <f t="shared" si="45"/>
        <v>516725</v>
      </c>
      <c r="G139" s="166">
        <f t="shared" si="46"/>
        <v>0.10237550397733464</v>
      </c>
      <c r="H139" s="165">
        <f>VLOOKUP($B139,'Data shares'!$C:$FB,66)</f>
        <v>3042875</v>
      </c>
      <c r="I139" s="165">
        <f>VLOOKUP($B139,'Data shares'!$C:$FB,67)</f>
        <v>7177775</v>
      </c>
      <c r="J139" s="81">
        <f t="shared" si="47"/>
        <v>-57.60698823799855</v>
      </c>
      <c r="K139" s="5">
        <f>VLOOKUP($B139,'Data Vlaue (Cr)'!$C:$FB,99)</f>
        <v>2218</v>
      </c>
      <c r="L139" s="81">
        <f>VLOOKUP(B139,'OI(Value)'!$A$7:$C$226,3,0)</f>
        <v>206</v>
      </c>
      <c r="M139" s="33">
        <f t="shared" si="44"/>
        <v>9.2876465284039664</v>
      </c>
      <c r="N139" s="5">
        <f>VLOOKUP($B139,'Data Vlaue (Cr)'!$C:$FB,67)</f>
        <v>1213</v>
      </c>
      <c r="O139" s="5">
        <f>VLOOKUP($B139,'Data Vlaue (Cr)'!$C:$FB,68)</f>
        <v>2861</v>
      </c>
      <c r="P139" s="5">
        <f t="shared" si="48"/>
        <v>-135.86150041220117</v>
      </c>
      <c r="Q139" s="1"/>
      <c r="R139" s="1"/>
      <c r="S139" s="1"/>
      <c r="T139" s="1"/>
      <c r="U139" s="1"/>
      <c r="V139" s="1"/>
      <c r="W139" s="1"/>
      <c r="X139" s="1"/>
      <c r="Y139" s="1"/>
      <c r="Z139" s="1"/>
      <c r="AA139" s="1"/>
      <c r="AB139" s="1"/>
      <c r="AC139" s="1"/>
      <c r="AD139" s="1"/>
      <c r="AE139" s="1"/>
      <c r="AF139" s="1"/>
      <c r="AG139" s="1"/>
      <c r="AH139" s="1"/>
      <c r="AI139" s="1"/>
      <c r="AJ139" s="1"/>
    </row>
    <row r="140" spans="1:36" x14ac:dyDescent="0.25">
      <c r="A140" s="79" t="str">
        <f>'Data shares'!B135</f>
        <v>Metals</v>
      </c>
      <c r="B140" s="79" t="str">
        <f>'Data shares'!C135</f>
        <v>NATIONALUM</v>
      </c>
      <c r="C140" s="79">
        <f>VLOOKUP($B140,'Data shares'!$C:$FB,7)</f>
        <v>406.15</v>
      </c>
      <c r="D140" s="165">
        <f>VLOOKUP($B140,'Data shares'!$C:$FB,98)</f>
        <v>89250000</v>
      </c>
      <c r="E140" s="165">
        <f>VLOOKUP(B140,'Snapshot (Volume)'!$A$7:$G$168,7,0)</f>
        <v>82188750</v>
      </c>
      <c r="F140" s="165">
        <f>D140-E140</f>
        <v>7061250</v>
      </c>
      <c r="G140" s="166">
        <f>F140/E140</f>
        <v>8.5915043117214943E-2</v>
      </c>
      <c r="H140" s="165">
        <f>VLOOKUP($B140,'Data shares'!$C:$FB,66)</f>
        <v>168078750</v>
      </c>
      <c r="I140" s="165">
        <f>VLOOKUP($B140,'Data shares'!$C:$FB,67)</f>
        <v>166905000</v>
      </c>
      <c r="J140" s="81">
        <f>(H140-I140)/I140*100</f>
        <v>0.70324436056439288</v>
      </c>
      <c r="K140" s="81">
        <f>VLOOKUP($B140,'Data Vlaue (Cr)'!$C:$FB,99)</f>
        <v>3606</v>
      </c>
      <c r="L140" s="81">
        <f>VLOOKUP(B140,'OI(Value)'!$A$7:$C$226,3,0)</f>
        <v>285</v>
      </c>
      <c r="M140" s="81">
        <f t="shared" si="44"/>
        <v>7.9034941763727122</v>
      </c>
      <c r="N140" s="81">
        <f>VLOOKUP($B140,'Data Vlaue (Cr)'!$C:$FB,67)</f>
        <v>6791</v>
      </c>
      <c r="O140" s="81">
        <f>VLOOKUP($B140,'Data Vlaue (Cr)'!$C:$FB,68)</f>
        <v>6744</v>
      </c>
      <c r="P140" s="81">
        <f>(N140-O140)/N140*100</f>
        <v>0.69209247533500218</v>
      </c>
      <c r="Q140" s="1"/>
      <c r="R140" s="1"/>
      <c r="S140" s="1"/>
      <c r="T140" s="1"/>
      <c r="U140" s="1"/>
      <c r="V140" s="1"/>
      <c r="W140" s="1"/>
      <c r="X140" s="1"/>
      <c r="Y140" s="1"/>
      <c r="Z140" s="1"/>
      <c r="AA140" s="1"/>
      <c r="AB140" s="1"/>
      <c r="AC140" s="1"/>
      <c r="AD140" s="1"/>
      <c r="AE140" s="1"/>
      <c r="AF140" s="1"/>
      <c r="AG140" s="1"/>
      <c r="AH140" s="1"/>
      <c r="AI140" s="1"/>
      <c r="AJ140" s="1"/>
    </row>
    <row r="141" spans="1:36" x14ac:dyDescent="0.25">
      <c r="A141" s="79" t="str">
        <f>'Data shares'!B136</f>
        <v>New_Age</v>
      </c>
      <c r="B141" s="79" t="str">
        <f>'Data shares'!C136</f>
        <v>NAUKRI</v>
      </c>
      <c r="C141" s="4">
        <f>VLOOKUP($B141,'Data shares'!$C:$FB,7)</f>
        <v>1299.9000000000001</v>
      </c>
      <c r="D141" s="82">
        <f>VLOOKUP($B141,'Data shares'!$C:$FB,98)</f>
        <v>10153500</v>
      </c>
      <c r="E141" s="165">
        <f>VLOOKUP(B141,'Snapshot (Volume)'!$A$7:$G$168,7,0)</f>
        <v>9574875</v>
      </c>
      <c r="F141" s="165">
        <f>D141-E141</f>
        <v>578625</v>
      </c>
      <c r="G141" s="166">
        <f>F141/E141</f>
        <v>6.0431598323737908E-2</v>
      </c>
      <c r="H141" s="165">
        <f>VLOOKUP($B141,'Data shares'!$C:$FB,66)</f>
        <v>4099875</v>
      </c>
      <c r="I141" s="165">
        <f>VLOOKUP($B141,'Data shares'!$C:$FB,67)</f>
        <v>9632250</v>
      </c>
      <c r="J141" s="81">
        <f>(H141-I141)/I141*100</f>
        <v>-57.435957330841703</v>
      </c>
      <c r="K141" s="5">
        <f>VLOOKUP($B141,'Data Vlaue (Cr)'!$C:$FB,99)</f>
        <v>1328</v>
      </c>
      <c r="L141" s="81">
        <f>VLOOKUP(B141,'OI(Value)'!$A$7:$C$226,3,0)</f>
        <v>76</v>
      </c>
      <c r="M141" s="33">
        <f t="shared" si="44"/>
        <v>5.7228915662650603</v>
      </c>
      <c r="N141" s="5">
        <f>VLOOKUP($B141,'Data Vlaue (Cr)'!$C:$FB,67)</f>
        <v>536</v>
      </c>
      <c r="O141" s="5">
        <f>VLOOKUP($B141,'Data Vlaue (Cr)'!$C:$FB,68)</f>
        <v>1260</v>
      </c>
      <c r="P141" s="5">
        <f>(N141-O141)/N141*100</f>
        <v>-135.07462686567163</v>
      </c>
      <c r="Q141" s="1"/>
      <c r="R141" s="1"/>
      <c r="S141" s="1"/>
      <c r="T141" s="1"/>
      <c r="U141" s="1"/>
      <c r="V141" s="1"/>
      <c r="W141" s="1"/>
      <c r="X141" s="1"/>
      <c r="Y141" s="1"/>
      <c r="Z141" s="1"/>
      <c r="AA141" s="1"/>
      <c r="AB141" s="1"/>
      <c r="AC141" s="1"/>
      <c r="AD141" s="1"/>
      <c r="AE141" s="1"/>
      <c r="AF141" s="1"/>
      <c r="AG141" s="1"/>
      <c r="AH141" s="1"/>
      <c r="AI141" s="1"/>
      <c r="AJ141" s="1"/>
    </row>
    <row r="142" spans="1:36" x14ac:dyDescent="0.25">
      <c r="A142" s="79" t="str">
        <f>'Data shares'!B137</f>
        <v>Realty</v>
      </c>
      <c r="B142" s="79" t="str">
        <f>'Data shares'!C137</f>
        <v>NBCC</v>
      </c>
      <c r="C142" s="4">
        <f>VLOOKUP($B142,'Data shares'!$C:$FB,7)</f>
        <v>99.53</v>
      </c>
      <c r="D142" s="82">
        <f>VLOOKUP($B142,'Data shares'!$C:$FB,98)</f>
        <v>123259500</v>
      </c>
      <c r="E142" s="165">
        <f>VLOOKUP(B142,'Snapshot (Volume)'!$A$7:$G$168,7,0)</f>
        <v>118417000</v>
      </c>
      <c r="F142" s="165">
        <f>D142-E142</f>
        <v>4842500</v>
      </c>
      <c r="G142" s="166">
        <f>F142/E142</f>
        <v>4.0893621692831263E-2</v>
      </c>
      <c r="H142" s="165">
        <f>VLOOKUP($B142,'Data shares'!$C:$FB,66)</f>
        <v>57252000</v>
      </c>
      <c r="I142" s="165">
        <f>VLOOKUP($B142,'Data shares'!$C:$FB,67)</f>
        <v>137527000</v>
      </c>
      <c r="J142" s="81">
        <f>(H142-I142)/I142*100</f>
        <v>-58.370356366386233</v>
      </c>
      <c r="K142" s="5">
        <f>VLOOKUP($B142,'Data Vlaue (Cr)'!$C:$FB,99)</f>
        <v>1230</v>
      </c>
      <c r="L142" s="81">
        <f>VLOOKUP(B142,'OI(Value)'!$A$7:$C$226,3,0)</f>
        <v>48</v>
      </c>
      <c r="M142" s="33">
        <f t="shared" si="44"/>
        <v>3.9024390243902438</v>
      </c>
      <c r="N142" s="5">
        <f>VLOOKUP($B142,'Data Vlaue (Cr)'!$C:$FB,67)</f>
        <v>571</v>
      </c>
      <c r="O142" s="5">
        <f>VLOOKUP($B142,'Data Vlaue (Cr)'!$C:$FB,68)</f>
        <v>1373</v>
      </c>
      <c r="P142" s="5">
        <f>(N142-O142)/N142*100</f>
        <v>-140.4553415061296</v>
      </c>
      <c r="Q142" s="1"/>
      <c r="R142" s="1"/>
      <c r="S142" s="1"/>
      <c r="T142" s="1"/>
      <c r="U142" s="1"/>
      <c r="V142" s="1"/>
      <c r="W142" s="1"/>
      <c r="X142" s="1"/>
      <c r="Y142" s="1"/>
      <c r="Z142" s="1"/>
      <c r="AA142" s="1"/>
      <c r="AB142" s="1"/>
      <c r="AC142" s="1"/>
      <c r="AD142" s="1"/>
      <c r="AE142" s="1"/>
      <c r="AF142" s="1"/>
      <c r="AG142" s="1"/>
      <c r="AH142" s="1"/>
      <c r="AI142" s="1"/>
      <c r="AJ142" s="1"/>
    </row>
    <row r="143" spans="1:36" x14ac:dyDescent="0.25">
      <c r="A143" s="79" t="str">
        <f>'Data shares'!B138</f>
        <v>FMCG</v>
      </c>
      <c r="B143" s="79" t="str">
        <f>'Data shares'!C138</f>
        <v>NESTLEIND</v>
      </c>
      <c r="C143" s="4">
        <f>VLOOKUP($B143,'Data shares'!$C:$FB,7)</f>
        <v>1292.4000000000001</v>
      </c>
      <c r="D143" s="82">
        <f>VLOOKUP($B143,'Data shares'!$C:$FB,98)</f>
        <v>20366000</v>
      </c>
      <c r="E143" s="165">
        <f>VLOOKUP(B143,'Snapshot (Volume)'!$A$7:$G$168,7,0)</f>
        <v>19201500</v>
      </c>
      <c r="F143" s="165">
        <f>D143-E143</f>
        <v>1164500</v>
      </c>
      <c r="G143" s="166">
        <f>F143/E143</f>
        <v>6.0646303674192117E-2</v>
      </c>
      <c r="H143" s="165">
        <f>VLOOKUP($B143,'Data shares'!$C:$FB,66)</f>
        <v>6934000</v>
      </c>
      <c r="I143" s="165">
        <f>VLOOKUP($B143,'Data shares'!$C:$FB,67)</f>
        <v>12493000</v>
      </c>
      <c r="J143" s="81">
        <f>(H143-I143)/I143*100</f>
        <v>-44.496918274233572</v>
      </c>
      <c r="K143" s="5">
        <f>VLOOKUP($B143,'Data Vlaue (Cr)'!$C:$FB,99)</f>
        <v>2624</v>
      </c>
      <c r="L143" s="81">
        <f>VLOOKUP(B143,'OI(Value)'!$A$7:$C$226,3,0)</f>
        <v>150</v>
      </c>
      <c r="M143" s="33">
        <f t="shared" si="44"/>
        <v>5.7164634146341466</v>
      </c>
      <c r="N143" s="5">
        <f>VLOOKUP($B143,'Data Vlaue (Cr)'!$C:$FB,67)</f>
        <v>894</v>
      </c>
      <c r="O143" s="5">
        <f>VLOOKUP($B143,'Data Vlaue (Cr)'!$C:$FB,68)</f>
        <v>1610</v>
      </c>
      <c r="P143" s="5">
        <f>(N143-O143)/N143*100</f>
        <v>-80.08948545861297</v>
      </c>
      <c r="Q143" s="1"/>
      <c r="R143" s="1"/>
      <c r="S143" s="1"/>
      <c r="T143" s="1"/>
      <c r="U143" s="1"/>
      <c r="V143" s="1"/>
      <c r="W143" s="1"/>
      <c r="X143" s="1"/>
      <c r="Y143" s="1"/>
      <c r="Z143" s="1"/>
      <c r="AA143" s="1"/>
      <c r="AB143" s="1"/>
      <c r="AC143" s="1"/>
      <c r="AD143" s="1"/>
      <c r="AE143" s="1"/>
      <c r="AF143" s="1"/>
      <c r="AG143" s="1"/>
      <c r="AH143" s="1"/>
      <c r="AI143" s="1"/>
      <c r="AJ143" s="1"/>
    </row>
    <row r="144" spans="1:36" x14ac:dyDescent="0.25">
      <c r="A144" s="79" t="str">
        <f>'Data shares'!B139</f>
        <v>Power</v>
      </c>
      <c r="B144" s="79" t="str">
        <f>'Data shares'!C139</f>
        <v>NHPC</v>
      </c>
      <c r="C144" s="4">
        <f>VLOOKUP($B144,'Data shares'!$C:$FB,7)</f>
        <v>78.89</v>
      </c>
      <c r="D144" s="82">
        <f>VLOOKUP($B144,'Data shares'!$C:$FB,98)</f>
        <v>97248000</v>
      </c>
      <c r="E144" s="165">
        <f>VLOOKUP(B144,'Snapshot (Volume)'!$A$7:$G$168,7,0)</f>
        <v>93414400</v>
      </c>
      <c r="F144" s="165">
        <f>D144-E144</f>
        <v>3833600</v>
      </c>
      <c r="G144" s="166">
        <f>F144/E144</f>
        <v>4.1038640723485884E-2</v>
      </c>
      <c r="H144" s="165">
        <f>VLOOKUP($B144,'Data shares'!$C:$FB,66)</f>
        <v>54905600</v>
      </c>
      <c r="I144" s="165">
        <f>VLOOKUP($B144,'Data shares'!$C:$FB,67)</f>
        <v>131699200</v>
      </c>
      <c r="J144" s="81">
        <f>(H144-I144)/I144*100</f>
        <v>-58.309845466031682</v>
      </c>
      <c r="K144" s="5">
        <f>VLOOKUP($B144,'Data Vlaue (Cr)'!$C:$FB,99)</f>
        <v>762</v>
      </c>
      <c r="L144" s="81">
        <f>VLOOKUP(B144,'OI(Value)'!$A$7:$C$226,3,0)</f>
        <v>30</v>
      </c>
      <c r="M144" s="33">
        <f t="shared" si="44"/>
        <v>3.9370078740157481</v>
      </c>
      <c r="N144" s="5">
        <f>VLOOKUP($B144,'Data Vlaue (Cr)'!$C:$FB,67)</f>
        <v>430</v>
      </c>
      <c r="O144" s="5">
        <f>VLOOKUP($B144,'Data Vlaue (Cr)'!$C:$FB,68)</f>
        <v>1032</v>
      </c>
      <c r="P144" s="5">
        <f>(N144-O144)/N144*100</f>
        <v>-140</v>
      </c>
      <c r="Q144" s="1"/>
      <c r="R144" s="1"/>
      <c r="S144" s="1"/>
      <c r="T144" s="1"/>
      <c r="U144" s="1"/>
      <c r="V144" s="1"/>
      <c r="W144" s="1"/>
      <c r="X144" s="1"/>
      <c r="Y144" s="1"/>
      <c r="Z144" s="1"/>
      <c r="AA144" s="1"/>
      <c r="AB144" s="1"/>
      <c r="AC144" s="1"/>
      <c r="AD144" s="1"/>
      <c r="AE144" s="1"/>
      <c r="AF144" s="1"/>
      <c r="AG144" s="1"/>
      <c r="AH144" s="1"/>
      <c r="AI144" s="1"/>
      <c r="AJ144" s="1"/>
    </row>
    <row r="145" spans="1:36" x14ac:dyDescent="0.25">
      <c r="A145" s="79" t="str">
        <f>'Data shares'!B140</f>
        <v>Index</v>
      </c>
      <c r="B145" s="79" t="str">
        <f>'Data shares'!C140</f>
        <v>NIFTY</v>
      </c>
      <c r="C145" s="4">
        <f>VLOOKUP($B145,'Data shares'!$C:$FB,7)</f>
        <v>25342.75</v>
      </c>
      <c r="D145" s="82">
        <f>VLOOKUP($B145,'Data shares'!$C:$FB,98)</f>
        <v>345134455</v>
      </c>
      <c r="E145" s="165">
        <f>VLOOKUP(B145,'Snapshot (Volume)'!$A$7:$G$168,7,0)</f>
        <v>256725655</v>
      </c>
      <c r="F145" s="165">
        <f t="shared" ref="F145:F152" si="49">D145-E145</f>
        <v>88408800</v>
      </c>
      <c r="G145" s="166">
        <f t="shared" ref="G145:G153" si="50">F145/E145</f>
        <v>0.3443707252397506</v>
      </c>
      <c r="H145" s="165">
        <f>VLOOKUP($B145,'Data shares'!$C:$FB,66)</f>
        <v>3139393335</v>
      </c>
      <c r="I145" s="165">
        <f>VLOOKUP($B145,'Data shares'!$C:$FB,67)</f>
        <v>26260068900</v>
      </c>
      <c r="J145" s="81">
        <f t="shared" ref="J145:J153" si="51">(H145-I145)/I145*100</f>
        <v>-88.044992010664529</v>
      </c>
      <c r="K145" s="5">
        <f>VLOOKUP($B145,'Data Vlaue (Cr)'!$C:$FB,99)</f>
        <v>878381</v>
      </c>
      <c r="L145" s="81">
        <f>VLOOKUP(B145,'OI(Value)'!$A$7:$C$226,3,0)</f>
        <v>225004</v>
      </c>
      <c r="M145" s="33">
        <f t="shared" ref="M145:M153" si="52">L145/K145*100</f>
        <v>25.615763546798032</v>
      </c>
      <c r="N145" s="5">
        <f>VLOOKUP($B145,'Data Vlaue (Cr)'!$C:$FB,67)</f>
        <v>7989882</v>
      </c>
      <c r="O145" s="5">
        <f>VLOOKUP($B145,'Data Vlaue (Cr)'!$C:$FB,68)</f>
        <v>66832926</v>
      </c>
      <c r="P145" s="5">
        <f t="shared" ref="P145:P152" si="53">(N145-O145)/N145*100</f>
        <v>-736.46949979987198</v>
      </c>
      <c r="Q145" s="1"/>
      <c r="R145" s="1"/>
      <c r="S145" s="1"/>
      <c r="T145" s="1"/>
      <c r="U145" s="1"/>
      <c r="V145" s="1"/>
      <c r="W145" s="1"/>
      <c r="X145" s="1"/>
      <c r="Y145" s="1"/>
      <c r="Z145" s="1"/>
      <c r="AA145" s="1"/>
      <c r="AB145" s="1"/>
      <c r="AC145" s="1"/>
      <c r="AD145" s="1"/>
      <c r="AE145" s="1"/>
      <c r="AF145" s="1"/>
      <c r="AG145" s="1"/>
      <c r="AH145" s="1"/>
      <c r="AI145" s="1"/>
      <c r="AJ145" s="1"/>
    </row>
    <row r="146" spans="1:36" x14ac:dyDescent="0.25">
      <c r="A146" s="79" t="str">
        <f>'Data shares'!B141</f>
        <v>Index</v>
      </c>
      <c r="B146" s="79" t="str">
        <f>'Data shares'!C141</f>
        <v>NIFTYNXT50</v>
      </c>
      <c r="C146" s="4">
        <f>VLOOKUP($B146,'Data shares'!$C:$FB,7)</f>
        <v>68205.649999999994</v>
      </c>
      <c r="D146" s="82">
        <f>VLOOKUP($B146,'Data shares'!$C:$FB,98)</f>
        <v>25325</v>
      </c>
      <c r="E146" s="165">
        <f>VLOOKUP(B146,'Snapshot (Volume)'!$A$7:$G$168,7,0)</f>
        <v>20475</v>
      </c>
      <c r="F146" s="165">
        <f t="shared" si="49"/>
        <v>4850</v>
      </c>
      <c r="G146" s="166">
        <f t="shared" si="50"/>
        <v>0.23687423687423687</v>
      </c>
      <c r="H146" s="165">
        <f>VLOOKUP($B146,'Data shares'!$C:$FB,66)</f>
        <v>23800</v>
      </c>
      <c r="I146" s="165">
        <f>VLOOKUP($B146,'Data shares'!$C:$FB,67)</f>
        <v>409975</v>
      </c>
      <c r="J146" s="81">
        <f t="shared" si="51"/>
        <v>-94.194767973656937</v>
      </c>
      <c r="K146" s="5">
        <f>VLOOKUP($B146,'Data Vlaue (Cr)'!$C:$FB,99)</f>
        <v>173</v>
      </c>
      <c r="L146" s="81">
        <f>VLOOKUP(B146,'OI(Value)'!$A$7:$C$226,3,0)</f>
        <v>33</v>
      </c>
      <c r="M146" s="33">
        <f t="shared" si="52"/>
        <v>19.075144508670519</v>
      </c>
      <c r="N146" s="5">
        <f>VLOOKUP($B146,'Data Vlaue (Cr)'!$C:$FB,67)</f>
        <v>163</v>
      </c>
      <c r="O146" s="5">
        <f>VLOOKUP($B146,'Data Vlaue (Cr)'!$C:$FB,68)</f>
        <v>2804</v>
      </c>
      <c r="P146" s="5">
        <f t="shared" si="53"/>
        <v>-1620.2453987730059</v>
      </c>
      <c r="Q146" s="1"/>
      <c r="R146" s="1"/>
      <c r="S146" s="1"/>
      <c r="T146" s="1"/>
      <c r="U146" s="1"/>
      <c r="V146" s="1"/>
      <c r="W146" s="1"/>
      <c r="X146" s="1"/>
      <c r="Y146" s="1"/>
      <c r="Z146" s="1"/>
      <c r="AA146" s="1"/>
      <c r="AB146" s="1"/>
      <c r="AC146" s="1"/>
      <c r="AD146" s="1"/>
      <c r="AE146" s="1"/>
      <c r="AF146" s="1"/>
      <c r="AG146" s="1"/>
      <c r="AH146" s="1"/>
      <c r="AI146" s="1"/>
      <c r="AJ146" s="1"/>
    </row>
    <row r="147" spans="1:36" x14ac:dyDescent="0.25">
      <c r="A147" s="79" t="str">
        <f>'Data shares'!B142</f>
        <v>Metals</v>
      </c>
      <c r="B147" s="79" t="str">
        <f>'Data shares'!C142</f>
        <v>NMDC</v>
      </c>
      <c r="C147" s="4">
        <f>VLOOKUP($B147,'Data shares'!$C:$FB,7)</f>
        <v>81.52</v>
      </c>
      <c r="D147" s="82">
        <f>VLOOKUP($B147,'Data shares'!$C:$FB,98)</f>
        <v>428834250</v>
      </c>
      <c r="E147" s="165">
        <f>VLOOKUP(B147,'Snapshot (Volume)'!$A$7:$G$168,7,0)</f>
        <v>417035250</v>
      </c>
      <c r="F147" s="165">
        <f t="shared" si="49"/>
        <v>11799000</v>
      </c>
      <c r="G147" s="166">
        <f t="shared" si="50"/>
        <v>2.8292572390463396E-2</v>
      </c>
      <c r="H147" s="165">
        <f>VLOOKUP($B147,'Data shares'!$C:$FB,66)</f>
        <v>177673500</v>
      </c>
      <c r="I147" s="165">
        <f>VLOOKUP($B147,'Data shares'!$C:$FB,67)</f>
        <v>291640500</v>
      </c>
      <c r="J147" s="81">
        <f t="shared" si="51"/>
        <v>-39.077905846410218</v>
      </c>
      <c r="K147" s="5">
        <f>VLOOKUP($B147,'Data Vlaue (Cr)'!$C:$FB,99)</f>
        <v>3503</v>
      </c>
      <c r="L147" s="81">
        <f>VLOOKUP(B147,'OI(Value)'!$A$7:$C$226,3,0)</f>
        <v>96</v>
      </c>
      <c r="M147" s="33">
        <f t="shared" si="52"/>
        <v>2.7405081358835286</v>
      </c>
      <c r="N147" s="5">
        <f>VLOOKUP($B147,'Data Vlaue (Cr)'!$C:$FB,67)</f>
        <v>1451</v>
      </c>
      <c r="O147" s="5">
        <f>VLOOKUP($B147,'Data Vlaue (Cr)'!$C:$FB,68)</f>
        <v>2382</v>
      </c>
      <c r="P147" s="5">
        <f t="shared" si="53"/>
        <v>-64.162646450723642</v>
      </c>
      <c r="Q147" s="1"/>
      <c r="R147" s="1"/>
      <c r="S147" s="1"/>
      <c r="T147" s="1"/>
      <c r="U147" s="1"/>
      <c r="V147" s="1"/>
      <c r="W147" s="1"/>
      <c r="X147" s="1"/>
      <c r="Y147" s="1"/>
      <c r="Z147" s="1"/>
      <c r="AA147" s="1"/>
      <c r="AB147" s="1"/>
      <c r="AC147" s="1"/>
      <c r="AD147" s="1"/>
      <c r="AE147" s="1"/>
      <c r="AF147" s="1"/>
      <c r="AG147" s="1"/>
      <c r="AH147" s="1"/>
      <c r="AI147" s="1"/>
      <c r="AJ147" s="1"/>
    </row>
    <row r="148" spans="1:36" x14ac:dyDescent="0.25">
      <c r="A148" s="79" t="str">
        <f>'Data shares'!B143</f>
        <v>Power</v>
      </c>
      <c r="B148" s="79" t="str">
        <f>'Data shares'!C143</f>
        <v>NTPC</v>
      </c>
      <c r="C148" s="4">
        <f>VLOOKUP($B148,'Data shares'!$C:$FB,7)</f>
        <v>348.05</v>
      </c>
      <c r="D148" s="82">
        <f>VLOOKUP($B148,'Data shares'!$C:$FB,98)</f>
        <v>115327500</v>
      </c>
      <c r="E148" s="165">
        <f>VLOOKUP(B148,'Snapshot (Volume)'!$A$7:$G$168,7,0)</f>
        <v>107226000</v>
      </c>
      <c r="F148" s="165">
        <f t="shared" si="49"/>
        <v>8101500</v>
      </c>
      <c r="G148" s="166">
        <f t="shared" si="50"/>
        <v>7.5555369033629902E-2</v>
      </c>
      <c r="H148" s="165">
        <f>VLOOKUP($B148,'Data shares'!$C:$FB,66)</f>
        <v>80911500</v>
      </c>
      <c r="I148" s="165">
        <f>VLOOKUP($B148,'Data shares'!$C:$FB,67)</f>
        <v>127557000</v>
      </c>
      <c r="J148" s="81">
        <f t="shared" si="51"/>
        <v>-36.568357675392178</v>
      </c>
      <c r="K148" s="5">
        <f>VLOOKUP($B148,'Data Vlaue (Cr)'!$C:$FB,99)</f>
        <v>4008</v>
      </c>
      <c r="L148" s="81">
        <f>VLOOKUP(B148,'OI(Value)'!$A$7:$C$226,3,0)</f>
        <v>282</v>
      </c>
      <c r="M148" s="33">
        <f t="shared" si="52"/>
        <v>7.0359281437125745</v>
      </c>
      <c r="N148" s="5">
        <f>VLOOKUP($B148,'Data Vlaue (Cr)'!$C:$FB,67)</f>
        <v>2812</v>
      </c>
      <c r="O148" s="5">
        <f>VLOOKUP($B148,'Data Vlaue (Cr)'!$C:$FB,68)</f>
        <v>4433</v>
      </c>
      <c r="P148" s="5">
        <f t="shared" si="53"/>
        <v>-57.64580369843528</v>
      </c>
      <c r="Q148" s="1"/>
      <c r="R148" s="1"/>
      <c r="S148" s="1"/>
      <c r="T148" s="1"/>
      <c r="U148" s="1"/>
      <c r="V148" s="1"/>
      <c r="W148" s="1"/>
      <c r="X148" s="1"/>
      <c r="Y148" s="1"/>
      <c r="Z148" s="1"/>
      <c r="AA148" s="1"/>
      <c r="AB148" s="1"/>
      <c r="AC148" s="1"/>
      <c r="AD148" s="1"/>
      <c r="AE148" s="1"/>
      <c r="AF148" s="1"/>
      <c r="AG148" s="1"/>
      <c r="AH148" s="1"/>
      <c r="AI148" s="1"/>
      <c r="AJ148" s="1"/>
    </row>
    <row r="149" spans="1:36" x14ac:dyDescent="0.25">
      <c r="A149" s="79" t="str">
        <f>'Data shares'!B144</f>
        <v>Finance</v>
      </c>
      <c r="B149" s="79" t="str">
        <f>'Data shares'!C144</f>
        <v>NUVAMA</v>
      </c>
      <c r="C149" s="4">
        <f>VLOOKUP($B149,'Data shares'!$C:$FB,7)</f>
        <v>1322.5</v>
      </c>
      <c r="D149" s="82">
        <f>VLOOKUP($B149,'Data shares'!$C:$FB,98)</f>
        <v>3843000</v>
      </c>
      <c r="E149" s="165">
        <f>VLOOKUP(B149,'Snapshot (Volume)'!$A$7:$G$168,7,0)</f>
        <v>3528000</v>
      </c>
      <c r="F149" s="165">
        <f t="shared" si="49"/>
        <v>315000</v>
      </c>
      <c r="G149" s="166">
        <f t="shared" si="50"/>
        <v>8.9285714285714288E-2</v>
      </c>
      <c r="H149" s="165">
        <f>VLOOKUP($B149,'Data shares'!$C:$FB,66)</f>
        <v>4374000</v>
      </c>
      <c r="I149" s="165">
        <f>VLOOKUP($B149,'Data shares'!$C:$FB,67)</f>
        <v>7621000</v>
      </c>
      <c r="J149" s="81">
        <f t="shared" si="51"/>
        <v>-42.605957223461488</v>
      </c>
      <c r="K149" s="5">
        <f>VLOOKUP($B149,'Data Vlaue (Cr)'!$C:$FB,99)</f>
        <v>512</v>
      </c>
      <c r="L149" s="81">
        <f>VLOOKUP(B149,'OI(Value)'!$A$7:$C$226,3,0)</f>
        <v>42</v>
      </c>
      <c r="M149" s="33">
        <f t="shared" si="52"/>
        <v>8.203125</v>
      </c>
      <c r="N149" s="5">
        <f>VLOOKUP($B149,'Data Vlaue (Cr)'!$C:$FB,67)</f>
        <v>583</v>
      </c>
      <c r="O149" s="5">
        <f>VLOOKUP($B149,'Data Vlaue (Cr)'!$C:$FB,68)</f>
        <v>1016</v>
      </c>
      <c r="P149" s="5">
        <f t="shared" si="53"/>
        <v>-74.271012006861056</v>
      </c>
      <c r="Q149" s="1"/>
      <c r="R149" s="1"/>
      <c r="S149" s="1"/>
      <c r="T149" s="1"/>
      <c r="U149" s="1"/>
      <c r="V149" s="1"/>
      <c r="W149" s="1"/>
      <c r="X149" s="1"/>
      <c r="Y149" s="1"/>
      <c r="Z149" s="1"/>
      <c r="AA149" s="1"/>
      <c r="AB149" s="1"/>
      <c r="AC149" s="1"/>
      <c r="AD149" s="1"/>
      <c r="AE149" s="1"/>
      <c r="AF149" s="1"/>
      <c r="AG149" s="1"/>
      <c r="AH149" s="1"/>
      <c r="AI149" s="1"/>
      <c r="AJ149" s="1"/>
    </row>
    <row r="150" spans="1:36" x14ac:dyDescent="0.25">
      <c r="A150" s="79" t="str">
        <f>'Data shares'!B145</f>
        <v>New_Age</v>
      </c>
      <c r="B150" s="79" t="str">
        <f>'Data shares'!C145</f>
        <v>NYKAA</v>
      </c>
      <c r="C150" s="4">
        <f>VLOOKUP($B150,'Data shares'!$C:$FB,7)</f>
        <v>237.2</v>
      </c>
      <c r="D150" s="82">
        <f>VLOOKUP($B150,'Data shares'!$C:$FB,98)</f>
        <v>49581250</v>
      </c>
      <c r="E150" s="165">
        <f>VLOOKUP(B150,'Snapshot (Volume)'!$A$7:$G$168,7,0)</f>
        <v>46912500</v>
      </c>
      <c r="F150" s="165">
        <f t="shared" si="49"/>
        <v>2668750</v>
      </c>
      <c r="G150" s="166">
        <f t="shared" si="50"/>
        <v>5.6887823074873438E-2</v>
      </c>
      <c r="H150" s="165">
        <f>VLOOKUP($B150,'Data shares'!$C:$FB,66)</f>
        <v>14734375</v>
      </c>
      <c r="I150" s="165">
        <f>VLOOKUP($B150,'Data shares'!$C:$FB,67)</f>
        <v>49846875</v>
      </c>
      <c r="J150" s="81">
        <f t="shared" si="51"/>
        <v>-70.440724719453328</v>
      </c>
      <c r="K150" s="5">
        <f>VLOOKUP($B150,'Data Vlaue (Cr)'!$C:$FB,99)</f>
        <v>1184</v>
      </c>
      <c r="L150" s="81">
        <f>VLOOKUP(B150,'OI(Value)'!$A$7:$C$226,3,0)</f>
        <v>64</v>
      </c>
      <c r="M150" s="33">
        <f t="shared" si="52"/>
        <v>5.4054054054054053</v>
      </c>
      <c r="N150" s="5">
        <f>VLOOKUP($B150,'Data Vlaue (Cr)'!$C:$FB,67)</f>
        <v>352</v>
      </c>
      <c r="O150" s="5">
        <f>VLOOKUP($B150,'Data Vlaue (Cr)'!$C:$FB,68)</f>
        <v>1190</v>
      </c>
      <c r="P150" s="5">
        <f t="shared" si="53"/>
        <v>-238.06818181818184</v>
      </c>
      <c r="Q150" s="1"/>
      <c r="R150" s="1"/>
      <c r="S150" s="1"/>
      <c r="T150" s="1"/>
      <c r="U150" s="1"/>
      <c r="V150" s="1"/>
      <c r="W150" s="1"/>
      <c r="X150" s="1"/>
      <c r="Y150" s="1"/>
      <c r="Z150" s="1"/>
      <c r="AA150" s="1"/>
      <c r="AB150" s="1"/>
      <c r="AC150" s="1"/>
      <c r="AD150" s="1"/>
      <c r="AE150" s="1"/>
      <c r="AF150" s="1"/>
      <c r="AG150" s="1"/>
      <c r="AH150" s="1"/>
      <c r="AI150" s="1"/>
      <c r="AJ150" s="1"/>
    </row>
    <row r="151" spans="1:36" x14ac:dyDescent="0.25">
      <c r="A151" s="79" t="str">
        <f>'Data shares'!B146</f>
        <v>Realty</v>
      </c>
      <c r="B151" s="79" t="str">
        <f>'Data shares'!C146</f>
        <v>OBEROIRLTY</v>
      </c>
      <c r="C151" s="4">
        <f>VLOOKUP($B151,'Data shares'!$C:$FB,7)</f>
        <v>1483.2</v>
      </c>
      <c r="D151" s="82">
        <f>VLOOKUP($B151,'Data shares'!$C:$FB,98)</f>
        <v>7218400</v>
      </c>
      <c r="E151" s="165">
        <f>VLOOKUP(B151,'Snapshot (Volume)'!$A$7:$G$168,7,0)</f>
        <v>6707750</v>
      </c>
      <c r="F151" s="165">
        <f t="shared" si="49"/>
        <v>510650</v>
      </c>
      <c r="G151" s="166">
        <f t="shared" si="50"/>
        <v>7.6128358987738065E-2</v>
      </c>
      <c r="H151" s="165">
        <f>VLOOKUP($B151,'Data shares'!$C:$FB,66)</f>
        <v>2671550</v>
      </c>
      <c r="I151" s="165">
        <f>VLOOKUP($B151,'Data shares'!$C:$FB,67)</f>
        <v>6055000</v>
      </c>
      <c r="J151" s="81">
        <f t="shared" si="51"/>
        <v>-55.878612716763008</v>
      </c>
      <c r="K151" s="5">
        <f>VLOOKUP($B151,'Data Vlaue (Cr)'!$C:$FB,99)</f>
        <v>1074</v>
      </c>
      <c r="L151" s="81">
        <f>VLOOKUP(B151,'OI(Value)'!$A$7:$C$226,3,0)</f>
        <v>76</v>
      </c>
      <c r="M151" s="33">
        <f t="shared" si="52"/>
        <v>7.0763500931098688</v>
      </c>
      <c r="N151" s="5">
        <f>VLOOKUP($B151,'Data Vlaue (Cr)'!$C:$FB,67)</f>
        <v>398</v>
      </c>
      <c r="O151" s="5">
        <f>VLOOKUP($B151,'Data Vlaue (Cr)'!$C:$FB,68)</f>
        <v>901</v>
      </c>
      <c r="P151" s="5">
        <f t="shared" si="53"/>
        <v>-126.38190954773869</v>
      </c>
      <c r="Q151" s="1"/>
      <c r="R151" s="1"/>
      <c r="S151" s="1"/>
      <c r="T151" s="1"/>
      <c r="U151" s="1"/>
      <c r="V151" s="1"/>
      <c r="W151" s="1"/>
      <c r="X151" s="1"/>
      <c r="Y151" s="1"/>
      <c r="Z151" s="1"/>
      <c r="AA151" s="1"/>
      <c r="AB151" s="1"/>
      <c r="AC151" s="1"/>
      <c r="AD151" s="1"/>
      <c r="AE151" s="1"/>
      <c r="AF151" s="1"/>
      <c r="AG151" s="1"/>
      <c r="AH151" s="1"/>
      <c r="AI151" s="1"/>
      <c r="AJ151" s="1"/>
    </row>
    <row r="152" spans="1:36" x14ac:dyDescent="0.25">
      <c r="A152" s="79" t="str">
        <f>'Data shares'!B147</f>
        <v>Technology</v>
      </c>
      <c r="B152" s="79" t="str">
        <f>'Data shares'!C147</f>
        <v>OFSS</v>
      </c>
      <c r="C152" s="4">
        <f>VLOOKUP($B152,'Data shares'!$C:$FB,7)</f>
        <v>8012.5</v>
      </c>
      <c r="D152" s="82">
        <f>VLOOKUP($B152,'Data shares'!$C:$FB,98)</f>
        <v>1530825</v>
      </c>
      <c r="E152" s="165">
        <f>VLOOKUP(B152,'Snapshot (Volume)'!$A$7:$G$168,7,0)</f>
        <v>1464075</v>
      </c>
      <c r="F152" s="165">
        <f t="shared" si="49"/>
        <v>66750</v>
      </c>
      <c r="G152" s="166">
        <f t="shared" si="50"/>
        <v>4.5591926643102298E-2</v>
      </c>
      <c r="H152" s="165">
        <f>VLOOKUP($B152,'Data shares'!$C:$FB,66)</f>
        <v>569250</v>
      </c>
      <c r="I152" s="165">
        <f>VLOOKUP($B152,'Data shares'!$C:$FB,67)</f>
        <v>2415675</v>
      </c>
      <c r="J152" s="81">
        <f t="shared" si="51"/>
        <v>-76.43515787512807</v>
      </c>
      <c r="K152" s="5">
        <f>VLOOKUP($B152,'Data Vlaue (Cr)'!$C:$FB,99)</f>
        <v>1234</v>
      </c>
      <c r="L152" s="81">
        <f>VLOOKUP(B152,'OI(Value)'!$A$7:$C$226,3,0)</f>
        <v>54</v>
      </c>
      <c r="M152" s="33">
        <f t="shared" si="52"/>
        <v>4.3760129659643443</v>
      </c>
      <c r="N152" s="5">
        <f>VLOOKUP($B152,'Data Vlaue (Cr)'!$C:$FB,67)</f>
        <v>459</v>
      </c>
      <c r="O152" s="5">
        <f>VLOOKUP($B152,'Data Vlaue (Cr)'!$C:$FB,68)</f>
        <v>1947</v>
      </c>
      <c r="P152" s="5">
        <f t="shared" si="53"/>
        <v>-324.1830065359477</v>
      </c>
      <c r="Q152" s="1"/>
      <c r="R152" s="1"/>
      <c r="S152" s="1"/>
      <c r="T152" s="1"/>
      <c r="U152" s="1"/>
      <c r="V152" s="1"/>
      <c r="W152" s="1"/>
      <c r="X152" s="1"/>
      <c r="Y152" s="1"/>
      <c r="Z152" s="1"/>
      <c r="AA152" s="1"/>
      <c r="AB152" s="1"/>
      <c r="AC152" s="1"/>
      <c r="AD152" s="1"/>
      <c r="AE152" s="1"/>
      <c r="AF152" s="1"/>
      <c r="AG152" s="1"/>
      <c r="AH152" s="1"/>
      <c r="AI152" s="1"/>
      <c r="AJ152" s="1"/>
    </row>
    <row r="153" spans="1:36" x14ac:dyDescent="0.25">
      <c r="A153" s="79" t="str">
        <f>'Data shares'!B148</f>
        <v>Oil_Gas</v>
      </c>
      <c r="B153" s="79" t="str">
        <f>'Data shares'!C148</f>
        <v>OIL</v>
      </c>
      <c r="C153" s="4">
        <f>VLOOKUP($B153,'Data shares'!$C:$FB,7)</f>
        <v>490.5</v>
      </c>
      <c r="D153" s="82">
        <f>VLOOKUP($B153,'Data shares'!$C:$FB,98)</f>
        <v>23265200</v>
      </c>
      <c r="E153" s="165">
        <f>VLOOKUP(B153,'Snapshot (Volume)'!$A$7:$G$168,7,0)</f>
        <v>17031000</v>
      </c>
      <c r="F153" s="165">
        <f>D153-E153</f>
        <v>6234200</v>
      </c>
      <c r="G153" s="166">
        <f t="shared" si="50"/>
        <v>0.36605014385532264</v>
      </c>
      <c r="H153" s="165">
        <f>VLOOKUP($B153,'Data shares'!$C:$FB,66)</f>
        <v>94413200</v>
      </c>
      <c r="I153" s="165">
        <f>VLOOKUP($B153,'Data shares'!$C:$FB,67)</f>
        <v>24861200</v>
      </c>
      <c r="J153" s="81">
        <f t="shared" si="51"/>
        <v>279.7612343732402</v>
      </c>
      <c r="K153" s="5">
        <f>VLOOKUP($B153,'Data Vlaue (Cr)'!$C:$FB,99)</f>
        <v>1141</v>
      </c>
      <c r="L153" s="81">
        <f>VLOOKUP(B153,'OI(Value)'!$A$7:$C$226,3,0)</f>
        <v>306</v>
      </c>
      <c r="M153" s="33">
        <f t="shared" si="52"/>
        <v>26.818580192813325</v>
      </c>
      <c r="N153" s="5">
        <f>VLOOKUP($B153,'Data Vlaue (Cr)'!$C:$FB,67)</f>
        <v>4631</v>
      </c>
      <c r="O153" s="5">
        <f>VLOOKUP($B153,'Data Vlaue (Cr)'!$C:$FB,68)</f>
        <v>1219</v>
      </c>
      <c r="P153" s="5">
        <f>(N153-O153)/N153*100</f>
        <v>73.677391492118332</v>
      </c>
      <c r="Q153" s="1"/>
      <c r="R153" s="1"/>
      <c r="S153" s="1"/>
      <c r="T153" s="1"/>
      <c r="U153" s="1"/>
      <c r="V153" s="1"/>
      <c r="W153" s="1"/>
      <c r="X153" s="1"/>
      <c r="Y153" s="1"/>
      <c r="Z153" s="1"/>
      <c r="AA153" s="1"/>
      <c r="AB153" s="1"/>
      <c r="AC153" s="1"/>
      <c r="AD153" s="1"/>
      <c r="AE153" s="1"/>
      <c r="AF153" s="1"/>
      <c r="AG153" s="1"/>
      <c r="AH153" s="1"/>
      <c r="AI153" s="1"/>
      <c r="AJ153" s="1"/>
    </row>
    <row r="154" spans="1:36" x14ac:dyDescent="0.25">
      <c r="A154" s="79" t="str">
        <f>'Data shares'!B149</f>
        <v>Oil_Gas</v>
      </c>
      <c r="B154" s="79" t="str">
        <f>'Data shares'!C149</f>
        <v>ONGC</v>
      </c>
      <c r="C154" s="4">
        <f>VLOOKUP($B154,'Data shares'!$C:$FB,7)</f>
        <v>268.58</v>
      </c>
      <c r="D154" s="82">
        <f>VLOOKUP($B154,'Data shares'!$C:$FB,98)</f>
        <v>144087750</v>
      </c>
      <c r="E154" s="165">
        <f>VLOOKUP(B154,'Snapshot (Volume)'!$A$7:$G$168,7,0)</f>
        <v>112227750</v>
      </c>
      <c r="F154" s="165">
        <f t="shared" ref="F154:F166" si="54">D154-E154</f>
        <v>31860000</v>
      </c>
      <c r="G154" s="166">
        <f t="shared" ref="G154:G166" si="55">F154/E154</f>
        <v>0.28388700655586518</v>
      </c>
      <c r="H154" s="165">
        <f>VLOOKUP($B154,'Data shares'!$C:$FB,66)</f>
        <v>371331000</v>
      </c>
      <c r="I154" s="165">
        <f>VLOOKUP($B154,'Data shares'!$C:$FB,67)</f>
        <v>238380750</v>
      </c>
      <c r="J154" s="81">
        <f t="shared" ref="J154:J166" si="56">(H154-I154)/I154*100</f>
        <v>55.772225735509259</v>
      </c>
      <c r="K154" s="5">
        <f>VLOOKUP($B154,'Data Vlaue (Cr)'!$C:$FB,99)</f>
        <v>3861</v>
      </c>
      <c r="L154" s="81">
        <f>VLOOKUP(B154,'OI(Value)'!$A$7:$C$226,3,0)</f>
        <v>854</v>
      </c>
      <c r="M154" s="33">
        <f t="shared" ref="M154:M166" si="57">L154/K154*100</f>
        <v>22.11862211862212</v>
      </c>
      <c r="N154" s="5">
        <f>VLOOKUP($B154,'Data Vlaue (Cr)'!$C:$FB,67)</f>
        <v>9950</v>
      </c>
      <c r="O154" s="5">
        <f>VLOOKUP($B154,'Data Vlaue (Cr)'!$C:$FB,68)</f>
        <v>6387</v>
      </c>
      <c r="P154" s="5">
        <f t="shared" ref="P154:P161" si="58">(N154-O154)/N154*100</f>
        <v>35.809045226130657</v>
      </c>
      <c r="Q154" s="1"/>
      <c r="R154" s="1"/>
      <c r="S154" s="1"/>
      <c r="T154" s="1"/>
      <c r="U154" s="1"/>
      <c r="V154" s="1"/>
      <c r="W154" s="1"/>
      <c r="X154" s="1"/>
      <c r="Y154" s="1"/>
      <c r="Z154" s="1"/>
      <c r="AA154" s="1"/>
      <c r="AB154" s="1"/>
      <c r="AC154" s="1"/>
      <c r="AD154" s="1"/>
      <c r="AE154" s="1"/>
      <c r="AF154" s="1"/>
      <c r="AG154" s="1"/>
      <c r="AH154" s="1"/>
      <c r="AI154" s="1"/>
      <c r="AJ154" s="1"/>
    </row>
    <row r="155" spans="1:36" x14ac:dyDescent="0.25">
      <c r="A155" s="79" t="str">
        <f>'Data shares'!B150</f>
        <v>Textile</v>
      </c>
      <c r="B155" s="79" t="str">
        <f>'Data shares'!C150</f>
        <v>PAGEIND</v>
      </c>
      <c r="C155" s="4">
        <f>VLOOKUP($B155,'Data shares'!$C:$FB,7)</f>
        <v>32615</v>
      </c>
      <c r="D155" s="82">
        <f>VLOOKUP($B155,'Data shares'!$C:$FB,98)</f>
        <v>351150</v>
      </c>
      <c r="E155" s="165">
        <f>VLOOKUP(B155,'Snapshot (Volume)'!$A$7:$G$168,7,0)</f>
        <v>333060</v>
      </c>
      <c r="F155" s="165">
        <f t="shared" si="54"/>
        <v>18090</v>
      </c>
      <c r="G155" s="166">
        <f t="shared" si="55"/>
        <v>5.43145379210953E-2</v>
      </c>
      <c r="H155" s="165">
        <f>VLOOKUP($B155,'Data shares'!$C:$FB,66)</f>
        <v>120435</v>
      </c>
      <c r="I155" s="165">
        <f>VLOOKUP($B155,'Data shares'!$C:$FB,67)</f>
        <v>361065</v>
      </c>
      <c r="J155" s="81">
        <f t="shared" si="56"/>
        <v>-66.644509991275811</v>
      </c>
      <c r="K155" s="5">
        <f>VLOOKUP($B155,'Data Vlaue (Cr)'!$C:$FB,99)</f>
        <v>1126</v>
      </c>
      <c r="L155" s="81">
        <f>VLOOKUP(B155,'OI(Value)'!$A$7:$C$226,3,0)</f>
        <v>58</v>
      </c>
      <c r="M155" s="33">
        <f t="shared" si="57"/>
        <v>5.1509769094138544</v>
      </c>
      <c r="N155" s="5">
        <f>VLOOKUP($B155,'Data Vlaue (Cr)'!$C:$FB,67)</f>
        <v>386</v>
      </c>
      <c r="O155" s="5">
        <f>VLOOKUP($B155,'Data Vlaue (Cr)'!$C:$FB,68)</f>
        <v>1158</v>
      </c>
      <c r="P155" s="5">
        <f t="shared" si="58"/>
        <v>-200</v>
      </c>
      <c r="Q155" s="1"/>
      <c r="R155" s="1"/>
      <c r="S155" s="1"/>
      <c r="T155" s="1"/>
      <c r="U155" s="1"/>
      <c r="V155" s="1"/>
      <c r="W155" s="1"/>
      <c r="X155" s="1"/>
      <c r="Y155" s="1"/>
      <c r="Z155" s="1"/>
      <c r="AA155" s="1"/>
      <c r="AB155" s="1"/>
      <c r="AC155" s="1"/>
      <c r="AD155" s="1"/>
      <c r="AE155" s="1"/>
      <c r="AF155" s="1"/>
      <c r="AG155" s="1"/>
      <c r="AH155" s="1"/>
      <c r="AI155" s="1"/>
      <c r="AJ155" s="1"/>
    </row>
    <row r="156" spans="1:36" x14ac:dyDescent="0.25">
      <c r="A156" s="79" t="str">
        <f>'Data shares'!B151</f>
        <v>FMCG</v>
      </c>
      <c r="B156" s="79" t="str">
        <f>'Data shares'!C151</f>
        <v>PATANJALI</v>
      </c>
      <c r="C156" s="4">
        <f>VLOOKUP($B156,'Data shares'!$C:$FB,7)</f>
        <v>505.75</v>
      </c>
      <c r="D156" s="82">
        <f>VLOOKUP($B156,'Data shares'!$C:$FB,98)</f>
        <v>39532500</v>
      </c>
      <c r="E156" s="165">
        <f>VLOOKUP(B156,'Snapshot (Volume)'!$A$7:$G$168,7,0)</f>
        <v>38854800</v>
      </c>
      <c r="F156" s="165">
        <f t="shared" si="54"/>
        <v>677700</v>
      </c>
      <c r="G156" s="166">
        <f t="shared" si="55"/>
        <v>1.7441860465116279E-2</v>
      </c>
      <c r="H156" s="165">
        <f>VLOOKUP($B156,'Data shares'!$C:$FB,66)</f>
        <v>8676000</v>
      </c>
      <c r="I156" s="165">
        <f>VLOOKUP($B156,'Data shares'!$C:$FB,67)</f>
        <v>16218000</v>
      </c>
      <c r="J156" s="81">
        <f t="shared" si="56"/>
        <v>-46.503884572697004</v>
      </c>
      <c r="K156" s="5">
        <f>VLOOKUP($B156,'Data Vlaue (Cr)'!$C:$FB,99)</f>
        <v>2006</v>
      </c>
      <c r="L156" s="81">
        <f>VLOOKUP(B156,'OI(Value)'!$A$7:$C$226,3,0)</f>
        <v>34</v>
      </c>
      <c r="M156" s="33">
        <f t="shared" si="57"/>
        <v>1.6949152542372881</v>
      </c>
      <c r="N156" s="5">
        <f>VLOOKUP($B156,'Data Vlaue (Cr)'!$C:$FB,67)</f>
        <v>440</v>
      </c>
      <c r="O156" s="5">
        <f>VLOOKUP($B156,'Data Vlaue (Cr)'!$C:$FB,68)</f>
        <v>823</v>
      </c>
      <c r="P156" s="5">
        <f t="shared" si="58"/>
        <v>-87.045454545454547</v>
      </c>
      <c r="Q156" s="1"/>
      <c r="R156" s="1"/>
      <c r="S156" s="1"/>
      <c r="T156" s="1"/>
      <c r="U156" s="1"/>
      <c r="V156" s="1"/>
      <c r="W156" s="1"/>
      <c r="X156" s="1"/>
      <c r="Y156" s="1"/>
      <c r="Z156" s="1"/>
      <c r="AA156" s="1"/>
      <c r="AB156" s="1"/>
      <c r="AC156" s="1"/>
      <c r="AD156" s="1"/>
      <c r="AE156" s="1"/>
      <c r="AF156" s="1"/>
      <c r="AG156" s="1"/>
      <c r="AH156" s="1"/>
      <c r="AI156" s="1"/>
      <c r="AJ156" s="1"/>
    </row>
    <row r="157" spans="1:36" x14ac:dyDescent="0.25">
      <c r="A157" s="79" t="str">
        <f>'Data shares'!B152</f>
        <v>New_Age</v>
      </c>
      <c r="B157" s="79" t="str">
        <f>'Data shares'!C152</f>
        <v>PAYTM</v>
      </c>
      <c r="C157" s="4">
        <f>VLOOKUP($B157,'Data shares'!$C:$FB,7)</f>
        <v>1177</v>
      </c>
      <c r="D157" s="82">
        <f>VLOOKUP($B157,'Data shares'!$C:$FB,98)</f>
        <v>27030900</v>
      </c>
      <c r="E157" s="165">
        <f>VLOOKUP(B157,'Snapshot (Volume)'!$A$7:$G$168,7,0)</f>
        <v>25965150</v>
      </c>
      <c r="F157" s="165">
        <f t="shared" si="54"/>
        <v>1065750</v>
      </c>
      <c r="G157" s="166">
        <f t="shared" si="55"/>
        <v>4.1045401239738648E-2</v>
      </c>
      <c r="H157" s="165">
        <f>VLOOKUP($B157,'Data shares'!$C:$FB,66)</f>
        <v>17607350</v>
      </c>
      <c r="I157" s="165">
        <f>VLOOKUP($B157,'Data shares'!$C:$FB,67)</f>
        <v>55388550</v>
      </c>
      <c r="J157" s="81">
        <f t="shared" si="56"/>
        <v>-68.211209717531872</v>
      </c>
      <c r="K157" s="5">
        <f>VLOOKUP($B157,'Data Vlaue (Cr)'!$C:$FB,99)</f>
        <v>3202</v>
      </c>
      <c r="L157" s="81">
        <f>VLOOKUP(B157,'OI(Value)'!$A$7:$C$226,3,0)</f>
        <v>126</v>
      </c>
      <c r="M157" s="33">
        <f t="shared" si="57"/>
        <v>3.9350405996252342</v>
      </c>
      <c r="N157" s="5">
        <f>VLOOKUP($B157,'Data Vlaue (Cr)'!$C:$FB,67)</f>
        <v>2086</v>
      </c>
      <c r="O157" s="5">
        <f>VLOOKUP($B157,'Data Vlaue (Cr)'!$C:$FB,68)</f>
        <v>6562</v>
      </c>
      <c r="P157" s="5">
        <f t="shared" si="58"/>
        <v>-214.57334611697027</v>
      </c>
      <c r="Q157" s="1"/>
      <c r="R157" s="1"/>
      <c r="S157" s="1"/>
      <c r="T157" s="1"/>
      <c r="U157" s="1"/>
      <c r="V157" s="1"/>
      <c r="W157" s="1"/>
      <c r="X157" s="1"/>
      <c r="Y157" s="1"/>
      <c r="Z157" s="1"/>
      <c r="AA157" s="1"/>
      <c r="AB157" s="1"/>
      <c r="AC157" s="1"/>
      <c r="AD157" s="1"/>
      <c r="AE157" s="1"/>
      <c r="AF157" s="1"/>
      <c r="AG157" s="1"/>
      <c r="AH157" s="1"/>
      <c r="AI157" s="1"/>
      <c r="AJ157" s="1"/>
    </row>
    <row r="158" spans="1:36" x14ac:dyDescent="0.25">
      <c r="A158" s="79" t="str">
        <f>'Data shares'!B153</f>
        <v>Technology</v>
      </c>
      <c r="B158" s="79" t="str">
        <f>'Data shares'!C153</f>
        <v>PERSISTENT</v>
      </c>
      <c r="C158" s="4">
        <f>VLOOKUP($B158,'Data shares'!$C:$FB,7)</f>
        <v>6213</v>
      </c>
      <c r="D158" s="82">
        <f>VLOOKUP($B158,'Data shares'!$C:$FB,98)</f>
        <v>2863300</v>
      </c>
      <c r="E158" s="165">
        <f>VLOOKUP(B158,'Snapshot (Volume)'!$A$7:$G$168,7,0)</f>
        <v>2583200</v>
      </c>
      <c r="F158" s="165">
        <f t="shared" si="54"/>
        <v>280100</v>
      </c>
      <c r="G158" s="166">
        <f t="shared" si="55"/>
        <v>0.108431402911118</v>
      </c>
      <c r="H158" s="165">
        <f>VLOOKUP($B158,'Data shares'!$C:$FB,66)</f>
        <v>2584000</v>
      </c>
      <c r="I158" s="165">
        <f>VLOOKUP($B158,'Data shares'!$C:$FB,67)</f>
        <v>4157900</v>
      </c>
      <c r="J158" s="81">
        <f t="shared" si="56"/>
        <v>-37.853243223742759</v>
      </c>
      <c r="K158" s="5">
        <f>VLOOKUP($B158,'Data Vlaue (Cr)'!$C:$FB,99)</f>
        <v>1785</v>
      </c>
      <c r="L158" s="81">
        <f>VLOOKUP(B158,'OI(Value)'!$A$7:$C$226,3,0)</f>
        <v>175</v>
      </c>
      <c r="M158" s="33">
        <f t="shared" si="57"/>
        <v>9.8039215686274517</v>
      </c>
      <c r="N158" s="5">
        <f>VLOOKUP($B158,'Data Vlaue (Cr)'!$C:$FB,67)</f>
        <v>1611</v>
      </c>
      <c r="O158" s="5">
        <f>VLOOKUP($B158,'Data Vlaue (Cr)'!$C:$FB,68)</f>
        <v>2593</v>
      </c>
      <c r="P158" s="5">
        <f t="shared" si="58"/>
        <v>-60.955927995034145</v>
      </c>
      <c r="Q158" s="1"/>
      <c r="R158" s="1"/>
      <c r="S158" s="1"/>
      <c r="T158" s="1"/>
      <c r="U158" s="1"/>
      <c r="V158" s="1"/>
      <c r="W158" s="1"/>
      <c r="X158" s="1"/>
      <c r="Y158" s="1"/>
      <c r="Z158" s="1"/>
      <c r="AA158" s="1"/>
      <c r="AB158" s="1"/>
      <c r="AC158" s="1"/>
      <c r="AD158" s="1"/>
      <c r="AE158" s="1"/>
      <c r="AF158" s="1"/>
      <c r="AG158" s="1"/>
      <c r="AH158" s="1"/>
      <c r="AI158" s="1"/>
      <c r="AJ158" s="1"/>
    </row>
    <row r="159" spans="1:36" x14ac:dyDescent="0.25">
      <c r="A159" s="79" t="str">
        <f>'Data shares'!B154</f>
        <v>Oil_Gas</v>
      </c>
      <c r="B159" s="79" t="str">
        <f>'Data shares'!C154</f>
        <v>PETRONET</v>
      </c>
      <c r="C159" s="4">
        <f>VLOOKUP($B159,'Data shares'!$C:$FB,7)</f>
        <v>290.64999999999998</v>
      </c>
      <c r="D159" s="82">
        <f>VLOOKUP($B159,'Data shares'!$C:$FB,98)</f>
        <v>60496000</v>
      </c>
      <c r="E159" s="165">
        <f>VLOOKUP(B159,'Snapshot (Volume)'!$A$7:$G$168,7,0)</f>
        <v>55445800</v>
      </c>
      <c r="F159" s="165">
        <f t="shared" si="54"/>
        <v>5050200</v>
      </c>
      <c r="G159" s="166">
        <f t="shared" si="55"/>
        <v>9.1083544650812143E-2</v>
      </c>
      <c r="H159" s="165">
        <f>VLOOKUP($B159,'Data shares'!$C:$FB,66)</f>
        <v>39124800</v>
      </c>
      <c r="I159" s="165">
        <f>VLOOKUP($B159,'Data shares'!$C:$FB,67)</f>
        <v>75525000</v>
      </c>
      <c r="J159" s="81">
        <f t="shared" si="56"/>
        <v>-48.196226415094337</v>
      </c>
      <c r="K159" s="5">
        <f>VLOOKUP($B159,'Data Vlaue (Cr)'!$C:$FB,99)</f>
        <v>1770</v>
      </c>
      <c r="L159" s="81">
        <f>VLOOKUP(B159,'OI(Value)'!$A$7:$C$226,3,0)</f>
        <v>148</v>
      </c>
      <c r="M159" s="33">
        <f t="shared" si="57"/>
        <v>8.361581920903955</v>
      </c>
      <c r="N159" s="5">
        <f>VLOOKUP($B159,'Data Vlaue (Cr)'!$C:$FB,67)</f>
        <v>1145</v>
      </c>
      <c r="O159" s="5">
        <f>VLOOKUP($B159,'Data Vlaue (Cr)'!$C:$FB,68)</f>
        <v>2210</v>
      </c>
      <c r="P159" s="5">
        <f t="shared" si="58"/>
        <v>-93.013100436681214</v>
      </c>
      <c r="Q159" s="1"/>
      <c r="R159" s="1"/>
      <c r="S159" s="1"/>
      <c r="T159" s="1"/>
      <c r="U159" s="1"/>
      <c r="V159" s="1"/>
      <c r="W159" s="1"/>
      <c r="X159" s="1"/>
      <c r="Y159" s="1"/>
      <c r="Z159" s="1"/>
      <c r="AA159" s="1"/>
      <c r="AB159" s="1"/>
      <c r="AC159" s="1"/>
      <c r="AD159" s="1"/>
      <c r="AE159" s="1"/>
      <c r="AF159" s="1"/>
      <c r="AG159" s="1"/>
      <c r="AH159" s="1"/>
      <c r="AI159" s="1"/>
      <c r="AJ159" s="1"/>
    </row>
    <row r="160" spans="1:36" x14ac:dyDescent="0.25">
      <c r="A160" s="79" t="str">
        <f>'Data shares'!B155</f>
        <v>Finance</v>
      </c>
      <c r="B160" s="79" t="str">
        <f>'Data shares'!C155</f>
        <v>PFC</v>
      </c>
      <c r="C160" s="4">
        <f>VLOOKUP($B160,'Data shares'!$C:$FB,7)</f>
        <v>383.05</v>
      </c>
      <c r="D160" s="82">
        <f>VLOOKUP($B160,'Data shares'!$C:$FB,98)</f>
        <v>95925700</v>
      </c>
      <c r="E160" s="165">
        <f>VLOOKUP(B160,'Snapshot (Volume)'!$A$7:$G$168,7,0)</f>
        <v>92010100</v>
      </c>
      <c r="F160" s="165">
        <f t="shared" si="54"/>
        <v>3915600</v>
      </c>
      <c r="G160" s="166">
        <f t="shared" si="55"/>
        <v>4.255619763482487E-2</v>
      </c>
      <c r="H160" s="165">
        <f>VLOOKUP($B160,'Data shares'!$C:$FB,66)</f>
        <v>67899000</v>
      </c>
      <c r="I160" s="165">
        <f>VLOOKUP($B160,'Data shares'!$C:$FB,67)</f>
        <v>101805600</v>
      </c>
      <c r="J160" s="81">
        <f t="shared" si="56"/>
        <v>-33.305240576156905</v>
      </c>
      <c r="K160" s="5">
        <f>VLOOKUP($B160,'Data Vlaue (Cr)'!$C:$FB,99)</f>
        <v>3669</v>
      </c>
      <c r="L160" s="81">
        <f>VLOOKUP(B160,'OI(Value)'!$A$7:$C$226,3,0)</f>
        <v>150</v>
      </c>
      <c r="M160" s="33">
        <f t="shared" si="57"/>
        <v>4.0883074407195421</v>
      </c>
      <c r="N160" s="5">
        <f>VLOOKUP($B160,'Data Vlaue (Cr)'!$C:$FB,67)</f>
        <v>2597</v>
      </c>
      <c r="O160" s="5">
        <f>VLOOKUP($B160,'Data Vlaue (Cr)'!$C:$FB,68)</f>
        <v>3894</v>
      </c>
      <c r="P160" s="5">
        <f t="shared" si="58"/>
        <v>-49.942241047362337</v>
      </c>
      <c r="Q160" s="1"/>
      <c r="R160" s="1"/>
      <c r="S160" s="1"/>
      <c r="T160" s="1"/>
      <c r="U160" s="1"/>
      <c r="V160" s="1"/>
      <c r="W160" s="1"/>
      <c r="X160" s="1"/>
      <c r="Y160" s="1"/>
      <c r="Z160" s="1"/>
      <c r="AA160" s="1"/>
      <c r="AB160" s="1"/>
      <c r="AC160" s="1"/>
      <c r="AD160" s="1"/>
      <c r="AE160" s="1"/>
      <c r="AF160" s="1"/>
      <c r="AG160" s="1"/>
      <c r="AH160" s="1"/>
      <c r="AI160" s="1"/>
      <c r="AJ160" s="1"/>
    </row>
    <row r="161" spans="1:36" x14ac:dyDescent="0.25">
      <c r="A161" s="79" t="str">
        <f>'Data shares'!B156</f>
        <v>Capital_Goods</v>
      </c>
      <c r="B161" s="79" t="str">
        <f>'Data shares'!C156</f>
        <v>PGEL</v>
      </c>
      <c r="C161" s="4">
        <f>VLOOKUP($B161,'Data shares'!$C:$FB,7)</f>
        <v>540.04999999999995</v>
      </c>
      <c r="D161" s="82">
        <f>VLOOKUP($B161,'Data shares'!$C:$FB,98)</f>
        <v>16932800</v>
      </c>
      <c r="E161" s="165">
        <f>VLOOKUP(B161,'Snapshot (Volume)'!$A$7:$G$168,7,0)</f>
        <v>15970450</v>
      </c>
      <c r="F161" s="165">
        <f t="shared" si="54"/>
        <v>962350</v>
      </c>
      <c r="G161" s="166">
        <f t="shared" si="55"/>
        <v>6.0258164297186369E-2</v>
      </c>
      <c r="H161" s="165">
        <f>VLOOKUP($B161,'Data shares'!$C:$FB,66)</f>
        <v>8330550</v>
      </c>
      <c r="I161" s="165">
        <f>VLOOKUP($B161,'Data shares'!$C:$FB,67)</f>
        <v>19988000</v>
      </c>
      <c r="J161" s="81">
        <f t="shared" si="56"/>
        <v>-58.32224334600761</v>
      </c>
      <c r="K161" s="5">
        <f>VLOOKUP($B161,'Data Vlaue (Cr)'!$C:$FB,99)</f>
        <v>921</v>
      </c>
      <c r="L161" s="81">
        <f>VLOOKUP(B161,'OI(Value)'!$A$7:$C$226,3,0)</f>
        <v>52</v>
      </c>
      <c r="M161" s="33">
        <f t="shared" si="57"/>
        <v>5.6460369163952224</v>
      </c>
      <c r="N161" s="5">
        <f>VLOOKUP($B161,'Data Vlaue (Cr)'!$C:$FB,67)</f>
        <v>453</v>
      </c>
      <c r="O161" s="5">
        <f>VLOOKUP($B161,'Data Vlaue (Cr)'!$C:$FB,68)</f>
        <v>1088</v>
      </c>
      <c r="P161" s="5">
        <f t="shared" si="58"/>
        <v>-140.17660044150111</v>
      </c>
      <c r="Q161" s="1"/>
      <c r="R161" s="1"/>
      <c r="S161" s="1"/>
      <c r="T161" s="1"/>
      <c r="U161" s="1"/>
      <c r="V161" s="1"/>
      <c r="W161" s="1"/>
      <c r="X161" s="1"/>
      <c r="Y161" s="1"/>
      <c r="Z161" s="1"/>
      <c r="AA161" s="1"/>
      <c r="AB161" s="1"/>
      <c r="AC161" s="1"/>
      <c r="AD161" s="1"/>
      <c r="AE161" s="1"/>
      <c r="AF161" s="1"/>
      <c r="AG161" s="1"/>
      <c r="AH161" s="1"/>
      <c r="AI161" s="1"/>
      <c r="AJ161" s="1"/>
    </row>
    <row r="162" spans="1:36" x14ac:dyDescent="0.25">
      <c r="A162" s="79" t="str">
        <f>'Data shares'!B157</f>
        <v>Realty</v>
      </c>
      <c r="B162" s="79" t="str">
        <f>'Data shares'!C157</f>
        <v>PHOENIXLTD</v>
      </c>
      <c r="C162" s="4">
        <f>VLOOKUP($B162,'Data shares'!$C:$FB,7)</f>
        <v>1726.2</v>
      </c>
      <c r="D162" s="82">
        <f>VLOOKUP($B162,'Data shares'!$C:$FB,98)</f>
        <v>5003600</v>
      </c>
      <c r="E162" s="165">
        <f>VLOOKUP(B162,'Snapshot (Volume)'!$A$7:$G$168,7,0)</f>
        <v>4485250</v>
      </c>
      <c r="F162" s="165">
        <f t="shared" si="54"/>
        <v>518350</v>
      </c>
      <c r="G162" s="166">
        <f t="shared" si="55"/>
        <v>0.11556769410846664</v>
      </c>
      <c r="H162" s="165">
        <f>VLOOKUP($B162,'Data shares'!$C:$FB,66)</f>
        <v>2615900</v>
      </c>
      <c r="I162" s="165">
        <f>VLOOKUP($B162,'Data shares'!$C:$FB,67)</f>
        <v>3652600</v>
      </c>
      <c r="J162" s="81">
        <f t="shared" si="56"/>
        <v>-28.382522039095438</v>
      </c>
      <c r="K162" s="5">
        <f>VLOOKUP($B162,'Data Vlaue (Cr)'!$C:$FB,99)</f>
        <v>869</v>
      </c>
      <c r="L162" s="81">
        <f>VLOOKUP(B162,'OI(Value)'!$A$7:$C$226,3,0)</f>
        <v>90</v>
      </c>
      <c r="M162" s="33">
        <f t="shared" si="57"/>
        <v>10.356731875719218</v>
      </c>
      <c r="N162" s="5">
        <f>VLOOKUP($B162,'Data Vlaue (Cr)'!$C:$FB,67)</f>
        <v>454</v>
      </c>
      <c r="O162" s="5">
        <f>VLOOKUP($B162,'Data Vlaue (Cr)'!$C:$FB,68)</f>
        <v>634</v>
      </c>
      <c r="P162" s="5">
        <f>(N162-O162)/N162*100</f>
        <v>-39.647577092511014</v>
      </c>
      <c r="Q162" s="1"/>
      <c r="R162" s="1"/>
      <c r="S162" s="1"/>
      <c r="T162" s="1"/>
      <c r="U162" s="1"/>
      <c r="V162" s="1"/>
      <c r="W162" s="1"/>
      <c r="X162" s="1"/>
      <c r="Y162" s="1"/>
      <c r="Z162" s="1"/>
      <c r="AA162" s="1"/>
      <c r="AB162" s="1"/>
      <c r="AC162" s="1"/>
      <c r="AD162" s="1"/>
      <c r="AE162" s="1"/>
      <c r="AF162" s="1"/>
      <c r="AG162" s="1"/>
      <c r="AH162" s="1"/>
      <c r="AI162" s="1"/>
      <c r="AJ162" s="1"/>
    </row>
    <row r="163" spans="1:36" x14ac:dyDescent="0.25">
      <c r="A163" s="79" t="str">
        <f>'Data shares'!B158</f>
        <v>FMCG</v>
      </c>
      <c r="B163" s="79" t="str">
        <f>'Data shares'!C158</f>
        <v>PIDILITIND</v>
      </c>
      <c r="C163" s="4">
        <f>VLOOKUP($B163,'Data shares'!$C:$FB,7)</f>
        <v>1460.7</v>
      </c>
      <c r="D163" s="82">
        <f>VLOOKUP($B163,'Data shares'!$C:$FB,98)</f>
        <v>10018500</v>
      </c>
      <c r="E163" s="165">
        <f>VLOOKUP(B163,'Snapshot (Volume)'!$A$7:$G$168,7,0)</f>
        <v>9207500</v>
      </c>
      <c r="F163" s="165">
        <f t="shared" si="54"/>
        <v>811000</v>
      </c>
      <c r="G163" s="166">
        <f t="shared" si="55"/>
        <v>8.8080369264186803E-2</v>
      </c>
      <c r="H163" s="165">
        <f>VLOOKUP($B163,'Data shares'!$C:$FB,66)</f>
        <v>6596500</v>
      </c>
      <c r="I163" s="165">
        <f>VLOOKUP($B163,'Data shares'!$C:$FB,67)</f>
        <v>5130000</v>
      </c>
      <c r="J163" s="81">
        <f t="shared" si="56"/>
        <v>28.586744639376217</v>
      </c>
      <c r="K163" s="5">
        <f>VLOOKUP($B163,'Data Vlaue (Cr)'!$C:$FB,99)</f>
        <v>1472</v>
      </c>
      <c r="L163" s="81">
        <f>VLOOKUP(B163,'OI(Value)'!$A$7:$C$226,3,0)</f>
        <v>119</v>
      </c>
      <c r="M163" s="33">
        <f t="shared" si="57"/>
        <v>8.0842391304347831</v>
      </c>
      <c r="N163" s="5">
        <f>VLOOKUP($B163,'Data Vlaue (Cr)'!$C:$FB,67)</f>
        <v>969</v>
      </c>
      <c r="O163" s="5">
        <f>VLOOKUP($B163,'Data Vlaue (Cr)'!$C:$FB,68)</f>
        <v>754</v>
      </c>
      <c r="P163" s="5">
        <f>(N163-O163)/N163*100</f>
        <v>22.187822497420022</v>
      </c>
      <c r="Q163" s="1"/>
      <c r="R163" s="1"/>
      <c r="S163" s="1"/>
      <c r="T163" s="1"/>
      <c r="U163" s="1"/>
      <c r="V163" s="1"/>
      <c r="W163" s="1"/>
      <c r="X163" s="1"/>
      <c r="Y163" s="1"/>
      <c r="Z163" s="1"/>
      <c r="AA163" s="1"/>
      <c r="AB163" s="1"/>
      <c r="AC163" s="1"/>
      <c r="AD163" s="1"/>
      <c r="AE163" s="1"/>
      <c r="AF163" s="1"/>
      <c r="AG163" s="1"/>
      <c r="AH163" s="1"/>
      <c r="AI163" s="1"/>
      <c r="AJ163" s="1"/>
    </row>
    <row r="164" spans="1:36" x14ac:dyDescent="0.25">
      <c r="A164" s="79" t="str">
        <f>'Data shares'!B159</f>
        <v>Chemicals</v>
      </c>
      <c r="B164" s="79" t="str">
        <f>'Data shares'!C159</f>
        <v>PIIND</v>
      </c>
      <c r="C164" s="4">
        <f>VLOOKUP($B164,'Data shares'!$C:$FB,7)</f>
        <v>3220.8</v>
      </c>
      <c r="D164" s="82">
        <f>VLOOKUP($B164,'Data shares'!$C:$FB,98)</f>
        <v>3244850</v>
      </c>
      <c r="E164" s="165">
        <f>VLOOKUP(B164,'Snapshot (Volume)'!$A$7:$G$168,7,0)</f>
        <v>3006325</v>
      </c>
      <c r="F164" s="165">
        <f t="shared" si="54"/>
        <v>238525</v>
      </c>
      <c r="G164" s="166">
        <f t="shared" si="55"/>
        <v>7.9341055940392341E-2</v>
      </c>
      <c r="H164" s="165">
        <f>VLOOKUP($B164,'Data shares'!$C:$FB,66)</f>
        <v>856975</v>
      </c>
      <c r="I164" s="165">
        <f>VLOOKUP($B164,'Data shares'!$C:$FB,67)</f>
        <v>1752975</v>
      </c>
      <c r="J164" s="81">
        <f t="shared" si="56"/>
        <v>-51.113107716881302</v>
      </c>
      <c r="K164" s="5">
        <f>VLOOKUP($B164,'Data Vlaue (Cr)'!$C:$FB,99)</f>
        <v>1044</v>
      </c>
      <c r="L164" s="81">
        <f>VLOOKUP(B164,'OI(Value)'!$A$7:$C$226,3,0)</f>
        <v>77</v>
      </c>
      <c r="M164" s="33">
        <f t="shared" si="57"/>
        <v>7.3754789272030647</v>
      </c>
      <c r="N164" s="5">
        <f>VLOOKUP($B164,'Data Vlaue (Cr)'!$C:$FB,67)</f>
        <v>276</v>
      </c>
      <c r="O164" s="5">
        <f>VLOOKUP($B164,'Data Vlaue (Cr)'!$C:$FB,68)</f>
        <v>564</v>
      </c>
      <c r="P164" s="5">
        <f>(N164-O164)/N164*100</f>
        <v>-104.34782608695652</v>
      </c>
      <c r="Q164" s="1"/>
      <c r="R164" s="1"/>
      <c r="S164" s="1"/>
      <c r="T164" s="1"/>
      <c r="U164" s="1"/>
      <c r="V164" s="1"/>
      <c r="W164" s="1"/>
      <c r="X164" s="1"/>
      <c r="Y164" s="1"/>
      <c r="Z164" s="1"/>
      <c r="AA164" s="1"/>
      <c r="AB164" s="1"/>
      <c r="AC164" s="1"/>
      <c r="AD164" s="1"/>
      <c r="AE164" s="1"/>
      <c r="AF164" s="1"/>
      <c r="AG164" s="1"/>
      <c r="AH164" s="1"/>
      <c r="AI164" s="1"/>
      <c r="AJ164" s="1"/>
    </row>
    <row r="165" spans="1:36" x14ac:dyDescent="0.25">
      <c r="A165" s="79" t="e">
        <f>'Data shares'!#REF!</f>
        <v>#REF!</v>
      </c>
      <c r="B165" s="79" t="e">
        <f>'Data shares'!#REF!</f>
        <v>#REF!</v>
      </c>
      <c r="C165" s="4" t="e">
        <f>VLOOKUP($B165,'Data shares'!$C:$FB,7)</f>
        <v>#REF!</v>
      </c>
      <c r="D165" s="82" t="e">
        <f>VLOOKUP($B165,'Data shares'!$C:$FB,98)</f>
        <v>#REF!</v>
      </c>
      <c r="E165" s="165" t="e">
        <f>VLOOKUP(B165,'Snapshot (Volume)'!$A$7:$G$168,7,0)</f>
        <v>#REF!</v>
      </c>
      <c r="F165" s="165" t="e">
        <f t="shared" si="54"/>
        <v>#REF!</v>
      </c>
      <c r="G165" s="166" t="e">
        <f t="shared" si="55"/>
        <v>#REF!</v>
      </c>
      <c r="H165" s="165" t="e">
        <f>VLOOKUP($B165,'Data shares'!$C:$FB,66)</f>
        <v>#REF!</v>
      </c>
      <c r="I165" s="165" t="e">
        <f>VLOOKUP($B165,'Data shares'!$C:$FB,67)</f>
        <v>#REF!</v>
      </c>
      <c r="J165" s="81" t="e">
        <f t="shared" si="56"/>
        <v>#REF!</v>
      </c>
      <c r="K165" s="5" t="e">
        <f>VLOOKUP($B165,'Data Vlaue (Cr)'!$C:$FB,99)</f>
        <v>#REF!</v>
      </c>
      <c r="L165" s="81" t="e">
        <f>VLOOKUP(B165,'OI(Value)'!$A$7:$C$226,3,0)</f>
        <v>#REF!</v>
      </c>
      <c r="M165" s="33" t="e">
        <f t="shared" si="57"/>
        <v>#REF!</v>
      </c>
      <c r="N165" s="5" t="e">
        <f>VLOOKUP($B165,'Data Vlaue (Cr)'!$C:$FB,67)</f>
        <v>#REF!</v>
      </c>
      <c r="O165" s="5" t="e">
        <f>VLOOKUP($B165,'Data Vlaue (Cr)'!$C:$FB,68)</f>
        <v>#REF!</v>
      </c>
      <c r="P165" s="5" t="e">
        <f>(N165-O165)/N165*100</f>
        <v>#REF!</v>
      </c>
      <c r="Q165" s="1"/>
      <c r="R165" s="1"/>
      <c r="S165" s="1"/>
      <c r="T165" s="1"/>
      <c r="U165" s="1"/>
      <c r="V165" s="1"/>
      <c r="W165" s="1"/>
      <c r="X165" s="1"/>
      <c r="Y165" s="1"/>
      <c r="Z165" s="1"/>
      <c r="AA165" s="1"/>
      <c r="AB165" s="1"/>
      <c r="AC165" s="1"/>
      <c r="AD165" s="1"/>
      <c r="AE165" s="1"/>
      <c r="AF165" s="1"/>
      <c r="AG165" s="1"/>
      <c r="AH165" s="1"/>
      <c r="AI165" s="1"/>
      <c r="AJ165" s="1"/>
    </row>
    <row r="166" spans="1:36" x14ac:dyDescent="0.25">
      <c r="A166" s="79" t="str">
        <f>'Data shares'!B214</f>
        <v>Pharma</v>
      </c>
      <c r="B166" s="79" t="str">
        <f>'Data shares'!C214</f>
        <v>ZYDUSLIFE</v>
      </c>
      <c r="C166" s="4">
        <f>VLOOKUP($B166,'Data shares'!$C:$FB,7)</f>
        <v>896.9</v>
      </c>
      <c r="D166" s="82">
        <f>VLOOKUP($B166,'Data shares'!$C:$FB,98)</f>
        <v>11517300</v>
      </c>
      <c r="E166" s="165" t="e">
        <f>VLOOKUP(B166,'Snapshot (Volume)'!$A$7:$G$168,7,0)</f>
        <v>#N/A</v>
      </c>
      <c r="F166" s="165" t="e">
        <f t="shared" si="54"/>
        <v>#N/A</v>
      </c>
      <c r="G166" s="166" t="e">
        <f t="shared" si="55"/>
        <v>#N/A</v>
      </c>
      <c r="H166" s="165">
        <f>VLOOKUP($B166,'Data shares'!$C:$FB,66)</f>
        <v>3133800</v>
      </c>
      <c r="I166" s="165">
        <f>VLOOKUP($B166,'Data shares'!$C:$FB,67)</f>
        <v>11642400</v>
      </c>
      <c r="J166" s="81">
        <f t="shared" si="56"/>
        <v>-73.082869511440947</v>
      </c>
      <c r="K166" s="5">
        <f>VLOOKUP($B166,'Data Vlaue (Cr)'!$C:$FB,99)</f>
        <v>1037</v>
      </c>
      <c r="L166" s="81">
        <f>VLOOKUP(B166,'OI(Value)'!$A$7:$C$226,3,0)</f>
        <v>51</v>
      </c>
      <c r="M166" s="33">
        <f t="shared" si="57"/>
        <v>4.918032786885246</v>
      </c>
      <c r="N166" s="5">
        <f>VLOOKUP($B166,'Data Vlaue (Cr)'!$C:$FB,67)</f>
        <v>282</v>
      </c>
      <c r="O166" s="5">
        <f>VLOOKUP($B166,'Data Vlaue (Cr)'!$C:$FB,68)</f>
        <v>1048</v>
      </c>
      <c r="P166" s="5">
        <f>(N166-O166)/N166*100</f>
        <v>-271.63120567375887</v>
      </c>
      <c r="Q166" s="1"/>
      <c r="R166" s="1"/>
      <c r="S166" s="1"/>
      <c r="T166" s="1"/>
      <c r="U166" s="1"/>
      <c r="V166" s="1"/>
      <c r="W166" s="1"/>
      <c r="X166" s="1"/>
      <c r="Y166" s="1"/>
      <c r="Z166" s="1"/>
      <c r="AA166" s="1"/>
      <c r="AB166" s="1"/>
      <c r="AC166" s="1"/>
      <c r="AD166" s="1"/>
      <c r="AE166" s="1"/>
      <c r="AF166" s="1"/>
      <c r="AG166" s="1"/>
      <c r="AH166" s="1"/>
      <c r="AI166" s="1"/>
      <c r="AJ166" s="1"/>
    </row>
    <row r="167" spans="1:36" x14ac:dyDescent="0.25">
      <c r="A167" s="4"/>
      <c r="B167" s="4"/>
      <c r="C167" s="4"/>
      <c r="D167" s="82"/>
      <c r="E167" s="82"/>
      <c r="F167" s="82"/>
      <c r="G167" s="5"/>
      <c r="H167" s="83"/>
      <c r="I167" s="83"/>
      <c r="J167" s="5"/>
      <c r="K167" s="5"/>
      <c r="L167" s="5"/>
      <c r="M167" s="33"/>
      <c r="N167" s="5"/>
      <c r="O167" s="5"/>
      <c r="P167" s="5"/>
      <c r="Q167" s="1"/>
      <c r="R167" s="1"/>
      <c r="S167" s="1"/>
      <c r="T167" s="1"/>
      <c r="U167" s="1"/>
      <c r="V167" s="1"/>
      <c r="W167" s="1"/>
      <c r="X167" s="1"/>
      <c r="Y167" s="1"/>
      <c r="Z167" s="1"/>
      <c r="AA167" s="1"/>
      <c r="AB167" s="1"/>
      <c r="AC167" s="1"/>
      <c r="AD167" s="1"/>
      <c r="AE167" s="1"/>
      <c r="AF167" s="1"/>
      <c r="AG167" s="1"/>
      <c r="AH167" s="1"/>
      <c r="AI167" s="1"/>
      <c r="AJ167" s="1"/>
    </row>
    <row r="168" spans="1:36" x14ac:dyDescent="0.25">
      <c r="A168" s="4"/>
      <c r="B168" s="4"/>
      <c r="C168" s="4"/>
      <c r="D168" s="82"/>
      <c r="E168" s="82"/>
      <c r="F168" s="82"/>
      <c r="G168" s="5"/>
      <c r="H168" s="83"/>
      <c r="I168" s="83"/>
      <c r="J168" s="5"/>
      <c r="K168" s="5"/>
      <c r="L168" s="5"/>
      <c r="M168" s="33"/>
      <c r="N168" s="5"/>
      <c r="O168" s="5"/>
      <c r="P168" s="5"/>
      <c r="Q168" s="1"/>
      <c r="R168" s="1"/>
      <c r="S168" s="1"/>
      <c r="T168" s="1"/>
      <c r="U168" s="1"/>
      <c r="V168" s="1"/>
      <c r="W168" s="1"/>
      <c r="X168" s="1"/>
      <c r="Y168" s="1"/>
      <c r="Z168" s="1"/>
      <c r="AA168" s="1"/>
      <c r="AB168" s="1"/>
      <c r="AC168" s="1"/>
      <c r="AD168" s="1"/>
      <c r="AE168" s="1"/>
      <c r="AF168" s="1"/>
      <c r="AG168" s="1"/>
      <c r="AH168" s="1"/>
      <c r="AI168" s="1"/>
      <c r="AJ168" s="1"/>
    </row>
    <row r="169" spans="1:36" x14ac:dyDescent="0.25">
      <c r="A169" s="4"/>
      <c r="B169" s="4"/>
      <c r="C169" s="4"/>
      <c r="D169" s="82"/>
      <c r="E169" s="82"/>
      <c r="F169" s="82"/>
      <c r="G169" s="5"/>
      <c r="H169" s="83"/>
      <c r="I169" s="83"/>
      <c r="J169" s="5"/>
      <c r="K169" s="5"/>
      <c r="L169" s="5"/>
      <c r="M169" s="33"/>
      <c r="N169" s="5"/>
      <c r="O169" s="5"/>
      <c r="P169" s="5"/>
      <c r="Q169" s="1"/>
      <c r="R169" s="1"/>
      <c r="S169" s="1"/>
      <c r="T169" s="1"/>
      <c r="U169" s="1"/>
      <c r="V169" s="1"/>
      <c r="W169" s="1"/>
      <c r="X169" s="1"/>
      <c r="Y169" s="1"/>
      <c r="Z169" s="1"/>
      <c r="AA169" s="1"/>
      <c r="AB169" s="1"/>
      <c r="AC169" s="1"/>
      <c r="AD169" s="1"/>
      <c r="AE169" s="1"/>
      <c r="AF169" s="1"/>
      <c r="AG169" s="1"/>
      <c r="AH169" s="1"/>
      <c r="AI169" s="1"/>
      <c r="AJ169" s="1"/>
    </row>
    <row r="170" spans="1:36" x14ac:dyDescent="0.25">
      <c r="A170" s="4"/>
      <c r="B170" s="4"/>
      <c r="C170" s="4"/>
      <c r="D170" s="82"/>
      <c r="E170" s="82"/>
      <c r="F170" s="82"/>
      <c r="G170" s="5"/>
      <c r="H170" s="83"/>
      <c r="I170" s="83"/>
      <c r="J170" s="5"/>
      <c r="K170" s="5"/>
      <c r="L170" s="5"/>
      <c r="M170" s="33"/>
      <c r="N170" s="5"/>
      <c r="O170" s="5"/>
      <c r="P170" s="5"/>
      <c r="Q170" s="1"/>
      <c r="R170" s="1"/>
      <c r="S170" s="1"/>
      <c r="T170" s="1"/>
      <c r="U170" s="1"/>
      <c r="V170" s="1"/>
      <c r="W170" s="1"/>
      <c r="X170" s="1"/>
      <c r="Y170" s="1"/>
      <c r="Z170" s="1"/>
      <c r="AA170" s="1"/>
      <c r="AB170" s="1"/>
      <c r="AC170" s="1"/>
      <c r="AD170" s="1"/>
      <c r="AE170" s="1"/>
      <c r="AF170" s="1"/>
      <c r="AG170" s="1"/>
      <c r="AH170" s="1"/>
      <c r="AI170" s="1"/>
      <c r="AJ170" s="1"/>
    </row>
    <row r="171" spans="1:36" x14ac:dyDescent="0.25">
      <c r="A171" s="4"/>
      <c r="B171" s="4"/>
      <c r="C171" s="4"/>
      <c r="D171" s="82"/>
      <c r="E171" s="82"/>
      <c r="F171" s="82"/>
      <c r="G171" s="5"/>
      <c r="H171" s="83"/>
      <c r="I171" s="83"/>
      <c r="J171" s="5"/>
      <c r="K171" s="5"/>
      <c r="L171" s="5"/>
      <c r="M171" s="33"/>
      <c r="N171" s="5"/>
      <c r="O171" s="5"/>
      <c r="P171" s="5"/>
      <c r="Q171" s="1"/>
      <c r="R171" s="1"/>
      <c r="S171" s="1"/>
      <c r="T171" s="1"/>
      <c r="U171" s="1"/>
      <c r="V171" s="1"/>
      <c r="W171" s="1"/>
      <c r="X171" s="1"/>
      <c r="Y171" s="1"/>
      <c r="Z171" s="1"/>
      <c r="AA171" s="1"/>
      <c r="AB171" s="1"/>
      <c r="AC171" s="1"/>
      <c r="AD171" s="1"/>
      <c r="AE171" s="1"/>
      <c r="AF171" s="1"/>
      <c r="AG171" s="1"/>
      <c r="AH171" s="1"/>
      <c r="AI171" s="1"/>
      <c r="AJ171" s="1"/>
    </row>
    <row r="172" spans="1:36" x14ac:dyDescent="0.25">
      <c r="A172" s="4"/>
      <c r="B172" s="4"/>
      <c r="C172" s="4"/>
      <c r="D172" s="82"/>
      <c r="E172" s="82"/>
      <c r="F172" s="82"/>
      <c r="G172" s="5"/>
      <c r="H172" s="83"/>
      <c r="I172" s="83"/>
      <c r="J172" s="5"/>
      <c r="K172" s="5"/>
      <c r="L172" s="5"/>
      <c r="M172" s="33"/>
      <c r="N172" s="5"/>
      <c r="O172" s="5"/>
      <c r="P172" s="5"/>
      <c r="Q172" s="1"/>
      <c r="R172" s="1"/>
      <c r="S172" s="1"/>
      <c r="T172" s="1"/>
      <c r="U172" s="1"/>
      <c r="V172" s="1"/>
      <c r="W172" s="1"/>
      <c r="X172" s="1"/>
      <c r="Y172" s="1"/>
      <c r="Z172" s="1"/>
      <c r="AA172" s="1"/>
      <c r="AB172" s="1"/>
      <c r="AC172" s="1"/>
      <c r="AD172" s="1"/>
      <c r="AE172" s="1"/>
      <c r="AF172" s="1"/>
      <c r="AG172" s="1"/>
      <c r="AH172" s="1"/>
      <c r="AI172" s="1"/>
      <c r="AJ172" s="1"/>
    </row>
    <row r="173" spans="1:36" x14ac:dyDescent="0.25">
      <c r="A173" s="4"/>
      <c r="B173" s="4"/>
      <c r="C173" s="4"/>
      <c r="D173" s="82"/>
      <c r="E173" s="82"/>
      <c r="F173" s="82"/>
      <c r="G173" s="5"/>
      <c r="H173" s="83"/>
      <c r="I173" s="83"/>
      <c r="J173" s="5"/>
      <c r="K173" s="5"/>
      <c r="L173" s="5"/>
      <c r="M173" s="33"/>
      <c r="N173" s="5"/>
      <c r="O173" s="5"/>
      <c r="P173" s="5"/>
      <c r="Q173" s="1"/>
      <c r="R173" s="1"/>
      <c r="S173" s="1"/>
      <c r="T173" s="1"/>
      <c r="U173" s="1"/>
      <c r="V173" s="1"/>
      <c r="W173" s="1"/>
      <c r="X173" s="1"/>
      <c r="Y173" s="1"/>
      <c r="Z173" s="1"/>
      <c r="AA173" s="1"/>
      <c r="AB173" s="1"/>
      <c r="AC173" s="1"/>
      <c r="AD173" s="1"/>
      <c r="AE173" s="1"/>
      <c r="AF173" s="1"/>
      <c r="AG173" s="1"/>
      <c r="AH173" s="1"/>
      <c r="AI173" s="1"/>
      <c r="AJ173" s="1"/>
    </row>
    <row r="174" spans="1:36" x14ac:dyDescent="0.25">
      <c r="A174" s="4"/>
      <c r="B174" s="4"/>
      <c r="C174" s="4"/>
      <c r="D174" s="82"/>
      <c r="E174" s="82"/>
      <c r="F174" s="82"/>
      <c r="G174" s="5"/>
      <c r="H174" s="83"/>
      <c r="I174" s="83"/>
      <c r="J174" s="5"/>
      <c r="K174" s="5"/>
      <c r="L174" s="5"/>
      <c r="M174" s="33"/>
      <c r="N174" s="5"/>
      <c r="O174" s="5"/>
      <c r="P174" s="5"/>
      <c r="Q174" s="1"/>
      <c r="R174" s="1"/>
      <c r="S174" s="1"/>
      <c r="T174" s="1"/>
      <c r="U174" s="1"/>
      <c r="V174" s="1"/>
      <c r="W174" s="1"/>
      <c r="X174" s="1"/>
      <c r="Y174" s="1"/>
      <c r="Z174" s="1"/>
      <c r="AA174" s="1"/>
      <c r="AB174" s="1"/>
      <c r="AC174" s="1"/>
      <c r="AD174" s="1"/>
      <c r="AE174" s="1"/>
      <c r="AF174" s="1"/>
      <c r="AG174" s="1"/>
      <c r="AH174" s="1"/>
      <c r="AI174" s="1"/>
      <c r="AJ174" s="1"/>
    </row>
    <row r="175" spans="1:36" x14ac:dyDescent="0.25">
      <c r="A175" s="4"/>
      <c r="B175" s="4"/>
      <c r="C175" s="4"/>
      <c r="D175" s="82"/>
      <c r="E175" s="82"/>
      <c r="F175" s="82"/>
      <c r="G175" s="5"/>
      <c r="H175" s="83"/>
      <c r="I175" s="83"/>
      <c r="J175" s="5"/>
      <c r="K175" s="5"/>
      <c r="L175" s="5"/>
      <c r="M175" s="33"/>
      <c r="N175" s="5"/>
      <c r="O175" s="5"/>
      <c r="P175" s="5"/>
      <c r="Q175" s="1"/>
      <c r="R175" s="1"/>
      <c r="S175" s="1"/>
      <c r="T175" s="1"/>
      <c r="U175" s="1"/>
      <c r="V175" s="1"/>
      <c r="W175" s="1"/>
      <c r="X175" s="1"/>
      <c r="Y175" s="1"/>
      <c r="Z175" s="1"/>
      <c r="AA175" s="1"/>
      <c r="AB175" s="1"/>
      <c r="AC175" s="1"/>
      <c r="AD175" s="1"/>
      <c r="AE175" s="1"/>
      <c r="AF175" s="1"/>
      <c r="AG175" s="1"/>
      <c r="AH175" s="1"/>
      <c r="AI175" s="1"/>
      <c r="AJ175" s="1"/>
    </row>
    <row r="176" spans="1:36" x14ac:dyDescent="0.25">
      <c r="A176" s="4"/>
      <c r="B176" s="4"/>
      <c r="C176" s="4"/>
      <c r="D176" s="82"/>
      <c r="E176" s="82"/>
      <c r="F176" s="82"/>
      <c r="G176" s="5"/>
      <c r="H176" s="83"/>
      <c r="I176" s="83"/>
      <c r="J176" s="5"/>
      <c r="K176" s="5"/>
      <c r="L176" s="5"/>
      <c r="M176" s="33"/>
      <c r="N176" s="5"/>
      <c r="O176" s="5"/>
      <c r="P176" s="5"/>
      <c r="Q176" s="1"/>
      <c r="R176" s="1"/>
      <c r="S176" s="1"/>
      <c r="T176" s="1"/>
      <c r="U176" s="1"/>
      <c r="V176" s="1"/>
      <c r="W176" s="1"/>
      <c r="X176" s="1"/>
      <c r="Y176" s="1"/>
      <c r="Z176" s="1"/>
      <c r="AA176" s="1"/>
      <c r="AB176" s="1"/>
      <c r="AC176" s="1"/>
      <c r="AD176" s="1"/>
      <c r="AE176" s="1"/>
      <c r="AF176" s="1"/>
      <c r="AG176" s="1"/>
      <c r="AH176" s="1"/>
      <c r="AI176" s="1"/>
      <c r="AJ176" s="1"/>
    </row>
    <row r="177" spans="1:36" x14ac:dyDescent="0.25">
      <c r="A177" s="4"/>
      <c r="B177" s="4"/>
      <c r="C177" s="4"/>
      <c r="D177" s="82"/>
      <c r="E177" s="82"/>
      <c r="F177" s="82"/>
      <c r="G177" s="5"/>
      <c r="H177" s="83"/>
      <c r="I177" s="83"/>
      <c r="J177" s="5"/>
      <c r="K177" s="5"/>
      <c r="L177" s="5"/>
      <c r="M177" s="33"/>
      <c r="N177" s="5"/>
      <c r="O177" s="5"/>
      <c r="P177" s="5"/>
      <c r="Q177" s="1"/>
      <c r="R177" s="1"/>
      <c r="S177" s="1"/>
      <c r="T177" s="1"/>
      <c r="U177" s="1"/>
      <c r="V177" s="1"/>
      <c r="W177" s="1"/>
      <c r="X177" s="1"/>
      <c r="Y177" s="1"/>
      <c r="Z177" s="1"/>
      <c r="AA177" s="1"/>
      <c r="AB177" s="1"/>
      <c r="AC177" s="1"/>
      <c r="AD177" s="1"/>
      <c r="AE177" s="1"/>
      <c r="AF177" s="1"/>
      <c r="AG177" s="1"/>
      <c r="AH177" s="1"/>
      <c r="AI177" s="1"/>
      <c r="AJ177" s="1"/>
    </row>
    <row r="178" spans="1:36" x14ac:dyDescent="0.25">
      <c r="A178" s="4"/>
      <c r="B178" s="4"/>
      <c r="C178" s="4"/>
      <c r="D178" s="82"/>
      <c r="E178" s="82"/>
      <c r="F178" s="82"/>
      <c r="G178" s="5"/>
      <c r="H178" s="83"/>
      <c r="I178" s="83"/>
      <c r="J178" s="5"/>
      <c r="K178" s="5"/>
      <c r="L178" s="5"/>
      <c r="M178" s="33"/>
      <c r="N178" s="5"/>
      <c r="O178" s="5"/>
      <c r="P178" s="5"/>
      <c r="Q178" s="1"/>
      <c r="R178" s="1"/>
      <c r="S178" s="1"/>
      <c r="T178" s="1"/>
      <c r="U178" s="1"/>
      <c r="V178" s="1"/>
      <c r="W178" s="1"/>
      <c r="X178" s="1"/>
      <c r="Y178" s="1"/>
      <c r="Z178" s="1"/>
      <c r="AA178" s="1"/>
      <c r="AB178" s="1"/>
      <c r="AC178" s="1"/>
      <c r="AD178" s="1"/>
      <c r="AE178" s="1"/>
      <c r="AF178" s="1"/>
      <c r="AG178" s="1"/>
      <c r="AH178" s="1"/>
      <c r="AI178" s="1"/>
      <c r="AJ178" s="1"/>
    </row>
    <row r="179" spans="1:36" x14ac:dyDescent="0.25">
      <c r="A179" s="4"/>
      <c r="B179" s="4"/>
      <c r="C179" s="4"/>
      <c r="D179" s="82"/>
      <c r="E179" s="82"/>
      <c r="F179" s="82"/>
      <c r="G179" s="5"/>
      <c r="H179" s="83"/>
      <c r="I179" s="83"/>
      <c r="J179" s="5"/>
      <c r="K179" s="5"/>
      <c r="L179" s="5"/>
      <c r="M179" s="33"/>
      <c r="N179" s="5"/>
      <c r="O179" s="5"/>
      <c r="P179" s="5"/>
      <c r="Q179" s="1"/>
      <c r="R179" s="1"/>
      <c r="S179" s="1"/>
      <c r="T179" s="1"/>
      <c r="U179" s="1"/>
      <c r="V179" s="1"/>
      <c r="W179" s="1"/>
      <c r="X179" s="1"/>
      <c r="Y179" s="1"/>
      <c r="Z179" s="1"/>
      <c r="AA179" s="1"/>
      <c r="AB179" s="1"/>
      <c r="AC179" s="1"/>
      <c r="AD179" s="1"/>
      <c r="AE179" s="1"/>
      <c r="AF179" s="1"/>
      <c r="AG179" s="1"/>
      <c r="AH179" s="1"/>
      <c r="AI179" s="1"/>
      <c r="AJ179" s="1"/>
    </row>
    <row r="180" spans="1:36" x14ac:dyDescent="0.25">
      <c r="A180" s="4"/>
      <c r="B180" s="4"/>
      <c r="C180" s="4"/>
      <c r="D180" s="82"/>
      <c r="E180" s="82"/>
      <c r="F180" s="82"/>
      <c r="G180" s="5"/>
      <c r="H180" s="83"/>
      <c r="I180" s="83"/>
      <c r="J180" s="5"/>
      <c r="K180" s="5"/>
      <c r="L180" s="5"/>
      <c r="M180" s="33"/>
      <c r="N180" s="5"/>
      <c r="O180" s="5"/>
      <c r="P180" s="5"/>
      <c r="Q180" s="1"/>
      <c r="R180" s="1"/>
      <c r="S180" s="1"/>
      <c r="T180" s="1"/>
      <c r="U180" s="1"/>
      <c r="V180" s="1"/>
      <c r="W180" s="1"/>
      <c r="X180" s="1"/>
      <c r="Y180" s="1"/>
      <c r="Z180" s="1"/>
      <c r="AA180" s="1"/>
      <c r="AB180" s="1"/>
      <c r="AC180" s="1"/>
      <c r="AD180" s="1"/>
      <c r="AE180" s="1"/>
      <c r="AF180" s="1"/>
      <c r="AG180" s="1"/>
      <c r="AH180" s="1"/>
      <c r="AI180" s="1"/>
      <c r="AJ180" s="1"/>
    </row>
    <row r="181" spans="1:36" x14ac:dyDescent="0.25">
      <c r="A181" s="4"/>
      <c r="B181" s="4"/>
      <c r="C181" s="4"/>
      <c r="D181" s="82"/>
      <c r="E181" s="82"/>
      <c r="F181" s="82"/>
      <c r="G181" s="5"/>
      <c r="H181" s="83"/>
      <c r="I181" s="83"/>
      <c r="J181" s="5"/>
      <c r="K181" s="5"/>
      <c r="L181" s="5"/>
      <c r="M181" s="33"/>
      <c r="N181" s="5"/>
      <c r="O181" s="5"/>
      <c r="P181" s="5"/>
      <c r="Q181" s="1"/>
      <c r="R181" s="1"/>
      <c r="S181" s="1"/>
      <c r="T181" s="1"/>
      <c r="U181" s="1"/>
      <c r="V181" s="1"/>
      <c r="W181" s="1"/>
      <c r="X181" s="1"/>
      <c r="Y181" s="1"/>
      <c r="Z181" s="1"/>
      <c r="AA181" s="1"/>
      <c r="AB181" s="1"/>
      <c r="AC181" s="1"/>
      <c r="AD181" s="1"/>
      <c r="AE181" s="1"/>
      <c r="AF181" s="1"/>
      <c r="AG181" s="1"/>
      <c r="AH181" s="1"/>
      <c r="AI181" s="1"/>
      <c r="AJ181" s="1"/>
    </row>
    <row r="182" spans="1:36" x14ac:dyDescent="0.25">
      <c r="A182" s="4"/>
      <c r="B182" s="4"/>
      <c r="C182" s="4"/>
      <c r="D182" s="82"/>
      <c r="E182" s="82"/>
      <c r="F182" s="82"/>
      <c r="G182" s="5"/>
      <c r="H182" s="83"/>
      <c r="I182" s="83"/>
      <c r="J182" s="5"/>
      <c r="K182" s="5"/>
      <c r="L182" s="5"/>
      <c r="M182" s="33"/>
      <c r="N182" s="5"/>
      <c r="O182" s="5"/>
      <c r="P182" s="5"/>
      <c r="Q182" s="1"/>
      <c r="R182" s="1"/>
      <c r="S182" s="1"/>
      <c r="T182" s="1"/>
      <c r="U182" s="1"/>
      <c r="V182" s="1"/>
      <c r="W182" s="1"/>
      <c r="X182" s="1"/>
      <c r="Y182" s="1"/>
      <c r="Z182" s="1"/>
      <c r="AA182" s="1"/>
      <c r="AB182" s="1"/>
      <c r="AC182" s="1"/>
      <c r="AD182" s="1"/>
      <c r="AE182" s="1"/>
      <c r="AF182" s="1"/>
      <c r="AG182" s="1"/>
      <c r="AH182" s="1"/>
      <c r="AI182" s="1"/>
      <c r="AJ182" s="1"/>
    </row>
    <row r="183" spans="1:36" x14ac:dyDescent="0.25">
      <c r="A183" s="4"/>
      <c r="B183" s="4"/>
      <c r="C183" s="4"/>
      <c r="D183" s="82"/>
      <c r="E183" s="82"/>
      <c r="F183" s="82"/>
      <c r="G183" s="5"/>
      <c r="H183" s="83"/>
      <c r="I183" s="83"/>
      <c r="J183" s="5"/>
      <c r="K183" s="5"/>
      <c r="L183" s="5"/>
      <c r="M183" s="33"/>
      <c r="N183" s="5"/>
      <c r="O183" s="5"/>
      <c r="P183" s="5"/>
      <c r="Q183" s="1"/>
      <c r="R183" s="1"/>
      <c r="S183" s="1"/>
      <c r="T183" s="1"/>
      <c r="U183" s="1"/>
      <c r="V183" s="1"/>
      <c r="W183" s="1"/>
      <c r="X183" s="1"/>
      <c r="Y183" s="1"/>
      <c r="Z183" s="1"/>
      <c r="AA183" s="1"/>
      <c r="AB183" s="1"/>
      <c r="AC183" s="1"/>
      <c r="AD183" s="1"/>
      <c r="AE183" s="1"/>
      <c r="AF183" s="1"/>
      <c r="AG183" s="1"/>
      <c r="AH183" s="1"/>
      <c r="AI183" s="1"/>
      <c r="AJ183" s="1"/>
    </row>
    <row r="184" spans="1:36" x14ac:dyDescent="0.25">
      <c r="A184" s="4"/>
      <c r="B184" s="4"/>
      <c r="C184" s="4"/>
      <c r="D184" s="82"/>
      <c r="E184" s="82"/>
      <c r="F184" s="82"/>
      <c r="G184" s="5"/>
      <c r="H184" s="83"/>
      <c r="I184" s="83"/>
      <c r="J184" s="5"/>
      <c r="K184" s="5"/>
      <c r="L184" s="5"/>
      <c r="M184" s="33"/>
      <c r="N184" s="5"/>
      <c r="O184" s="5"/>
      <c r="P184" s="5"/>
      <c r="Q184" s="1"/>
      <c r="R184" s="1"/>
      <c r="S184" s="1"/>
      <c r="T184" s="1"/>
      <c r="U184" s="1"/>
      <c r="V184" s="1"/>
      <c r="W184" s="1"/>
      <c r="X184" s="1"/>
      <c r="Y184" s="1"/>
      <c r="Z184" s="1"/>
      <c r="AA184" s="1"/>
      <c r="AB184" s="1"/>
      <c r="AC184" s="1"/>
      <c r="AD184" s="1"/>
      <c r="AE184" s="1"/>
      <c r="AF184" s="1"/>
      <c r="AG184" s="1"/>
      <c r="AH184" s="1"/>
      <c r="AI184" s="1"/>
      <c r="AJ184" s="1"/>
    </row>
    <row r="185" spans="1:36" x14ac:dyDescent="0.25">
      <c r="A185" s="4"/>
      <c r="B185" s="4"/>
      <c r="C185" s="4"/>
      <c r="D185" s="82"/>
      <c r="E185" s="82"/>
      <c r="F185" s="82"/>
      <c r="G185" s="5"/>
      <c r="H185" s="83"/>
      <c r="I185" s="83"/>
      <c r="J185" s="5"/>
      <c r="K185" s="5"/>
      <c r="L185" s="5"/>
      <c r="M185" s="33"/>
      <c r="N185" s="5"/>
      <c r="O185" s="5"/>
      <c r="P185" s="5"/>
      <c r="Q185" s="1"/>
      <c r="R185" s="1"/>
      <c r="S185" s="1"/>
      <c r="T185" s="1"/>
      <c r="U185" s="1"/>
      <c r="V185" s="1"/>
      <c r="W185" s="1"/>
      <c r="X185" s="1"/>
      <c r="Y185" s="1"/>
      <c r="Z185" s="1"/>
      <c r="AA185" s="1"/>
      <c r="AB185" s="1"/>
      <c r="AC185" s="1"/>
      <c r="AD185" s="1"/>
      <c r="AE185" s="1"/>
      <c r="AF185" s="1"/>
      <c r="AG185" s="1"/>
      <c r="AH185" s="1"/>
      <c r="AI185" s="1"/>
      <c r="AJ185" s="1"/>
    </row>
    <row r="186" spans="1:36" x14ac:dyDescent="0.25">
      <c r="A186" s="4"/>
      <c r="B186" s="4"/>
      <c r="C186" s="4"/>
      <c r="D186" s="82"/>
      <c r="E186" s="82"/>
      <c r="F186" s="82"/>
      <c r="G186" s="5"/>
      <c r="H186" s="83"/>
      <c r="I186" s="83"/>
      <c r="J186" s="5"/>
      <c r="K186" s="5"/>
      <c r="L186" s="5"/>
      <c r="M186" s="33"/>
      <c r="N186" s="5"/>
      <c r="O186" s="5"/>
      <c r="P186" s="5"/>
      <c r="Q186" s="1"/>
      <c r="R186" s="1"/>
      <c r="S186" s="1"/>
      <c r="T186" s="1"/>
      <c r="U186" s="1"/>
      <c r="V186" s="1"/>
      <c r="W186" s="1"/>
      <c r="X186" s="1"/>
      <c r="Y186" s="1"/>
      <c r="Z186" s="1"/>
      <c r="AA186" s="1"/>
      <c r="AB186" s="1"/>
      <c r="AC186" s="1"/>
      <c r="AD186" s="1"/>
      <c r="AE186" s="1"/>
      <c r="AF186" s="1"/>
      <c r="AG186" s="1"/>
      <c r="AH186" s="1"/>
      <c r="AI186" s="1"/>
      <c r="AJ186" s="1"/>
    </row>
    <row r="187" spans="1:36" x14ac:dyDescent="0.25">
      <c r="A187" s="4"/>
      <c r="B187" s="4"/>
      <c r="C187" s="4"/>
      <c r="D187" s="5"/>
      <c r="E187" s="5"/>
      <c r="F187" s="5"/>
      <c r="G187" s="5"/>
      <c r="H187" s="5"/>
      <c r="I187" s="5"/>
      <c r="J187" s="5"/>
      <c r="K187" s="5"/>
      <c r="L187" s="5"/>
      <c r="M187" s="5"/>
      <c r="N187" s="5"/>
      <c r="O187" s="5"/>
      <c r="P187" s="5"/>
      <c r="Q187" s="1"/>
      <c r="R187" s="1"/>
      <c r="S187" s="1"/>
      <c r="T187" s="1"/>
      <c r="U187" s="1"/>
      <c r="V187" s="1"/>
      <c r="W187" s="1"/>
      <c r="X187" s="1"/>
      <c r="Y187" s="1"/>
      <c r="Z187" s="1"/>
      <c r="AA187" s="1"/>
      <c r="AB187" s="1"/>
      <c r="AC187" s="1"/>
      <c r="AD187" s="1"/>
      <c r="AE187" s="1"/>
      <c r="AF187" s="1"/>
      <c r="AG187" s="1"/>
      <c r="AH187" s="1"/>
      <c r="AI187" s="1"/>
      <c r="AJ187" s="1"/>
    </row>
    <row r="188" spans="1:36" x14ac:dyDescent="0.25">
      <c r="A188" s="4"/>
      <c r="B188" s="4"/>
      <c r="C188" s="4"/>
      <c r="D188" s="5"/>
      <c r="E188" s="5"/>
      <c r="F188" s="5"/>
      <c r="G188" s="5"/>
      <c r="H188" s="5"/>
      <c r="I188" s="5"/>
      <c r="J188" s="5"/>
      <c r="K188" s="5"/>
      <c r="L188" s="5"/>
      <c r="M188" s="5"/>
      <c r="N188" s="5"/>
      <c r="O188" s="5"/>
      <c r="P188" s="5"/>
      <c r="Q188" s="1"/>
      <c r="R188" s="1"/>
      <c r="S188" s="1"/>
      <c r="T188" s="1"/>
      <c r="U188" s="1"/>
      <c r="V188" s="1"/>
      <c r="W188" s="1"/>
      <c r="X188" s="1"/>
      <c r="Y188" s="1"/>
      <c r="Z188" s="1"/>
      <c r="AA188" s="1"/>
      <c r="AB188" s="1"/>
      <c r="AC188" s="1"/>
      <c r="AD188" s="1"/>
      <c r="AE188" s="1"/>
      <c r="AF188" s="1"/>
      <c r="AG188" s="1"/>
      <c r="AH188" s="1"/>
      <c r="AI188" s="1"/>
      <c r="AJ188" s="1"/>
    </row>
    <row r="189" spans="1:36" x14ac:dyDescent="0.25">
      <c r="A189" s="4"/>
      <c r="B189" s="4"/>
      <c r="C189" s="4"/>
      <c r="D189" s="5"/>
      <c r="E189" s="5"/>
      <c r="F189" s="5"/>
      <c r="G189" s="5"/>
      <c r="H189" s="5"/>
      <c r="I189" s="5"/>
      <c r="J189" s="5"/>
      <c r="K189" s="5"/>
      <c r="L189" s="5"/>
      <c r="M189" s="5"/>
      <c r="N189" s="5"/>
      <c r="O189" s="5"/>
      <c r="P189" s="5"/>
      <c r="Q189" s="1"/>
      <c r="R189" s="1"/>
      <c r="S189" s="1"/>
      <c r="T189" s="1"/>
      <c r="U189" s="1"/>
      <c r="V189" s="1"/>
      <c r="W189" s="1"/>
      <c r="X189" s="1"/>
      <c r="Y189" s="1"/>
      <c r="Z189" s="1"/>
      <c r="AA189" s="1"/>
      <c r="AB189" s="1"/>
      <c r="AC189" s="1"/>
      <c r="AD189" s="1"/>
      <c r="AE189" s="1"/>
      <c r="AF189" s="1"/>
      <c r="AG189" s="1"/>
      <c r="AH189" s="1"/>
      <c r="AI189" s="1"/>
      <c r="AJ189" s="1"/>
    </row>
    <row r="190" spans="1:36" x14ac:dyDescent="0.25">
      <c r="A190" s="4"/>
      <c r="B190" s="4"/>
      <c r="C190" s="4"/>
      <c r="D190" s="5"/>
      <c r="E190" s="5"/>
      <c r="F190" s="5"/>
      <c r="G190" s="5"/>
      <c r="H190" s="5"/>
      <c r="I190" s="5"/>
      <c r="J190" s="5"/>
      <c r="K190" s="5"/>
      <c r="L190" s="5"/>
      <c r="M190" s="5"/>
      <c r="N190" s="5"/>
      <c r="O190" s="5"/>
      <c r="P190" s="5"/>
      <c r="Q190" s="1"/>
      <c r="R190" s="1"/>
      <c r="S190" s="1"/>
      <c r="T190" s="1"/>
      <c r="U190" s="1"/>
      <c r="V190" s="1"/>
      <c r="W190" s="1"/>
      <c r="X190" s="1"/>
      <c r="Y190" s="1"/>
      <c r="Z190" s="1"/>
      <c r="AA190" s="1"/>
      <c r="AB190" s="1"/>
      <c r="AC190" s="1"/>
      <c r="AD190" s="1"/>
      <c r="AE190" s="1"/>
      <c r="AF190" s="1"/>
      <c r="AG190" s="1"/>
      <c r="AH190" s="1"/>
      <c r="AI190" s="1"/>
      <c r="AJ190" s="1"/>
    </row>
    <row r="191" spans="1:36" x14ac:dyDescent="0.25">
      <c r="A191" s="115" t="s">
        <v>399</v>
      </c>
      <c r="B191" s="68"/>
      <c r="C191" s="68"/>
      <c r="D191" s="116" t="e">
        <f>#REF!+D37+#REF!+D53+D58+D76+D94+D101+D104+D110+D122+D132+D146+D161+#REF!+D174+D181+D187</f>
        <v>#REF!</v>
      </c>
      <c r="E191" s="116"/>
      <c r="F191" s="116" t="e">
        <f>#REF!+F37+#REF!+F53+F58+F76+F94+F101+F104+F110+F122+F132+F146+F161+#REF!+F174+F181+F187</f>
        <v>#REF!</v>
      </c>
      <c r="G191" s="116" t="e">
        <f>(F191/D191)*100</f>
        <v>#REF!</v>
      </c>
      <c r="H191" s="116" t="e">
        <f>#REF!+H37+#REF!+H53+H58+H76+H94+H101+H104+H110+H122+H132+H146+H161+#REF!+H174+H181+H187</f>
        <v>#REF!</v>
      </c>
      <c r="I191" s="116" t="e">
        <f>#REF!+I37+#REF!+I53+I58+I76+I94+I101+I104+I110+I122+I132+I146+I161+#REF!+I174+I181+I187</f>
        <v>#REF!</v>
      </c>
      <c r="J191" s="116" t="e">
        <f>(I191/H191)*100</f>
        <v>#REF!</v>
      </c>
      <c r="K191" s="116" t="e">
        <f>#REF!+K37+#REF!+K53+K58+K76+K94+K101+K104+K110+K122+K132+K146+K161+#REF!+K174+K181+K187</f>
        <v>#REF!</v>
      </c>
      <c r="L191" s="116" t="e">
        <f>#REF!+L37+#REF!+L53+L58+L76+L94+L101+L104+L110+L122+L132+L146+L161+#REF!+L174+L181+L187</f>
        <v>#REF!</v>
      </c>
      <c r="M191" s="116" t="e">
        <f>(L191/K191)*100</f>
        <v>#REF!</v>
      </c>
      <c r="N191" s="116" t="e">
        <f>#REF!+N37+#REF!+N53+N58+N76+N94+N101+N104+N110+N122+N132+N146+N161+#REF!+N174+N181+N187</f>
        <v>#REF!</v>
      </c>
      <c r="O191" s="116" t="e">
        <f>#REF!+O37+#REF!+O53+O58+O76+O94+O101+O104+O110+O122+O132+O146+O161+#REF!+O174+O181+O187</f>
        <v>#REF!</v>
      </c>
      <c r="P191" s="116" t="e">
        <f>(O191/N191)*100</f>
        <v>#REF!</v>
      </c>
      <c r="Q191" s="1"/>
      <c r="R191" s="1"/>
      <c r="S191" s="1"/>
      <c r="T191" s="1"/>
      <c r="U191" s="1"/>
      <c r="V191" s="1"/>
      <c r="W191" s="1"/>
      <c r="X191" s="1"/>
      <c r="Y191" s="1"/>
      <c r="Z191" s="1"/>
      <c r="AA191" s="1"/>
      <c r="AB191" s="1"/>
      <c r="AC191" s="1"/>
      <c r="AD191" s="1"/>
      <c r="AE191" s="1"/>
      <c r="AF191" s="1"/>
      <c r="AG191" s="1"/>
      <c r="AH191" s="1"/>
      <c r="AI191" s="1"/>
      <c r="AJ191" s="1"/>
    </row>
    <row r="192" spans="1:36" x14ac:dyDescent="0.25">
      <c r="A192" s="115" t="s">
        <v>400</v>
      </c>
      <c r="B192" s="69"/>
      <c r="C192" s="69"/>
      <c r="D192" s="117" t="e">
        <f>D191/10000000</f>
        <v>#REF!</v>
      </c>
      <c r="E192" s="117"/>
      <c r="F192" s="117" t="e">
        <f>F191/10000000</f>
        <v>#REF!</v>
      </c>
      <c r="G192" s="116" t="e">
        <f>(F192/D192)*100</f>
        <v>#REF!</v>
      </c>
      <c r="H192" s="117" t="e">
        <f>H191/10000000</f>
        <v>#REF!</v>
      </c>
      <c r="I192" s="117" t="e">
        <f>I191/10000000</f>
        <v>#REF!</v>
      </c>
      <c r="J192" s="116" t="e">
        <f>(I192/H192)*100</f>
        <v>#REF!</v>
      </c>
      <c r="K192" s="117" t="e">
        <f>K191/10000000</f>
        <v>#REF!</v>
      </c>
      <c r="L192" s="117" t="e">
        <f>L191/10000000</f>
        <v>#REF!</v>
      </c>
      <c r="M192" s="116" t="e">
        <f>(L192/K192)*100</f>
        <v>#REF!</v>
      </c>
      <c r="N192" s="117" t="e">
        <f>N191/10000000</f>
        <v>#REF!</v>
      </c>
      <c r="O192" s="117" t="e">
        <f>O191/10000000</f>
        <v>#REF!</v>
      </c>
      <c r="P192" s="116" t="e">
        <f>(O192/N192)*100</f>
        <v>#REF!</v>
      </c>
    </row>
  </sheetData>
  <mergeCells count="10">
    <mergeCell ref="A3:P3"/>
    <mergeCell ref="A4:B5"/>
    <mergeCell ref="D4:G4"/>
    <mergeCell ref="H4:J4"/>
    <mergeCell ref="K4:M4"/>
    <mergeCell ref="N4:P4"/>
    <mergeCell ref="D5:G5"/>
    <mergeCell ref="H5:J5"/>
    <mergeCell ref="K5:M5"/>
    <mergeCell ref="N5:P5"/>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3"/>
  <sheetViews>
    <sheetView zoomScale="85" zoomScaleNormal="85" workbookViewId="0">
      <pane ySplit="6" topLeftCell="A142" activePane="bottomLeft" state="frozen"/>
      <selection activeCell="Q163" sqref="Q163"/>
      <selection pane="bottomLeft" activeCell="A145" sqref="A145"/>
    </sheetView>
  </sheetViews>
  <sheetFormatPr defaultRowHeight="15" x14ac:dyDescent="0.25"/>
  <cols>
    <col min="1" max="1" width="14.5703125" style="74" bestFit="1" customWidth="1"/>
    <col min="2" max="2" width="12.28515625" bestFit="1" customWidth="1"/>
    <col min="3" max="3" width="10.28515625" bestFit="1" customWidth="1"/>
    <col min="5" max="5" width="12.28515625" bestFit="1" customWidth="1"/>
    <col min="6" max="6" width="10.28515625" bestFit="1" customWidth="1"/>
    <col min="7" max="7" width="6.42578125" bestFit="1" customWidth="1"/>
    <col min="8" max="8" width="11.5703125" bestFit="1" customWidth="1"/>
    <col min="9" max="9" width="10.5703125" bestFit="1" customWidth="1"/>
    <col min="10" max="10" width="7.140625" bestFit="1" customWidth="1"/>
    <col min="11" max="11" width="11.5703125" bestFit="1" customWidth="1"/>
    <col min="12" max="12" width="10.28515625" bestFit="1" customWidth="1"/>
    <col min="13" max="13" width="7.140625" bestFit="1" customWidth="1"/>
    <col min="14" max="14" width="11.85546875" bestFit="1" customWidth="1"/>
  </cols>
  <sheetData>
    <row r="1" spans="1:15" hidden="1" x14ac:dyDescent="0.25"/>
    <row r="2" spans="1:15" ht="15.75" thickBot="1" x14ac:dyDescent="0.3"/>
    <row r="3" spans="1:15" s="85" customFormat="1" ht="23.25" customHeight="1" thickBot="1" x14ac:dyDescent="0.3">
      <c r="A3" s="274" t="s">
        <v>334</v>
      </c>
      <c r="B3" s="275"/>
      <c r="C3" s="275"/>
      <c r="D3" s="276"/>
      <c r="E3" s="277"/>
      <c r="F3" s="277"/>
      <c r="G3" s="277"/>
      <c r="H3" s="277"/>
      <c r="I3" s="277"/>
      <c r="J3" s="277"/>
      <c r="K3" s="277"/>
      <c r="L3" s="277"/>
      <c r="M3" s="277"/>
      <c r="N3" s="277"/>
      <c r="O3" s="278"/>
    </row>
    <row r="4" spans="1:15" s="84" customFormat="1" x14ac:dyDescent="0.25">
      <c r="A4" s="271" t="s">
        <v>330</v>
      </c>
      <c r="B4" s="271" t="s">
        <v>340</v>
      </c>
      <c r="C4" s="271"/>
      <c r="D4" s="271"/>
      <c r="E4" s="271"/>
      <c r="F4" s="271"/>
      <c r="G4" s="271"/>
      <c r="H4" s="271"/>
      <c r="I4" s="271"/>
      <c r="J4" s="271"/>
      <c r="K4" s="271"/>
      <c r="L4" s="271"/>
      <c r="M4" s="271"/>
      <c r="N4" s="271"/>
      <c r="O4" s="271"/>
    </row>
    <row r="5" spans="1:15" s="84" customFormat="1" x14ac:dyDescent="0.25">
      <c r="A5" s="272"/>
      <c r="B5" s="272" t="s">
        <v>314</v>
      </c>
      <c r="C5" s="272"/>
      <c r="D5" s="272"/>
      <c r="E5" s="272" t="s">
        <v>341</v>
      </c>
      <c r="F5" s="272"/>
      <c r="G5" s="272"/>
      <c r="H5" s="272" t="s">
        <v>336</v>
      </c>
      <c r="I5" s="272"/>
      <c r="J5" s="272"/>
      <c r="K5" s="272" t="s">
        <v>342</v>
      </c>
      <c r="L5" s="272"/>
      <c r="M5" s="272"/>
      <c r="N5" s="272" t="s">
        <v>338</v>
      </c>
      <c r="O5" s="272"/>
    </row>
    <row r="6" spans="1:15" s="84" customFormat="1" x14ac:dyDescent="0.25">
      <c r="A6" s="71" t="s">
        <v>318</v>
      </c>
      <c r="B6" s="66">
        <f>'OI(Value)'!B6</f>
        <v>46050</v>
      </c>
      <c r="C6" s="71" t="s">
        <v>333</v>
      </c>
      <c r="D6" s="71" t="s">
        <v>328</v>
      </c>
      <c r="E6" s="66">
        <f>B6</f>
        <v>46050</v>
      </c>
      <c r="F6" s="71" t="s">
        <v>333</v>
      </c>
      <c r="G6" s="71" t="s">
        <v>328</v>
      </c>
      <c r="H6" s="66">
        <f>B6</f>
        <v>46050</v>
      </c>
      <c r="I6" s="71" t="s">
        <v>333</v>
      </c>
      <c r="J6" s="71" t="s">
        <v>328</v>
      </c>
      <c r="K6" s="66">
        <f>B6</f>
        <v>46050</v>
      </c>
      <c r="L6" s="71" t="s">
        <v>333</v>
      </c>
      <c r="M6" s="71" t="s">
        <v>328</v>
      </c>
      <c r="N6" s="71" t="s">
        <v>339</v>
      </c>
      <c r="O6" s="71" t="s">
        <v>328</v>
      </c>
    </row>
    <row r="7" spans="1:15" x14ac:dyDescent="0.25">
      <c r="A7" s="100" t="str">
        <f>'Data Vlaue (Cr)'!C2</f>
        <v>360ONE</v>
      </c>
      <c r="B7" s="82">
        <f>VLOOKUP(A7,'Data shares'!$C$2:$CV$214,98,0)</f>
        <v>3426000</v>
      </c>
      <c r="C7" s="82">
        <f>VLOOKUP(A7,'Data shares'!$C$2:$CX$214,100,0)</f>
        <v>-29500</v>
      </c>
      <c r="D7" s="141">
        <f>VLOOKUP(A7,'Data shares'!$C$2:$CY$537,101,0)</f>
        <v>-8.5000000000000006E-3</v>
      </c>
      <c r="E7" s="86">
        <f>VLOOKUP($A7,'Data shares'!$C:$FA,74)</f>
        <v>2914500</v>
      </c>
      <c r="F7" s="86">
        <f>VLOOKUP($A7,'Data shares'!$C:$FA,76)</f>
        <v>-124500</v>
      </c>
      <c r="G7" s="87">
        <f>VLOOKUP(A7,'Data shares'!$C$2:$CA$214,77,0)</f>
        <v>-4.1000000000000002E-2</v>
      </c>
      <c r="H7" s="86">
        <f>VLOOKUP($A7,'Data shares'!$C:$FA,90)</f>
        <v>319000</v>
      </c>
      <c r="I7" s="86">
        <f>VLOOKUP($A7,'Data shares'!$C:$FA,92)</f>
        <v>48000</v>
      </c>
      <c r="J7" s="87">
        <f>VLOOKUP($A7,'Data shares'!$C:$FA,93)</f>
        <v>0.17710000000000001</v>
      </c>
      <c r="K7" s="86">
        <f>VLOOKUP($A7,'Data shares'!$C:$FA,94)</f>
        <v>192500</v>
      </c>
      <c r="L7" s="86">
        <f>VLOOKUP($A7,'Data shares'!$C:$FA,96)</f>
        <v>47000</v>
      </c>
      <c r="M7" s="87">
        <f>VLOOKUP($A7,'Data shares'!$C:$FA,97)</f>
        <v>0.32300000000000001</v>
      </c>
      <c r="N7" s="86">
        <f>VLOOKUP($A7,'Data shares'!$C:$FA,78)</f>
        <v>2884500</v>
      </c>
      <c r="O7" s="87">
        <f>VLOOKUP($A7,'Data shares'!$C:$FA,81)</f>
        <v>2.4035000000000002</v>
      </c>
    </row>
    <row r="8" spans="1:15" x14ac:dyDescent="0.25">
      <c r="A8" s="100" t="str">
        <f>'Data Vlaue (Cr)'!C3</f>
        <v>ABB</v>
      </c>
      <c r="B8" s="82">
        <f>VLOOKUP(A8,'Data shares'!$C$2:$CV$214,98,0)</f>
        <v>3284250</v>
      </c>
      <c r="C8" s="82">
        <f>VLOOKUP(A8,'Data shares'!$C$2:$CX$214,100,0)</f>
        <v>385250</v>
      </c>
      <c r="D8" s="141">
        <f>VLOOKUP(A8,'Data shares'!$C$2:$CY$537,101,0)</f>
        <v>0.13289999999999999</v>
      </c>
      <c r="E8" s="86">
        <f>VLOOKUP($A8,'Data shares'!$C:$FA,74)</f>
        <v>2203125</v>
      </c>
      <c r="F8" s="86">
        <f>VLOOKUP($A8,'Data shares'!$C:$FA,76)</f>
        <v>18875</v>
      </c>
      <c r="G8" s="87">
        <f>VLOOKUP(A8,'Data shares'!$C$2:$CA$214,77,0)</f>
        <v>8.6E-3</v>
      </c>
      <c r="H8" s="86">
        <f>VLOOKUP($A8,'Data shares'!$C:$FA,90)</f>
        <v>548125</v>
      </c>
      <c r="I8" s="86">
        <f>VLOOKUP($A8,'Data shares'!$C:$FA,92)</f>
        <v>242375</v>
      </c>
      <c r="J8" s="87">
        <f>VLOOKUP($A8,'Data shares'!$C:$FA,93)</f>
        <v>0.79269999999999996</v>
      </c>
      <c r="K8" s="86">
        <f>VLOOKUP($A8,'Data shares'!$C:$FA,94)</f>
        <v>533000</v>
      </c>
      <c r="L8" s="86">
        <f>VLOOKUP($A8,'Data shares'!$C:$FA,96)</f>
        <v>124000</v>
      </c>
      <c r="M8" s="87">
        <f>VLOOKUP($A8,'Data shares'!$C:$FA,97)</f>
        <v>0.30320000000000003</v>
      </c>
      <c r="N8" s="86">
        <f>VLOOKUP($A8,'Data shares'!$C:$FA,78)</f>
        <v>2146625</v>
      </c>
      <c r="O8" s="87">
        <f>VLOOKUP($A8,'Data shares'!$C:$FA,81)</f>
        <v>7.5865</v>
      </c>
    </row>
    <row r="9" spans="1:15" x14ac:dyDescent="0.25">
      <c r="A9" s="100" t="str">
        <f>'Data Vlaue (Cr)'!C4</f>
        <v>ABCAPITAL</v>
      </c>
      <c r="B9" s="82">
        <f>VLOOKUP(A9,'Data shares'!$C$2:$CV$214,98,0)</f>
        <v>90210000</v>
      </c>
      <c r="C9" s="82">
        <f>VLOOKUP(A9,'Data shares'!$C$2:$CX$214,100,0)</f>
        <v>2644300</v>
      </c>
      <c r="D9" s="141">
        <f>VLOOKUP(A9,'Data shares'!$C$2:$CY$537,101,0)</f>
        <v>3.0200000000000001E-2</v>
      </c>
      <c r="E9" s="86">
        <f>VLOOKUP($A9,'Data shares'!$C:$FA,74)</f>
        <v>76325100</v>
      </c>
      <c r="F9" s="86">
        <f>VLOOKUP($A9,'Data shares'!$C:$FA,76)</f>
        <v>210800</v>
      </c>
      <c r="G9" s="87">
        <f>VLOOKUP(A9,'Data shares'!$C$2:$CA$214,77,0)</f>
        <v>2.8E-3</v>
      </c>
      <c r="H9" s="86">
        <f>VLOOKUP($A9,'Data shares'!$C:$FA,90)</f>
        <v>7926700</v>
      </c>
      <c r="I9" s="86">
        <f>VLOOKUP($A9,'Data shares'!$C:$FA,92)</f>
        <v>1553100</v>
      </c>
      <c r="J9" s="87">
        <f>VLOOKUP($A9,'Data shares'!$C:$FA,93)</f>
        <v>0.2437</v>
      </c>
      <c r="K9" s="86">
        <f>VLOOKUP($A9,'Data shares'!$C:$FA,94)</f>
        <v>5958200</v>
      </c>
      <c r="L9" s="86">
        <f>VLOOKUP($A9,'Data shares'!$C:$FA,96)</f>
        <v>880400</v>
      </c>
      <c r="M9" s="87">
        <f>VLOOKUP($A9,'Data shares'!$C:$FA,97)</f>
        <v>0.1734</v>
      </c>
      <c r="N9" s="86">
        <f>VLOOKUP($A9,'Data shares'!$C:$FA,78)</f>
        <v>75382700</v>
      </c>
      <c r="O9" s="87">
        <f>VLOOKUP($A9,'Data shares'!$C:$FA,81)</f>
        <v>44.881100000000004</v>
      </c>
    </row>
    <row r="10" spans="1:15" x14ac:dyDescent="0.25">
      <c r="A10" s="100" t="str">
        <f>'Data Vlaue (Cr)'!C5</f>
        <v>ADANIENSOL</v>
      </c>
      <c r="B10" s="82">
        <f>VLOOKUP(A10,'Data shares'!$C$2:$CV$214,98,0)</f>
        <v>26196075</v>
      </c>
      <c r="C10" s="82">
        <f>VLOOKUP(A10,'Data shares'!$C$2:$CX$214,100,0)</f>
        <v>794475</v>
      </c>
      <c r="D10" s="141">
        <f>VLOOKUP(A10,'Data shares'!$C$2:$CY$537,101,0)</f>
        <v>3.1300000000000001E-2</v>
      </c>
      <c r="E10" s="86">
        <f>VLOOKUP($A10,'Data shares'!$C:$FA,74)</f>
        <v>21695850</v>
      </c>
      <c r="F10" s="86">
        <f>VLOOKUP($A10,'Data shares'!$C:$FA,76)</f>
        <v>575775</v>
      </c>
      <c r="G10" s="87">
        <f>VLOOKUP(A10,'Data shares'!$C$2:$CA$214,77,0)</f>
        <v>2.7300000000000001E-2</v>
      </c>
      <c r="H10" s="86">
        <f>VLOOKUP($A10,'Data shares'!$C:$FA,90)</f>
        <v>2712150</v>
      </c>
      <c r="I10" s="86">
        <f>VLOOKUP($A10,'Data shares'!$C:$FA,92)</f>
        <v>97875</v>
      </c>
      <c r="J10" s="87">
        <f>VLOOKUP($A10,'Data shares'!$C:$FA,93)</f>
        <v>3.7400000000000003E-2</v>
      </c>
      <c r="K10" s="86">
        <f>VLOOKUP($A10,'Data shares'!$C:$FA,94)</f>
        <v>1788075</v>
      </c>
      <c r="L10" s="86">
        <f>VLOOKUP($A10,'Data shares'!$C:$FA,96)</f>
        <v>120825</v>
      </c>
      <c r="M10" s="87">
        <f>VLOOKUP($A10,'Data shares'!$C:$FA,97)</f>
        <v>7.2499999999999995E-2</v>
      </c>
      <c r="N10" s="86">
        <f>VLOOKUP($A10,'Data shares'!$C:$FA,78)</f>
        <v>21472425</v>
      </c>
      <c r="O10" s="87">
        <f>VLOOKUP($A10,'Data shares'!$C:$FA,81)</f>
        <v>22.721800000000002</v>
      </c>
    </row>
    <row r="11" spans="1:15" x14ac:dyDescent="0.25">
      <c r="A11" s="100" t="str">
        <f>'Data Vlaue (Cr)'!C6</f>
        <v>ADANIENT</v>
      </c>
      <c r="B11" s="82">
        <f>VLOOKUP(A11,'Data shares'!$C$2:$CV$214,98,0)</f>
        <v>31164195</v>
      </c>
      <c r="C11" s="82">
        <f>VLOOKUP(A11,'Data shares'!$C$2:$CX$214,100,0)</f>
        <v>1125069</v>
      </c>
      <c r="D11" s="141">
        <f>VLOOKUP(A11,'Data shares'!$C$2:$CY$537,101,0)</f>
        <v>3.7499999999999999E-2</v>
      </c>
      <c r="E11" s="86">
        <f>VLOOKUP($A11,'Data shares'!$C:$FA,74)</f>
        <v>20121462</v>
      </c>
      <c r="F11" s="86">
        <f>VLOOKUP($A11,'Data shares'!$C:$FA,76)</f>
        <v>42951</v>
      </c>
      <c r="G11" s="87">
        <f>VLOOKUP(A11,'Data shares'!$C$2:$CA$214,77,0)</f>
        <v>2.0999999999999999E-3</v>
      </c>
      <c r="H11" s="86">
        <f>VLOOKUP($A11,'Data shares'!$C:$FA,90)</f>
        <v>5297805</v>
      </c>
      <c r="I11" s="86">
        <f>VLOOKUP($A11,'Data shares'!$C:$FA,92)</f>
        <v>358749</v>
      </c>
      <c r="J11" s="87">
        <f>VLOOKUP($A11,'Data shares'!$C:$FA,93)</f>
        <v>7.2599999999999998E-2</v>
      </c>
      <c r="K11" s="86">
        <f>VLOOKUP($A11,'Data shares'!$C:$FA,94)</f>
        <v>5744928</v>
      </c>
      <c r="L11" s="86">
        <f>VLOOKUP($A11,'Data shares'!$C:$FA,96)</f>
        <v>723369</v>
      </c>
      <c r="M11" s="87">
        <f>VLOOKUP($A11,'Data shares'!$C:$FA,97)</f>
        <v>0.14410000000000001</v>
      </c>
      <c r="N11" s="86">
        <f>VLOOKUP($A11,'Data shares'!$C:$FA,78)</f>
        <v>19480287</v>
      </c>
      <c r="O11" s="87">
        <f>VLOOKUP($A11,'Data shares'!$C:$FA,81)</f>
        <v>9.8042999999999996</v>
      </c>
    </row>
    <row r="12" spans="1:15" x14ac:dyDescent="0.25">
      <c r="A12" s="100" t="str">
        <f>'Data Vlaue (Cr)'!C7</f>
        <v>ADANIGREEN</v>
      </c>
      <c r="B12" s="82">
        <f>VLOOKUP(A12,'Data shares'!$C$2:$CV$214,98,0)</f>
        <v>35011800</v>
      </c>
      <c r="C12" s="82">
        <f>VLOOKUP(A12,'Data shares'!$C$2:$CX$214,100,0)</f>
        <v>2179200</v>
      </c>
      <c r="D12" s="141">
        <f>VLOOKUP(A12,'Data shares'!$C$2:$CY$537,101,0)</f>
        <v>6.6400000000000001E-2</v>
      </c>
      <c r="E12" s="86">
        <f>VLOOKUP($A12,'Data shares'!$C:$FA,74)</f>
        <v>22992000</v>
      </c>
      <c r="F12" s="86">
        <f>VLOOKUP($A12,'Data shares'!$C:$FA,76)</f>
        <v>48000</v>
      </c>
      <c r="G12" s="87">
        <f>VLOOKUP(A12,'Data shares'!$C$2:$CA$214,77,0)</f>
        <v>2.0999999999999999E-3</v>
      </c>
      <c r="H12" s="86">
        <f>VLOOKUP($A12,'Data shares'!$C:$FA,90)</f>
        <v>6651000</v>
      </c>
      <c r="I12" s="86">
        <f>VLOOKUP($A12,'Data shares'!$C:$FA,92)</f>
        <v>1230000</v>
      </c>
      <c r="J12" s="87">
        <f>VLOOKUP($A12,'Data shares'!$C:$FA,93)</f>
        <v>0.22689999999999999</v>
      </c>
      <c r="K12" s="86">
        <f>VLOOKUP($A12,'Data shares'!$C:$FA,94)</f>
        <v>5368800</v>
      </c>
      <c r="L12" s="86">
        <f>VLOOKUP($A12,'Data shares'!$C:$FA,96)</f>
        <v>901200</v>
      </c>
      <c r="M12" s="87">
        <f>VLOOKUP($A12,'Data shares'!$C:$FA,97)</f>
        <v>0.20169999999999999</v>
      </c>
      <c r="N12" s="86">
        <f>VLOOKUP($A12,'Data shares'!$C:$FA,78)</f>
        <v>22483800</v>
      </c>
      <c r="O12" s="87">
        <f>VLOOKUP($A12,'Data shares'!$C:$FA,81)</f>
        <v>27.260200000000001</v>
      </c>
    </row>
    <row r="13" spans="1:15" x14ac:dyDescent="0.25">
      <c r="A13" s="100" t="str">
        <f>'Data Vlaue (Cr)'!C8</f>
        <v>ADANIPORTS</v>
      </c>
      <c r="B13" s="82">
        <f>VLOOKUP(A13,'Data shares'!$C$2:$CV$214,98,0)</f>
        <v>34035175</v>
      </c>
      <c r="C13" s="82">
        <f>VLOOKUP(A13,'Data shares'!$C$2:$CX$214,100,0)</f>
        <v>815575</v>
      </c>
      <c r="D13" s="141">
        <f>VLOOKUP(A13,'Data shares'!$C$2:$CY$537,101,0)</f>
        <v>2.46E-2</v>
      </c>
      <c r="E13" s="86">
        <f>VLOOKUP($A13,'Data shares'!$C:$FA,74)</f>
        <v>24829675</v>
      </c>
      <c r="F13" s="86">
        <f>VLOOKUP($A13,'Data shares'!$C:$FA,76)</f>
        <v>-571900</v>
      </c>
      <c r="G13" s="87">
        <f>VLOOKUP(A13,'Data shares'!$C$2:$CA$214,77,0)</f>
        <v>-2.2499999999999999E-2</v>
      </c>
      <c r="H13" s="86">
        <f>VLOOKUP($A13,'Data shares'!$C:$FA,90)</f>
        <v>4731950</v>
      </c>
      <c r="I13" s="86">
        <f>VLOOKUP($A13,'Data shares'!$C:$FA,92)</f>
        <v>909625</v>
      </c>
      <c r="J13" s="87">
        <f>VLOOKUP($A13,'Data shares'!$C:$FA,93)</f>
        <v>0.23799999999999999</v>
      </c>
      <c r="K13" s="86">
        <f>VLOOKUP($A13,'Data shares'!$C:$FA,94)</f>
        <v>4473550</v>
      </c>
      <c r="L13" s="86">
        <f>VLOOKUP($A13,'Data shares'!$C:$FA,96)</f>
        <v>477850</v>
      </c>
      <c r="M13" s="87">
        <f>VLOOKUP($A13,'Data shares'!$C:$FA,97)</f>
        <v>0.1196</v>
      </c>
      <c r="N13" s="86">
        <f>VLOOKUP($A13,'Data shares'!$C:$FA,78)</f>
        <v>24102450</v>
      </c>
      <c r="O13" s="87">
        <f>VLOOKUP($A13,'Data shares'!$C:$FA,81)</f>
        <v>12.293699999999999</v>
      </c>
    </row>
    <row r="14" spans="1:15" x14ac:dyDescent="0.25">
      <c r="A14" s="100" t="str">
        <f>'Data Vlaue (Cr)'!C9</f>
        <v>ALKEM</v>
      </c>
      <c r="B14" s="82">
        <f>VLOOKUP(A14,'Data shares'!$C$2:$CV$214,98,0)</f>
        <v>1361125</v>
      </c>
      <c r="C14" s="82">
        <f>VLOOKUP(A14,'Data shares'!$C$2:$CX$214,100,0)</f>
        <v>29750</v>
      </c>
      <c r="D14" s="141">
        <f>VLOOKUP(A14,'Data shares'!$C$2:$CY$537,101,0)</f>
        <v>2.23E-2</v>
      </c>
      <c r="E14" s="86">
        <f>VLOOKUP($A14,'Data shares'!$C:$FA,74)</f>
        <v>1243750</v>
      </c>
      <c r="F14" s="86">
        <f>VLOOKUP($A14,'Data shares'!$C:$FA,76)</f>
        <v>-16375</v>
      </c>
      <c r="G14" s="87">
        <f>VLOOKUP(A14,'Data shares'!$C$2:$CA$214,77,0)</f>
        <v>-1.2999999999999999E-2</v>
      </c>
      <c r="H14" s="86">
        <f>VLOOKUP($A14,'Data shares'!$C:$FA,90)</f>
        <v>61125</v>
      </c>
      <c r="I14" s="86">
        <f>VLOOKUP($A14,'Data shares'!$C:$FA,92)</f>
        <v>21625</v>
      </c>
      <c r="J14" s="87">
        <f>VLOOKUP($A14,'Data shares'!$C:$FA,93)</f>
        <v>0.54749999999999999</v>
      </c>
      <c r="K14" s="86">
        <f>VLOOKUP($A14,'Data shares'!$C:$FA,94)</f>
        <v>56250</v>
      </c>
      <c r="L14" s="86">
        <f>VLOOKUP($A14,'Data shares'!$C:$FA,96)</f>
        <v>24500</v>
      </c>
      <c r="M14" s="87">
        <f>VLOOKUP($A14,'Data shares'!$C:$FA,97)</f>
        <v>0.77170000000000005</v>
      </c>
      <c r="N14" s="86">
        <f>VLOOKUP($A14,'Data shares'!$C:$FA,78)</f>
        <v>1241000</v>
      </c>
      <c r="O14" s="87">
        <f>VLOOKUP($A14,'Data shares'!$C:$FA,81)</f>
        <v>8.4914000000000005</v>
      </c>
    </row>
    <row r="15" spans="1:15" x14ac:dyDescent="0.25">
      <c r="A15" s="100" t="str">
        <f>'Data Vlaue (Cr)'!C10</f>
        <v>AMBER</v>
      </c>
      <c r="B15" s="82">
        <f>VLOOKUP(A15,'Data shares'!$C$2:$CV$214,98,0)</f>
        <v>1534100</v>
      </c>
      <c r="C15" s="82">
        <f>VLOOKUP(A15,'Data shares'!$C$2:$CX$214,100,0)</f>
        <v>48300</v>
      </c>
      <c r="D15" s="141">
        <f>VLOOKUP(A15,'Data shares'!$C$2:$CY$537,101,0)</f>
        <v>3.2500000000000001E-2</v>
      </c>
      <c r="E15" s="86">
        <f>VLOOKUP($A15,'Data shares'!$C:$FA,74)</f>
        <v>1329600</v>
      </c>
      <c r="F15" s="86">
        <f>VLOOKUP($A15,'Data shares'!$C:$FA,76)</f>
        <v>20200</v>
      </c>
      <c r="G15" s="87">
        <f>VLOOKUP(A15,'Data shares'!$C$2:$CA$214,77,0)</f>
        <v>1.54E-2</v>
      </c>
      <c r="H15" s="86">
        <f>VLOOKUP($A15,'Data shares'!$C:$FA,90)</f>
        <v>113200</v>
      </c>
      <c r="I15" s="86">
        <f>VLOOKUP($A15,'Data shares'!$C:$FA,92)</f>
        <v>22300</v>
      </c>
      <c r="J15" s="87">
        <f>VLOOKUP($A15,'Data shares'!$C:$FA,93)</f>
        <v>0.24529999999999999</v>
      </c>
      <c r="K15" s="86">
        <f>VLOOKUP($A15,'Data shares'!$C:$FA,94)</f>
        <v>91300</v>
      </c>
      <c r="L15" s="86">
        <f>VLOOKUP($A15,'Data shares'!$C:$FA,96)</f>
        <v>5800</v>
      </c>
      <c r="M15" s="87">
        <f>VLOOKUP($A15,'Data shares'!$C:$FA,97)</f>
        <v>6.7799999999999999E-2</v>
      </c>
      <c r="N15" s="86">
        <f>VLOOKUP($A15,'Data shares'!$C:$FA,78)</f>
        <v>1296500</v>
      </c>
      <c r="O15" s="87">
        <f>VLOOKUP($A15,'Data shares'!$C:$FA,81)</f>
        <v>14.2529</v>
      </c>
    </row>
    <row r="16" spans="1:15" x14ac:dyDescent="0.25">
      <c r="A16" s="100" t="str">
        <f>'Data Vlaue (Cr)'!C11</f>
        <v>AMBUJACEM</v>
      </c>
      <c r="B16" s="82">
        <f>VLOOKUP(A16,'Data shares'!$C$2:$CV$214,98,0)</f>
        <v>62665050</v>
      </c>
      <c r="C16" s="82">
        <f>VLOOKUP(A16,'Data shares'!$C$2:$CX$214,100,0)</f>
        <v>1102500</v>
      </c>
      <c r="D16" s="141">
        <f>VLOOKUP(A16,'Data shares'!$C$2:$CY$537,101,0)</f>
        <v>1.7899999999999999E-2</v>
      </c>
      <c r="E16" s="86">
        <f>VLOOKUP($A16,'Data shares'!$C:$FA,74)</f>
        <v>46623150</v>
      </c>
      <c r="F16" s="86">
        <f>VLOOKUP($A16,'Data shares'!$C:$FA,76)</f>
        <v>216300</v>
      </c>
      <c r="G16" s="87">
        <f>VLOOKUP(A16,'Data shares'!$C$2:$CA$214,77,0)</f>
        <v>4.7000000000000002E-3</v>
      </c>
      <c r="H16" s="86">
        <f>VLOOKUP($A16,'Data shares'!$C:$FA,90)</f>
        <v>7437150</v>
      </c>
      <c r="I16" s="86">
        <f>VLOOKUP($A16,'Data shares'!$C:$FA,92)</f>
        <v>704550</v>
      </c>
      <c r="J16" s="87">
        <f>VLOOKUP($A16,'Data shares'!$C:$FA,93)</f>
        <v>0.1046</v>
      </c>
      <c r="K16" s="86">
        <f>VLOOKUP($A16,'Data shares'!$C:$FA,94)</f>
        <v>8604750</v>
      </c>
      <c r="L16" s="86">
        <f>VLOOKUP($A16,'Data shares'!$C:$FA,96)</f>
        <v>181650</v>
      </c>
      <c r="M16" s="87">
        <f>VLOOKUP($A16,'Data shares'!$C:$FA,97)</f>
        <v>2.1600000000000001E-2</v>
      </c>
      <c r="N16" s="86">
        <f>VLOOKUP($A16,'Data shares'!$C:$FA,78)</f>
        <v>45960600</v>
      </c>
      <c r="O16" s="87">
        <f>VLOOKUP($A16,'Data shares'!$C:$FA,81)</f>
        <v>25.273700000000002</v>
      </c>
    </row>
    <row r="17" spans="1:15" x14ac:dyDescent="0.25">
      <c r="A17" s="100" t="str">
        <f>'Data Vlaue (Cr)'!C12</f>
        <v>ANGELONE</v>
      </c>
      <c r="B17" s="82">
        <f>VLOOKUP(A17,'Data shares'!$C$2:$CV$214,98,0)</f>
        <v>4684000</v>
      </c>
      <c r="C17" s="82">
        <f>VLOOKUP(A17,'Data shares'!$C$2:$CX$214,100,0)</f>
        <v>173750</v>
      </c>
      <c r="D17" s="141">
        <f>VLOOKUP(A17,'Data shares'!$C$2:$CY$537,101,0)</f>
        <v>3.85E-2</v>
      </c>
      <c r="E17" s="86">
        <f>VLOOKUP($A17,'Data shares'!$C:$FA,74)</f>
        <v>3017000</v>
      </c>
      <c r="F17" s="86">
        <f>VLOOKUP($A17,'Data shares'!$C:$FA,76)</f>
        <v>-43500</v>
      </c>
      <c r="G17" s="87">
        <f>VLOOKUP(A17,'Data shares'!$C$2:$CA$214,77,0)</f>
        <v>-1.4200000000000001E-2</v>
      </c>
      <c r="H17" s="86">
        <f>VLOOKUP($A17,'Data shares'!$C:$FA,90)</f>
        <v>971750</v>
      </c>
      <c r="I17" s="86">
        <f>VLOOKUP($A17,'Data shares'!$C:$FA,92)</f>
        <v>233500</v>
      </c>
      <c r="J17" s="87">
        <f>VLOOKUP($A17,'Data shares'!$C:$FA,93)</f>
        <v>0.31630000000000003</v>
      </c>
      <c r="K17" s="86">
        <f>VLOOKUP($A17,'Data shares'!$C:$FA,94)</f>
        <v>695250</v>
      </c>
      <c r="L17" s="86">
        <f>VLOOKUP($A17,'Data shares'!$C:$FA,96)</f>
        <v>-16250</v>
      </c>
      <c r="M17" s="87">
        <f>VLOOKUP($A17,'Data shares'!$C:$FA,97)</f>
        <v>-2.2800000000000001E-2</v>
      </c>
      <c r="N17" s="86">
        <f>VLOOKUP($A17,'Data shares'!$C:$FA,78)</f>
        <v>2953250</v>
      </c>
      <c r="O17" s="87">
        <f>VLOOKUP($A17,'Data shares'!$C:$FA,81)</f>
        <v>3.9655</v>
      </c>
    </row>
    <row r="18" spans="1:15" x14ac:dyDescent="0.25">
      <c r="A18" s="100" t="str">
        <f>'Data Vlaue (Cr)'!C13</f>
        <v>APLAPOLLO</v>
      </c>
      <c r="B18" s="82">
        <f>VLOOKUP(A18,'Data shares'!$C$2:$CV$214,98,0)</f>
        <v>11515350</v>
      </c>
      <c r="C18" s="82">
        <f>VLOOKUP(A18,'Data shares'!$C$2:$CX$214,100,0)</f>
        <v>-412300</v>
      </c>
      <c r="D18" s="141">
        <f>VLOOKUP(A18,'Data shares'!$C$2:$CY$537,101,0)</f>
        <v>-3.4599999999999999E-2</v>
      </c>
      <c r="E18" s="86">
        <f>VLOOKUP($A18,'Data shares'!$C:$FA,74)</f>
        <v>9858100</v>
      </c>
      <c r="F18" s="86">
        <f>VLOOKUP($A18,'Data shares'!$C:$FA,76)</f>
        <v>-420700</v>
      </c>
      <c r="G18" s="87">
        <f>VLOOKUP(A18,'Data shares'!$C$2:$CA$214,77,0)</f>
        <v>-4.0899999999999999E-2</v>
      </c>
      <c r="H18" s="86">
        <f>VLOOKUP($A18,'Data shares'!$C:$FA,90)</f>
        <v>1069950</v>
      </c>
      <c r="I18" s="86">
        <f>VLOOKUP($A18,'Data shares'!$C:$FA,92)</f>
        <v>-46550</v>
      </c>
      <c r="J18" s="87">
        <f>VLOOKUP($A18,'Data shares'!$C:$FA,93)</f>
        <v>-4.1700000000000001E-2</v>
      </c>
      <c r="K18" s="86">
        <f>VLOOKUP($A18,'Data shares'!$C:$FA,94)</f>
        <v>587300</v>
      </c>
      <c r="L18" s="86">
        <f>VLOOKUP($A18,'Data shares'!$C:$FA,96)</f>
        <v>54950</v>
      </c>
      <c r="M18" s="87">
        <f>VLOOKUP($A18,'Data shares'!$C:$FA,97)</f>
        <v>0.1032</v>
      </c>
      <c r="N18" s="86">
        <f>VLOOKUP($A18,'Data shares'!$C:$FA,78)</f>
        <v>9811550</v>
      </c>
      <c r="O18" s="87">
        <f>VLOOKUP($A18,'Data shares'!$C:$FA,81)</f>
        <v>47.584099999999999</v>
      </c>
    </row>
    <row r="19" spans="1:15" x14ac:dyDescent="0.25">
      <c r="A19" s="100" t="str">
        <f>'Data Vlaue (Cr)'!C14</f>
        <v>APOLLOHOSP</v>
      </c>
      <c r="B19" s="82">
        <f>VLOOKUP(A19,'Data shares'!$C$2:$CV$214,98,0)</f>
        <v>4901125</v>
      </c>
      <c r="C19" s="82">
        <f>VLOOKUP(A19,'Data shares'!$C$2:$CX$214,100,0)</f>
        <v>257625</v>
      </c>
      <c r="D19" s="141">
        <f>VLOOKUP(A19,'Data shares'!$C$2:$CY$537,101,0)</f>
        <v>5.5500000000000001E-2</v>
      </c>
      <c r="E19" s="86">
        <f>VLOOKUP($A19,'Data shares'!$C:$FA,74)</f>
        <v>3771625</v>
      </c>
      <c r="F19" s="86">
        <f>VLOOKUP($A19,'Data shares'!$C:$FA,76)</f>
        <v>-102250</v>
      </c>
      <c r="G19" s="87">
        <f>VLOOKUP(A19,'Data shares'!$C$2:$CA$214,77,0)</f>
        <v>-2.64E-2</v>
      </c>
      <c r="H19" s="86">
        <f>VLOOKUP($A19,'Data shares'!$C:$FA,90)</f>
        <v>641875</v>
      </c>
      <c r="I19" s="86">
        <f>VLOOKUP($A19,'Data shares'!$C:$FA,92)</f>
        <v>214625</v>
      </c>
      <c r="J19" s="87">
        <f>VLOOKUP($A19,'Data shares'!$C:$FA,93)</f>
        <v>0.50229999999999997</v>
      </c>
      <c r="K19" s="86">
        <f>VLOOKUP($A19,'Data shares'!$C:$FA,94)</f>
        <v>487625</v>
      </c>
      <c r="L19" s="86">
        <f>VLOOKUP($A19,'Data shares'!$C:$FA,96)</f>
        <v>145250</v>
      </c>
      <c r="M19" s="87">
        <f>VLOOKUP($A19,'Data shares'!$C:$FA,97)</f>
        <v>0.42420000000000002</v>
      </c>
      <c r="N19" s="86">
        <f>VLOOKUP($A19,'Data shares'!$C:$FA,78)</f>
        <v>3726125</v>
      </c>
      <c r="O19" s="87">
        <f>VLOOKUP($A19,'Data shares'!$C:$FA,81)</f>
        <v>6.9512</v>
      </c>
    </row>
    <row r="20" spans="1:15" x14ac:dyDescent="0.25">
      <c r="A20" s="100" t="str">
        <f>'Data Vlaue (Cr)'!C15</f>
        <v>ASHOKLEY</v>
      </c>
      <c r="B20" s="82">
        <f>VLOOKUP(A20,'Data shares'!$C$2:$CV$214,98,0)</f>
        <v>221265000</v>
      </c>
      <c r="C20" s="82">
        <f>VLOOKUP(A20,'Data shares'!$C$2:$CX$214,100,0)</f>
        <v>2405000</v>
      </c>
      <c r="D20" s="141">
        <f>VLOOKUP(A20,'Data shares'!$C$2:$CY$537,101,0)</f>
        <v>1.0999999999999999E-2</v>
      </c>
      <c r="E20" s="86">
        <f>VLOOKUP($A20,'Data shares'!$C:$FA,74)</f>
        <v>159230000</v>
      </c>
      <c r="F20" s="86">
        <f>VLOOKUP($A20,'Data shares'!$C:$FA,76)</f>
        <v>-3965000</v>
      </c>
      <c r="G20" s="87">
        <f>VLOOKUP(A20,'Data shares'!$C$2:$CA$214,77,0)</f>
        <v>-2.4299999999999999E-2</v>
      </c>
      <c r="H20" s="86">
        <f>VLOOKUP($A20,'Data shares'!$C:$FA,90)</f>
        <v>38600000</v>
      </c>
      <c r="I20" s="86">
        <f>VLOOKUP($A20,'Data shares'!$C:$FA,92)</f>
        <v>3265000</v>
      </c>
      <c r="J20" s="87">
        <f>VLOOKUP($A20,'Data shares'!$C:$FA,93)</f>
        <v>9.2399999999999996E-2</v>
      </c>
      <c r="K20" s="86">
        <f>VLOOKUP($A20,'Data shares'!$C:$FA,94)</f>
        <v>23435000</v>
      </c>
      <c r="L20" s="86">
        <f>VLOOKUP($A20,'Data shares'!$C:$FA,96)</f>
        <v>3105000</v>
      </c>
      <c r="M20" s="87">
        <f>VLOOKUP($A20,'Data shares'!$C:$FA,97)</f>
        <v>0.1527</v>
      </c>
      <c r="N20" s="86">
        <f>VLOOKUP($A20,'Data shares'!$C:$FA,78)</f>
        <v>157470000</v>
      </c>
      <c r="O20" s="87">
        <f>VLOOKUP($A20,'Data shares'!$C:$FA,81)</f>
        <v>11.2736</v>
      </c>
    </row>
    <row r="21" spans="1:15" x14ac:dyDescent="0.25">
      <c r="A21" s="100" t="str">
        <f>'Data Vlaue (Cr)'!C16</f>
        <v>ASIANPAINT</v>
      </c>
      <c r="B21" s="82">
        <f>VLOOKUP(A21,'Data shares'!$C$2:$CV$214,98,0)</f>
        <v>22246750</v>
      </c>
      <c r="C21" s="82">
        <f>VLOOKUP(A21,'Data shares'!$C$2:$CX$214,100,0)</f>
        <v>3636250</v>
      </c>
      <c r="D21" s="141">
        <f>VLOOKUP(A21,'Data shares'!$C$2:$CY$537,101,0)</f>
        <v>0.19539999999999999</v>
      </c>
      <c r="E21" s="86">
        <f>VLOOKUP($A21,'Data shares'!$C:$FA,74)</f>
        <v>14101250</v>
      </c>
      <c r="F21" s="86">
        <f>VLOOKUP($A21,'Data shares'!$C:$FA,76)</f>
        <v>1058500</v>
      </c>
      <c r="G21" s="87">
        <f>VLOOKUP(A21,'Data shares'!$C$2:$CA$214,77,0)</f>
        <v>8.1199999999999994E-2</v>
      </c>
      <c r="H21" s="86">
        <f>VLOOKUP($A21,'Data shares'!$C:$FA,90)</f>
        <v>4972250</v>
      </c>
      <c r="I21" s="86">
        <f>VLOOKUP($A21,'Data shares'!$C:$FA,92)</f>
        <v>2057000</v>
      </c>
      <c r="J21" s="87">
        <f>VLOOKUP($A21,'Data shares'!$C:$FA,93)</f>
        <v>0.7056</v>
      </c>
      <c r="K21" s="86">
        <f>VLOOKUP($A21,'Data shares'!$C:$FA,94)</f>
        <v>3173250</v>
      </c>
      <c r="L21" s="86">
        <f>VLOOKUP($A21,'Data shares'!$C:$FA,96)</f>
        <v>520750</v>
      </c>
      <c r="M21" s="87">
        <f>VLOOKUP($A21,'Data shares'!$C:$FA,97)</f>
        <v>0.1963</v>
      </c>
      <c r="N21" s="86">
        <f>VLOOKUP($A21,'Data shares'!$C:$FA,78)</f>
        <v>13817500</v>
      </c>
      <c r="O21" s="87">
        <f>VLOOKUP($A21,'Data shares'!$C:$FA,81)</f>
        <v>19.425000000000001</v>
      </c>
    </row>
    <row r="22" spans="1:15" x14ac:dyDescent="0.25">
      <c r="A22" s="100" t="str">
        <f>'Data Vlaue (Cr)'!C17</f>
        <v>ASTRAL</v>
      </c>
      <c r="B22" s="82">
        <f>VLOOKUP(A22,'Data shares'!$C$2:$CV$214,98,0)</f>
        <v>8994275</v>
      </c>
      <c r="C22" s="82">
        <f>VLOOKUP(A22,'Data shares'!$C$2:$CX$214,100,0)</f>
        <v>404175</v>
      </c>
      <c r="D22" s="141">
        <f>VLOOKUP(A22,'Data shares'!$C$2:$CY$537,101,0)</f>
        <v>4.7100000000000003E-2</v>
      </c>
      <c r="E22" s="86">
        <f>VLOOKUP($A22,'Data shares'!$C:$FA,74)</f>
        <v>7198225</v>
      </c>
      <c r="F22" s="86">
        <f>VLOOKUP($A22,'Data shares'!$C:$FA,76)</f>
        <v>-39525</v>
      </c>
      <c r="G22" s="87">
        <f>VLOOKUP(A22,'Data shares'!$C$2:$CA$214,77,0)</f>
        <v>-5.4999999999999997E-3</v>
      </c>
      <c r="H22" s="86">
        <f>VLOOKUP($A22,'Data shares'!$C:$FA,90)</f>
        <v>1094375</v>
      </c>
      <c r="I22" s="86">
        <f>VLOOKUP($A22,'Data shares'!$C:$FA,92)</f>
        <v>340850</v>
      </c>
      <c r="J22" s="87">
        <f>VLOOKUP($A22,'Data shares'!$C:$FA,93)</f>
        <v>0.45229999999999998</v>
      </c>
      <c r="K22" s="86">
        <f>VLOOKUP($A22,'Data shares'!$C:$FA,94)</f>
        <v>701675</v>
      </c>
      <c r="L22" s="86">
        <f>VLOOKUP($A22,'Data shares'!$C:$FA,96)</f>
        <v>102850</v>
      </c>
      <c r="M22" s="87">
        <f>VLOOKUP($A22,'Data shares'!$C:$FA,97)</f>
        <v>0.17180000000000001</v>
      </c>
      <c r="N22" s="86">
        <f>VLOOKUP($A22,'Data shares'!$C:$FA,78)</f>
        <v>7067750</v>
      </c>
      <c r="O22" s="87">
        <f>VLOOKUP($A22,'Data shares'!$C:$FA,81)</f>
        <v>27.091200000000001</v>
      </c>
    </row>
    <row r="23" spans="1:15" x14ac:dyDescent="0.25">
      <c r="A23" s="100" t="str">
        <f>'Data Vlaue (Cr)'!C18</f>
        <v>AUBANK</v>
      </c>
      <c r="B23" s="82">
        <f>VLOOKUP(A23,'Data shares'!$C$2:$CV$214,98,0)</f>
        <v>30420000</v>
      </c>
      <c r="C23" s="82">
        <f>VLOOKUP(A23,'Data shares'!$C$2:$CX$214,100,0)</f>
        <v>475000</v>
      </c>
      <c r="D23" s="141">
        <f>VLOOKUP(A23,'Data shares'!$C$2:$CY$537,101,0)</f>
        <v>1.5900000000000001E-2</v>
      </c>
      <c r="E23" s="86">
        <f>VLOOKUP($A23,'Data shares'!$C:$FA,74)</f>
        <v>22985000</v>
      </c>
      <c r="F23" s="86">
        <f>VLOOKUP($A23,'Data shares'!$C:$FA,76)</f>
        <v>-585000</v>
      </c>
      <c r="G23" s="87">
        <f>VLOOKUP(A23,'Data shares'!$C$2:$CA$214,77,0)</f>
        <v>-2.4799999999999999E-2</v>
      </c>
      <c r="H23" s="86">
        <f>VLOOKUP($A23,'Data shares'!$C:$FA,90)</f>
        <v>4267000</v>
      </c>
      <c r="I23" s="86">
        <f>VLOOKUP($A23,'Data shares'!$C:$FA,92)</f>
        <v>768000</v>
      </c>
      <c r="J23" s="87">
        <f>VLOOKUP($A23,'Data shares'!$C:$FA,93)</f>
        <v>0.2195</v>
      </c>
      <c r="K23" s="86">
        <f>VLOOKUP($A23,'Data shares'!$C:$FA,94)</f>
        <v>3168000</v>
      </c>
      <c r="L23" s="86">
        <f>VLOOKUP($A23,'Data shares'!$C:$FA,96)</f>
        <v>292000</v>
      </c>
      <c r="M23" s="87">
        <f>VLOOKUP($A23,'Data shares'!$C:$FA,97)</f>
        <v>0.10150000000000001</v>
      </c>
      <c r="N23" s="86">
        <f>VLOOKUP($A23,'Data shares'!$C:$FA,78)</f>
        <v>22728000</v>
      </c>
      <c r="O23" s="87">
        <f>VLOOKUP($A23,'Data shares'!$C:$FA,81)</f>
        <v>35.364800000000002</v>
      </c>
    </row>
    <row r="24" spans="1:15" x14ac:dyDescent="0.25">
      <c r="A24" s="100" t="str">
        <f>'Data Vlaue (Cr)'!C19</f>
        <v>AUROPHARMA</v>
      </c>
      <c r="B24" s="82">
        <f>VLOOKUP(A24,'Data shares'!$C$2:$CV$214,98,0)</f>
        <v>23772100</v>
      </c>
      <c r="C24" s="82">
        <f>VLOOKUP(A24,'Data shares'!$C$2:$CX$214,100,0)</f>
        <v>401500</v>
      </c>
      <c r="D24" s="141">
        <f>VLOOKUP(A24,'Data shares'!$C$2:$CY$537,101,0)</f>
        <v>1.72E-2</v>
      </c>
      <c r="E24" s="86">
        <f>VLOOKUP($A24,'Data shares'!$C:$FA,74)</f>
        <v>20971500</v>
      </c>
      <c r="F24" s="86">
        <f>VLOOKUP($A24,'Data shares'!$C:$FA,76)</f>
        <v>-51150</v>
      </c>
      <c r="G24" s="87">
        <f>VLOOKUP(A24,'Data shares'!$C$2:$CA$214,77,0)</f>
        <v>-2.3999999999999998E-3</v>
      </c>
      <c r="H24" s="86">
        <f>VLOOKUP($A24,'Data shares'!$C:$FA,90)</f>
        <v>1297450</v>
      </c>
      <c r="I24" s="86">
        <f>VLOOKUP($A24,'Data shares'!$C:$FA,92)</f>
        <v>264000</v>
      </c>
      <c r="J24" s="87">
        <f>VLOOKUP($A24,'Data shares'!$C:$FA,93)</f>
        <v>0.2555</v>
      </c>
      <c r="K24" s="86">
        <f>VLOOKUP($A24,'Data shares'!$C:$FA,94)</f>
        <v>1503150</v>
      </c>
      <c r="L24" s="86">
        <f>VLOOKUP($A24,'Data shares'!$C:$FA,96)</f>
        <v>188650</v>
      </c>
      <c r="M24" s="87">
        <f>VLOOKUP($A24,'Data shares'!$C:$FA,97)</f>
        <v>0.14349999999999999</v>
      </c>
      <c r="N24" s="86">
        <f>VLOOKUP($A24,'Data shares'!$C:$FA,78)</f>
        <v>20890100</v>
      </c>
      <c r="O24" s="87">
        <f>VLOOKUP($A24,'Data shares'!$C:$FA,81)</f>
        <v>17.304600000000001</v>
      </c>
    </row>
    <row r="25" spans="1:15" x14ac:dyDescent="0.25">
      <c r="A25" s="100" t="str">
        <f>'Data Vlaue (Cr)'!C20</f>
        <v>AXISBANK</v>
      </c>
      <c r="B25" s="82">
        <f>VLOOKUP(A25,'Data shares'!$C$2:$CV$214,98,0)</f>
        <v>105440625</v>
      </c>
      <c r="C25" s="82">
        <f>VLOOKUP(A25,'Data shares'!$C$2:$CX$214,100,0)</f>
        <v>978750</v>
      </c>
      <c r="D25" s="141">
        <f>VLOOKUP(A25,'Data shares'!$C$2:$CY$537,101,0)</f>
        <v>9.4000000000000004E-3</v>
      </c>
      <c r="E25" s="86">
        <f>VLOOKUP($A25,'Data shares'!$C:$FA,74)</f>
        <v>81479375</v>
      </c>
      <c r="F25" s="86">
        <f>VLOOKUP($A25,'Data shares'!$C:$FA,76)</f>
        <v>-4365625</v>
      </c>
      <c r="G25" s="87">
        <f>VLOOKUP(A25,'Data shares'!$C$2:$CA$214,77,0)</f>
        <v>-5.0900000000000001E-2</v>
      </c>
      <c r="H25" s="86">
        <f>VLOOKUP($A25,'Data shares'!$C:$FA,90)</f>
        <v>12759375</v>
      </c>
      <c r="I25" s="86">
        <f>VLOOKUP($A25,'Data shares'!$C:$FA,92)</f>
        <v>4115000</v>
      </c>
      <c r="J25" s="87">
        <f>VLOOKUP($A25,'Data shares'!$C:$FA,93)</f>
        <v>0.47599999999999998</v>
      </c>
      <c r="K25" s="86">
        <f>VLOOKUP($A25,'Data shares'!$C:$FA,94)</f>
        <v>11201875</v>
      </c>
      <c r="L25" s="86">
        <f>VLOOKUP($A25,'Data shares'!$C:$FA,96)</f>
        <v>1229375</v>
      </c>
      <c r="M25" s="87">
        <f>VLOOKUP($A25,'Data shares'!$C:$FA,97)</f>
        <v>0.12330000000000001</v>
      </c>
      <c r="N25" s="86">
        <f>VLOOKUP($A25,'Data shares'!$C:$FA,78)</f>
        <v>78914375</v>
      </c>
      <c r="O25" s="87">
        <f>VLOOKUP($A25,'Data shares'!$C:$FA,81)</f>
        <v>5.4782999999999999</v>
      </c>
    </row>
    <row r="26" spans="1:15" x14ac:dyDescent="0.25">
      <c r="A26" s="100" t="str">
        <f>'Data Vlaue (Cr)'!C21</f>
        <v>BAJAJ-AUTO</v>
      </c>
      <c r="B26" s="82">
        <f>VLOOKUP(A26,'Data shares'!$C$2:$CV$214,98,0)</f>
        <v>4241925</v>
      </c>
      <c r="C26" s="82">
        <f>VLOOKUP(A26,'Data shares'!$C$2:$CX$214,100,0)</f>
        <v>184275</v>
      </c>
      <c r="D26" s="141">
        <f>VLOOKUP(A26,'Data shares'!$C$2:$CY$537,101,0)</f>
        <v>4.5400000000000003E-2</v>
      </c>
      <c r="E26" s="86">
        <f>VLOOKUP($A26,'Data shares'!$C:$FA,74)</f>
        <v>3292275</v>
      </c>
      <c r="F26" s="86">
        <f>VLOOKUP($A26,'Data shares'!$C:$FA,76)</f>
        <v>-13425</v>
      </c>
      <c r="G26" s="87">
        <f>VLOOKUP(A26,'Data shares'!$C$2:$CA$214,77,0)</f>
        <v>-4.1000000000000003E-3</v>
      </c>
      <c r="H26" s="86">
        <f>VLOOKUP($A26,'Data shares'!$C:$FA,90)</f>
        <v>509025</v>
      </c>
      <c r="I26" s="86">
        <f>VLOOKUP($A26,'Data shares'!$C:$FA,92)</f>
        <v>97425</v>
      </c>
      <c r="J26" s="87">
        <f>VLOOKUP($A26,'Data shares'!$C:$FA,93)</f>
        <v>0.23669999999999999</v>
      </c>
      <c r="K26" s="86">
        <f>VLOOKUP($A26,'Data shares'!$C:$FA,94)</f>
        <v>440625</v>
      </c>
      <c r="L26" s="86">
        <f>VLOOKUP($A26,'Data shares'!$C:$FA,96)</f>
        <v>100275</v>
      </c>
      <c r="M26" s="87">
        <f>VLOOKUP($A26,'Data shares'!$C:$FA,97)</f>
        <v>0.29459999999999997</v>
      </c>
      <c r="N26" s="86">
        <f>VLOOKUP($A26,'Data shares'!$C:$FA,78)</f>
        <v>3236700</v>
      </c>
      <c r="O26" s="87">
        <f>VLOOKUP($A26,'Data shares'!$C:$FA,81)</f>
        <v>19.8081</v>
      </c>
    </row>
    <row r="27" spans="1:15" x14ac:dyDescent="0.25">
      <c r="A27" s="100" t="str">
        <f>'Data Vlaue (Cr)'!C22</f>
        <v>BAJAJFINSV</v>
      </c>
      <c r="B27" s="82">
        <f>VLOOKUP(A27,'Data shares'!$C$2:$CV$214,98,0)</f>
        <v>18607250</v>
      </c>
      <c r="C27" s="82">
        <f>VLOOKUP(A27,'Data shares'!$C$2:$CX$214,100,0)</f>
        <v>387750</v>
      </c>
      <c r="D27" s="141">
        <f>VLOOKUP(A27,'Data shares'!$C$2:$CY$537,101,0)</f>
        <v>2.1299999999999999E-2</v>
      </c>
      <c r="E27" s="86">
        <f>VLOOKUP($A27,'Data shares'!$C:$FA,74)</f>
        <v>14877250</v>
      </c>
      <c r="F27" s="86">
        <f>VLOOKUP($A27,'Data shares'!$C:$FA,76)</f>
        <v>-72750</v>
      </c>
      <c r="G27" s="87">
        <f>VLOOKUP(A27,'Data shares'!$C$2:$CA$214,77,0)</f>
        <v>-4.8999999999999998E-3</v>
      </c>
      <c r="H27" s="86">
        <f>VLOOKUP($A27,'Data shares'!$C:$FA,90)</f>
        <v>1799500</v>
      </c>
      <c r="I27" s="86">
        <f>VLOOKUP($A27,'Data shares'!$C:$FA,92)</f>
        <v>210750</v>
      </c>
      <c r="J27" s="87">
        <f>VLOOKUP($A27,'Data shares'!$C:$FA,93)</f>
        <v>0.13270000000000001</v>
      </c>
      <c r="K27" s="86">
        <f>VLOOKUP($A27,'Data shares'!$C:$FA,94)</f>
        <v>1930500</v>
      </c>
      <c r="L27" s="86">
        <f>VLOOKUP($A27,'Data shares'!$C:$FA,96)</f>
        <v>249750</v>
      </c>
      <c r="M27" s="87">
        <f>VLOOKUP($A27,'Data shares'!$C:$FA,97)</f>
        <v>0.14860000000000001</v>
      </c>
      <c r="N27" s="86">
        <f>VLOOKUP($A27,'Data shares'!$C:$FA,78)</f>
        <v>14592250</v>
      </c>
      <c r="O27" s="87">
        <f>VLOOKUP($A27,'Data shares'!$C:$FA,81)</f>
        <v>6.6338999999999997</v>
      </c>
    </row>
    <row r="28" spans="1:15" x14ac:dyDescent="0.25">
      <c r="A28" s="100" t="str">
        <f>'Data Vlaue (Cr)'!C23</f>
        <v>BAJAJHLDNG</v>
      </c>
      <c r="B28" s="82">
        <f>VLOOKUP(A28,'Data shares'!$C$2:$CV$214,98,0)</f>
        <v>253700</v>
      </c>
      <c r="C28" s="82">
        <f>VLOOKUP(A28,'Data shares'!$C$2:$CX$214,100,0)</f>
        <v>25200</v>
      </c>
      <c r="D28" s="141">
        <f>VLOOKUP(A28,'Data shares'!$C$2:$CY$537,101,0)</f>
        <v>0.1103</v>
      </c>
      <c r="E28" s="86">
        <f>VLOOKUP($A28,'Data shares'!$C:$FA,74)</f>
        <v>203500</v>
      </c>
      <c r="F28" s="86">
        <f>VLOOKUP($A28,'Data shares'!$C:$FA,76)</f>
        <v>-2400</v>
      </c>
      <c r="G28" s="87">
        <f>VLOOKUP(A28,'Data shares'!$C$2:$CA$214,77,0)</f>
        <v>-1.17E-2</v>
      </c>
      <c r="H28" s="86">
        <f>VLOOKUP($A28,'Data shares'!$C:$FA,90)</f>
        <v>29300</v>
      </c>
      <c r="I28" s="86">
        <f>VLOOKUP($A28,'Data shares'!$C:$FA,92)</f>
        <v>17800</v>
      </c>
      <c r="J28" s="87">
        <f>VLOOKUP($A28,'Data shares'!$C:$FA,93)</f>
        <v>1.5478000000000001</v>
      </c>
      <c r="K28" s="86">
        <f>VLOOKUP($A28,'Data shares'!$C:$FA,94)</f>
        <v>20900</v>
      </c>
      <c r="L28" s="86">
        <f>VLOOKUP($A28,'Data shares'!$C:$FA,96)</f>
        <v>9800</v>
      </c>
      <c r="M28" s="87">
        <f>VLOOKUP($A28,'Data shares'!$C:$FA,97)</f>
        <v>0.88290000000000002</v>
      </c>
      <c r="N28" s="86">
        <f>VLOOKUP($A28,'Data shares'!$C:$FA,78)</f>
        <v>202350</v>
      </c>
      <c r="O28" s="87">
        <f>VLOOKUP($A28,'Data shares'!$C:$FA,81)</f>
        <v>8.59</v>
      </c>
    </row>
    <row r="29" spans="1:15" x14ac:dyDescent="0.25">
      <c r="A29" s="100" t="str">
        <f>'Data Vlaue (Cr)'!C24</f>
        <v>BAJFINANCE</v>
      </c>
      <c r="B29" s="82">
        <f>VLOOKUP(A29,'Data shares'!$C$2:$CV$214,98,0)</f>
        <v>115038750</v>
      </c>
      <c r="C29" s="82">
        <f>VLOOKUP(A29,'Data shares'!$C$2:$CX$214,100,0)</f>
        <v>442500</v>
      </c>
      <c r="D29" s="141">
        <f>VLOOKUP(A29,'Data shares'!$C$2:$CY$537,101,0)</f>
        <v>3.8999999999999998E-3</v>
      </c>
      <c r="E29" s="86">
        <f>VLOOKUP($A29,'Data shares'!$C:$FA,74)</f>
        <v>92005500</v>
      </c>
      <c r="F29" s="86">
        <f>VLOOKUP($A29,'Data shares'!$C:$FA,76)</f>
        <v>-1796250</v>
      </c>
      <c r="G29" s="87">
        <f>VLOOKUP(A29,'Data shares'!$C$2:$CA$214,77,0)</f>
        <v>-1.9099999999999999E-2</v>
      </c>
      <c r="H29" s="86">
        <f>VLOOKUP($A29,'Data shares'!$C:$FA,90)</f>
        <v>10672500</v>
      </c>
      <c r="I29" s="86">
        <f>VLOOKUP($A29,'Data shares'!$C:$FA,92)</f>
        <v>1346250</v>
      </c>
      <c r="J29" s="87">
        <f>VLOOKUP($A29,'Data shares'!$C:$FA,93)</f>
        <v>0.1444</v>
      </c>
      <c r="K29" s="86">
        <f>VLOOKUP($A29,'Data shares'!$C:$FA,94)</f>
        <v>12360750</v>
      </c>
      <c r="L29" s="86">
        <f>VLOOKUP($A29,'Data shares'!$C:$FA,96)</f>
        <v>892500</v>
      </c>
      <c r="M29" s="87">
        <f>VLOOKUP($A29,'Data shares'!$C:$FA,97)</f>
        <v>7.7799999999999994E-2</v>
      </c>
      <c r="N29" s="86">
        <f>VLOOKUP($A29,'Data shares'!$C:$FA,78)</f>
        <v>88494000</v>
      </c>
      <c r="O29" s="87">
        <f>VLOOKUP($A29,'Data shares'!$C:$FA,81)</f>
        <v>8.2965999999999998</v>
      </c>
    </row>
    <row r="30" spans="1:15" x14ac:dyDescent="0.25">
      <c r="A30" s="100" t="str">
        <f>'Data Vlaue (Cr)'!C25</f>
        <v>BANDHANBNK</v>
      </c>
      <c r="B30" s="82">
        <f>VLOOKUP(A30,'Data shares'!$C$2:$CV$214,98,0)</f>
        <v>133322400</v>
      </c>
      <c r="C30" s="82">
        <f>VLOOKUP(A30,'Data shares'!$C$2:$CX$214,100,0)</f>
        <v>7797600</v>
      </c>
      <c r="D30" s="141">
        <f>VLOOKUP(A30,'Data shares'!$C$2:$CY$537,101,0)</f>
        <v>6.2100000000000002E-2</v>
      </c>
      <c r="E30" s="86">
        <f>VLOOKUP($A30,'Data shares'!$C:$FA,74)</f>
        <v>104637600</v>
      </c>
      <c r="F30" s="86">
        <f>VLOOKUP($A30,'Data shares'!$C:$FA,76)</f>
        <v>-597600</v>
      </c>
      <c r="G30" s="87">
        <f>VLOOKUP(A30,'Data shares'!$C$2:$CA$214,77,0)</f>
        <v>-5.7000000000000002E-3</v>
      </c>
      <c r="H30" s="86">
        <f>VLOOKUP($A30,'Data shares'!$C:$FA,90)</f>
        <v>15454800</v>
      </c>
      <c r="I30" s="86">
        <f>VLOOKUP($A30,'Data shares'!$C:$FA,92)</f>
        <v>6166800</v>
      </c>
      <c r="J30" s="87">
        <f>VLOOKUP($A30,'Data shares'!$C:$FA,93)</f>
        <v>0.66400000000000003</v>
      </c>
      <c r="K30" s="86">
        <f>VLOOKUP($A30,'Data shares'!$C:$FA,94)</f>
        <v>13230000</v>
      </c>
      <c r="L30" s="86">
        <f>VLOOKUP($A30,'Data shares'!$C:$FA,96)</f>
        <v>2228400</v>
      </c>
      <c r="M30" s="87">
        <f>VLOOKUP($A30,'Data shares'!$C:$FA,97)</f>
        <v>0.2026</v>
      </c>
      <c r="N30" s="86">
        <f>VLOOKUP($A30,'Data shares'!$C:$FA,78)</f>
        <v>101376000</v>
      </c>
      <c r="O30" s="87">
        <f>VLOOKUP($A30,'Data shares'!$C:$FA,81)</f>
        <v>13.3527</v>
      </c>
    </row>
    <row r="31" spans="1:15" x14ac:dyDescent="0.25">
      <c r="A31" s="100" t="str">
        <f>'Data Vlaue (Cr)'!C26</f>
        <v>BANKBARODA</v>
      </c>
      <c r="B31" s="82">
        <f>VLOOKUP(A31,'Data shares'!$C$2:$CV$214,98,0)</f>
        <v>126240075</v>
      </c>
      <c r="C31" s="82">
        <f>VLOOKUP(A31,'Data shares'!$C$2:$CX$214,100,0)</f>
        <v>3281850</v>
      </c>
      <c r="D31" s="141">
        <f>VLOOKUP(A31,'Data shares'!$C$2:$CY$537,101,0)</f>
        <v>2.6700000000000002E-2</v>
      </c>
      <c r="E31" s="86">
        <f>VLOOKUP($A31,'Data shares'!$C:$FA,74)</f>
        <v>83994300</v>
      </c>
      <c r="F31" s="86">
        <f>VLOOKUP($A31,'Data shares'!$C:$FA,76)</f>
        <v>535275</v>
      </c>
      <c r="G31" s="87">
        <f>VLOOKUP(A31,'Data shares'!$C$2:$CA$214,77,0)</f>
        <v>6.4000000000000003E-3</v>
      </c>
      <c r="H31" s="86">
        <f>VLOOKUP($A31,'Data shares'!$C:$FA,90)</f>
        <v>21229650</v>
      </c>
      <c r="I31" s="86">
        <f>VLOOKUP($A31,'Data shares'!$C:$FA,92)</f>
        <v>1813500</v>
      </c>
      <c r="J31" s="87">
        <f>VLOOKUP($A31,'Data shares'!$C:$FA,93)</f>
        <v>9.3399999999999997E-2</v>
      </c>
      <c r="K31" s="86">
        <f>VLOOKUP($A31,'Data shares'!$C:$FA,94)</f>
        <v>21016125</v>
      </c>
      <c r="L31" s="86">
        <f>VLOOKUP($A31,'Data shares'!$C:$FA,96)</f>
        <v>933075</v>
      </c>
      <c r="M31" s="87">
        <f>VLOOKUP($A31,'Data shares'!$C:$FA,97)</f>
        <v>4.65E-2</v>
      </c>
      <c r="N31" s="86">
        <f>VLOOKUP($A31,'Data shares'!$C:$FA,78)</f>
        <v>82461600</v>
      </c>
      <c r="O31" s="87">
        <f>VLOOKUP($A31,'Data shares'!$C:$FA,81)</f>
        <v>17.9208</v>
      </c>
    </row>
    <row r="32" spans="1:15" x14ac:dyDescent="0.25">
      <c r="A32" s="100" t="str">
        <f>'Data Vlaue (Cr)'!C27</f>
        <v>BANKINDIA</v>
      </c>
      <c r="B32" s="82">
        <f>VLOOKUP(A32,'Data shares'!$C$2:$CV$214,98,0)</f>
        <v>78114400</v>
      </c>
      <c r="C32" s="82">
        <f>VLOOKUP(A32,'Data shares'!$C$2:$CX$214,100,0)</f>
        <v>3993600</v>
      </c>
      <c r="D32" s="141">
        <f>VLOOKUP(A32,'Data shares'!$C$2:$CY$537,101,0)</f>
        <v>5.3900000000000003E-2</v>
      </c>
      <c r="E32" s="86">
        <f>VLOOKUP($A32,'Data shares'!$C:$FA,74)</f>
        <v>50611600</v>
      </c>
      <c r="F32" s="86">
        <f>VLOOKUP($A32,'Data shares'!$C:$FA,76)</f>
        <v>-1367600</v>
      </c>
      <c r="G32" s="87">
        <f>VLOOKUP(A32,'Data shares'!$C$2:$CA$214,77,0)</f>
        <v>-2.63E-2</v>
      </c>
      <c r="H32" s="86">
        <f>VLOOKUP($A32,'Data shares'!$C:$FA,90)</f>
        <v>14846000</v>
      </c>
      <c r="I32" s="86">
        <f>VLOOKUP($A32,'Data shares'!$C:$FA,92)</f>
        <v>946400</v>
      </c>
      <c r="J32" s="87">
        <f>VLOOKUP($A32,'Data shares'!$C:$FA,93)</f>
        <v>6.8099999999999994E-2</v>
      </c>
      <c r="K32" s="86">
        <f>VLOOKUP($A32,'Data shares'!$C:$FA,94)</f>
        <v>12656800</v>
      </c>
      <c r="L32" s="86">
        <f>VLOOKUP($A32,'Data shares'!$C:$FA,96)</f>
        <v>4414800</v>
      </c>
      <c r="M32" s="87">
        <f>VLOOKUP($A32,'Data shares'!$C:$FA,97)</f>
        <v>0.53559999999999997</v>
      </c>
      <c r="N32" s="86">
        <f>VLOOKUP($A32,'Data shares'!$C:$FA,78)</f>
        <v>49561200</v>
      </c>
      <c r="O32" s="87">
        <f>VLOOKUP($A32,'Data shares'!$C:$FA,81)</f>
        <v>11.4915</v>
      </c>
    </row>
    <row r="33" spans="1:15" x14ac:dyDescent="0.25">
      <c r="A33" s="100" t="str">
        <f>'Data Vlaue (Cr)'!C28</f>
        <v>BANKNIFTY</v>
      </c>
      <c r="B33" s="82">
        <f>VLOOKUP(A33,'Data shares'!$C$2:$CV$214,98,0)</f>
        <v>18318670</v>
      </c>
      <c r="C33" s="82">
        <f>VLOOKUP(A33,'Data shares'!$C$2:$CX$214,100,0)</f>
        <v>3421640</v>
      </c>
      <c r="D33" s="141">
        <f>VLOOKUP(A33,'Data shares'!$C$2:$CY$537,101,0)</f>
        <v>0.22969999999999999</v>
      </c>
      <c r="E33" s="86">
        <f>VLOOKUP($A33,'Data shares'!$C:$FA,74)</f>
        <v>1444380</v>
      </c>
      <c r="F33" s="86">
        <f>VLOOKUP($A33,'Data shares'!$C:$FA,76)</f>
        <v>94290</v>
      </c>
      <c r="G33" s="87">
        <f>VLOOKUP(A33,'Data shares'!$C$2:$CA$214,77,0)</f>
        <v>6.9800000000000001E-2</v>
      </c>
      <c r="H33" s="86">
        <f>VLOOKUP($A33,'Data shares'!$C:$FA,90)</f>
        <v>7888220</v>
      </c>
      <c r="I33" s="86">
        <f>VLOOKUP($A33,'Data shares'!$C:$FA,92)</f>
        <v>1499905</v>
      </c>
      <c r="J33" s="87">
        <f>VLOOKUP($A33,'Data shares'!$C:$FA,93)</f>
        <v>0.23480000000000001</v>
      </c>
      <c r="K33" s="86">
        <f>VLOOKUP($A33,'Data shares'!$C:$FA,94)</f>
        <v>8986070</v>
      </c>
      <c r="L33" s="86">
        <f>VLOOKUP($A33,'Data shares'!$C:$FA,96)</f>
        <v>1827445</v>
      </c>
      <c r="M33" s="87">
        <f>VLOOKUP($A33,'Data shares'!$C:$FA,97)</f>
        <v>0.25530000000000003</v>
      </c>
      <c r="N33" s="86">
        <f>VLOOKUP($A33,'Data shares'!$C:$FA,78)</f>
        <v>1332720</v>
      </c>
      <c r="O33" s="87">
        <f>VLOOKUP($A33,'Data shares'!$C:$FA,81)</f>
        <v>1.4341999999999999</v>
      </c>
    </row>
    <row r="34" spans="1:15" x14ac:dyDescent="0.25">
      <c r="A34" s="100" t="str">
        <f>'Data Vlaue (Cr)'!C29</f>
        <v>BDL</v>
      </c>
      <c r="B34" s="82">
        <f>VLOOKUP(A34,'Data shares'!$C$2:$CV$214,98,0)</f>
        <v>8643950</v>
      </c>
      <c r="C34" s="82">
        <f>VLOOKUP(A34,'Data shares'!$C$2:$CX$214,100,0)</f>
        <v>1534750</v>
      </c>
      <c r="D34" s="141">
        <f>VLOOKUP(A34,'Data shares'!$C$2:$CY$537,101,0)</f>
        <v>0.21590000000000001</v>
      </c>
      <c r="E34" s="86">
        <f>VLOOKUP($A34,'Data shares'!$C:$FA,74)</f>
        <v>5093550</v>
      </c>
      <c r="F34" s="86">
        <f>VLOOKUP($A34,'Data shares'!$C:$FA,76)</f>
        <v>299950</v>
      </c>
      <c r="G34" s="87">
        <f>VLOOKUP(A34,'Data shares'!$C$2:$CA$214,77,0)</f>
        <v>6.2600000000000003E-2</v>
      </c>
      <c r="H34" s="86">
        <f>VLOOKUP($A34,'Data shares'!$C:$FA,90)</f>
        <v>2046100</v>
      </c>
      <c r="I34" s="86">
        <f>VLOOKUP($A34,'Data shares'!$C:$FA,92)</f>
        <v>886200</v>
      </c>
      <c r="J34" s="87">
        <f>VLOOKUP($A34,'Data shares'!$C:$FA,93)</f>
        <v>0.76400000000000001</v>
      </c>
      <c r="K34" s="86">
        <f>VLOOKUP($A34,'Data shares'!$C:$FA,94)</f>
        <v>1504300</v>
      </c>
      <c r="L34" s="86">
        <f>VLOOKUP($A34,'Data shares'!$C:$FA,96)</f>
        <v>348600</v>
      </c>
      <c r="M34" s="87">
        <f>VLOOKUP($A34,'Data shares'!$C:$FA,97)</f>
        <v>0.30159999999999998</v>
      </c>
      <c r="N34" s="86">
        <f>VLOOKUP($A34,'Data shares'!$C:$FA,78)</f>
        <v>4865350</v>
      </c>
      <c r="O34" s="87">
        <f>VLOOKUP($A34,'Data shares'!$C:$FA,81)</f>
        <v>10.8306</v>
      </c>
    </row>
    <row r="35" spans="1:15" x14ac:dyDescent="0.25">
      <c r="A35" s="100" t="str">
        <f>'Data Vlaue (Cr)'!C30</f>
        <v>BEL</v>
      </c>
      <c r="B35" s="82">
        <f>VLOOKUP(A35,'Data shares'!$C$2:$CV$214,98,0)</f>
        <v>205500675</v>
      </c>
      <c r="C35" s="82">
        <f>VLOOKUP(A35,'Data shares'!$C$2:$CX$214,100,0)</f>
        <v>44618175</v>
      </c>
      <c r="D35" s="141">
        <f>VLOOKUP(A35,'Data shares'!$C$2:$CY$537,101,0)</f>
        <v>0.27729999999999999</v>
      </c>
      <c r="E35" s="86">
        <f>VLOOKUP($A35,'Data shares'!$C:$FA,74)</f>
        <v>125400000</v>
      </c>
      <c r="F35" s="86">
        <f>VLOOKUP($A35,'Data shares'!$C:$FA,76)</f>
        <v>10104675</v>
      </c>
      <c r="G35" s="87">
        <f>VLOOKUP(A35,'Data shares'!$C$2:$CA$214,77,0)</f>
        <v>8.7599999999999997E-2</v>
      </c>
      <c r="H35" s="86">
        <f>VLOOKUP($A35,'Data shares'!$C:$FA,90)</f>
        <v>47962650</v>
      </c>
      <c r="I35" s="86">
        <f>VLOOKUP($A35,'Data shares'!$C:$FA,92)</f>
        <v>21346500</v>
      </c>
      <c r="J35" s="87">
        <f>VLOOKUP($A35,'Data shares'!$C:$FA,93)</f>
        <v>0.80200000000000005</v>
      </c>
      <c r="K35" s="86">
        <f>VLOOKUP($A35,'Data shares'!$C:$FA,94)</f>
        <v>32138025</v>
      </c>
      <c r="L35" s="86">
        <f>VLOOKUP($A35,'Data shares'!$C:$FA,96)</f>
        <v>13167000</v>
      </c>
      <c r="M35" s="87">
        <f>VLOOKUP($A35,'Data shares'!$C:$FA,97)</f>
        <v>0.69410000000000005</v>
      </c>
      <c r="N35" s="86">
        <f>VLOOKUP($A35,'Data shares'!$C:$FA,78)</f>
        <v>119953650</v>
      </c>
      <c r="O35" s="87">
        <f>VLOOKUP($A35,'Data shares'!$C:$FA,81)</f>
        <v>28.443200000000001</v>
      </c>
    </row>
    <row r="36" spans="1:15" x14ac:dyDescent="0.25">
      <c r="A36" s="100" t="str">
        <f>'Data Vlaue (Cr)'!C31</f>
        <v>BHARATFORG</v>
      </c>
      <c r="B36" s="82">
        <f>VLOOKUP(A36,'Data shares'!$C$2:$CV$214,98,0)</f>
        <v>9242000</v>
      </c>
      <c r="C36" s="82">
        <f>VLOOKUP(A36,'Data shares'!$C$2:$CX$214,100,0)</f>
        <v>914000</v>
      </c>
      <c r="D36" s="141">
        <f>VLOOKUP(A36,'Data shares'!$C$2:$CY$537,101,0)</f>
        <v>0.10979999999999999</v>
      </c>
      <c r="E36" s="86">
        <f>VLOOKUP($A36,'Data shares'!$C:$FA,74)</f>
        <v>6755000</v>
      </c>
      <c r="F36" s="86">
        <f>VLOOKUP($A36,'Data shares'!$C:$FA,76)</f>
        <v>48000</v>
      </c>
      <c r="G36" s="87">
        <f>VLOOKUP(A36,'Data shares'!$C$2:$CA$214,77,0)</f>
        <v>7.1999999999999998E-3</v>
      </c>
      <c r="H36" s="86">
        <f>VLOOKUP($A36,'Data shares'!$C:$FA,90)</f>
        <v>1466500</v>
      </c>
      <c r="I36" s="86">
        <f>VLOOKUP($A36,'Data shares'!$C:$FA,92)</f>
        <v>616000</v>
      </c>
      <c r="J36" s="87">
        <f>VLOOKUP($A36,'Data shares'!$C:$FA,93)</f>
        <v>0.72430000000000005</v>
      </c>
      <c r="K36" s="86">
        <f>VLOOKUP($A36,'Data shares'!$C:$FA,94)</f>
        <v>1020500</v>
      </c>
      <c r="L36" s="86">
        <f>VLOOKUP($A36,'Data shares'!$C:$FA,96)</f>
        <v>250000</v>
      </c>
      <c r="M36" s="87">
        <f>VLOOKUP($A36,'Data shares'!$C:$FA,97)</f>
        <v>0.32450000000000001</v>
      </c>
      <c r="N36" s="86">
        <f>VLOOKUP($A36,'Data shares'!$C:$FA,78)</f>
        <v>6688500</v>
      </c>
      <c r="O36" s="87">
        <f>VLOOKUP($A36,'Data shares'!$C:$FA,81)</f>
        <v>13.7324</v>
      </c>
    </row>
    <row r="37" spans="1:15" x14ac:dyDescent="0.25">
      <c r="A37" s="100" t="str">
        <f>'Data Vlaue (Cr)'!C32</f>
        <v>BHARTIARTL</v>
      </c>
      <c r="B37" s="82">
        <f>VLOOKUP(A37,'Data shares'!$C$2:$CV$214,98,0)</f>
        <v>64732525</v>
      </c>
      <c r="C37" s="82">
        <f>VLOOKUP(A37,'Data shares'!$C$2:$CX$214,100,0)</f>
        <v>4821250</v>
      </c>
      <c r="D37" s="141">
        <f>VLOOKUP(A37,'Data shares'!$C$2:$CY$537,101,0)</f>
        <v>8.0500000000000002E-2</v>
      </c>
      <c r="E37" s="86">
        <f>VLOOKUP($A37,'Data shares'!$C:$FA,74)</f>
        <v>55832925</v>
      </c>
      <c r="F37" s="86">
        <f>VLOOKUP($A37,'Data shares'!$C:$FA,76)</f>
        <v>1346625</v>
      </c>
      <c r="G37" s="87">
        <f>VLOOKUP(A37,'Data shares'!$C$2:$CA$214,77,0)</f>
        <v>2.47E-2</v>
      </c>
      <c r="H37" s="86">
        <f>VLOOKUP($A37,'Data shares'!$C:$FA,90)</f>
        <v>5147100</v>
      </c>
      <c r="I37" s="86">
        <f>VLOOKUP($A37,'Data shares'!$C:$FA,92)</f>
        <v>2070050</v>
      </c>
      <c r="J37" s="87">
        <f>VLOOKUP($A37,'Data shares'!$C:$FA,93)</f>
        <v>0.67269999999999996</v>
      </c>
      <c r="K37" s="86">
        <f>VLOOKUP($A37,'Data shares'!$C:$FA,94)</f>
        <v>3752500</v>
      </c>
      <c r="L37" s="86">
        <f>VLOOKUP($A37,'Data shares'!$C:$FA,96)</f>
        <v>1404575</v>
      </c>
      <c r="M37" s="87">
        <f>VLOOKUP($A37,'Data shares'!$C:$FA,97)</f>
        <v>0.59819999999999995</v>
      </c>
      <c r="N37" s="86">
        <f>VLOOKUP($A37,'Data shares'!$C:$FA,78)</f>
        <v>53422775</v>
      </c>
      <c r="O37" s="87">
        <f>VLOOKUP($A37,'Data shares'!$C:$FA,81)</f>
        <v>7.9006999999999996</v>
      </c>
    </row>
    <row r="38" spans="1:15" x14ac:dyDescent="0.25">
      <c r="A38" s="100" t="str">
        <f>'Data Vlaue (Cr)'!C33</f>
        <v>BHEL</v>
      </c>
      <c r="B38" s="82">
        <f>VLOOKUP(A38,'Data shares'!$C$2:$CV$214,98,0)</f>
        <v>139098750</v>
      </c>
      <c r="C38" s="82">
        <f>VLOOKUP(A38,'Data shares'!$C$2:$CX$214,100,0)</f>
        <v>12949125</v>
      </c>
      <c r="D38" s="141">
        <f>VLOOKUP(A38,'Data shares'!$C$2:$CY$537,101,0)</f>
        <v>0.1026</v>
      </c>
      <c r="E38" s="86">
        <f>VLOOKUP($A38,'Data shares'!$C:$FA,74)</f>
        <v>80054625</v>
      </c>
      <c r="F38" s="86">
        <f>VLOOKUP($A38,'Data shares'!$C:$FA,76)</f>
        <v>2564625</v>
      </c>
      <c r="G38" s="87">
        <f>VLOOKUP(A38,'Data shares'!$C$2:$CA$214,77,0)</f>
        <v>3.3099999999999997E-2</v>
      </c>
      <c r="H38" s="86">
        <f>VLOOKUP($A38,'Data shares'!$C:$FA,90)</f>
        <v>40036500</v>
      </c>
      <c r="I38" s="86">
        <f>VLOOKUP($A38,'Data shares'!$C:$FA,92)</f>
        <v>8494500</v>
      </c>
      <c r="J38" s="87">
        <f>VLOOKUP($A38,'Data shares'!$C:$FA,93)</f>
        <v>0.26929999999999998</v>
      </c>
      <c r="K38" s="86">
        <f>VLOOKUP($A38,'Data shares'!$C:$FA,94)</f>
        <v>19007625</v>
      </c>
      <c r="L38" s="86">
        <f>VLOOKUP($A38,'Data shares'!$C:$FA,96)</f>
        <v>1890000</v>
      </c>
      <c r="M38" s="87">
        <f>VLOOKUP($A38,'Data shares'!$C:$FA,97)</f>
        <v>0.1104</v>
      </c>
      <c r="N38" s="86">
        <f>VLOOKUP($A38,'Data shares'!$C:$FA,78)</f>
        <v>78012375</v>
      </c>
      <c r="O38" s="87">
        <f>VLOOKUP($A38,'Data shares'!$C:$FA,81)</f>
        <v>12.4536</v>
      </c>
    </row>
    <row r="39" spans="1:15" x14ac:dyDescent="0.25">
      <c r="A39" s="100" t="str">
        <f>'Data Vlaue (Cr)'!C34</f>
        <v>BIOCON</v>
      </c>
      <c r="B39" s="82">
        <f>VLOOKUP(A39,'Data shares'!$C$2:$CV$214,98,0)</f>
        <v>55167500</v>
      </c>
      <c r="C39" s="82">
        <f>VLOOKUP(A39,'Data shares'!$C$2:$CX$214,100,0)</f>
        <v>1932500</v>
      </c>
      <c r="D39" s="141">
        <f>VLOOKUP(A39,'Data shares'!$C$2:$CY$537,101,0)</f>
        <v>3.6299999999999999E-2</v>
      </c>
      <c r="E39" s="86">
        <f>VLOOKUP($A39,'Data shares'!$C:$FA,74)</f>
        <v>40265000</v>
      </c>
      <c r="F39" s="86">
        <f>VLOOKUP($A39,'Data shares'!$C:$FA,76)</f>
        <v>-165000</v>
      </c>
      <c r="G39" s="87">
        <f>VLOOKUP(A39,'Data shares'!$C$2:$CA$214,77,0)</f>
        <v>-4.1000000000000003E-3</v>
      </c>
      <c r="H39" s="86">
        <f>VLOOKUP($A39,'Data shares'!$C:$FA,90)</f>
        <v>7542500</v>
      </c>
      <c r="I39" s="86">
        <f>VLOOKUP($A39,'Data shares'!$C:$FA,92)</f>
        <v>1222500</v>
      </c>
      <c r="J39" s="87">
        <f>VLOOKUP($A39,'Data shares'!$C:$FA,93)</f>
        <v>0.19339999999999999</v>
      </c>
      <c r="K39" s="86">
        <f>VLOOKUP($A39,'Data shares'!$C:$FA,94)</f>
        <v>7360000</v>
      </c>
      <c r="L39" s="86">
        <f>VLOOKUP($A39,'Data shares'!$C:$FA,96)</f>
        <v>875000</v>
      </c>
      <c r="M39" s="87">
        <f>VLOOKUP($A39,'Data shares'!$C:$FA,97)</f>
        <v>0.13489999999999999</v>
      </c>
      <c r="N39" s="86">
        <f>VLOOKUP($A39,'Data shares'!$C:$FA,78)</f>
        <v>39562500</v>
      </c>
      <c r="O39" s="87">
        <f>VLOOKUP($A39,'Data shares'!$C:$FA,81)</f>
        <v>4.5879000000000003</v>
      </c>
    </row>
    <row r="40" spans="1:15" x14ac:dyDescent="0.25">
      <c r="A40" s="100" t="str">
        <f>'Data Vlaue (Cr)'!C35</f>
        <v>BLUESTARCO</v>
      </c>
      <c r="B40" s="82">
        <f>VLOOKUP(A40,'Data shares'!$C$2:$CV$214,98,0)</f>
        <v>2916225</v>
      </c>
      <c r="C40" s="82">
        <f>VLOOKUP(A40,'Data shares'!$C$2:$CX$214,100,0)</f>
        <v>308100</v>
      </c>
      <c r="D40" s="141">
        <f>VLOOKUP(A40,'Data shares'!$C$2:$CY$537,101,0)</f>
        <v>0.1181</v>
      </c>
      <c r="E40" s="86">
        <f>VLOOKUP($A40,'Data shares'!$C:$FA,74)</f>
        <v>2493075</v>
      </c>
      <c r="F40" s="86">
        <f>VLOOKUP($A40,'Data shares'!$C:$FA,76)</f>
        <v>128375</v>
      </c>
      <c r="G40" s="87">
        <f>VLOOKUP(A40,'Data shares'!$C$2:$CA$214,77,0)</f>
        <v>5.4300000000000001E-2</v>
      </c>
      <c r="H40" s="86">
        <f>VLOOKUP($A40,'Data shares'!$C:$FA,90)</f>
        <v>210275</v>
      </c>
      <c r="I40" s="86">
        <f>VLOOKUP($A40,'Data shares'!$C:$FA,92)</f>
        <v>108550</v>
      </c>
      <c r="J40" s="87">
        <f>VLOOKUP($A40,'Data shares'!$C:$FA,93)</f>
        <v>1.0670999999999999</v>
      </c>
      <c r="K40" s="86">
        <f>VLOOKUP($A40,'Data shares'!$C:$FA,94)</f>
        <v>212875</v>
      </c>
      <c r="L40" s="86">
        <f>VLOOKUP($A40,'Data shares'!$C:$FA,96)</f>
        <v>71175</v>
      </c>
      <c r="M40" s="87">
        <f>VLOOKUP($A40,'Data shares'!$C:$FA,97)</f>
        <v>0.50229999999999997</v>
      </c>
      <c r="N40" s="86">
        <f>VLOOKUP($A40,'Data shares'!$C:$FA,78)</f>
        <v>2485925</v>
      </c>
      <c r="O40" s="87">
        <f>VLOOKUP($A40,'Data shares'!$C:$FA,81)</f>
        <v>14.2371</v>
      </c>
    </row>
    <row r="41" spans="1:15" x14ac:dyDescent="0.25">
      <c r="A41" s="100" t="str">
        <f>'Data Vlaue (Cr)'!C36</f>
        <v>BOSCHLTD</v>
      </c>
      <c r="B41" s="82">
        <f>VLOOKUP(A41,'Data shares'!$C$2:$CV$214,98,0)</f>
        <v>273350</v>
      </c>
      <c r="C41" s="82">
        <f>VLOOKUP(A41,'Data shares'!$C$2:$CX$214,100,0)</f>
        <v>26050</v>
      </c>
      <c r="D41" s="141">
        <f>VLOOKUP(A41,'Data shares'!$C$2:$CY$537,101,0)</f>
        <v>0.1053</v>
      </c>
      <c r="E41" s="86">
        <f>VLOOKUP($A41,'Data shares'!$C:$FA,74)</f>
        <v>186700</v>
      </c>
      <c r="F41" s="86">
        <f>VLOOKUP($A41,'Data shares'!$C:$FA,76)</f>
        <v>2100</v>
      </c>
      <c r="G41" s="87">
        <f>VLOOKUP(A41,'Data shares'!$C$2:$CA$214,77,0)</f>
        <v>1.14E-2</v>
      </c>
      <c r="H41" s="86">
        <f>VLOOKUP($A41,'Data shares'!$C:$FA,90)</f>
        <v>49900</v>
      </c>
      <c r="I41" s="86">
        <f>VLOOKUP($A41,'Data shares'!$C:$FA,92)</f>
        <v>14900</v>
      </c>
      <c r="J41" s="87">
        <f>VLOOKUP($A41,'Data shares'!$C:$FA,93)</f>
        <v>0.42570000000000002</v>
      </c>
      <c r="K41" s="86">
        <f>VLOOKUP($A41,'Data shares'!$C:$FA,94)</f>
        <v>36750</v>
      </c>
      <c r="L41" s="86">
        <f>VLOOKUP($A41,'Data shares'!$C:$FA,96)</f>
        <v>9050</v>
      </c>
      <c r="M41" s="87">
        <f>VLOOKUP($A41,'Data shares'!$C:$FA,97)</f>
        <v>0.32669999999999999</v>
      </c>
      <c r="N41" s="86">
        <f>VLOOKUP($A41,'Data shares'!$C:$FA,78)</f>
        <v>183725</v>
      </c>
      <c r="O41" s="87">
        <f>VLOOKUP($A41,'Data shares'!$C:$FA,81)</f>
        <v>3.5533000000000001</v>
      </c>
    </row>
    <row r="42" spans="1:15" x14ac:dyDescent="0.25">
      <c r="A42" s="100" t="str">
        <f>'Data Vlaue (Cr)'!C37</f>
        <v>BPCL</v>
      </c>
      <c r="B42" s="82">
        <f>VLOOKUP(A42,'Data shares'!$C$2:$CV$214,98,0)</f>
        <v>48687700</v>
      </c>
      <c r="C42" s="82">
        <f>VLOOKUP(A42,'Data shares'!$C$2:$CX$214,100,0)</f>
        <v>4232425</v>
      </c>
      <c r="D42" s="141">
        <f>VLOOKUP(A42,'Data shares'!$C$2:$CY$537,101,0)</f>
        <v>9.5200000000000007E-2</v>
      </c>
      <c r="E42" s="86">
        <f>VLOOKUP($A42,'Data shares'!$C:$FA,74)</f>
        <v>33962100</v>
      </c>
      <c r="F42" s="86">
        <f>VLOOKUP($A42,'Data shares'!$C:$FA,76)</f>
        <v>2593175</v>
      </c>
      <c r="G42" s="87">
        <f>VLOOKUP(A42,'Data shares'!$C$2:$CA$214,77,0)</f>
        <v>8.2699999999999996E-2</v>
      </c>
      <c r="H42" s="86">
        <f>VLOOKUP($A42,'Data shares'!$C:$FA,90)</f>
        <v>8107375</v>
      </c>
      <c r="I42" s="86">
        <f>VLOOKUP($A42,'Data shares'!$C:$FA,92)</f>
        <v>329825</v>
      </c>
      <c r="J42" s="87">
        <f>VLOOKUP($A42,'Data shares'!$C:$FA,93)</f>
        <v>4.24E-2</v>
      </c>
      <c r="K42" s="86">
        <f>VLOOKUP($A42,'Data shares'!$C:$FA,94)</f>
        <v>6618225</v>
      </c>
      <c r="L42" s="86">
        <f>VLOOKUP($A42,'Data shares'!$C:$FA,96)</f>
        <v>1309425</v>
      </c>
      <c r="M42" s="87">
        <f>VLOOKUP($A42,'Data shares'!$C:$FA,97)</f>
        <v>0.2467</v>
      </c>
      <c r="N42" s="86">
        <f>VLOOKUP($A42,'Data shares'!$C:$FA,78)</f>
        <v>33563150</v>
      </c>
      <c r="O42" s="87">
        <f>VLOOKUP($A42,'Data shares'!$C:$FA,81)</f>
        <v>2.9411</v>
      </c>
    </row>
    <row r="43" spans="1:15" x14ac:dyDescent="0.25">
      <c r="A43" s="100" t="str">
        <f>'Data Vlaue (Cr)'!C38</f>
        <v>BRITANNIA</v>
      </c>
      <c r="B43" s="82">
        <f>VLOOKUP(A43,'Data shares'!$C$2:$CV$214,98,0)</f>
        <v>3951000</v>
      </c>
      <c r="C43" s="82">
        <f>VLOOKUP(A43,'Data shares'!$C$2:$CX$214,100,0)</f>
        <v>449375</v>
      </c>
      <c r="D43" s="141">
        <f>VLOOKUP(A43,'Data shares'!$C$2:$CY$537,101,0)</f>
        <v>0.1283</v>
      </c>
      <c r="E43" s="86">
        <f>VLOOKUP($A43,'Data shares'!$C:$FA,74)</f>
        <v>3304000</v>
      </c>
      <c r="F43" s="86">
        <f>VLOOKUP($A43,'Data shares'!$C:$FA,76)</f>
        <v>121250</v>
      </c>
      <c r="G43" s="87">
        <f>VLOOKUP(A43,'Data shares'!$C$2:$CA$214,77,0)</f>
        <v>3.8100000000000002E-2</v>
      </c>
      <c r="H43" s="86">
        <f>VLOOKUP($A43,'Data shares'!$C:$FA,90)</f>
        <v>413125</v>
      </c>
      <c r="I43" s="86">
        <f>VLOOKUP($A43,'Data shares'!$C:$FA,92)</f>
        <v>224250</v>
      </c>
      <c r="J43" s="87">
        <f>VLOOKUP($A43,'Data shares'!$C:$FA,93)</f>
        <v>1.1873</v>
      </c>
      <c r="K43" s="86">
        <f>VLOOKUP($A43,'Data shares'!$C:$FA,94)</f>
        <v>233875</v>
      </c>
      <c r="L43" s="86">
        <f>VLOOKUP($A43,'Data shares'!$C:$FA,96)</f>
        <v>103875</v>
      </c>
      <c r="M43" s="87">
        <f>VLOOKUP($A43,'Data shares'!$C:$FA,97)</f>
        <v>0.79900000000000004</v>
      </c>
      <c r="N43" s="86">
        <f>VLOOKUP($A43,'Data shares'!$C:$FA,78)</f>
        <v>3293750</v>
      </c>
      <c r="O43" s="87">
        <f>VLOOKUP($A43,'Data shares'!$C:$FA,81)</f>
        <v>11.595599999999999</v>
      </c>
    </row>
    <row r="44" spans="1:15" x14ac:dyDescent="0.25">
      <c r="A44" s="100" t="str">
        <f>'Data Vlaue (Cr)'!C39</f>
        <v>BSE</v>
      </c>
      <c r="B44" s="82">
        <f>VLOOKUP(A44,'Data shares'!$C$2:$CV$214,98,0)</f>
        <v>17042625</v>
      </c>
      <c r="C44" s="82">
        <f>VLOOKUP(A44,'Data shares'!$C$2:$CX$214,100,0)</f>
        <v>2497875</v>
      </c>
      <c r="D44" s="141">
        <f>VLOOKUP(A44,'Data shares'!$C$2:$CY$537,101,0)</f>
        <v>0.17169999999999999</v>
      </c>
      <c r="E44" s="86">
        <f>VLOOKUP($A44,'Data shares'!$C:$FA,74)</f>
        <v>10045125</v>
      </c>
      <c r="F44" s="86">
        <f>VLOOKUP($A44,'Data shares'!$C:$FA,76)</f>
        <v>413250</v>
      </c>
      <c r="G44" s="87">
        <f>VLOOKUP(A44,'Data shares'!$C$2:$CA$214,77,0)</f>
        <v>4.2900000000000001E-2</v>
      </c>
      <c r="H44" s="86">
        <f>VLOOKUP($A44,'Data shares'!$C:$FA,90)</f>
        <v>4221750</v>
      </c>
      <c r="I44" s="86">
        <f>VLOOKUP($A44,'Data shares'!$C:$FA,92)</f>
        <v>1492500</v>
      </c>
      <c r="J44" s="87">
        <f>VLOOKUP($A44,'Data shares'!$C:$FA,93)</f>
        <v>0.54690000000000005</v>
      </c>
      <c r="K44" s="86">
        <f>VLOOKUP($A44,'Data shares'!$C:$FA,94)</f>
        <v>2775750</v>
      </c>
      <c r="L44" s="86">
        <f>VLOOKUP($A44,'Data shares'!$C:$FA,96)</f>
        <v>592125</v>
      </c>
      <c r="M44" s="87">
        <f>VLOOKUP($A44,'Data shares'!$C:$FA,97)</f>
        <v>0.2712</v>
      </c>
      <c r="N44" s="86">
        <f>VLOOKUP($A44,'Data shares'!$C:$FA,78)</f>
        <v>9729750</v>
      </c>
      <c r="O44" s="87">
        <f>VLOOKUP($A44,'Data shares'!$C:$FA,81)</f>
        <v>13.8432</v>
      </c>
    </row>
    <row r="45" spans="1:15" x14ac:dyDescent="0.25">
      <c r="A45" s="100" t="str">
        <f>'Data Vlaue (Cr)'!C40</f>
        <v>CAMS</v>
      </c>
      <c r="B45" s="82">
        <f>VLOOKUP(A45,'Data shares'!$C$2:$CV$214,98,0)</f>
        <v>10354500</v>
      </c>
      <c r="C45" s="82">
        <f>VLOOKUP(A45,'Data shares'!$C$2:$CX$214,100,0)</f>
        <v>708000</v>
      </c>
      <c r="D45" s="141">
        <f>VLOOKUP(A45,'Data shares'!$C$2:$CY$537,101,0)</f>
        <v>7.3400000000000007E-2</v>
      </c>
      <c r="E45" s="86">
        <f>VLOOKUP($A45,'Data shares'!$C:$FA,74)</f>
        <v>6781500</v>
      </c>
      <c r="F45" s="86">
        <f>VLOOKUP($A45,'Data shares'!$C:$FA,76)</f>
        <v>40500</v>
      </c>
      <c r="G45" s="87">
        <f>VLOOKUP(A45,'Data shares'!$C$2:$CA$214,77,0)</f>
        <v>6.0000000000000001E-3</v>
      </c>
      <c r="H45" s="86">
        <f>VLOOKUP($A45,'Data shares'!$C:$FA,90)</f>
        <v>1799250</v>
      </c>
      <c r="I45" s="86">
        <f>VLOOKUP($A45,'Data shares'!$C:$FA,92)</f>
        <v>363000</v>
      </c>
      <c r="J45" s="87">
        <f>VLOOKUP($A45,'Data shares'!$C:$FA,93)</f>
        <v>0.25269999999999998</v>
      </c>
      <c r="K45" s="86">
        <f>VLOOKUP($A45,'Data shares'!$C:$FA,94)</f>
        <v>1773750</v>
      </c>
      <c r="L45" s="86">
        <f>VLOOKUP($A45,'Data shares'!$C:$FA,96)</f>
        <v>304500</v>
      </c>
      <c r="M45" s="87">
        <f>VLOOKUP($A45,'Data shares'!$C:$FA,97)</f>
        <v>0.2072</v>
      </c>
      <c r="N45" s="86">
        <f>VLOOKUP($A45,'Data shares'!$C:$FA,78)</f>
        <v>6519000</v>
      </c>
      <c r="O45" s="87">
        <f>VLOOKUP($A45,'Data shares'!$C:$FA,81)</f>
        <v>16.076599999999999</v>
      </c>
    </row>
    <row r="46" spans="1:15" x14ac:dyDescent="0.25">
      <c r="A46" s="100" t="str">
        <f>'Data Vlaue (Cr)'!C41</f>
        <v>CANBK</v>
      </c>
      <c r="B46" s="82">
        <f>VLOOKUP(A46,'Data shares'!$C$2:$CV$214,98,0)</f>
        <v>250681500</v>
      </c>
      <c r="C46" s="82">
        <f>VLOOKUP(A46,'Data shares'!$C$2:$CX$214,100,0)</f>
        <v>31286250</v>
      </c>
      <c r="D46" s="141">
        <f>VLOOKUP(A46,'Data shares'!$C$2:$CY$537,101,0)</f>
        <v>0.1426</v>
      </c>
      <c r="E46" s="86">
        <f>VLOOKUP($A46,'Data shares'!$C:$FA,74)</f>
        <v>146502000</v>
      </c>
      <c r="F46" s="86">
        <f>VLOOKUP($A46,'Data shares'!$C:$FA,76)</f>
        <v>5595750</v>
      </c>
      <c r="G46" s="87">
        <f>VLOOKUP(A46,'Data shares'!$C$2:$CA$214,77,0)</f>
        <v>3.9699999999999999E-2</v>
      </c>
      <c r="H46" s="86">
        <f>VLOOKUP($A46,'Data shares'!$C:$FA,90)</f>
        <v>51441750</v>
      </c>
      <c r="I46" s="86">
        <f>VLOOKUP($A46,'Data shares'!$C:$FA,92)</f>
        <v>12359250</v>
      </c>
      <c r="J46" s="87">
        <f>VLOOKUP($A46,'Data shares'!$C:$FA,93)</f>
        <v>0.31619999999999998</v>
      </c>
      <c r="K46" s="86">
        <f>VLOOKUP($A46,'Data shares'!$C:$FA,94)</f>
        <v>52737750</v>
      </c>
      <c r="L46" s="86">
        <f>VLOOKUP($A46,'Data shares'!$C:$FA,96)</f>
        <v>13331250</v>
      </c>
      <c r="M46" s="87">
        <f>VLOOKUP($A46,'Data shares'!$C:$FA,97)</f>
        <v>0.33829999999999999</v>
      </c>
      <c r="N46" s="86">
        <f>VLOOKUP($A46,'Data shares'!$C:$FA,78)</f>
        <v>141763500</v>
      </c>
      <c r="O46" s="87">
        <f>VLOOKUP($A46,'Data shares'!$C:$FA,81)</f>
        <v>7.5201000000000002</v>
      </c>
    </row>
    <row r="47" spans="1:15" x14ac:dyDescent="0.25">
      <c r="A47" s="100" t="str">
        <f>'Data Vlaue (Cr)'!C42</f>
        <v>CDSL</v>
      </c>
      <c r="B47" s="82">
        <f>VLOOKUP(A47,'Data shares'!$C$2:$CV$214,98,0)</f>
        <v>19121125</v>
      </c>
      <c r="C47" s="82">
        <f>VLOOKUP(A47,'Data shares'!$C$2:$CX$214,100,0)</f>
        <v>2013050</v>
      </c>
      <c r="D47" s="141">
        <f>VLOOKUP(A47,'Data shares'!$C$2:$CY$537,101,0)</f>
        <v>0.1177</v>
      </c>
      <c r="E47" s="86">
        <f>VLOOKUP($A47,'Data shares'!$C:$FA,74)</f>
        <v>10132700</v>
      </c>
      <c r="F47" s="86">
        <f>VLOOKUP($A47,'Data shares'!$C:$FA,76)</f>
        <v>210900</v>
      </c>
      <c r="G47" s="87">
        <f>VLOOKUP(A47,'Data shares'!$C$2:$CA$214,77,0)</f>
        <v>2.1299999999999999E-2</v>
      </c>
      <c r="H47" s="86">
        <f>VLOOKUP($A47,'Data shares'!$C:$FA,90)</f>
        <v>4920525</v>
      </c>
      <c r="I47" s="86">
        <f>VLOOKUP($A47,'Data shares'!$C:$FA,92)</f>
        <v>1321925</v>
      </c>
      <c r="J47" s="87">
        <f>VLOOKUP($A47,'Data shares'!$C:$FA,93)</f>
        <v>0.36730000000000002</v>
      </c>
      <c r="K47" s="86">
        <f>VLOOKUP($A47,'Data shares'!$C:$FA,94)</f>
        <v>4067900</v>
      </c>
      <c r="L47" s="86">
        <f>VLOOKUP($A47,'Data shares'!$C:$FA,96)</f>
        <v>480225</v>
      </c>
      <c r="M47" s="87">
        <f>VLOOKUP($A47,'Data shares'!$C:$FA,97)</f>
        <v>0.13389999999999999</v>
      </c>
      <c r="N47" s="86">
        <f>VLOOKUP($A47,'Data shares'!$C:$FA,78)</f>
        <v>9554625</v>
      </c>
      <c r="O47" s="87">
        <f>VLOOKUP($A47,'Data shares'!$C:$FA,81)</f>
        <v>10.422499999999999</v>
      </c>
    </row>
    <row r="48" spans="1:15" x14ac:dyDescent="0.25">
      <c r="A48" s="100" t="str">
        <f>'Data Vlaue (Cr)'!C43</f>
        <v>CGPOWER</v>
      </c>
      <c r="B48" s="82">
        <f>VLOOKUP(A48,'Data shares'!$C$2:$CV$214,98,0)</f>
        <v>30047500</v>
      </c>
      <c r="C48" s="82">
        <f>VLOOKUP(A48,'Data shares'!$C$2:$CX$214,100,0)</f>
        <v>2484550</v>
      </c>
      <c r="D48" s="141">
        <f>VLOOKUP(A48,'Data shares'!$C$2:$CY$537,101,0)</f>
        <v>9.01E-2</v>
      </c>
      <c r="E48" s="86">
        <f>VLOOKUP($A48,'Data shares'!$C:$FA,74)</f>
        <v>18976250</v>
      </c>
      <c r="F48" s="86">
        <f>VLOOKUP($A48,'Data shares'!$C:$FA,76)</f>
        <v>810050</v>
      </c>
      <c r="G48" s="87">
        <f>VLOOKUP(A48,'Data shares'!$C$2:$CA$214,77,0)</f>
        <v>4.4600000000000001E-2</v>
      </c>
      <c r="H48" s="86">
        <f>VLOOKUP($A48,'Data shares'!$C:$FA,90)</f>
        <v>5662700</v>
      </c>
      <c r="I48" s="86">
        <f>VLOOKUP($A48,'Data shares'!$C:$FA,92)</f>
        <v>85850</v>
      </c>
      <c r="J48" s="87">
        <f>VLOOKUP($A48,'Data shares'!$C:$FA,93)</f>
        <v>1.54E-2</v>
      </c>
      <c r="K48" s="86">
        <f>VLOOKUP($A48,'Data shares'!$C:$FA,94)</f>
        <v>5408550</v>
      </c>
      <c r="L48" s="86">
        <f>VLOOKUP($A48,'Data shares'!$C:$FA,96)</f>
        <v>1588650</v>
      </c>
      <c r="M48" s="87">
        <f>VLOOKUP($A48,'Data shares'!$C:$FA,97)</f>
        <v>0.41589999999999999</v>
      </c>
      <c r="N48" s="86">
        <f>VLOOKUP($A48,'Data shares'!$C:$FA,78)</f>
        <v>18535950</v>
      </c>
      <c r="O48" s="87">
        <f>VLOOKUP($A48,'Data shares'!$C:$FA,81)</f>
        <v>10.1203</v>
      </c>
    </row>
    <row r="49" spans="1:15" x14ac:dyDescent="0.25">
      <c r="A49" s="100" t="str">
        <f>'Data Vlaue (Cr)'!C44</f>
        <v>CHOLAFIN</v>
      </c>
      <c r="B49" s="82">
        <f>VLOOKUP(A49,'Data shares'!$C$2:$CV$214,98,0)</f>
        <v>17715625</v>
      </c>
      <c r="C49" s="82">
        <f>VLOOKUP(A49,'Data shares'!$C$2:$CX$214,100,0)</f>
        <v>860000</v>
      </c>
      <c r="D49" s="141">
        <f>VLOOKUP(A49,'Data shares'!$C$2:$CY$537,101,0)</f>
        <v>5.0999999999999997E-2</v>
      </c>
      <c r="E49" s="86">
        <f>VLOOKUP($A49,'Data shares'!$C:$FA,74)</f>
        <v>15117500</v>
      </c>
      <c r="F49" s="86">
        <f>VLOOKUP($A49,'Data shares'!$C:$FA,76)</f>
        <v>273125</v>
      </c>
      <c r="G49" s="87">
        <f>VLOOKUP(A49,'Data shares'!$C$2:$CA$214,77,0)</f>
        <v>1.84E-2</v>
      </c>
      <c r="H49" s="86">
        <f>VLOOKUP($A49,'Data shares'!$C:$FA,90)</f>
        <v>1267500</v>
      </c>
      <c r="I49" s="86">
        <f>VLOOKUP($A49,'Data shares'!$C:$FA,92)</f>
        <v>316250</v>
      </c>
      <c r="J49" s="87">
        <f>VLOOKUP($A49,'Data shares'!$C:$FA,93)</f>
        <v>0.33250000000000002</v>
      </c>
      <c r="K49" s="86">
        <f>VLOOKUP($A49,'Data shares'!$C:$FA,94)</f>
        <v>1330625</v>
      </c>
      <c r="L49" s="86">
        <f>VLOOKUP($A49,'Data shares'!$C:$FA,96)</f>
        <v>270625</v>
      </c>
      <c r="M49" s="87">
        <f>VLOOKUP($A49,'Data shares'!$C:$FA,97)</f>
        <v>0.25530000000000003</v>
      </c>
      <c r="N49" s="86">
        <f>VLOOKUP($A49,'Data shares'!$C:$FA,78)</f>
        <v>15044375</v>
      </c>
      <c r="O49" s="87">
        <f>VLOOKUP($A49,'Data shares'!$C:$FA,81)</f>
        <v>16.608599999999999</v>
      </c>
    </row>
    <row r="50" spans="1:15" x14ac:dyDescent="0.25">
      <c r="A50" s="100" t="str">
        <f>'Data Vlaue (Cr)'!C45</f>
        <v>CIPLA</v>
      </c>
      <c r="B50" s="82">
        <f>VLOOKUP(A50,'Data shares'!$C$2:$CV$214,98,0)</f>
        <v>21015000</v>
      </c>
      <c r="C50" s="82">
        <f>VLOOKUP(A50,'Data shares'!$C$2:$CX$214,100,0)</f>
        <v>351375</v>
      </c>
      <c r="D50" s="141">
        <f>VLOOKUP(A50,'Data shares'!$C$2:$CY$537,101,0)</f>
        <v>1.7000000000000001E-2</v>
      </c>
      <c r="E50" s="86">
        <f>VLOOKUP($A50,'Data shares'!$C:$FA,74)</f>
        <v>14610750</v>
      </c>
      <c r="F50" s="86">
        <f>VLOOKUP($A50,'Data shares'!$C:$FA,76)</f>
        <v>-451125</v>
      </c>
      <c r="G50" s="87">
        <f>VLOOKUP(A50,'Data shares'!$C$2:$CA$214,77,0)</f>
        <v>-0.03</v>
      </c>
      <c r="H50" s="86">
        <f>VLOOKUP($A50,'Data shares'!$C:$FA,90)</f>
        <v>3496125</v>
      </c>
      <c r="I50" s="86">
        <f>VLOOKUP($A50,'Data shares'!$C:$FA,92)</f>
        <v>561000</v>
      </c>
      <c r="J50" s="87">
        <f>VLOOKUP($A50,'Data shares'!$C:$FA,93)</f>
        <v>0.19109999999999999</v>
      </c>
      <c r="K50" s="86">
        <f>VLOOKUP($A50,'Data shares'!$C:$FA,94)</f>
        <v>2908125</v>
      </c>
      <c r="L50" s="86">
        <f>VLOOKUP($A50,'Data shares'!$C:$FA,96)</f>
        <v>241500</v>
      </c>
      <c r="M50" s="87">
        <f>VLOOKUP($A50,'Data shares'!$C:$FA,97)</f>
        <v>9.06E-2</v>
      </c>
      <c r="N50" s="86">
        <f>VLOOKUP($A50,'Data shares'!$C:$FA,78)</f>
        <v>14274000</v>
      </c>
      <c r="O50" s="87">
        <f>VLOOKUP($A50,'Data shares'!$C:$FA,81)</f>
        <v>6.6113</v>
      </c>
    </row>
    <row r="51" spans="1:15" x14ac:dyDescent="0.25">
      <c r="A51" s="100" t="str">
        <f>'Data Vlaue (Cr)'!C46</f>
        <v>COALINDIA</v>
      </c>
      <c r="B51" s="82">
        <f>VLOOKUP(A51,'Data shares'!$C$2:$CV$214,98,0)</f>
        <v>71799750</v>
      </c>
      <c r="C51" s="82">
        <f>VLOOKUP(A51,'Data shares'!$C$2:$CX$214,100,0)</f>
        <v>8403750</v>
      </c>
      <c r="D51" s="141">
        <f>VLOOKUP(A51,'Data shares'!$C$2:$CY$537,101,0)</f>
        <v>0.1326</v>
      </c>
      <c r="E51" s="86">
        <f>VLOOKUP($A51,'Data shares'!$C:$FA,74)</f>
        <v>38950200</v>
      </c>
      <c r="F51" s="86">
        <f>VLOOKUP($A51,'Data shares'!$C:$FA,76)</f>
        <v>-67500</v>
      </c>
      <c r="G51" s="87">
        <f>VLOOKUP(A51,'Data shares'!$C$2:$CA$214,77,0)</f>
        <v>-1.6999999999999999E-3</v>
      </c>
      <c r="H51" s="86">
        <f>VLOOKUP($A51,'Data shares'!$C:$FA,90)</f>
        <v>20425500</v>
      </c>
      <c r="I51" s="86">
        <f>VLOOKUP($A51,'Data shares'!$C:$FA,92)</f>
        <v>5148900</v>
      </c>
      <c r="J51" s="87">
        <f>VLOOKUP($A51,'Data shares'!$C:$FA,93)</f>
        <v>0.33700000000000002</v>
      </c>
      <c r="K51" s="86">
        <f>VLOOKUP($A51,'Data shares'!$C:$FA,94)</f>
        <v>12424050</v>
      </c>
      <c r="L51" s="86">
        <f>VLOOKUP($A51,'Data shares'!$C:$FA,96)</f>
        <v>3322350</v>
      </c>
      <c r="M51" s="87">
        <f>VLOOKUP($A51,'Data shares'!$C:$FA,97)</f>
        <v>0.36499999999999999</v>
      </c>
      <c r="N51" s="86">
        <f>VLOOKUP($A51,'Data shares'!$C:$FA,78)</f>
        <v>37755450</v>
      </c>
      <c r="O51" s="87">
        <f>VLOOKUP($A51,'Data shares'!$C:$FA,81)</f>
        <v>1.6768000000000001</v>
      </c>
    </row>
    <row r="52" spans="1:15" x14ac:dyDescent="0.25">
      <c r="A52" s="100" t="str">
        <f>'Data Vlaue (Cr)'!C47</f>
        <v>COFORGE</v>
      </c>
      <c r="B52" s="82">
        <f>VLOOKUP(A52,'Data shares'!$C$2:$CV$214,98,0)</f>
        <v>17149500</v>
      </c>
      <c r="C52" s="82">
        <f>VLOOKUP(A52,'Data shares'!$C$2:$CX$214,100,0)</f>
        <v>550125</v>
      </c>
      <c r="D52" s="141">
        <f>VLOOKUP(A52,'Data shares'!$C$2:$CY$537,101,0)</f>
        <v>3.3099999999999997E-2</v>
      </c>
      <c r="E52" s="86">
        <f>VLOOKUP($A52,'Data shares'!$C:$FA,74)</f>
        <v>12082125</v>
      </c>
      <c r="F52" s="86">
        <f>VLOOKUP($A52,'Data shares'!$C:$FA,76)</f>
        <v>-216375</v>
      </c>
      <c r="G52" s="87">
        <f>VLOOKUP(A52,'Data shares'!$C$2:$CA$214,77,0)</f>
        <v>-1.7600000000000001E-2</v>
      </c>
      <c r="H52" s="86">
        <f>VLOOKUP($A52,'Data shares'!$C:$FA,90)</f>
        <v>2921250</v>
      </c>
      <c r="I52" s="86">
        <f>VLOOKUP($A52,'Data shares'!$C:$FA,92)</f>
        <v>541500</v>
      </c>
      <c r="J52" s="87">
        <f>VLOOKUP($A52,'Data shares'!$C:$FA,93)</f>
        <v>0.22750000000000001</v>
      </c>
      <c r="K52" s="86">
        <f>VLOOKUP($A52,'Data shares'!$C:$FA,94)</f>
        <v>2146125</v>
      </c>
      <c r="L52" s="86">
        <f>VLOOKUP($A52,'Data shares'!$C:$FA,96)</f>
        <v>225000</v>
      </c>
      <c r="M52" s="87">
        <f>VLOOKUP($A52,'Data shares'!$C:$FA,97)</f>
        <v>0.1171</v>
      </c>
      <c r="N52" s="86">
        <f>VLOOKUP($A52,'Data shares'!$C:$FA,78)</f>
        <v>11919750</v>
      </c>
      <c r="O52" s="87">
        <f>VLOOKUP($A52,'Data shares'!$C:$FA,81)</f>
        <v>10.3847</v>
      </c>
    </row>
    <row r="53" spans="1:15" x14ac:dyDescent="0.25">
      <c r="A53" s="100" t="str">
        <f>'Data Vlaue (Cr)'!C48</f>
        <v>COLPAL</v>
      </c>
      <c r="B53" s="82">
        <f>VLOOKUP(A53,'Data shares'!$C$2:$CV$214,98,0)</f>
        <v>6925725</v>
      </c>
      <c r="C53" s="82">
        <f>VLOOKUP(A53,'Data shares'!$C$2:$CX$214,100,0)</f>
        <v>247725</v>
      </c>
      <c r="D53" s="141">
        <f>VLOOKUP(A53,'Data shares'!$C$2:$CY$537,101,0)</f>
        <v>3.7100000000000001E-2</v>
      </c>
      <c r="E53" s="86">
        <f>VLOOKUP($A53,'Data shares'!$C:$FA,74)</f>
        <v>5111100</v>
      </c>
      <c r="F53" s="86">
        <f>VLOOKUP($A53,'Data shares'!$C:$FA,76)</f>
        <v>-23400</v>
      </c>
      <c r="G53" s="87">
        <f>VLOOKUP(A53,'Data shares'!$C$2:$CA$214,77,0)</f>
        <v>-4.5999999999999999E-3</v>
      </c>
      <c r="H53" s="86">
        <f>VLOOKUP($A53,'Data shares'!$C:$FA,90)</f>
        <v>911250</v>
      </c>
      <c r="I53" s="86">
        <f>VLOOKUP($A53,'Data shares'!$C:$FA,92)</f>
        <v>107325</v>
      </c>
      <c r="J53" s="87">
        <f>VLOOKUP($A53,'Data shares'!$C:$FA,93)</f>
        <v>0.13350000000000001</v>
      </c>
      <c r="K53" s="86">
        <f>VLOOKUP($A53,'Data shares'!$C:$FA,94)</f>
        <v>903375</v>
      </c>
      <c r="L53" s="86">
        <f>VLOOKUP($A53,'Data shares'!$C:$FA,96)</f>
        <v>163800</v>
      </c>
      <c r="M53" s="87">
        <f>VLOOKUP($A53,'Data shares'!$C:$FA,97)</f>
        <v>0.2215</v>
      </c>
      <c r="N53" s="86">
        <f>VLOOKUP($A53,'Data shares'!$C:$FA,78)</f>
        <v>4987800</v>
      </c>
      <c r="O53" s="87">
        <f>VLOOKUP($A53,'Data shares'!$C:$FA,81)</f>
        <v>3.8296000000000001</v>
      </c>
    </row>
    <row r="54" spans="1:15" x14ac:dyDescent="0.25">
      <c r="A54" s="100" t="str">
        <f>'Data Vlaue (Cr)'!C49</f>
        <v>CONCOR</v>
      </c>
      <c r="B54" s="82">
        <f>VLOOKUP(A54,'Data shares'!$C$2:$CV$214,98,0)</f>
        <v>46328750</v>
      </c>
      <c r="C54" s="82">
        <f>VLOOKUP(A54,'Data shares'!$C$2:$CX$214,100,0)</f>
        <v>2401250</v>
      </c>
      <c r="D54" s="141">
        <f>VLOOKUP(A54,'Data shares'!$C$2:$CY$537,101,0)</f>
        <v>5.4699999999999999E-2</v>
      </c>
      <c r="E54" s="86">
        <f>VLOOKUP($A54,'Data shares'!$C:$FA,74)</f>
        <v>31806250</v>
      </c>
      <c r="F54" s="86">
        <f>VLOOKUP($A54,'Data shares'!$C:$FA,76)</f>
        <v>536250</v>
      </c>
      <c r="G54" s="87">
        <f>VLOOKUP(A54,'Data shares'!$C$2:$CA$214,77,0)</f>
        <v>1.7100000000000001E-2</v>
      </c>
      <c r="H54" s="86">
        <f>VLOOKUP($A54,'Data shares'!$C:$FA,90)</f>
        <v>6873750</v>
      </c>
      <c r="I54" s="86">
        <f>VLOOKUP($A54,'Data shares'!$C:$FA,92)</f>
        <v>1138750</v>
      </c>
      <c r="J54" s="87">
        <f>VLOOKUP($A54,'Data shares'!$C:$FA,93)</f>
        <v>0.1986</v>
      </c>
      <c r="K54" s="86">
        <f>VLOOKUP($A54,'Data shares'!$C:$FA,94)</f>
        <v>7648750</v>
      </c>
      <c r="L54" s="86">
        <f>VLOOKUP($A54,'Data shares'!$C:$FA,96)</f>
        <v>726250</v>
      </c>
      <c r="M54" s="87">
        <f>VLOOKUP($A54,'Data shares'!$C:$FA,97)</f>
        <v>0.10489999999999999</v>
      </c>
      <c r="N54" s="86">
        <f>VLOOKUP($A54,'Data shares'!$C:$FA,78)</f>
        <v>30937500</v>
      </c>
      <c r="O54" s="87">
        <f>VLOOKUP($A54,'Data shares'!$C:$FA,81)</f>
        <v>16.356200000000001</v>
      </c>
    </row>
    <row r="55" spans="1:15" x14ac:dyDescent="0.25">
      <c r="A55" s="100" t="str">
        <f>'Data Vlaue (Cr)'!C50</f>
        <v>CROMPTON</v>
      </c>
      <c r="B55" s="82">
        <f>VLOOKUP(A55,'Data shares'!$C$2:$CV$214,98,0)</f>
        <v>67125600</v>
      </c>
      <c r="C55" s="82">
        <f>VLOOKUP(A55,'Data shares'!$C$2:$CX$214,100,0)</f>
        <v>2802600</v>
      </c>
      <c r="D55" s="141">
        <f>VLOOKUP(A55,'Data shares'!$C$2:$CY$537,101,0)</f>
        <v>4.36E-2</v>
      </c>
      <c r="E55" s="86">
        <f>VLOOKUP($A55,'Data shares'!$C:$FA,74)</f>
        <v>52387200</v>
      </c>
      <c r="F55" s="86">
        <f>VLOOKUP($A55,'Data shares'!$C:$FA,76)</f>
        <v>93600</v>
      </c>
      <c r="G55" s="87">
        <f>VLOOKUP(A55,'Data shares'!$C$2:$CA$214,77,0)</f>
        <v>1.8E-3</v>
      </c>
      <c r="H55" s="86">
        <f>VLOOKUP($A55,'Data shares'!$C:$FA,90)</f>
        <v>9037800</v>
      </c>
      <c r="I55" s="86">
        <f>VLOOKUP($A55,'Data shares'!$C:$FA,92)</f>
        <v>1904400</v>
      </c>
      <c r="J55" s="87">
        <f>VLOOKUP($A55,'Data shares'!$C:$FA,93)</f>
        <v>0.26700000000000002</v>
      </c>
      <c r="K55" s="86">
        <f>VLOOKUP($A55,'Data shares'!$C:$FA,94)</f>
        <v>5700600</v>
      </c>
      <c r="L55" s="86">
        <f>VLOOKUP($A55,'Data shares'!$C:$FA,96)</f>
        <v>804600</v>
      </c>
      <c r="M55" s="87">
        <f>VLOOKUP($A55,'Data shares'!$C:$FA,97)</f>
        <v>0.1643</v>
      </c>
      <c r="N55" s="86">
        <f>VLOOKUP($A55,'Data shares'!$C:$FA,78)</f>
        <v>50900400</v>
      </c>
      <c r="O55" s="87">
        <f>VLOOKUP($A55,'Data shares'!$C:$FA,81)</f>
        <v>18.4084</v>
      </c>
    </row>
    <row r="56" spans="1:15" x14ac:dyDescent="0.25">
      <c r="A56" s="100" t="str">
        <f>'Data Vlaue (Cr)'!C51</f>
        <v>CUMMINSIND</v>
      </c>
      <c r="B56" s="82">
        <f>VLOOKUP(A56,'Data shares'!$C$2:$CV$214,98,0)</f>
        <v>4070000</v>
      </c>
      <c r="C56" s="82">
        <f>VLOOKUP(A56,'Data shares'!$C$2:$CX$214,100,0)</f>
        <v>168200</v>
      </c>
      <c r="D56" s="141">
        <f>VLOOKUP(A56,'Data shares'!$C$2:$CY$537,101,0)</f>
        <v>4.3099999999999999E-2</v>
      </c>
      <c r="E56" s="86">
        <f>VLOOKUP($A56,'Data shares'!$C:$FA,74)</f>
        <v>3499000</v>
      </c>
      <c r="F56" s="86">
        <f>VLOOKUP($A56,'Data shares'!$C:$FA,76)</f>
        <v>38800</v>
      </c>
      <c r="G56" s="87">
        <f>VLOOKUP(A56,'Data shares'!$C$2:$CA$214,77,0)</f>
        <v>1.12E-2</v>
      </c>
      <c r="H56" s="86">
        <f>VLOOKUP($A56,'Data shares'!$C:$FA,90)</f>
        <v>279000</v>
      </c>
      <c r="I56" s="86">
        <f>VLOOKUP($A56,'Data shares'!$C:$FA,92)</f>
        <v>78600</v>
      </c>
      <c r="J56" s="87">
        <f>VLOOKUP($A56,'Data shares'!$C:$FA,93)</f>
        <v>0.39219999999999999</v>
      </c>
      <c r="K56" s="86">
        <f>VLOOKUP($A56,'Data shares'!$C:$FA,94)</f>
        <v>292000</v>
      </c>
      <c r="L56" s="86">
        <f>VLOOKUP($A56,'Data shares'!$C:$FA,96)</f>
        <v>50800</v>
      </c>
      <c r="M56" s="87">
        <f>VLOOKUP($A56,'Data shares'!$C:$FA,97)</f>
        <v>0.21060000000000001</v>
      </c>
      <c r="N56" s="86">
        <f>VLOOKUP($A56,'Data shares'!$C:$FA,78)</f>
        <v>3466400</v>
      </c>
      <c r="O56" s="87">
        <f>VLOOKUP($A56,'Data shares'!$C:$FA,81)</f>
        <v>22.078600000000002</v>
      </c>
    </row>
    <row r="57" spans="1:15" x14ac:dyDescent="0.25">
      <c r="A57" s="100" t="str">
        <f>'Data Vlaue (Cr)'!C52</f>
        <v>DABUR</v>
      </c>
      <c r="B57" s="82">
        <f>VLOOKUP(A57,'Data shares'!$C$2:$CV$214,98,0)</f>
        <v>32030000</v>
      </c>
      <c r="C57" s="82">
        <f>VLOOKUP(A57,'Data shares'!$C$2:$CX$214,100,0)</f>
        <v>3477500</v>
      </c>
      <c r="D57" s="141">
        <f>VLOOKUP(A57,'Data shares'!$C$2:$CY$537,101,0)</f>
        <v>0.12180000000000001</v>
      </c>
      <c r="E57" s="86">
        <f>VLOOKUP($A57,'Data shares'!$C:$FA,74)</f>
        <v>23573750</v>
      </c>
      <c r="F57" s="86">
        <f>VLOOKUP($A57,'Data shares'!$C:$FA,76)</f>
        <v>1008750</v>
      </c>
      <c r="G57" s="87">
        <f>VLOOKUP(A57,'Data shares'!$C$2:$CA$214,77,0)</f>
        <v>4.4699999999999997E-2</v>
      </c>
      <c r="H57" s="86">
        <f>VLOOKUP($A57,'Data shares'!$C:$FA,90)</f>
        <v>5113750</v>
      </c>
      <c r="I57" s="86">
        <f>VLOOKUP($A57,'Data shares'!$C:$FA,92)</f>
        <v>1715000</v>
      </c>
      <c r="J57" s="87">
        <f>VLOOKUP($A57,'Data shares'!$C:$FA,93)</f>
        <v>0.50460000000000005</v>
      </c>
      <c r="K57" s="86">
        <f>VLOOKUP($A57,'Data shares'!$C:$FA,94)</f>
        <v>3342500</v>
      </c>
      <c r="L57" s="86">
        <f>VLOOKUP($A57,'Data shares'!$C:$FA,96)</f>
        <v>753750</v>
      </c>
      <c r="M57" s="87">
        <f>VLOOKUP($A57,'Data shares'!$C:$FA,97)</f>
        <v>0.29120000000000001</v>
      </c>
      <c r="N57" s="86">
        <f>VLOOKUP($A57,'Data shares'!$C:$FA,78)</f>
        <v>23337500</v>
      </c>
      <c r="O57" s="87">
        <f>VLOOKUP($A57,'Data shares'!$C:$FA,81)</f>
        <v>34.094000000000001</v>
      </c>
    </row>
    <row r="58" spans="1:15" x14ac:dyDescent="0.25">
      <c r="A58" s="100" t="str">
        <f>'Data Vlaue (Cr)'!C53</f>
        <v>DALBHARAT</v>
      </c>
      <c r="B58" s="82">
        <f>VLOOKUP(A58,'Data shares'!$C$2:$CV$214,98,0)</f>
        <v>3726450</v>
      </c>
      <c r="C58" s="82">
        <f>VLOOKUP(A58,'Data shares'!$C$2:$CX$214,100,0)</f>
        <v>157300</v>
      </c>
      <c r="D58" s="141">
        <f>VLOOKUP(A58,'Data shares'!$C$2:$CY$537,101,0)</f>
        <v>4.41E-2</v>
      </c>
      <c r="E58" s="86">
        <f>VLOOKUP($A58,'Data shares'!$C:$FA,74)</f>
        <v>2777450</v>
      </c>
      <c r="F58" s="86">
        <f>VLOOKUP($A58,'Data shares'!$C:$FA,76)</f>
        <v>-1300</v>
      </c>
      <c r="G58" s="87">
        <f>VLOOKUP(A58,'Data shares'!$C$2:$CA$214,77,0)</f>
        <v>-5.0000000000000001E-4</v>
      </c>
      <c r="H58" s="86">
        <f>VLOOKUP($A58,'Data shares'!$C:$FA,90)</f>
        <v>556725</v>
      </c>
      <c r="I58" s="86">
        <f>VLOOKUP($A58,'Data shares'!$C:$FA,92)</f>
        <v>101725</v>
      </c>
      <c r="J58" s="87">
        <f>VLOOKUP($A58,'Data shares'!$C:$FA,93)</f>
        <v>0.22359999999999999</v>
      </c>
      <c r="K58" s="86">
        <f>VLOOKUP($A58,'Data shares'!$C:$FA,94)</f>
        <v>392275</v>
      </c>
      <c r="L58" s="86">
        <f>VLOOKUP($A58,'Data shares'!$C:$FA,96)</f>
        <v>56875</v>
      </c>
      <c r="M58" s="87">
        <f>VLOOKUP($A58,'Data shares'!$C:$FA,97)</f>
        <v>0.1696</v>
      </c>
      <c r="N58" s="86">
        <f>VLOOKUP($A58,'Data shares'!$C:$FA,78)</f>
        <v>2750800</v>
      </c>
      <c r="O58" s="87">
        <f>VLOOKUP($A58,'Data shares'!$C:$FA,81)</f>
        <v>9.5404999999999998</v>
      </c>
    </row>
    <row r="59" spans="1:15" x14ac:dyDescent="0.25">
      <c r="A59" s="100" t="str">
        <f>'Data Vlaue (Cr)'!C54</f>
        <v>DELHIVERY</v>
      </c>
      <c r="B59" s="82">
        <f>VLOOKUP(A59,'Data shares'!$C$2:$CV$214,98,0)</f>
        <v>32546375</v>
      </c>
      <c r="C59" s="82">
        <f>VLOOKUP(A59,'Data shares'!$C$2:$CX$214,100,0)</f>
        <v>3687275</v>
      </c>
      <c r="D59" s="141">
        <f>VLOOKUP(A59,'Data shares'!$C$2:$CY$537,101,0)</f>
        <v>0.1278</v>
      </c>
      <c r="E59" s="86">
        <f>VLOOKUP($A59,'Data shares'!$C:$FA,74)</f>
        <v>25283875</v>
      </c>
      <c r="F59" s="86">
        <f>VLOOKUP($A59,'Data shares'!$C:$FA,76)</f>
        <v>1500225</v>
      </c>
      <c r="G59" s="87">
        <f>VLOOKUP(A59,'Data shares'!$C$2:$CA$214,77,0)</f>
        <v>6.3100000000000003E-2</v>
      </c>
      <c r="H59" s="86">
        <f>VLOOKUP($A59,'Data shares'!$C:$FA,90)</f>
        <v>3851200</v>
      </c>
      <c r="I59" s="86">
        <f>VLOOKUP($A59,'Data shares'!$C:$FA,92)</f>
        <v>1577000</v>
      </c>
      <c r="J59" s="87">
        <f>VLOOKUP($A59,'Data shares'!$C:$FA,93)</f>
        <v>0.69340000000000002</v>
      </c>
      <c r="K59" s="86">
        <f>VLOOKUP($A59,'Data shares'!$C:$FA,94)</f>
        <v>3411300</v>
      </c>
      <c r="L59" s="86">
        <f>VLOOKUP($A59,'Data shares'!$C:$FA,96)</f>
        <v>610050</v>
      </c>
      <c r="M59" s="87">
        <f>VLOOKUP($A59,'Data shares'!$C:$FA,97)</f>
        <v>0.21779999999999999</v>
      </c>
      <c r="N59" s="86">
        <f>VLOOKUP($A59,'Data shares'!$C:$FA,78)</f>
        <v>25014125</v>
      </c>
      <c r="O59" s="87">
        <f>VLOOKUP($A59,'Data shares'!$C:$FA,81)</f>
        <v>35.419899999999998</v>
      </c>
    </row>
    <row r="60" spans="1:15" x14ac:dyDescent="0.25">
      <c r="A60" s="100" t="str">
        <f>'Data Vlaue (Cr)'!C55</f>
        <v>DIVISLAB</v>
      </c>
      <c r="B60" s="82">
        <f>VLOOKUP(A60,'Data shares'!$C$2:$CV$214,98,0)</f>
        <v>4063900</v>
      </c>
      <c r="C60" s="82">
        <f>VLOOKUP(A60,'Data shares'!$C$2:$CX$214,100,0)</f>
        <v>257600</v>
      </c>
      <c r="D60" s="141">
        <f>VLOOKUP(A60,'Data shares'!$C$2:$CY$537,101,0)</f>
        <v>6.7699999999999996E-2</v>
      </c>
      <c r="E60" s="86">
        <f>VLOOKUP($A60,'Data shares'!$C:$FA,74)</f>
        <v>3337400</v>
      </c>
      <c r="F60" s="86">
        <f>VLOOKUP($A60,'Data shares'!$C:$FA,76)</f>
        <v>-5500</v>
      </c>
      <c r="G60" s="87">
        <f>VLOOKUP(A60,'Data shares'!$C$2:$CA$214,77,0)</f>
        <v>-1.6000000000000001E-3</v>
      </c>
      <c r="H60" s="86">
        <f>VLOOKUP($A60,'Data shares'!$C:$FA,90)</f>
        <v>445100</v>
      </c>
      <c r="I60" s="86">
        <f>VLOOKUP($A60,'Data shares'!$C:$FA,92)</f>
        <v>197100</v>
      </c>
      <c r="J60" s="87">
        <f>VLOOKUP($A60,'Data shares'!$C:$FA,93)</f>
        <v>0.79479999999999995</v>
      </c>
      <c r="K60" s="86">
        <f>VLOOKUP($A60,'Data shares'!$C:$FA,94)</f>
        <v>281400</v>
      </c>
      <c r="L60" s="86">
        <f>VLOOKUP($A60,'Data shares'!$C:$FA,96)</f>
        <v>66000</v>
      </c>
      <c r="M60" s="87">
        <f>VLOOKUP($A60,'Data shares'!$C:$FA,97)</f>
        <v>0.30640000000000001</v>
      </c>
      <c r="N60" s="86">
        <f>VLOOKUP($A60,'Data shares'!$C:$FA,78)</f>
        <v>3318400</v>
      </c>
      <c r="O60" s="87">
        <f>VLOOKUP($A60,'Data shares'!$C:$FA,81)</f>
        <v>9.3056000000000001</v>
      </c>
    </row>
    <row r="61" spans="1:15" x14ac:dyDescent="0.25">
      <c r="A61" s="100" t="str">
        <f>'Data Vlaue (Cr)'!C56</f>
        <v>DIXON</v>
      </c>
      <c r="B61" s="82">
        <f>VLOOKUP(A61,'Data shares'!$C$2:$CV$214,98,0)</f>
        <v>4802450</v>
      </c>
      <c r="C61" s="82">
        <f>VLOOKUP(A61,'Data shares'!$C$2:$CX$214,100,0)</f>
        <v>380100</v>
      </c>
      <c r="D61" s="141">
        <f>VLOOKUP(A61,'Data shares'!$C$2:$CY$537,101,0)</f>
        <v>8.5900000000000004E-2</v>
      </c>
      <c r="E61" s="86">
        <f>VLOOKUP($A61,'Data shares'!$C:$FA,74)</f>
        <v>3067100</v>
      </c>
      <c r="F61" s="86">
        <f>VLOOKUP($A61,'Data shares'!$C:$FA,76)</f>
        <v>90500</v>
      </c>
      <c r="G61" s="87">
        <f>VLOOKUP(A61,'Data shares'!$C$2:$CA$214,77,0)</f>
        <v>3.04E-2</v>
      </c>
      <c r="H61" s="86">
        <f>VLOOKUP($A61,'Data shares'!$C:$FA,90)</f>
        <v>923200</v>
      </c>
      <c r="I61" s="86">
        <f>VLOOKUP($A61,'Data shares'!$C:$FA,92)</f>
        <v>171400</v>
      </c>
      <c r="J61" s="87">
        <f>VLOOKUP($A61,'Data shares'!$C:$FA,93)</f>
        <v>0.22800000000000001</v>
      </c>
      <c r="K61" s="86">
        <f>VLOOKUP($A61,'Data shares'!$C:$FA,94)</f>
        <v>812150</v>
      </c>
      <c r="L61" s="86">
        <f>VLOOKUP($A61,'Data shares'!$C:$FA,96)</f>
        <v>118200</v>
      </c>
      <c r="M61" s="87">
        <f>VLOOKUP($A61,'Data shares'!$C:$FA,97)</f>
        <v>0.17030000000000001</v>
      </c>
      <c r="N61" s="86">
        <f>VLOOKUP($A61,'Data shares'!$C:$FA,78)</f>
        <v>2944900</v>
      </c>
      <c r="O61" s="87">
        <f>VLOOKUP($A61,'Data shares'!$C:$FA,81)</f>
        <v>3.5781999999999998</v>
      </c>
    </row>
    <row r="62" spans="1:15" x14ac:dyDescent="0.25">
      <c r="A62" s="100" t="str">
        <f>'Data Vlaue (Cr)'!C57</f>
        <v>DLF</v>
      </c>
      <c r="B62" s="82">
        <f>VLOOKUP(A62,'Data shares'!$C$2:$CV$214,98,0)</f>
        <v>77661375</v>
      </c>
      <c r="C62" s="82">
        <f>VLOOKUP(A62,'Data shares'!$C$2:$CX$214,100,0)</f>
        <v>1217700</v>
      </c>
      <c r="D62" s="141">
        <f>VLOOKUP(A62,'Data shares'!$C$2:$CY$537,101,0)</f>
        <v>1.5900000000000001E-2</v>
      </c>
      <c r="E62" s="86">
        <f>VLOOKUP($A62,'Data shares'!$C:$FA,74)</f>
        <v>57017400</v>
      </c>
      <c r="F62" s="86">
        <f>VLOOKUP($A62,'Data shares'!$C:$FA,76)</f>
        <v>-914925</v>
      </c>
      <c r="G62" s="87">
        <f>VLOOKUP(A62,'Data shares'!$C$2:$CA$214,77,0)</f>
        <v>-1.5800000000000002E-2</v>
      </c>
      <c r="H62" s="86">
        <f>VLOOKUP($A62,'Data shares'!$C:$FA,90)</f>
        <v>11482350</v>
      </c>
      <c r="I62" s="86">
        <f>VLOOKUP($A62,'Data shares'!$C:$FA,92)</f>
        <v>1201200</v>
      </c>
      <c r="J62" s="87">
        <f>VLOOKUP($A62,'Data shares'!$C:$FA,93)</f>
        <v>0.1168</v>
      </c>
      <c r="K62" s="86">
        <f>VLOOKUP($A62,'Data shares'!$C:$FA,94)</f>
        <v>9161625</v>
      </c>
      <c r="L62" s="86">
        <f>VLOOKUP($A62,'Data shares'!$C:$FA,96)</f>
        <v>931425</v>
      </c>
      <c r="M62" s="87">
        <f>VLOOKUP($A62,'Data shares'!$C:$FA,97)</f>
        <v>0.1132</v>
      </c>
      <c r="N62" s="86">
        <f>VLOOKUP($A62,'Data shares'!$C:$FA,78)</f>
        <v>56011725</v>
      </c>
      <c r="O62" s="87">
        <f>VLOOKUP($A62,'Data shares'!$C:$FA,81)</f>
        <v>20.0456</v>
      </c>
    </row>
    <row r="63" spans="1:15" x14ac:dyDescent="0.25">
      <c r="A63" s="100" t="str">
        <f>'Data Vlaue (Cr)'!C58</f>
        <v>DMART</v>
      </c>
      <c r="B63" s="82">
        <f>VLOOKUP(A63,'Data shares'!$C$2:$CV$214,98,0)</f>
        <v>7014300</v>
      </c>
      <c r="C63" s="82">
        <f>VLOOKUP(A63,'Data shares'!$C$2:$CX$214,100,0)</f>
        <v>752550</v>
      </c>
      <c r="D63" s="141">
        <f>VLOOKUP(A63,'Data shares'!$C$2:$CY$537,101,0)</f>
        <v>0.1202</v>
      </c>
      <c r="E63" s="86">
        <f>VLOOKUP($A63,'Data shares'!$C:$FA,74)</f>
        <v>5043750</v>
      </c>
      <c r="F63" s="86">
        <f>VLOOKUP($A63,'Data shares'!$C:$FA,76)</f>
        <v>124200</v>
      </c>
      <c r="G63" s="87">
        <f>VLOOKUP(A63,'Data shares'!$C$2:$CA$214,77,0)</f>
        <v>2.52E-2</v>
      </c>
      <c r="H63" s="86">
        <f>VLOOKUP($A63,'Data shares'!$C:$FA,90)</f>
        <v>1255650</v>
      </c>
      <c r="I63" s="86">
        <f>VLOOKUP($A63,'Data shares'!$C:$FA,92)</f>
        <v>549750</v>
      </c>
      <c r="J63" s="87">
        <f>VLOOKUP($A63,'Data shares'!$C:$FA,93)</f>
        <v>0.77880000000000005</v>
      </c>
      <c r="K63" s="86">
        <f>VLOOKUP($A63,'Data shares'!$C:$FA,94)</f>
        <v>714900</v>
      </c>
      <c r="L63" s="86">
        <f>VLOOKUP($A63,'Data shares'!$C:$FA,96)</f>
        <v>78600</v>
      </c>
      <c r="M63" s="87">
        <f>VLOOKUP($A63,'Data shares'!$C:$FA,97)</f>
        <v>0.1235</v>
      </c>
      <c r="N63" s="86">
        <f>VLOOKUP($A63,'Data shares'!$C:$FA,78)</f>
        <v>4958700</v>
      </c>
      <c r="O63" s="87">
        <f>VLOOKUP($A63,'Data shares'!$C:$FA,81)</f>
        <v>19.804300000000001</v>
      </c>
    </row>
    <row r="64" spans="1:15" x14ac:dyDescent="0.25">
      <c r="A64" s="100" t="str">
        <f>'Data Vlaue (Cr)'!C59</f>
        <v>DRREDDY</v>
      </c>
      <c r="B64" s="82">
        <f>VLOOKUP(A64,'Data shares'!$C$2:$CV$214,98,0)</f>
        <v>19517500</v>
      </c>
      <c r="C64" s="82">
        <f>VLOOKUP(A64,'Data shares'!$C$2:$CX$214,100,0)</f>
        <v>1108750</v>
      </c>
      <c r="D64" s="141">
        <f>VLOOKUP(A64,'Data shares'!$C$2:$CY$537,101,0)</f>
        <v>6.0199999999999997E-2</v>
      </c>
      <c r="E64" s="86">
        <f>VLOOKUP($A64,'Data shares'!$C:$FA,74)</f>
        <v>14824375</v>
      </c>
      <c r="F64" s="86">
        <f>VLOOKUP($A64,'Data shares'!$C:$FA,76)</f>
        <v>253750</v>
      </c>
      <c r="G64" s="87">
        <f>VLOOKUP(A64,'Data shares'!$C$2:$CA$214,77,0)</f>
        <v>1.7399999999999999E-2</v>
      </c>
      <c r="H64" s="86">
        <f>VLOOKUP($A64,'Data shares'!$C:$FA,90)</f>
        <v>2485625</v>
      </c>
      <c r="I64" s="86">
        <f>VLOOKUP($A64,'Data shares'!$C:$FA,92)</f>
        <v>465000</v>
      </c>
      <c r="J64" s="87">
        <f>VLOOKUP($A64,'Data shares'!$C:$FA,93)</f>
        <v>0.2301</v>
      </c>
      <c r="K64" s="86">
        <f>VLOOKUP($A64,'Data shares'!$C:$FA,94)</f>
        <v>2207500</v>
      </c>
      <c r="L64" s="86">
        <f>VLOOKUP($A64,'Data shares'!$C:$FA,96)</f>
        <v>390000</v>
      </c>
      <c r="M64" s="87">
        <f>VLOOKUP($A64,'Data shares'!$C:$FA,97)</f>
        <v>0.21460000000000001</v>
      </c>
      <c r="N64" s="86">
        <f>VLOOKUP($A64,'Data shares'!$C:$FA,78)</f>
        <v>14627500</v>
      </c>
      <c r="O64" s="87">
        <f>VLOOKUP($A64,'Data shares'!$C:$FA,81)</f>
        <v>10.2034</v>
      </c>
    </row>
    <row r="65" spans="1:15" x14ac:dyDescent="0.25">
      <c r="A65" s="100" t="str">
        <f>'Data Vlaue (Cr)'!C60</f>
        <v>EICHERMOT</v>
      </c>
      <c r="B65" s="82">
        <f>VLOOKUP(A65,'Data shares'!$C$2:$CV$214,98,0)</f>
        <v>4527900</v>
      </c>
      <c r="C65" s="82">
        <f>VLOOKUP(A65,'Data shares'!$C$2:$CX$214,100,0)</f>
        <v>458900</v>
      </c>
      <c r="D65" s="141">
        <f>VLOOKUP(A65,'Data shares'!$C$2:$CY$537,101,0)</f>
        <v>0.1128</v>
      </c>
      <c r="E65" s="86">
        <f>VLOOKUP($A65,'Data shares'!$C:$FA,74)</f>
        <v>3063400</v>
      </c>
      <c r="F65" s="86">
        <f>VLOOKUP($A65,'Data shares'!$C:$FA,76)</f>
        <v>162200</v>
      </c>
      <c r="G65" s="87">
        <f>VLOOKUP(A65,'Data shares'!$C$2:$CA$214,77,0)</f>
        <v>5.5899999999999998E-2</v>
      </c>
      <c r="H65" s="86">
        <f>VLOOKUP($A65,'Data shares'!$C:$FA,90)</f>
        <v>721800</v>
      </c>
      <c r="I65" s="86">
        <f>VLOOKUP($A65,'Data shares'!$C:$FA,92)</f>
        <v>148200</v>
      </c>
      <c r="J65" s="87">
        <f>VLOOKUP($A65,'Data shares'!$C:$FA,93)</f>
        <v>0.25840000000000002</v>
      </c>
      <c r="K65" s="86">
        <f>VLOOKUP($A65,'Data shares'!$C:$FA,94)</f>
        <v>742700</v>
      </c>
      <c r="L65" s="86">
        <f>VLOOKUP($A65,'Data shares'!$C:$FA,96)</f>
        <v>148500</v>
      </c>
      <c r="M65" s="87">
        <f>VLOOKUP($A65,'Data shares'!$C:$FA,97)</f>
        <v>0.24990000000000001</v>
      </c>
      <c r="N65" s="86">
        <f>VLOOKUP($A65,'Data shares'!$C:$FA,78)</f>
        <v>2989300</v>
      </c>
      <c r="O65" s="87">
        <f>VLOOKUP($A65,'Data shares'!$C:$FA,81)</f>
        <v>7.9877000000000002</v>
      </c>
    </row>
    <row r="66" spans="1:15" x14ac:dyDescent="0.25">
      <c r="A66" s="100" t="str">
        <f>'Data Vlaue (Cr)'!C61</f>
        <v>ETERNAL</v>
      </c>
      <c r="B66" s="82">
        <f>VLOOKUP(A66,'Data shares'!$C$2:$CV$214,98,0)</f>
        <v>430507825</v>
      </c>
      <c r="C66" s="82">
        <f>VLOOKUP(A66,'Data shares'!$C$2:$CX$214,100,0)</f>
        <v>-2919700</v>
      </c>
      <c r="D66" s="141">
        <f>VLOOKUP(A66,'Data shares'!$C$2:$CY$537,101,0)</f>
        <v>-6.7000000000000002E-3</v>
      </c>
      <c r="E66" s="86">
        <f>VLOOKUP($A66,'Data shares'!$C:$FA,74)</f>
        <v>333350200</v>
      </c>
      <c r="F66" s="86">
        <f>VLOOKUP($A66,'Data shares'!$C:$FA,76)</f>
        <v>-11302925</v>
      </c>
      <c r="G66" s="87">
        <f>VLOOKUP(A66,'Data shares'!$C$2:$CA$214,77,0)</f>
        <v>-3.2800000000000003E-2</v>
      </c>
      <c r="H66" s="86">
        <f>VLOOKUP($A66,'Data shares'!$C:$FA,90)</f>
        <v>56878375</v>
      </c>
      <c r="I66" s="86">
        <f>VLOOKUP($A66,'Data shares'!$C:$FA,92)</f>
        <v>4270425</v>
      </c>
      <c r="J66" s="87">
        <f>VLOOKUP($A66,'Data shares'!$C:$FA,93)</f>
        <v>8.1199999999999994E-2</v>
      </c>
      <c r="K66" s="86">
        <f>VLOOKUP($A66,'Data shares'!$C:$FA,94)</f>
        <v>40279250</v>
      </c>
      <c r="L66" s="86">
        <f>VLOOKUP($A66,'Data shares'!$C:$FA,96)</f>
        <v>4112800</v>
      </c>
      <c r="M66" s="87">
        <f>VLOOKUP($A66,'Data shares'!$C:$FA,97)</f>
        <v>0.1137</v>
      </c>
      <c r="N66" s="86">
        <f>VLOOKUP($A66,'Data shares'!$C:$FA,78)</f>
        <v>323987275</v>
      </c>
      <c r="O66" s="87">
        <f>VLOOKUP($A66,'Data shares'!$C:$FA,81)</f>
        <v>49.588000000000001</v>
      </c>
    </row>
    <row r="67" spans="1:15" x14ac:dyDescent="0.25">
      <c r="A67" s="100" t="str">
        <f>'Data Vlaue (Cr)'!C62</f>
        <v>EXIDEIND</v>
      </c>
      <c r="B67" s="82">
        <f>VLOOKUP(A67,'Data shares'!$C$2:$CV$214,98,0)</f>
        <v>47230200</v>
      </c>
      <c r="C67" s="82">
        <f>VLOOKUP(A67,'Data shares'!$C$2:$CX$214,100,0)</f>
        <v>4732200</v>
      </c>
      <c r="D67" s="141">
        <f>VLOOKUP(A67,'Data shares'!$C$2:$CY$537,101,0)</f>
        <v>0.1114</v>
      </c>
      <c r="E67" s="86">
        <f>VLOOKUP($A67,'Data shares'!$C:$FA,74)</f>
        <v>31960800</v>
      </c>
      <c r="F67" s="86">
        <f>VLOOKUP($A67,'Data shares'!$C:$FA,76)</f>
        <v>885600</v>
      </c>
      <c r="G67" s="87">
        <f>VLOOKUP(A67,'Data shares'!$C$2:$CA$214,77,0)</f>
        <v>2.8500000000000001E-2</v>
      </c>
      <c r="H67" s="86">
        <f>VLOOKUP($A67,'Data shares'!$C:$FA,90)</f>
        <v>7405200</v>
      </c>
      <c r="I67" s="86">
        <f>VLOOKUP($A67,'Data shares'!$C:$FA,92)</f>
        <v>2302200</v>
      </c>
      <c r="J67" s="87">
        <f>VLOOKUP($A67,'Data shares'!$C:$FA,93)</f>
        <v>0.4511</v>
      </c>
      <c r="K67" s="86">
        <f>VLOOKUP($A67,'Data shares'!$C:$FA,94)</f>
        <v>7864200</v>
      </c>
      <c r="L67" s="86">
        <f>VLOOKUP($A67,'Data shares'!$C:$FA,96)</f>
        <v>1544400</v>
      </c>
      <c r="M67" s="87">
        <f>VLOOKUP($A67,'Data shares'!$C:$FA,97)</f>
        <v>0.24440000000000001</v>
      </c>
      <c r="N67" s="86">
        <f>VLOOKUP($A67,'Data shares'!$C:$FA,78)</f>
        <v>30666600</v>
      </c>
      <c r="O67" s="87">
        <f>VLOOKUP($A67,'Data shares'!$C:$FA,81)</f>
        <v>16.821100000000001</v>
      </c>
    </row>
    <row r="68" spans="1:15" x14ac:dyDescent="0.25">
      <c r="A68" s="100" t="str">
        <f>'Data Vlaue (Cr)'!C63</f>
        <v>FEDERALBNK</v>
      </c>
      <c r="B68" s="82">
        <f>VLOOKUP(A68,'Data shares'!$C$2:$CV$214,98,0)</f>
        <v>99485000</v>
      </c>
      <c r="C68" s="82">
        <f>VLOOKUP(A68,'Data shares'!$C$2:$CX$214,100,0)</f>
        <v>3615000</v>
      </c>
      <c r="D68" s="141">
        <f>VLOOKUP(A68,'Data shares'!$C$2:$CY$537,101,0)</f>
        <v>3.7699999999999997E-2</v>
      </c>
      <c r="E68" s="86">
        <f>VLOOKUP($A68,'Data shares'!$C:$FA,74)</f>
        <v>51055000</v>
      </c>
      <c r="F68" s="86">
        <f>VLOOKUP($A68,'Data shares'!$C:$FA,76)</f>
        <v>-400000</v>
      </c>
      <c r="G68" s="87">
        <f>VLOOKUP(A68,'Data shares'!$C$2:$CA$214,77,0)</f>
        <v>-7.7999999999999996E-3</v>
      </c>
      <c r="H68" s="86">
        <f>VLOOKUP($A68,'Data shares'!$C:$FA,90)</f>
        <v>22665000</v>
      </c>
      <c r="I68" s="86">
        <f>VLOOKUP($A68,'Data shares'!$C:$FA,92)</f>
        <v>1865000</v>
      </c>
      <c r="J68" s="87">
        <f>VLOOKUP($A68,'Data shares'!$C:$FA,93)</f>
        <v>8.9700000000000002E-2</v>
      </c>
      <c r="K68" s="86">
        <f>VLOOKUP($A68,'Data shares'!$C:$FA,94)</f>
        <v>25765000</v>
      </c>
      <c r="L68" s="86">
        <f>VLOOKUP($A68,'Data shares'!$C:$FA,96)</f>
        <v>2150000</v>
      </c>
      <c r="M68" s="87">
        <f>VLOOKUP($A68,'Data shares'!$C:$FA,97)</f>
        <v>9.0999999999999998E-2</v>
      </c>
      <c r="N68" s="86">
        <f>VLOOKUP($A68,'Data shares'!$C:$FA,78)</f>
        <v>48810000</v>
      </c>
      <c r="O68" s="87">
        <f>VLOOKUP($A68,'Data shares'!$C:$FA,81)</f>
        <v>7.9069000000000003</v>
      </c>
    </row>
    <row r="69" spans="1:15" x14ac:dyDescent="0.25">
      <c r="A69" s="100" t="str">
        <f>'Data Vlaue (Cr)'!C64</f>
        <v>FINNIFTY</v>
      </c>
      <c r="B69" s="82">
        <f>VLOOKUP(A69,'Data shares'!$C$2:$CV$214,98,0)</f>
        <v>265860</v>
      </c>
      <c r="C69" s="82">
        <f>VLOOKUP(A69,'Data shares'!$C$2:$CX$214,100,0)</f>
        <v>136440</v>
      </c>
      <c r="D69" s="141">
        <f>VLOOKUP(A69,'Data shares'!$C$2:$CY$537,101,0)</f>
        <v>1.0542</v>
      </c>
      <c r="E69" s="86">
        <f>VLOOKUP($A69,'Data shares'!$C:$FA,74)</f>
        <v>50460</v>
      </c>
      <c r="F69" s="86">
        <f>VLOOKUP($A69,'Data shares'!$C:$FA,76)</f>
        <v>360</v>
      </c>
      <c r="G69" s="87">
        <f>VLOOKUP(A69,'Data shares'!$C$2:$CA$214,77,0)</f>
        <v>7.1999999999999998E-3</v>
      </c>
      <c r="H69" s="86">
        <f>VLOOKUP($A69,'Data shares'!$C:$FA,90)</f>
        <v>120720</v>
      </c>
      <c r="I69" s="86">
        <f>VLOOKUP($A69,'Data shares'!$C:$FA,92)</f>
        <v>67740</v>
      </c>
      <c r="J69" s="87">
        <f>VLOOKUP($A69,'Data shares'!$C:$FA,93)</f>
        <v>1.2786</v>
      </c>
      <c r="K69" s="86">
        <f>VLOOKUP($A69,'Data shares'!$C:$FA,94)</f>
        <v>94680</v>
      </c>
      <c r="L69" s="86">
        <f>VLOOKUP($A69,'Data shares'!$C:$FA,96)</f>
        <v>68340</v>
      </c>
      <c r="M69" s="87">
        <f>VLOOKUP($A69,'Data shares'!$C:$FA,97)</f>
        <v>2.5945</v>
      </c>
      <c r="N69" s="86">
        <f>VLOOKUP($A69,'Data shares'!$C:$FA,78)</f>
        <v>50400</v>
      </c>
      <c r="O69" s="87">
        <f>VLOOKUP($A69,'Data shares'!$C:$FA,81)</f>
        <v>1.9681999999999999</v>
      </c>
    </row>
    <row r="70" spans="1:15" x14ac:dyDescent="0.25">
      <c r="A70" s="100" t="str">
        <f>'Data Vlaue (Cr)'!C65</f>
        <v>FORTIS</v>
      </c>
      <c r="B70" s="82">
        <f>VLOOKUP(A70,'Data shares'!$C$2:$CV$214,98,0)</f>
        <v>13844600</v>
      </c>
      <c r="C70" s="82">
        <f>VLOOKUP(A70,'Data shares'!$C$2:$CX$214,100,0)</f>
        <v>497550</v>
      </c>
      <c r="D70" s="141">
        <f>VLOOKUP(A70,'Data shares'!$C$2:$CY$537,101,0)</f>
        <v>3.73E-2</v>
      </c>
      <c r="E70" s="86">
        <f>VLOOKUP($A70,'Data shares'!$C:$FA,74)</f>
        <v>12028775</v>
      </c>
      <c r="F70" s="86">
        <f>VLOOKUP($A70,'Data shares'!$C:$FA,76)</f>
        <v>-23250</v>
      </c>
      <c r="G70" s="87">
        <f>VLOOKUP(A70,'Data shares'!$C$2:$CA$214,77,0)</f>
        <v>-1.9E-3</v>
      </c>
      <c r="H70" s="86">
        <f>VLOOKUP($A70,'Data shares'!$C:$FA,90)</f>
        <v>915275</v>
      </c>
      <c r="I70" s="86">
        <f>VLOOKUP($A70,'Data shares'!$C:$FA,92)</f>
        <v>336350</v>
      </c>
      <c r="J70" s="87">
        <f>VLOOKUP($A70,'Data shares'!$C:$FA,93)</f>
        <v>0.58099999999999996</v>
      </c>
      <c r="K70" s="86">
        <f>VLOOKUP($A70,'Data shares'!$C:$FA,94)</f>
        <v>900550</v>
      </c>
      <c r="L70" s="86">
        <f>VLOOKUP($A70,'Data shares'!$C:$FA,96)</f>
        <v>184450</v>
      </c>
      <c r="M70" s="87">
        <f>VLOOKUP($A70,'Data shares'!$C:$FA,97)</f>
        <v>0.2576</v>
      </c>
      <c r="N70" s="86">
        <f>VLOOKUP($A70,'Data shares'!$C:$FA,78)</f>
        <v>11907875</v>
      </c>
      <c r="O70" s="87">
        <f>VLOOKUP($A70,'Data shares'!$C:$FA,81)</f>
        <v>26.2913</v>
      </c>
    </row>
    <row r="71" spans="1:15" x14ac:dyDescent="0.25">
      <c r="A71" s="100" t="str">
        <f>'Data Vlaue (Cr)'!C66</f>
        <v>GAIL</v>
      </c>
      <c r="B71" s="82">
        <f>VLOOKUP(A71,'Data shares'!$C$2:$CV$214,98,0)</f>
        <v>144392850</v>
      </c>
      <c r="C71" s="82">
        <f>VLOOKUP(A71,'Data shares'!$C$2:$CX$214,100,0)</f>
        <v>10684800</v>
      </c>
      <c r="D71" s="141">
        <f>VLOOKUP(A71,'Data shares'!$C$2:$CY$537,101,0)</f>
        <v>7.9899999999999999E-2</v>
      </c>
      <c r="E71" s="86">
        <f>VLOOKUP($A71,'Data shares'!$C:$FA,74)</f>
        <v>92499750</v>
      </c>
      <c r="F71" s="86">
        <f>VLOOKUP($A71,'Data shares'!$C:$FA,76)</f>
        <v>-929250</v>
      </c>
      <c r="G71" s="87">
        <f>VLOOKUP(A71,'Data shares'!$C$2:$CA$214,77,0)</f>
        <v>-9.9000000000000008E-3</v>
      </c>
      <c r="H71" s="86">
        <f>VLOOKUP($A71,'Data shares'!$C:$FA,90)</f>
        <v>26239500</v>
      </c>
      <c r="I71" s="86">
        <f>VLOOKUP($A71,'Data shares'!$C:$FA,92)</f>
        <v>8180550</v>
      </c>
      <c r="J71" s="87">
        <f>VLOOKUP($A71,'Data shares'!$C:$FA,93)</f>
        <v>0.45300000000000001</v>
      </c>
      <c r="K71" s="86">
        <f>VLOOKUP($A71,'Data shares'!$C:$FA,94)</f>
        <v>25653600</v>
      </c>
      <c r="L71" s="86">
        <f>VLOOKUP($A71,'Data shares'!$C:$FA,96)</f>
        <v>3433500</v>
      </c>
      <c r="M71" s="87">
        <f>VLOOKUP($A71,'Data shares'!$C:$FA,97)</f>
        <v>0.1545</v>
      </c>
      <c r="N71" s="86">
        <f>VLOOKUP($A71,'Data shares'!$C:$FA,78)</f>
        <v>89560800</v>
      </c>
      <c r="O71" s="87">
        <f>VLOOKUP($A71,'Data shares'!$C:$FA,81)</f>
        <v>9.8270999999999997</v>
      </c>
    </row>
    <row r="72" spans="1:15" x14ac:dyDescent="0.25">
      <c r="A72" s="100" t="str">
        <f>'Data Vlaue (Cr)'!C67</f>
        <v>GLENMARK</v>
      </c>
      <c r="B72" s="82">
        <f>VLOOKUP(A72,'Data shares'!$C$2:$CV$214,98,0)</f>
        <v>13351125</v>
      </c>
      <c r="C72" s="82">
        <f>VLOOKUP(A72,'Data shares'!$C$2:$CX$214,100,0)</f>
        <v>402000</v>
      </c>
      <c r="D72" s="141">
        <f>VLOOKUP(A72,'Data shares'!$C$2:$CY$537,101,0)</f>
        <v>3.1E-2</v>
      </c>
      <c r="E72" s="86">
        <f>VLOOKUP($A72,'Data shares'!$C:$FA,74)</f>
        <v>11288250</v>
      </c>
      <c r="F72" s="86">
        <f>VLOOKUP($A72,'Data shares'!$C:$FA,76)</f>
        <v>181125</v>
      </c>
      <c r="G72" s="87">
        <f>VLOOKUP(A72,'Data shares'!$C$2:$CA$214,77,0)</f>
        <v>1.6299999999999999E-2</v>
      </c>
      <c r="H72" s="86">
        <f>VLOOKUP($A72,'Data shares'!$C:$FA,90)</f>
        <v>1199250</v>
      </c>
      <c r="I72" s="86">
        <f>VLOOKUP($A72,'Data shares'!$C:$FA,92)</f>
        <v>147000</v>
      </c>
      <c r="J72" s="87">
        <f>VLOOKUP($A72,'Data shares'!$C:$FA,93)</f>
        <v>0.13969999999999999</v>
      </c>
      <c r="K72" s="86">
        <f>VLOOKUP($A72,'Data shares'!$C:$FA,94)</f>
        <v>863625</v>
      </c>
      <c r="L72" s="86">
        <f>VLOOKUP($A72,'Data shares'!$C:$FA,96)</f>
        <v>73875</v>
      </c>
      <c r="M72" s="87">
        <f>VLOOKUP($A72,'Data shares'!$C:$FA,97)</f>
        <v>9.35E-2</v>
      </c>
      <c r="N72" s="86">
        <f>VLOOKUP($A72,'Data shares'!$C:$FA,78)</f>
        <v>11241750</v>
      </c>
      <c r="O72" s="87">
        <f>VLOOKUP($A72,'Data shares'!$C:$FA,81)</f>
        <v>39.841999999999999</v>
      </c>
    </row>
    <row r="73" spans="1:15" x14ac:dyDescent="0.25">
      <c r="A73" s="100" t="str">
        <f>'Data Vlaue (Cr)'!C68</f>
        <v>GMRAIRPORT</v>
      </c>
      <c r="B73" s="82">
        <f>VLOOKUP(A73,'Data shares'!$C$2:$CV$214,98,0)</f>
        <v>253499400</v>
      </c>
      <c r="C73" s="82">
        <f>VLOOKUP(A73,'Data shares'!$C$2:$CX$214,100,0)</f>
        <v>6535575</v>
      </c>
      <c r="D73" s="141">
        <f>VLOOKUP(A73,'Data shares'!$C$2:$CY$537,101,0)</f>
        <v>2.6499999999999999E-2</v>
      </c>
      <c r="E73" s="86">
        <f>VLOOKUP($A73,'Data shares'!$C:$FA,74)</f>
        <v>164010150</v>
      </c>
      <c r="F73" s="86">
        <f>VLOOKUP($A73,'Data shares'!$C:$FA,76)</f>
        <v>1011375</v>
      </c>
      <c r="G73" s="87">
        <f>VLOOKUP(A73,'Data shares'!$C$2:$CA$214,77,0)</f>
        <v>6.1999999999999998E-3</v>
      </c>
      <c r="H73" s="86">
        <f>VLOOKUP($A73,'Data shares'!$C:$FA,90)</f>
        <v>47827575</v>
      </c>
      <c r="I73" s="86">
        <f>VLOOKUP($A73,'Data shares'!$C:$FA,92)</f>
        <v>3271275</v>
      </c>
      <c r="J73" s="87">
        <f>VLOOKUP($A73,'Data shares'!$C:$FA,93)</f>
        <v>7.3400000000000007E-2</v>
      </c>
      <c r="K73" s="86">
        <f>VLOOKUP($A73,'Data shares'!$C:$FA,94)</f>
        <v>41661675</v>
      </c>
      <c r="L73" s="86">
        <f>VLOOKUP($A73,'Data shares'!$C:$FA,96)</f>
        <v>2252925</v>
      </c>
      <c r="M73" s="87">
        <f>VLOOKUP($A73,'Data shares'!$C:$FA,97)</f>
        <v>5.7200000000000001E-2</v>
      </c>
      <c r="N73" s="86">
        <f>VLOOKUP($A73,'Data shares'!$C:$FA,78)</f>
        <v>160571475</v>
      </c>
      <c r="O73" s="87">
        <f>VLOOKUP($A73,'Data shares'!$C:$FA,81)</f>
        <v>4.9516999999999998</v>
      </c>
    </row>
    <row r="74" spans="1:15" x14ac:dyDescent="0.25">
      <c r="A74" s="100" t="str">
        <f>'Data Vlaue (Cr)'!C69</f>
        <v>GODREJCP</v>
      </c>
      <c r="B74" s="82">
        <f>VLOOKUP(A74,'Data shares'!$C$2:$CV$214,98,0)</f>
        <v>10306500</v>
      </c>
      <c r="C74" s="82">
        <f>VLOOKUP(A74,'Data shares'!$C$2:$CX$214,100,0)</f>
        <v>634500</v>
      </c>
      <c r="D74" s="141">
        <f>VLOOKUP(A74,'Data shares'!$C$2:$CY$537,101,0)</f>
        <v>6.5600000000000006E-2</v>
      </c>
      <c r="E74" s="86">
        <f>VLOOKUP($A74,'Data shares'!$C:$FA,74)</f>
        <v>7895000</v>
      </c>
      <c r="F74" s="86">
        <f>VLOOKUP($A74,'Data shares'!$C:$FA,76)</f>
        <v>-54500</v>
      </c>
      <c r="G74" s="87">
        <f>VLOOKUP(A74,'Data shares'!$C$2:$CA$214,77,0)</f>
        <v>-6.8999999999999999E-3</v>
      </c>
      <c r="H74" s="86">
        <f>VLOOKUP($A74,'Data shares'!$C:$FA,90)</f>
        <v>1211000</v>
      </c>
      <c r="I74" s="86">
        <f>VLOOKUP($A74,'Data shares'!$C:$FA,92)</f>
        <v>235000</v>
      </c>
      <c r="J74" s="87">
        <f>VLOOKUP($A74,'Data shares'!$C:$FA,93)</f>
        <v>0.24079999999999999</v>
      </c>
      <c r="K74" s="86">
        <f>VLOOKUP($A74,'Data shares'!$C:$FA,94)</f>
        <v>1200500</v>
      </c>
      <c r="L74" s="86">
        <f>VLOOKUP($A74,'Data shares'!$C:$FA,96)</f>
        <v>454000</v>
      </c>
      <c r="M74" s="87">
        <f>VLOOKUP($A74,'Data shares'!$C:$FA,97)</f>
        <v>0.60819999999999996</v>
      </c>
      <c r="N74" s="86">
        <f>VLOOKUP($A74,'Data shares'!$C:$FA,78)</f>
        <v>7861000</v>
      </c>
      <c r="O74" s="87">
        <f>VLOOKUP($A74,'Data shares'!$C:$FA,81)</f>
        <v>15.9968</v>
      </c>
    </row>
    <row r="75" spans="1:15" x14ac:dyDescent="0.25">
      <c r="A75" s="100" t="str">
        <f>'Data Vlaue (Cr)'!C70</f>
        <v>GODREJPROP</v>
      </c>
      <c r="B75" s="82">
        <f>VLOOKUP(A75,'Data shares'!$C$2:$CV$214,98,0)</f>
        <v>19662775</v>
      </c>
      <c r="C75" s="82">
        <f>VLOOKUP(A75,'Data shares'!$C$2:$CX$214,100,0)</f>
        <v>1118975</v>
      </c>
      <c r="D75" s="141">
        <f>VLOOKUP(A75,'Data shares'!$C$2:$CY$537,101,0)</f>
        <v>6.0299999999999999E-2</v>
      </c>
      <c r="E75" s="86">
        <f>VLOOKUP($A75,'Data shares'!$C:$FA,74)</f>
        <v>13589125</v>
      </c>
      <c r="F75" s="86">
        <f>VLOOKUP($A75,'Data shares'!$C:$FA,76)</f>
        <v>724350</v>
      </c>
      <c r="G75" s="87">
        <f>VLOOKUP(A75,'Data shares'!$C$2:$CA$214,77,0)</f>
        <v>5.6300000000000003E-2</v>
      </c>
      <c r="H75" s="86">
        <f>VLOOKUP($A75,'Data shares'!$C:$FA,90)</f>
        <v>3764750</v>
      </c>
      <c r="I75" s="86">
        <f>VLOOKUP($A75,'Data shares'!$C:$FA,92)</f>
        <v>179025</v>
      </c>
      <c r="J75" s="87">
        <f>VLOOKUP($A75,'Data shares'!$C:$FA,93)</f>
        <v>4.99E-2</v>
      </c>
      <c r="K75" s="86">
        <f>VLOOKUP($A75,'Data shares'!$C:$FA,94)</f>
        <v>2308900</v>
      </c>
      <c r="L75" s="86">
        <f>VLOOKUP($A75,'Data shares'!$C:$FA,96)</f>
        <v>215600</v>
      </c>
      <c r="M75" s="87">
        <f>VLOOKUP($A75,'Data shares'!$C:$FA,97)</f>
        <v>0.10299999999999999</v>
      </c>
      <c r="N75" s="86">
        <f>VLOOKUP($A75,'Data shares'!$C:$FA,78)</f>
        <v>13241250</v>
      </c>
      <c r="O75" s="87">
        <f>VLOOKUP($A75,'Data shares'!$C:$FA,81)</f>
        <v>22.3965</v>
      </c>
    </row>
    <row r="76" spans="1:15" x14ac:dyDescent="0.25">
      <c r="A76" s="100" t="str">
        <f>'Data Vlaue (Cr)'!C71</f>
        <v>GRASIM</v>
      </c>
      <c r="B76" s="82">
        <f>VLOOKUP(A76,'Data shares'!$C$2:$CV$214,98,0)</f>
        <v>17317750</v>
      </c>
      <c r="C76" s="82">
        <f>VLOOKUP(A76,'Data shares'!$C$2:$CX$214,100,0)</f>
        <v>459000</v>
      </c>
      <c r="D76" s="141">
        <f>VLOOKUP(A76,'Data shares'!$C$2:$CY$537,101,0)</f>
        <v>2.7199999999999998E-2</v>
      </c>
      <c r="E76" s="86">
        <f>VLOOKUP($A76,'Data shares'!$C:$FA,74)</f>
        <v>16039250</v>
      </c>
      <c r="F76" s="86">
        <f>VLOOKUP($A76,'Data shares'!$C:$FA,76)</f>
        <v>87000</v>
      </c>
      <c r="G76" s="87">
        <f>VLOOKUP(A76,'Data shares'!$C$2:$CA$214,77,0)</f>
        <v>5.4999999999999997E-3</v>
      </c>
      <c r="H76" s="86">
        <f>VLOOKUP($A76,'Data shares'!$C:$FA,90)</f>
        <v>643250</v>
      </c>
      <c r="I76" s="86">
        <f>VLOOKUP($A76,'Data shares'!$C:$FA,92)</f>
        <v>180000</v>
      </c>
      <c r="J76" s="87">
        <f>VLOOKUP($A76,'Data shares'!$C:$FA,93)</f>
        <v>0.3886</v>
      </c>
      <c r="K76" s="86">
        <f>VLOOKUP($A76,'Data shares'!$C:$FA,94)</f>
        <v>635250</v>
      </c>
      <c r="L76" s="86">
        <f>VLOOKUP($A76,'Data shares'!$C:$FA,96)</f>
        <v>192000</v>
      </c>
      <c r="M76" s="87">
        <f>VLOOKUP($A76,'Data shares'!$C:$FA,97)</f>
        <v>0.43319999999999997</v>
      </c>
      <c r="N76" s="86">
        <f>VLOOKUP($A76,'Data shares'!$C:$FA,78)</f>
        <v>15960750</v>
      </c>
      <c r="O76" s="87">
        <f>VLOOKUP($A76,'Data shares'!$C:$FA,81)</f>
        <v>25.240400000000001</v>
      </c>
    </row>
    <row r="77" spans="1:15" x14ac:dyDescent="0.25">
      <c r="A77" s="100" t="str">
        <f>'Data Vlaue (Cr)'!C72</f>
        <v>HAL</v>
      </c>
      <c r="B77" s="82">
        <f>VLOOKUP(A77,'Data shares'!$C$2:$CV$214,98,0)</f>
        <v>14548200</v>
      </c>
      <c r="C77" s="82">
        <f>VLOOKUP(A77,'Data shares'!$C$2:$CX$214,100,0)</f>
        <v>1282650</v>
      </c>
      <c r="D77" s="141">
        <f>VLOOKUP(A77,'Data shares'!$C$2:$CY$537,101,0)</f>
        <v>9.6699999999999994E-2</v>
      </c>
      <c r="E77" s="86">
        <f>VLOOKUP($A77,'Data shares'!$C:$FA,74)</f>
        <v>8785050</v>
      </c>
      <c r="F77" s="86">
        <f>VLOOKUP($A77,'Data shares'!$C:$FA,76)</f>
        <v>111750</v>
      </c>
      <c r="G77" s="87">
        <f>VLOOKUP(A77,'Data shares'!$C$2:$CA$214,77,0)</f>
        <v>1.29E-2</v>
      </c>
      <c r="H77" s="86">
        <f>VLOOKUP($A77,'Data shares'!$C:$FA,90)</f>
        <v>3196800</v>
      </c>
      <c r="I77" s="86">
        <f>VLOOKUP($A77,'Data shares'!$C:$FA,92)</f>
        <v>823500</v>
      </c>
      <c r="J77" s="87">
        <f>VLOOKUP($A77,'Data shares'!$C:$FA,93)</f>
        <v>0.34699999999999998</v>
      </c>
      <c r="K77" s="86">
        <f>VLOOKUP($A77,'Data shares'!$C:$FA,94)</f>
        <v>2566350</v>
      </c>
      <c r="L77" s="86">
        <f>VLOOKUP($A77,'Data shares'!$C:$FA,96)</f>
        <v>347400</v>
      </c>
      <c r="M77" s="87">
        <f>VLOOKUP($A77,'Data shares'!$C:$FA,97)</f>
        <v>0.15659999999999999</v>
      </c>
      <c r="N77" s="86">
        <f>VLOOKUP($A77,'Data shares'!$C:$FA,78)</f>
        <v>8270850</v>
      </c>
      <c r="O77" s="87">
        <f>VLOOKUP($A77,'Data shares'!$C:$FA,81)</f>
        <v>12.425599999999999</v>
      </c>
    </row>
    <row r="78" spans="1:15" x14ac:dyDescent="0.25">
      <c r="A78" s="100" t="str">
        <f>'Data Vlaue (Cr)'!C73</f>
        <v>HAVELLS</v>
      </c>
      <c r="B78" s="82">
        <f>VLOOKUP(A78,'Data shares'!$C$2:$CV$214,98,0)</f>
        <v>12961000</v>
      </c>
      <c r="C78" s="82">
        <f>VLOOKUP(A78,'Data shares'!$C$2:$CX$214,100,0)</f>
        <v>799500</v>
      </c>
      <c r="D78" s="141">
        <f>VLOOKUP(A78,'Data shares'!$C$2:$CY$537,101,0)</f>
        <v>6.5699999999999995E-2</v>
      </c>
      <c r="E78" s="86">
        <f>VLOOKUP($A78,'Data shares'!$C:$FA,74)</f>
        <v>9066000</v>
      </c>
      <c r="F78" s="86">
        <f>VLOOKUP($A78,'Data shares'!$C:$FA,76)</f>
        <v>209000</v>
      </c>
      <c r="G78" s="87">
        <f>VLOOKUP(A78,'Data shares'!$C$2:$CA$214,77,0)</f>
        <v>2.3599999999999999E-2</v>
      </c>
      <c r="H78" s="86">
        <f>VLOOKUP($A78,'Data shares'!$C:$FA,90)</f>
        <v>2008000</v>
      </c>
      <c r="I78" s="86">
        <f>VLOOKUP($A78,'Data shares'!$C:$FA,92)</f>
        <v>301500</v>
      </c>
      <c r="J78" s="87">
        <f>VLOOKUP($A78,'Data shares'!$C:$FA,93)</f>
        <v>0.1767</v>
      </c>
      <c r="K78" s="86">
        <f>VLOOKUP($A78,'Data shares'!$C:$FA,94)</f>
        <v>1887000</v>
      </c>
      <c r="L78" s="86">
        <f>VLOOKUP($A78,'Data shares'!$C:$FA,96)</f>
        <v>289000</v>
      </c>
      <c r="M78" s="87">
        <f>VLOOKUP($A78,'Data shares'!$C:$FA,97)</f>
        <v>0.18090000000000001</v>
      </c>
      <c r="N78" s="86">
        <f>VLOOKUP($A78,'Data shares'!$C:$FA,78)</f>
        <v>8858500</v>
      </c>
      <c r="O78" s="87">
        <f>VLOOKUP($A78,'Data shares'!$C:$FA,81)</f>
        <v>11.5831</v>
      </c>
    </row>
    <row r="79" spans="1:15" x14ac:dyDescent="0.25">
      <c r="A79" s="100" t="str">
        <f>'Data Vlaue (Cr)'!C74</f>
        <v>HCLTECH</v>
      </c>
      <c r="B79" s="82">
        <f>VLOOKUP(A79,'Data shares'!$C$2:$CV$214,98,0)</f>
        <v>21103250</v>
      </c>
      <c r="C79" s="82">
        <f>VLOOKUP(A79,'Data shares'!$C$2:$CX$214,100,0)</f>
        <v>798700</v>
      </c>
      <c r="D79" s="141">
        <f>VLOOKUP(A79,'Data shares'!$C$2:$CY$537,101,0)</f>
        <v>3.9300000000000002E-2</v>
      </c>
      <c r="E79" s="86">
        <f>VLOOKUP($A79,'Data shares'!$C:$FA,74)</f>
        <v>17467450</v>
      </c>
      <c r="F79" s="86">
        <f>VLOOKUP($A79,'Data shares'!$C:$FA,76)</f>
        <v>44100</v>
      </c>
      <c r="G79" s="87">
        <f>VLOOKUP(A79,'Data shares'!$C$2:$CA$214,77,0)</f>
        <v>2.5000000000000001E-3</v>
      </c>
      <c r="H79" s="86">
        <f>VLOOKUP($A79,'Data shares'!$C:$FA,90)</f>
        <v>1983450</v>
      </c>
      <c r="I79" s="86">
        <f>VLOOKUP($A79,'Data shares'!$C:$FA,92)</f>
        <v>358050</v>
      </c>
      <c r="J79" s="87">
        <f>VLOOKUP($A79,'Data shares'!$C:$FA,93)</f>
        <v>0.2203</v>
      </c>
      <c r="K79" s="86">
        <f>VLOOKUP($A79,'Data shares'!$C:$FA,94)</f>
        <v>1652350</v>
      </c>
      <c r="L79" s="86">
        <f>VLOOKUP($A79,'Data shares'!$C:$FA,96)</f>
        <v>396550</v>
      </c>
      <c r="M79" s="87">
        <f>VLOOKUP($A79,'Data shares'!$C:$FA,97)</f>
        <v>0.31580000000000003</v>
      </c>
      <c r="N79" s="86">
        <f>VLOOKUP($A79,'Data shares'!$C:$FA,78)</f>
        <v>17050600</v>
      </c>
      <c r="O79" s="87">
        <f>VLOOKUP($A79,'Data shares'!$C:$FA,81)</f>
        <v>7.2779999999999996</v>
      </c>
    </row>
    <row r="80" spans="1:15" x14ac:dyDescent="0.25">
      <c r="A80" s="100" t="str">
        <f>'Data Vlaue (Cr)'!C75</f>
        <v>HDFCAMC</v>
      </c>
      <c r="B80" s="82">
        <f>VLOOKUP(A80,'Data shares'!$C$2:$CV$214,98,0)</f>
        <v>8881200</v>
      </c>
      <c r="C80" s="82">
        <f>VLOOKUP(A80,'Data shares'!$C$2:$CX$214,100,0)</f>
        <v>505800</v>
      </c>
      <c r="D80" s="141">
        <f>VLOOKUP(A80,'Data shares'!$C$2:$CY$537,101,0)</f>
        <v>6.0400000000000002E-2</v>
      </c>
      <c r="E80" s="86">
        <f>VLOOKUP($A80,'Data shares'!$C:$FA,74)</f>
        <v>7243800</v>
      </c>
      <c r="F80" s="86">
        <f>VLOOKUP($A80,'Data shares'!$C:$FA,76)</f>
        <v>175800</v>
      </c>
      <c r="G80" s="87">
        <f>VLOOKUP(A80,'Data shares'!$C$2:$CA$214,77,0)</f>
        <v>2.4899999999999999E-2</v>
      </c>
      <c r="H80" s="86">
        <f>VLOOKUP($A80,'Data shares'!$C:$FA,90)</f>
        <v>1002900</v>
      </c>
      <c r="I80" s="86">
        <f>VLOOKUP($A80,'Data shares'!$C:$FA,92)</f>
        <v>206100</v>
      </c>
      <c r="J80" s="87">
        <f>VLOOKUP($A80,'Data shares'!$C:$FA,93)</f>
        <v>0.25869999999999999</v>
      </c>
      <c r="K80" s="86">
        <f>VLOOKUP($A80,'Data shares'!$C:$FA,94)</f>
        <v>634500</v>
      </c>
      <c r="L80" s="86">
        <f>VLOOKUP($A80,'Data shares'!$C:$FA,96)</f>
        <v>123900</v>
      </c>
      <c r="M80" s="87">
        <f>VLOOKUP($A80,'Data shares'!$C:$FA,97)</f>
        <v>0.2427</v>
      </c>
      <c r="N80" s="86">
        <f>VLOOKUP($A80,'Data shares'!$C:$FA,78)</f>
        <v>7204500</v>
      </c>
      <c r="O80" s="87">
        <f>VLOOKUP($A80,'Data shares'!$C:$FA,81)</f>
        <v>6.9100999999999999</v>
      </c>
    </row>
    <row r="81" spans="1:15" x14ac:dyDescent="0.25">
      <c r="A81" s="100" t="str">
        <f>'Data Vlaue (Cr)'!C76</f>
        <v>HDFCBANK</v>
      </c>
      <c r="B81" s="82">
        <f>VLOOKUP(A81,'Data shares'!$C$2:$CV$214,98,0)</f>
        <v>320298000</v>
      </c>
      <c r="C81" s="82">
        <f>VLOOKUP(A81,'Data shares'!$C$2:$CX$214,100,0)</f>
        <v>-844250</v>
      </c>
      <c r="D81" s="141">
        <f>VLOOKUP(A81,'Data shares'!$C$2:$CY$537,101,0)</f>
        <v>-2.5999999999999999E-3</v>
      </c>
      <c r="E81" s="86">
        <f>VLOOKUP($A81,'Data shares'!$C:$FA,74)</f>
        <v>258325100</v>
      </c>
      <c r="F81" s="86">
        <f>VLOOKUP($A81,'Data shares'!$C:$FA,76)</f>
        <v>-2705450</v>
      </c>
      <c r="G81" s="87">
        <f>VLOOKUP(A81,'Data shares'!$C$2:$CA$214,77,0)</f>
        <v>-1.04E-2</v>
      </c>
      <c r="H81" s="86">
        <f>VLOOKUP($A81,'Data shares'!$C:$FA,90)</f>
        <v>36298900</v>
      </c>
      <c r="I81" s="86">
        <f>VLOOKUP($A81,'Data shares'!$C:$FA,92)</f>
        <v>634700</v>
      </c>
      <c r="J81" s="87">
        <f>VLOOKUP($A81,'Data shares'!$C:$FA,93)</f>
        <v>1.78E-2</v>
      </c>
      <c r="K81" s="86">
        <f>VLOOKUP($A81,'Data shares'!$C:$FA,94)</f>
        <v>25674000</v>
      </c>
      <c r="L81" s="86">
        <f>VLOOKUP($A81,'Data shares'!$C:$FA,96)</f>
        <v>1226500</v>
      </c>
      <c r="M81" s="87">
        <f>VLOOKUP($A81,'Data shares'!$C:$FA,97)</f>
        <v>5.0200000000000002E-2</v>
      </c>
      <c r="N81" s="86">
        <f>VLOOKUP($A81,'Data shares'!$C:$FA,78)</f>
        <v>233356750</v>
      </c>
      <c r="O81" s="87">
        <f>VLOOKUP($A81,'Data shares'!$C:$FA,81)</f>
        <v>14.0274</v>
      </c>
    </row>
    <row r="82" spans="1:15" x14ac:dyDescent="0.25">
      <c r="A82" s="100" t="str">
        <f>'Data Vlaue (Cr)'!C77</f>
        <v>HDFCLIFE</v>
      </c>
      <c r="B82" s="82">
        <f>VLOOKUP(A82,'Data shares'!$C$2:$CV$214,98,0)</f>
        <v>41780200</v>
      </c>
      <c r="C82" s="82">
        <f>VLOOKUP(A82,'Data shares'!$C$2:$CX$214,100,0)</f>
        <v>1756700</v>
      </c>
      <c r="D82" s="141">
        <f>VLOOKUP(A82,'Data shares'!$C$2:$CY$537,101,0)</f>
        <v>4.3900000000000002E-2</v>
      </c>
      <c r="E82" s="86">
        <f>VLOOKUP($A82,'Data shares'!$C:$FA,74)</f>
        <v>32654600</v>
      </c>
      <c r="F82" s="86">
        <f>VLOOKUP($A82,'Data shares'!$C:$FA,76)</f>
        <v>-1181400</v>
      </c>
      <c r="G82" s="87">
        <f>VLOOKUP(A82,'Data shares'!$C$2:$CA$214,77,0)</f>
        <v>-3.49E-2</v>
      </c>
      <c r="H82" s="86">
        <f>VLOOKUP($A82,'Data shares'!$C:$FA,90)</f>
        <v>5750800</v>
      </c>
      <c r="I82" s="86">
        <f>VLOOKUP($A82,'Data shares'!$C:$FA,92)</f>
        <v>2431000</v>
      </c>
      <c r="J82" s="87">
        <f>VLOOKUP($A82,'Data shares'!$C:$FA,93)</f>
        <v>0.73229999999999995</v>
      </c>
      <c r="K82" s="86">
        <f>VLOOKUP($A82,'Data shares'!$C:$FA,94)</f>
        <v>3374800</v>
      </c>
      <c r="L82" s="86">
        <f>VLOOKUP($A82,'Data shares'!$C:$FA,96)</f>
        <v>507100</v>
      </c>
      <c r="M82" s="87">
        <f>VLOOKUP($A82,'Data shares'!$C:$FA,97)</f>
        <v>0.17680000000000001</v>
      </c>
      <c r="N82" s="86">
        <f>VLOOKUP($A82,'Data shares'!$C:$FA,78)</f>
        <v>32193700</v>
      </c>
      <c r="O82" s="87">
        <f>VLOOKUP($A82,'Data shares'!$C:$FA,81)</f>
        <v>5.0808</v>
      </c>
    </row>
    <row r="83" spans="1:15" x14ac:dyDescent="0.25">
      <c r="A83" s="100" t="str">
        <f>'Data Vlaue (Cr)'!C78</f>
        <v>HEROMOTOCO</v>
      </c>
      <c r="B83" s="82">
        <f>VLOOKUP(A83,'Data shares'!$C$2:$CV$214,98,0)</f>
        <v>5125050</v>
      </c>
      <c r="C83" s="82">
        <f>VLOOKUP(A83,'Data shares'!$C$2:$CX$214,100,0)</f>
        <v>224100</v>
      </c>
      <c r="D83" s="141">
        <f>VLOOKUP(A83,'Data shares'!$C$2:$CY$537,101,0)</f>
        <v>4.5699999999999998E-2</v>
      </c>
      <c r="E83" s="86">
        <f>VLOOKUP($A83,'Data shares'!$C:$FA,74)</f>
        <v>3500100</v>
      </c>
      <c r="F83" s="86">
        <f>VLOOKUP($A83,'Data shares'!$C:$FA,76)</f>
        <v>-28050</v>
      </c>
      <c r="G83" s="87">
        <f>VLOOKUP(A83,'Data shares'!$C$2:$CA$214,77,0)</f>
        <v>-8.0000000000000002E-3</v>
      </c>
      <c r="H83" s="86">
        <f>VLOOKUP($A83,'Data shares'!$C:$FA,90)</f>
        <v>934950</v>
      </c>
      <c r="I83" s="86">
        <f>VLOOKUP($A83,'Data shares'!$C:$FA,92)</f>
        <v>155550</v>
      </c>
      <c r="J83" s="87">
        <f>VLOOKUP($A83,'Data shares'!$C:$FA,93)</f>
        <v>0.1996</v>
      </c>
      <c r="K83" s="86">
        <f>VLOOKUP($A83,'Data shares'!$C:$FA,94)</f>
        <v>690000</v>
      </c>
      <c r="L83" s="86">
        <f>VLOOKUP($A83,'Data shares'!$C:$FA,96)</f>
        <v>96600</v>
      </c>
      <c r="M83" s="87">
        <f>VLOOKUP($A83,'Data shares'!$C:$FA,97)</f>
        <v>0.1628</v>
      </c>
      <c r="N83" s="86">
        <f>VLOOKUP($A83,'Data shares'!$C:$FA,78)</f>
        <v>3444000</v>
      </c>
      <c r="O83" s="87">
        <f>VLOOKUP($A83,'Data shares'!$C:$FA,81)</f>
        <v>1.8003</v>
      </c>
    </row>
    <row r="84" spans="1:15" x14ac:dyDescent="0.25">
      <c r="A84" s="100" t="str">
        <f>'Data Vlaue (Cr)'!C79</f>
        <v>HINDALCO</v>
      </c>
      <c r="B84" s="82">
        <f>VLOOKUP(A84,'Data shares'!$C$2:$CV$214,98,0)</f>
        <v>57048600</v>
      </c>
      <c r="C84" s="82">
        <f>VLOOKUP(A84,'Data shares'!$C$2:$CX$214,100,0)</f>
        <v>1738800</v>
      </c>
      <c r="D84" s="141">
        <f>VLOOKUP(A84,'Data shares'!$C$2:$CY$537,101,0)</f>
        <v>3.1399999999999997E-2</v>
      </c>
      <c r="E84" s="86">
        <f>VLOOKUP($A84,'Data shares'!$C:$FA,74)</f>
        <v>46566800</v>
      </c>
      <c r="F84" s="86">
        <f>VLOOKUP($A84,'Data shares'!$C:$FA,76)</f>
        <v>-566300</v>
      </c>
      <c r="G84" s="87">
        <f>VLOOKUP(A84,'Data shares'!$C$2:$CA$214,77,0)</f>
        <v>-1.2E-2</v>
      </c>
      <c r="H84" s="86">
        <f>VLOOKUP($A84,'Data shares'!$C:$FA,90)</f>
        <v>5546100</v>
      </c>
      <c r="I84" s="86">
        <f>VLOOKUP($A84,'Data shares'!$C:$FA,92)</f>
        <v>1026200</v>
      </c>
      <c r="J84" s="87">
        <f>VLOOKUP($A84,'Data shares'!$C:$FA,93)</f>
        <v>0.22700000000000001</v>
      </c>
      <c r="K84" s="86">
        <f>VLOOKUP($A84,'Data shares'!$C:$FA,94)</f>
        <v>4935700</v>
      </c>
      <c r="L84" s="86">
        <f>VLOOKUP($A84,'Data shares'!$C:$FA,96)</f>
        <v>1278900</v>
      </c>
      <c r="M84" s="87">
        <f>VLOOKUP($A84,'Data shares'!$C:$FA,97)</f>
        <v>0.34970000000000001</v>
      </c>
      <c r="N84" s="86">
        <f>VLOOKUP($A84,'Data shares'!$C:$FA,78)</f>
        <v>44949800</v>
      </c>
      <c r="O84" s="87">
        <f>VLOOKUP($A84,'Data shares'!$C:$FA,81)</f>
        <v>15.744199999999999</v>
      </c>
    </row>
    <row r="85" spans="1:15" x14ac:dyDescent="0.25">
      <c r="A85" s="100" t="str">
        <f>'Data Vlaue (Cr)'!C80</f>
        <v>HINDPETRO</v>
      </c>
      <c r="B85" s="82">
        <f>VLOOKUP(A85,'Data shares'!$C$2:$CV$214,98,0)</f>
        <v>52048575</v>
      </c>
      <c r="C85" s="82">
        <f>VLOOKUP(A85,'Data shares'!$C$2:$CX$214,100,0)</f>
        <v>2363175</v>
      </c>
      <c r="D85" s="141">
        <f>VLOOKUP(A85,'Data shares'!$C$2:$CY$537,101,0)</f>
        <v>4.7600000000000003E-2</v>
      </c>
      <c r="E85" s="86">
        <f>VLOOKUP($A85,'Data shares'!$C:$FA,74)</f>
        <v>36393300</v>
      </c>
      <c r="F85" s="86">
        <f>VLOOKUP($A85,'Data shares'!$C:$FA,76)</f>
        <v>243000</v>
      </c>
      <c r="G85" s="87">
        <f>VLOOKUP(A85,'Data shares'!$C$2:$CA$214,77,0)</f>
        <v>6.7000000000000002E-3</v>
      </c>
      <c r="H85" s="86">
        <f>VLOOKUP($A85,'Data shares'!$C:$FA,90)</f>
        <v>8237700</v>
      </c>
      <c r="I85" s="86">
        <f>VLOOKUP($A85,'Data shares'!$C:$FA,92)</f>
        <v>1330425</v>
      </c>
      <c r="J85" s="87">
        <f>VLOOKUP($A85,'Data shares'!$C:$FA,93)</f>
        <v>0.19259999999999999</v>
      </c>
      <c r="K85" s="86">
        <f>VLOOKUP($A85,'Data shares'!$C:$FA,94)</f>
        <v>7417575</v>
      </c>
      <c r="L85" s="86">
        <f>VLOOKUP($A85,'Data shares'!$C:$FA,96)</f>
        <v>789750</v>
      </c>
      <c r="M85" s="87">
        <f>VLOOKUP($A85,'Data shares'!$C:$FA,97)</f>
        <v>0.1192</v>
      </c>
      <c r="N85" s="86">
        <f>VLOOKUP($A85,'Data shares'!$C:$FA,78)</f>
        <v>35972100</v>
      </c>
      <c r="O85" s="87">
        <f>VLOOKUP($A85,'Data shares'!$C:$FA,81)</f>
        <v>8.6912000000000003</v>
      </c>
    </row>
    <row r="86" spans="1:15" x14ac:dyDescent="0.25">
      <c r="A86" s="100" t="str">
        <f>'Data Vlaue (Cr)'!C81</f>
        <v>HINDUNILVR</v>
      </c>
      <c r="B86" s="82">
        <f>VLOOKUP(A86,'Data shares'!$C$2:$CV$214,98,0)</f>
        <v>18249900</v>
      </c>
      <c r="C86" s="82">
        <f>VLOOKUP(A86,'Data shares'!$C$2:$CX$214,100,0)</f>
        <v>1595700</v>
      </c>
      <c r="D86" s="141">
        <f>VLOOKUP(A86,'Data shares'!$C$2:$CY$537,101,0)</f>
        <v>9.5799999999999996E-2</v>
      </c>
      <c r="E86" s="86">
        <f>VLOOKUP($A86,'Data shares'!$C:$FA,74)</f>
        <v>13987200</v>
      </c>
      <c r="F86" s="86">
        <f>VLOOKUP($A86,'Data shares'!$C:$FA,76)</f>
        <v>354900</v>
      </c>
      <c r="G86" s="87">
        <f>VLOOKUP(A86,'Data shares'!$C$2:$CA$214,77,0)</f>
        <v>2.5999999999999999E-2</v>
      </c>
      <c r="H86" s="86">
        <f>VLOOKUP($A86,'Data shares'!$C:$FA,90)</f>
        <v>2114700</v>
      </c>
      <c r="I86" s="86">
        <f>VLOOKUP($A86,'Data shares'!$C:$FA,92)</f>
        <v>491100</v>
      </c>
      <c r="J86" s="87">
        <f>VLOOKUP($A86,'Data shares'!$C:$FA,93)</f>
        <v>0.30249999999999999</v>
      </c>
      <c r="K86" s="86">
        <f>VLOOKUP($A86,'Data shares'!$C:$FA,94)</f>
        <v>2148000</v>
      </c>
      <c r="L86" s="86">
        <f>VLOOKUP($A86,'Data shares'!$C:$FA,96)</f>
        <v>749700</v>
      </c>
      <c r="M86" s="87">
        <f>VLOOKUP($A86,'Data shares'!$C:$FA,97)</f>
        <v>0.53620000000000001</v>
      </c>
      <c r="N86" s="86">
        <f>VLOOKUP($A86,'Data shares'!$C:$FA,78)</f>
        <v>13768500</v>
      </c>
      <c r="O86" s="87">
        <f>VLOOKUP($A86,'Data shares'!$C:$FA,81)</f>
        <v>9.3741000000000003</v>
      </c>
    </row>
    <row r="87" spans="1:15" x14ac:dyDescent="0.25">
      <c r="A87" s="100" t="str">
        <f>'Data Vlaue (Cr)'!C82</f>
        <v>HINDZINC</v>
      </c>
      <c r="B87" s="82">
        <f>VLOOKUP(A87,'Data shares'!$C$2:$CV$214,98,0)</f>
        <v>95443425</v>
      </c>
      <c r="C87" s="82">
        <f>VLOOKUP(A87,'Data shares'!$C$2:$CX$214,100,0)</f>
        <v>20049575</v>
      </c>
      <c r="D87" s="141">
        <f>VLOOKUP(A87,'Data shares'!$C$2:$CY$537,101,0)</f>
        <v>0.26590000000000003</v>
      </c>
      <c r="E87" s="86">
        <f>VLOOKUP($A87,'Data shares'!$C:$FA,74)</f>
        <v>38182025</v>
      </c>
      <c r="F87" s="86">
        <f>VLOOKUP($A87,'Data shares'!$C:$FA,76)</f>
        <v>5005350</v>
      </c>
      <c r="G87" s="87">
        <f>VLOOKUP(A87,'Data shares'!$C$2:$CA$214,77,0)</f>
        <v>0.15090000000000001</v>
      </c>
      <c r="H87" s="86">
        <f>VLOOKUP($A87,'Data shares'!$C:$FA,90)</f>
        <v>33049275</v>
      </c>
      <c r="I87" s="86">
        <f>VLOOKUP($A87,'Data shares'!$C:$FA,92)</f>
        <v>6482700</v>
      </c>
      <c r="J87" s="87">
        <f>VLOOKUP($A87,'Data shares'!$C:$FA,93)</f>
        <v>0.24399999999999999</v>
      </c>
      <c r="K87" s="86">
        <f>VLOOKUP($A87,'Data shares'!$C:$FA,94)</f>
        <v>24212125</v>
      </c>
      <c r="L87" s="86">
        <f>VLOOKUP($A87,'Data shares'!$C:$FA,96)</f>
        <v>8561525</v>
      </c>
      <c r="M87" s="87">
        <f>VLOOKUP($A87,'Data shares'!$C:$FA,97)</f>
        <v>0.54700000000000004</v>
      </c>
      <c r="N87" s="86">
        <f>VLOOKUP($A87,'Data shares'!$C:$FA,78)</f>
        <v>36087275</v>
      </c>
      <c r="O87" s="87">
        <f>VLOOKUP($A87,'Data shares'!$C:$FA,81)</f>
        <v>7.0423</v>
      </c>
    </row>
    <row r="88" spans="1:15" x14ac:dyDescent="0.25">
      <c r="A88" s="100" t="str">
        <f>'Data Vlaue (Cr)'!C83</f>
        <v>HUDCO</v>
      </c>
      <c r="B88" s="82">
        <f>VLOOKUP(A88,'Data shares'!$C$2:$CV$214,98,0)</f>
        <v>60680925</v>
      </c>
      <c r="C88" s="82">
        <f>VLOOKUP(A88,'Data shares'!$C$2:$CX$214,100,0)</f>
        <v>4367850</v>
      </c>
      <c r="D88" s="141">
        <f>VLOOKUP(A88,'Data shares'!$C$2:$CY$537,101,0)</f>
        <v>7.7600000000000002E-2</v>
      </c>
      <c r="E88" s="86">
        <f>VLOOKUP($A88,'Data shares'!$C:$FA,74)</f>
        <v>36679950</v>
      </c>
      <c r="F88" s="86">
        <f>VLOOKUP($A88,'Data shares'!$C:$FA,76)</f>
        <v>571650</v>
      </c>
      <c r="G88" s="87">
        <f>VLOOKUP(A88,'Data shares'!$C$2:$CA$214,77,0)</f>
        <v>1.5800000000000002E-2</v>
      </c>
      <c r="H88" s="86">
        <f>VLOOKUP($A88,'Data shares'!$C:$FA,90)</f>
        <v>12298800</v>
      </c>
      <c r="I88" s="86">
        <f>VLOOKUP($A88,'Data shares'!$C:$FA,92)</f>
        <v>2095125</v>
      </c>
      <c r="J88" s="87">
        <f>VLOOKUP($A88,'Data shares'!$C:$FA,93)</f>
        <v>0.20530000000000001</v>
      </c>
      <c r="K88" s="86">
        <f>VLOOKUP($A88,'Data shares'!$C:$FA,94)</f>
        <v>11702175</v>
      </c>
      <c r="L88" s="86">
        <f>VLOOKUP($A88,'Data shares'!$C:$FA,96)</f>
        <v>1701075</v>
      </c>
      <c r="M88" s="87">
        <f>VLOOKUP($A88,'Data shares'!$C:$FA,97)</f>
        <v>0.1701</v>
      </c>
      <c r="N88" s="86">
        <f>VLOOKUP($A88,'Data shares'!$C:$FA,78)</f>
        <v>35506125</v>
      </c>
      <c r="O88" s="87">
        <f>VLOOKUP($A88,'Data shares'!$C:$FA,81)</f>
        <v>12.7729</v>
      </c>
    </row>
    <row r="89" spans="1:15" x14ac:dyDescent="0.25">
      <c r="A89" s="100" t="str">
        <f>'Data Vlaue (Cr)'!C84</f>
        <v>ICICIBANK</v>
      </c>
      <c r="B89" s="82">
        <f>VLOOKUP(A89,'Data shares'!$C$2:$CV$214,98,0)</f>
        <v>159618900</v>
      </c>
      <c r="C89" s="82">
        <f>VLOOKUP(A89,'Data shares'!$C$2:$CX$214,100,0)</f>
        <v>1591800</v>
      </c>
      <c r="D89" s="141">
        <f>VLOOKUP(A89,'Data shares'!$C$2:$CY$537,101,0)</f>
        <v>1.01E-2</v>
      </c>
      <c r="E89" s="86">
        <f>VLOOKUP($A89,'Data shares'!$C:$FA,74)</f>
        <v>126835800</v>
      </c>
      <c r="F89" s="86">
        <f>VLOOKUP($A89,'Data shares'!$C:$FA,76)</f>
        <v>-1305500</v>
      </c>
      <c r="G89" s="87">
        <f>VLOOKUP(A89,'Data shares'!$C$2:$CA$214,77,0)</f>
        <v>-1.0200000000000001E-2</v>
      </c>
      <c r="H89" s="86">
        <f>VLOOKUP($A89,'Data shares'!$C:$FA,90)</f>
        <v>16459800</v>
      </c>
      <c r="I89" s="86">
        <f>VLOOKUP($A89,'Data shares'!$C:$FA,92)</f>
        <v>1253000</v>
      </c>
      <c r="J89" s="87">
        <f>VLOOKUP($A89,'Data shares'!$C:$FA,93)</f>
        <v>8.2400000000000001E-2</v>
      </c>
      <c r="K89" s="86">
        <f>VLOOKUP($A89,'Data shares'!$C:$FA,94)</f>
        <v>16323300</v>
      </c>
      <c r="L89" s="86">
        <f>VLOOKUP($A89,'Data shares'!$C:$FA,96)</f>
        <v>1644300</v>
      </c>
      <c r="M89" s="87">
        <f>VLOOKUP($A89,'Data shares'!$C:$FA,97)</f>
        <v>0.112</v>
      </c>
      <c r="N89" s="86">
        <f>VLOOKUP($A89,'Data shares'!$C:$FA,78)</f>
        <v>114639700</v>
      </c>
      <c r="O89" s="87">
        <f>VLOOKUP($A89,'Data shares'!$C:$FA,81)</f>
        <v>13.335699999999999</v>
      </c>
    </row>
    <row r="90" spans="1:15" x14ac:dyDescent="0.25">
      <c r="A90" s="100" t="str">
        <f>'Data Vlaue (Cr)'!C85</f>
        <v>ICICIGI</v>
      </c>
      <c r="B90" s="82">
        <f>VLOOKUP(A90,'Data shares'!$C$2:$CV$214,98,0)</f>
        <v>6205550</v>
      </c>
      <c r="C90" s="82">
        <f>VLOOKUP(A90,'Data shares'!$C$2:$CX$214,100,0)</f>
        <v>109525</v>
      </c>
      <c r="D90" s="141">
        <f>VLOOKUP(A90,'Data shares'!$C$2:$CY$537,101,0)</f>
        <v>1.7999999999999999E-2</v>
      </c>
      <c r="E90" s="86">
        <f>VLOOKUP($A90,'Data shares'!$C:$FA,74)</f>
        <v>5481125</v>
      </c>
      <c r="F90" s="86">
        <f>VLOOKUP($A90,'Data shares'!$C:$FA,76)</f>
        <v>-9425</v>
      </c>
      <c r="G90" s="87">
        <f>VLOOKUP(A90,'Data shares'!$C$2:$CA$214,77,0)</f>
        <v>-1.6999999999999999E-3</v>
      </c>
      <c r="H90" s="86">
        <f>VLOOKUP($A90,'Data shares'!$C:$FA,90)</f>
        <v>323050</v>
      </c>
      <c r="I90" s="86">
        <f>VLOOKUP($A90,'Data shares'!$C:$FA,92)</f>
        <v>69225</v>
      </c>
      <c r="J90" s="87">
        <f>VLOOKUP($A90,'Data shares'!$C:$FA,93)</f>
        <v>0.2727</v>
      </c>
      <c r="K90" s="86">
        <f>VLOOKUP($A90,'Data shares'!$C:$FA,94)</f>
        <v>401375</v>
      </c>
      <c r="L90" s="86">
        <f>VLOOKUP($A90,'Data shares'!$C:$FA,96)</f>
        <v>49725</v>
      </c>
      <c r="M90" s="87">
        <f>VLOOKUP($A90,'Data shares'!$C:$FA,97)</f>
        <v>0.1414</v>
      </c>
      <c r="N90" s="86">
        <f>VLOOKUP($A90,'Data shares'!$C:$FA,78)</f>
        <v>5444075</v>
      </c>
      <c r="O90" s="87">
        <f>VLOOKUP($A90,'Data shares'!$C:$FA,81)</f>
        <v>28.1829</v>
      </c>
    </row>
    <row r="91" spans="1:15" x14ac:dyDescent="0.25">
      <c r="A91" s="100" t="str">
        <f>'Data Vlaue (Cr)'!C86</f>
        <v>ICICIPRULI</v>
      </c>
      <c r="B91" s="82">
        <f>VLOOKUP(A91,'Data shares'!$C$2:$CV$214,98,0)</f>
        <v>16112575</v>
      </c>
      <c r="C91" s="82">
        <f>VLOOKUP(A91,'Data shares'!$C$2:$CX$214,100,0)</f>
        <v>764975</v>
      </c>
      <c r="D91" s="141">
        <f>VLOOKUP(A91,'Data shares'!$C$2:$CY$537,101,0)</f>
        <v>4.9799999999999997E-2</v>
      </c>
      <c r="E91" s="86">
        <f>VLOOKUP($A91,'Data shares'!$C:$FA,74)</f>
        <v>13383825</v>
      </c>
      <c r="F91" s="86">
        <f>VLOOKUP($A91,'Data shares'!$C:$FA,76)</f>
        <v>71225</v>
      </c>
      <c r="G91" s="87">
        <f>VLOOKUP(A91,'Data shares'!$C$2:$CA$214,77,0)</f>
        <v>5.4000000000000003E-3</v>
      </c>
      <c r="H91" s="86">
        <f>VLOOKUP($A91,'Data shares'!$C:$FA,90)</f>
        <v>1393975</v>
      </c>
      <c r="I91" s="86">
        <f>VLOOKUP($A91,'Data shares'!$C:$FA,92)</f>
        <v>269175</v>
      </c>
      <c r="J91" s="87">
        <f>VLOOKUP($A91,'Data shares'!$C:$FA,93)</f>
        <v>0.23930000000000001</v>
      </c>
      <c r="K91" s="86">
        <f>VLOOKUP($A91,'Data shares'!$C:$FA,94)</f>
        <v>1334775</v>
      </c>
      <c r="L91" s="86">
        <f>VLOOKUP($A91,'Data shares'!$C:$FA,96)</f>
        <v>424575</v>
      </c>
      <c r="M91" s="87">
        <f>VLOOKUP($A91,'Data shares'!$C:$FA,97)</f>
        <v>0.46650000000000003</v>
      </c>
      <c r="N91" s="86">
        <f>VLOOKUP($A91,'Data shares'!$C:$FA,78)</f>
        <v>13344975</v>
      </c>
      <c r="O91" s="87">
        <f>VLOOKUP($A91,'Data shares'!$C:$FA,81)</f>
        <v>2.2319</v>
      </c>
    </row>
    <row r="92" spans="1:15" x14ac:dyDescent="0.25">
      <c r="A92" s="100" t="str">
        <f>'Data Vlaue (Cr)'!C87</f>
        <v>IDEA</v>
      </c>
      <c r="B92" s="82">
        <f>VLOOKUP(A92,'Data shares'!$C$2:$CV$214,98,0)</f>
        <v>9150801300</v>
      </c>
      <c r="C92" s="82">
        <f>VLOOKUP(A92,'Data shares'!$C$2:$CX$214,100,0)</f>
        <v>371241150</v>
      </c>
      <c r="D92" s="141">
        <f>VLOOKUP(A92,'Data shares'!$C$2:$CY$537,101,0)</f>
        <v>4.2299999999999997E-2</v>
      </c>
      <c r="E92" s="86">
        <f>VLOOKUP($A92,'Data shares'!$C:$FA,74)</f>
        <v>7147785900</v>
      </c>
      <c r="F92" s="86">
        <f>VLOOKUP($A92,'Data shares'!$C:$FA,76)</f>
        <v>132300225</v>
      </c>
      <c r="G92" s="87">
        <f>VLOOKUP(A92,'Data shares'!$C$2:$CA$214,77,0)</f>
        <v>1.89E-2</v>
      </c>
      <c r="H92" s="86">
        <f>VLOOKUP($A92,'Data shares'!$C:$FA,90)</f>
        <v>1164184800</v>
      </c>
      <c r="I92" s="86">
        <f>VLOOKUP($A92,'Data shares'!$C:$FA,92)</f>
        <v>158888925</v>
      </c>
      <c r="J92" s="87">
        <f>VLOOKUP($A92,'Data shares'!$C:$FA,93)</f>
        <v>0.15809999999999999</v>
      </c>
      <c r="K92" s="86">
        <f>VLOOKUP($A92,'Data shares'!$C:$FA,94)</f>
        <v>838830600</v>
      </c>
      <c r="L92" s="86">
        <f>VLOOKUP($A92,'Data shares'!$C:$FA,96)</f>
        <v>80052000</v>
      </c>
      <c r="M92" s="87">
        <f>VLOOKUP($A92,'Data shares'!$C:$FA,97)</f>
        <v>0.1055</v>
      </c>
      <c r="N92" s="86">
        <f>VLOOKUP($A92,'Data shares'!$C:$FA,78)</f>
        <v>6976317375</v>
      </c>
      <c r="O92" s="87">
        <f>VLOOKUP($A92,'Data shares'!$C:$FA,81)</f>
        <v>20.6419</v>
      </c>
    </row>
    <row r="93" spans="1:15" x14ac:dyDescent="0.25">
      <c r="A93" s="100" t="str">
        <f>'Data Vlaue (Cr)'!C88</f>
        <v>IDFCFIRSTB</v>
      </c>
      <c r="B93" s="82">
        <f>VLOOKUP(A93,'Data shares'!$C$2:$CV$214,98,0)</f>
        <v>440543950</v>
      </c>
      <c r="C93" s="82">
        <f>VLOOKUP(A93,'Data shares'!$C$2:$CX$214,100,0)</f>
        <v>34326775</v>
      </c>
      <c r="D93" s="141">
        <f>VLOOKUP(A93,'Data shares'!$C$2:$CY$537,101,0)</f>
        <v>8.4500000000000006E-2</v>
      </c>
      <c r="E93" s="86">
        <f>VLOOKUP($A93,'Data shares'!$C:$FA,74)</f>
        <v>290326050</v>
      </c>
      <c r="F93" s="86">
        <f>VLOOKUP($A93,'Data shares'!$C:$FA,76)</f>
        <v>3014375</v>
      </c>
      <c r="G93" s="87">
        <f>VLOOKUP(A93,'Data shares'!$C$2:$CA$214,77,0)</f>
        <v>1.0500000000000001E-2</v>
      </c>
      <c r="H93" s="86">
        <f>VLOOKUP($A93,'Data shares'!$C:$FA,90)</f>
        <v>80321500</v>
      </c>
      <c r="I93" s="86">
        <f>VLOOKUP($A93,'Data shares'!$C:$FA,92)</f>
        <v>12493425</v>
      </c>
      <c r="J93" s="87">
        <f>VLOOKUP($A93,'Data shares'!$C:$FA,93)</f>
        <v>0.1842</v>
      </c>
      <c r="K93" s="86">
        <f>VLOOKUP($A93,'Data shares'!$C:$FA,94)</f>
        <v>69896400</v>
      </c>
      <c r="L93" s="86">
        <f>VLOOKUP($A93,'Data shares'!$C:$FA,96)</f>
        <v>18818975</v>
      </c>
      <c r="M93" s="87">
        <f>VLOOKUP($A93,'Data shares'!$C:$FA,97)</f>
        <v>0.36840000000000001</v>
      </c>
      <c r="N93" s="86">
        <f>VLOOKUP($A93,'Data shares'!$C:$FA,78)</f>
        <v>276561950</v>
      </c>
      <c r="O93" s="87">
        <f>VLOOKUP($A93,'Data shares'!$C:$FA,81)</f>
        <v>25.481300000000001</v>
      </c>
    </row>
    <row r="94" spans="1:15" x14ac:dyDescent="0.25">
      <c r="A94" s="100" t="str">
        <f>'Data Vlaue (Cr)'!C89</f>
        <v>IEX</v>
      </c>
      <c r="B94" s="82">
        <f>VLOOKUP(A94,'Data shares'!$C$2:$CV$214,98,0)</f>
        <v>136365000</v>
      </c>
      <c r="C94" s="82">
        <f>VLOOKUP(A94,'Data shares'!$C$2:$CX$214,100,0)</f>
        <v>7500000</v>
      </c>
      <c r="D94" s="141">
        <f>VLOOKUP(A94,'Data shares'!$C$2:$CY$537,101,0)</f>
        <v>5.8200000000000002E-2</v>
      </c>
      <c r="E94" s="86">
        <f>VLOOKUP($A94,'Data shares'!$C:$FA,74)</f>
        <v>72532500</v>
      </c>
      <c r="F94" s="86">
        <f>VLOOKUP($A94,'Data shares'!$C:$FA,76)</f>
        <v>393750</v>
      </c>
      <c r="G94" s="87">
        <f>VLOOKUP(A94,'Data shares'!$C$2:$CA$214,77,0)</f>
        <v>5.4999999999999997E-3</v>
      </c>
      <c r="H94" s="86">
        <f>VLOOKUP($A94,'Data shares'!$C:$FA,90)</f>
        <v>33011250</v>
      </c>
      <c r="I94" s="86">
        <f>VLOOKUP($A94,'Data shares'!$C:$FA,92)</f>
        <v>5073750</v>
      </c>
      <c r="J94" s="87">
        <f>VLOOKUP($A94,'Data shares'!$C:$FA,93)</f>
        <v>0.18160000000000001</v>
      </c>
      <c r="K94" s="86">
        <f>VLOOKUP($A94,'Data shares'!$C:$FA,94)</f>
        <v>30821250</v>
      </c>
      <c r="L94" s="86">
        <f>VLOOKUP($A94,'Data shares'!$C:$FA,96)</f>
        <v>2032500</v>
      </c>
      <c r="M94" s="87">
        <f>VLOOKUP($A94,'Data shares'!$C:$FA,97)</f>
        <v>7.0599999999999996E-2</v>
      </c>
      <c r="N94" s="86">
        <f>VLOOKUP($A94,'Data shares'!$C:$FA,78)</f>
        <v>69483750</v>
      </c>
      <c r="O94" s="87">
        <f>VLOOKUP($A94,'Data shares'!$C:$FA,81)</f>
        <v>5.1111000000000004</v>
      </c>
    </row>
    <row r="95" spans="1:15" x14ac:dyDescent="0.25">
      <c r="A95" s="100" t="str">
        <f>'Data Vlaue (Cr)'!C90</f>
        <v>INDHOTEL</v>
      </c>
      <c r="B95" s="82">
        <f>VLOOKUP(A95,'Data shares'!$C$2:$CV$214,98,0)</f>
        <v>38901000</v>
      </c>
      <c r="C95" s="82">
        <f>VLOOKUP(A95,'Data shares'!$C$2:$CX$214,100,0)</f>
        <v>735000</v>
      </c>
      <c r="D95" s="141">
        <f>VLOOKUP(A95,'Data shares'!$C$2:$CY$537,101,0)</f>
        <v>1.9300000000000001E-2</v>
      </c>
      <c r="E95" s="86">
        <f>VLOOKUP($A95,'Data shares'!$C:$FA,74)</f>
        <v>27306000</v>
      </c>
      <c r="F95" s="86">
        <f>VLOOKUP($A95,'Data shares'!$C:$FA,76)</f>
        <v>-49000</v>
      </c>
      <c r="G95" s="87">
        <f>VLOOKUP(A95,'Data shares'!$C$2:$CA$214,77,0)</f>
        <v>-1.8E-3</v>
      </c>
      <c r="H95" s="86">
        <f>VLOOKUP($A95,'Data shares'!$C:$FA,90)</f>
        <v>5661000</v>
      </c>
      <c r="I95" s="86">
        <f>VLOOKUP($A95,'Data shares'!$C:$FA,92)</f>
        <v>504000</v>
      </c>
      <c r="J95" s="87">
        <f>VLOOKUP($A95,'Data shares'!$C:$FA,93)</f>
        <v>9.7699999999999995E-2</v>
      </c>
      <c r="K95" s="86">
        <f>VLOOKUP($A95,'Data shares'!$C:$FA,94)</f>
        <v>5934000</v>
      </c>
      <c r="L95" s="86">
        <f>VLOOKUP($A95,'Data shares'!$C:$FA,96)</f>
        <v>280000</v>
      </c>
      <c r="M95" s="87">
        <f>VLOOKUP($A95,'Data shares'!$C:$FA,97)</f>
        <v>4.9500000000000002E-2</v>
      </c>
      <c r="N95" s="86">
        <f>VLOOKUP($A95,'Data shares'!$C:$FA,78)</f>
        <v>26660000</v>
      </c>
      <c r="O95" s="87">
        <f>VLOOKUP($A95,'Data shares'!$C:$FA,81)</f>
        <v>12.062200000000001</v>
      </c>
    </row>
    <row r="96" spans="1:15" x14ac:dyDescent="0.25">
      <c r="A96" s="100" t="str">
        <f>'Data Vlaue (Cr)'!C91</f>
        <v>INDIANB</v>
      </c>
      <c r="B96" s="82">
        <f>VLOOKUP(A96,'Data shares'!$C$2:$CV$214,98,0)</f>
        <v>14033000</v>
      </c>
      <c r="C96" s="82">
        <f>VLOOKUP(A96,'Data shares'!$C$2:$CX$214,100,0)</f>
        <v>863000</v>
      </c>
      <c r="D96" s="141">
        <f>VLOOKUP(A96,'Data shares'!$C$2:$CY$537,101,0)</f>
        <v>6.5500000000000003E-2</v>
      </c>
      <c r="E96" s="86">
        <f>VLOOKUP($A96,'Data shares'!$C:$FA,74)</f>
        <v>9805000</v>
      </c>
      <c r="F96" s="86">
        <f>VLOOKUP($A96,'Data shares'!$C:$FA,76)</f>
        <v>224000</v>
      </c>
      <c r="G96" s="87">
        <f>VLOOKUP(A96,'Data shares'!$C$2:$CA$214,77,0)</f>
        <v>2.3400000000000001E-2</v>
      </c>
      <c r="H96" s="86">
        <f>VLOOKUP($A96,'Data shares'!$C:$FA,90)</f>
        <v>2554000</v>
      </c>
      <c r="I96" s="86">
        <f>VLOOKUP($A96,'Data shares'!$C:$FA,92)</f>
        <v>338000</v>
      </c>
      <c r="J96" s="87">
        <f>VLOOKUP($A96,'Data shares'!$C:$FA,93)</f>
        <v>0.1525</v>
      </c>
      <c r="K96" s="86">
        <f>VLOOKUP($A96,'Data shares'!$C:$FA,94)</f>
        <v>1674000</v>
      </c>
      <c r="L96" s="86">
        <f>VLOOKUP($A96,'Data shares'!$C:$FA,96)</f>
        <v>301000</v>
      </c>
      <c r="M96" s="87">
        <f>VLOOKUP($A96,'Data shares'!$C:$FA,97)</f>
        <v>0.21920000000000001</v>
      </c>
      <c r="N96" s="86">
        <f>VLOOKUP($A96,'Data shares'!$C:$FA,78)</f>
        <v>9662000</v>
      </c>
      <c r="O96" s="87">
        <f>VLOOKUP($A96,'Data shares'!$C:$FA,81)</f>
        <v>15.3209</v>
      </c>
    </row>
    <row r="97" spans="1:15" x14ac:dyDescent="0.25">
      <c r="A97" s="100" t="str">
        <f>'Data Vlaue (Cr)'!C92</f>
        <v>INDIAVIX</v>
      </c>
      <c r="B97" s="82">
        <f>VLOOKUP(A97,'Data shares'!$C$2:$CV$214,98,0)</f>
        <v>0</v>
      </c>
      <c r="C97" s="82">
        <f>VLOOKUP(A97,'Data shares'!$C$2:$CX$214,100,0)</f>
        <v>0</v>
      </c>
      <c r="D97" s="141">
        <f>VLOOKUP(A97,'Data shares'!$C$2:$CY$537,101,0)</f>
        <v>0</v>
      </c>
      <c r="E97" s="86">
        <f>VLOOKUP($A97,'Data shares'!$C:$FA,74)</f>
        <v>0</v>
      </c>
      <c r="F97" s="86">
        <f>VLOOKUP($A97,'Data shares'!$C:$FA,76)</f>
        <v>0</v>
      </c>
      <c r="G97" s="87">
        <f>VLOOKUP(A97,'Data shares'!$C$2:$CA$214,77,0)</f>
        <v>0</v>
      </c>
      <c r="H97" s="86">
        <f>VLOOKUP($A97,'Data shares'!$C:$FA,90)</f>
        <v>0</v>
      </c>
      <c r="I97" s="86">
        <f>VLOOKUP($A97,'Data shares'!$C:$FA,92)</f>
        <v>0</v>
      </c>
      <c r="J97" s="87">
        <f>VLOOKUP($A97,'Data shares'!$C:$FA,93)</f>
        <v>0</v>
      </c>
      <c r="K97" s="86">
        <f>VLOOKUP($A97,'Data shares'!$C:$FA,94)</f>
        <v>0</v>
      </c>
      <c r="L97" s="86">
        <f>VLOOKUP($A97,'Data shares'!$C:$FA,96)</f>
        <v>0</v>
      </c>
      <c r="M97" s="87">
        <f>VLOOKUP($A97,'Data shares'!$C:$FA,97)</f>
        <v>0</v>
      </c>
      <c r="N97" s="86">
        <f>VLOOKUP($A97,'Data shares'!$C:$FA,78)</f>
        <v>0</v>
      </c>
      <c r="O97" s="87">
        <f>VLOOKUP($A97,'Data shares'!$C:$FA,81)</f>
        <v>0</v>
      </c>
    </row>
    <row r="98" spans="1:15" x14ac:dyDescent="0.25">
      <c r="A98" s="100" t="str">
        <f>'Data Vlaue (Cr)'!C93</f>
        <v>INDIGO</v>
      </c>
      <c r="B98" s="82">
        <f>VLOOKUP(A98,'Data shares'!$C$2:$CV$214,98,0)</f>
        <v>12474000</v>
      </c>
      <c r="C98" s="82">
        <f>VLOOKUP(A98,'Data shares'!$C$2:$CX$214,100,0)</f>
        <v>911850</v>
      </c>
      <c r="D98" s="141">
        <f>VLOOKUP(A98,'Data shares'!$C$2:$CY$537,101,0)</f>
        <v>7.8899999999999998E-2</v>
      </c>
      <c r="E98" s="86">
        <f>VLOOKUP($A98,'Data shares'!$C:$FA,74)</f>
        <v>8551650</v>
      </c>
      <c r="F98" s="86">
        <f>VLOOKUP($A98,'Data shares'!$C:$FA,76)</f>
        <v>433950</v>
      </c>
      <c r="G98" s="87">
        <f>VLOOKUP(A98,'Data shares'!$C$2:$CA$214,77,0)</f>
        <v>5.3499999999999999E-2</v>
      </c>
      <c r="H98" s="86">
        <f>VLOOKUP($A98,'Data shares'!$C:$FA,90)</f>
        <v>2066700</v>
      </c>
      <c r="I98" s="86">
        <f>VLOOKUP($A98,'Data shares'!$C:$FA,92)</f>
        <v>244650</v>
      </c>
      <c r="J98" s="87">
        <f>VLOOKUP($A98,'Data shares'!$C:$FA,93)</f>
        <v>0.1343</v>
      </c>
      <c r="K98" s="86">
        <f>VLOOKUP($A98,'Data shares'!$C:$FA,94)</f>
        <v>1855650</v>
      </c>
      <c r="L98" s="86">
        <f>VLOOKUP($A98,'Data shares'!$C:$FA,96)</f>
        <v>233250</v>
      </c>
      <c r="M98" s="87">
        <f>VLOOKUP($A98,'Data shares'!$C:$FA,97)</f>
        <v>0.14380000000000001</v>
      </c>
      <c r="N98" s="86">
        <f>VLOOKUP($A98,'Data shares'!$C:$FA,78)</f>
        <v>8400000</v>
      </c>
      <c r="O98" s="87">
        <f>VLOOKUP($A98,'Data shares'!$C:$FA,81)</f>
        <v>10.7057</v>
      </c>
    </row>
    <row r="99" spans="1:15" x14ac:dyDescent="0.25">
      <c r="A99" s="100" t="str">
        <f>'Data Vlaue (Cr)'!C94</f>
        <v>INDUSINDBK</v>
      </c>
      <c r="B99" s="82">
        <f>VLOOKUP(A99,'Data shares'!$C$2:$CV$214,98,0)</f>
        <v>47147800</v>
      </c>
      <c r="C99" s="82">
        <f>VLOOKUP(A99,'Data shares'!$C$2:$CX$214,100,0)</f>
        <v>1240400</v>
      </c>
      <c r="D99" s="141">
        <f>VLOOKUP(A99,'Data shares'!$C$2:$CY$537,101,0)</f>
        <v>2.7E-2</v>
      </c>
      <c r="E99" s="86">
        <f>VLOOKUP($A99,'Data shares'!$C:$FA,74)</f>
        <v>36298500</v>
      </c>
      <c r="F99" s="86">
        <f>VLOOKUP($A99,'Data shares'!$C:$FA,76)</f>
        <v>280700</v>
      </c>
      <c r="G99" s="87">
        <f>VLOOKUP(A99,'Data shares'!$C$2:$CA$214,77,0)</f>
        <v>7.7999999999999996E-3</v>
      </c>
      <c r="H99" s="86">
        <f>VLOOKUP($A99,'Data shares'!$C:$FA,90)</f>
        <v>5918500</v>
      </c>
      <c r="I99" s="86">
        <f>VLOOKUP($A99,'Data shares'!$C:$FA,92)</f>
        <v>643300</v>
      </c>
      <c r="J99" s="87">
        <f>VLOOKUP($A99,'Data shares'!$C:$FA,93)</f>
        <v>0.12189999999999999</v>
      </c>
      <c r="K99" s="86">
        <f>VLOOKUP($A99,'Data shares'!$C:$FA,94)</f>
        <v>4930800</v>
      </c>
      <c r="L99" s="86">
        <f>VLOOKUP($A99,'Data shares'!$C:$FA,96)</f>
        <v>316400</v>
      </c>
      <c r="M99" s="87">
        <f>VLOOKUP($A99,'Data shares'!$C:$FA,97)</f>
        <v>6.8599999999999994E-2</v>
      </c>
      <c r="N99" s="86">
        <f>VLOOKUP($A99,'Data shares'!$C:$FA,78)</f>
        <v>35663600</v>
      </c>
      <c r="O99" s="87">
        <f>VLOOKUP($A99,'Data shares'!$C:$FA,81)</f>
        <v>9.7941000000000003</v>
      </c>
    </row>
    <row r="100" spans="1:15" x14ac:dyDescent="0.25">
      <c r="A100" s="100" t="str">
        <f>'Data Vlaue (Cr)'!C95</f>
        <v>INDUSTOWER</v>
      </c>
      <c r="B100" s="82">
        <f>VLOOKUP(A100,'Data shares'!$C$2:$CV$214,98,0)</f>
        <v>109745200</v>
      </c>
      <c r="C100" s="82">
        <f>VLOOKUP(A100,'Data shares'!$C$2:$CX$214,100,0)</f>
        <v>1514700</v>
      </c>
      <c r="D100" s="141">
        <f>VLOOKUP(A100,'Data shares'!$C$2:$CY$537,101,0)</f>
        <v>1.4E-2</v>
      </c>
      <c r="E100" s="86">
        <f>VLOOKUP($A100,'Data shares'!$C:$FA,74)</f>
        <v>96213200</v>
      </c>
      <c r="F100" s="86">
        <f>VLOOKUP($A100,'Data shares'!$C:$FA,76)</f>
        <v>501500</v>
      </c>
      <c r="G100" s="87">
        <f>VLOOKUP(A100,'Data shares'!$C$2:$CA$214,77,0)</f>
        <v>5.1999999999999998E-3</v>
      </c>
      <c r="H100" s="86">
        <f>VLOOKUP($A100,'Data shares'!$C:$FA,90)</f>
        <v>7954300</v>
      </c>
      <c r="I100" s="86">
        <f>VLOOKUP($A100,'Data shares'!$C:$FA,92)</f>
        <v>804100</v>
      </c>
      <c r="J100" s="87">
        <f>VLOOKUP($A100,'Data shares'!$C:$FA,93)</f>
        <v>0.1125</v>
      </c>
      <c r="K100" s="86">
        <f>VLOOKUP($A100,'Data shares'!$C:$FA,94)</f>
        <v>5577700</v>
      </c>
      <c r="L100" s="86">
        <f>VLOOKUP($A100,'Data shares'!$C:$FA,96)</f>
        <v>209100</v>
      </c>
      <c r="M100" s="87">
        <f>VLOOKUP($A100,'Data shares'!$C:$FA,97)</f>
        <v>3.8899999999999997E-2</v>
      </c>
      <c r="N100" s="86">
        <f>VLOOKUP($A100,'Data shares'!$C:$FA,78)</f>
        <v>95703200</v>
      </c>
      <c r="O100" s="87">
        <f>VLOOKUP($A100,'Data shares'!$C:$FA,81)</f>
        <v>32.252200000000002</v>
      </c>
    </row>
    <row r="101" spans="1:15" x14ac:dyDescent="0.25">
      <c r="A101" s="100" t="str">
        <f>'Data Vlaue (Cr)'!C96</f>
        <v>INFY</v>
      </c>
      <c r="B101" s="82">
        <f>VLOOKUP(A101,'Data shares'!$C$2:$CV$214,98,0)</f>
        <v>78214800</v>
      </c>
      <c r="C101" s="82">
        <f>VLOOKUP(A101,'Data shares'!$C$2:$CX$214,100,0)</f>
        <v>2122000</v>
      </c>
      <c r="D101" s="141">
        <f>VLOOKUP(A101,'Data shares'!$C$2:$CY$537,101,0)</f>
        <v>2.7900000000000001E-2</v>
      </c>
      <c r="E101" s="86">
        <f>VLOOKUP($A101,'Data shares'!$C:$FA,74)</f>
        <v>65920000</v>
      </c>
      <c r="F101" s="86">
        <f>VLOOKUP($A101,'Data shares'!$C:$FA,76)</f>
        <v>-881600</v>
      </c>
      <c r="G101" s="87">
        <f>VLOOKUP(A101,'Data shares'!$C$2:$CA$214,77,0)</f>
        <v>-1.32E-2</v>
      </c>
      <c r="H101" s="86">
        <f>VLOOKUP($A101,'Data shares'!$C:$FA,90)</f>
        <v>6992000</v>
      </c>
      <c r="I101" s="86">
        <f>VLOOKUP($A101,'Data shares'!$C:$FA,92)</f>
        <v>1954400</v>
      </c>
      <c r="J101" s="87">
        <f>VLOOKUP($A101,'Data shares'!$C:$FA,93)</f>
        <v>0.38800000000000001</v>
      </c>
      <c r="K101" s="86">
        <f>VLOOKUP($A101,'Data shares'!$C:$FA,94)</f>
        <v>5302800</v>
      </c>
      <c r="L101" s="86">
        <f>VLOOKUP($A101,'Data shares'!$C:$FA,96)</f>
        <v>1049200</v>
      </c>
      <c r="M101" s="87">
        <f>VLOOKUP($A101,'Data shares'!$C:$FA,97)</f>
        <v>0.2467</v>
      </c>
      <c r="N101" s="86">
        <f>VLOOKUP($A101,'Data shares'!$C:$FA,78)</f>
        <v>64912400</v>
      </c>
      <c r="O101" s="87">
        <f>VLOOKUP($A101,'Data shares'!$C:$FA,81)</f>
        <v>7.1795</v>
      </c>
    </row>
    <row r="102" spans="1:15" x14ac:dyDescent="0.25">
      <c r="A102" s="100" t="str">
        <f>'Data Vlaue (Cr)'!C97</f>
        <v>INOXWIND</v>
      </c>
      <c r="B102" s="82">
        <f>VLOOKUP(A102,'Data shares'!$C$2:$CV$214,98,0)</f>
        <v>119394275</v>
      </c>
      <c r="C102" s="82">
        <f>VLOOKUP(A102,'Data shares'!$C$2:$CX$214,100,0)</f>
        <v>6256250</v>
      </c>
      <c r="D102" s="141">
        <f>VLOOKUP(A102,'Data shares'!$C$2:$CY$537,101,0)</f>
        <v>5.5300000000000002E-2</v>
      </c>
      <c r="E102" s="86">
        <f>VLOOKUP($A102,'Data shares'!$C:$FA,74)</f>
        <v>92310075</v>
      </c>
      <c r="F102" s="86">
        <f>VLOOKUP($A102,'Data shares'!$C:$FA,76)</f>
        <v>135850</v>
      </c>
      <c r="G102" s="87">
        <f>VLOOKUP(A102,'Data shares'!$C$2:$CA$214,77,0)</f>
        <v>1.5E-3</v>
      </c>
      <c r="H102" s="86">
        <f>VLOOKUP($A102,'Data shares'!$C:$FA,90)</f>
        <v>12794925</v>
      </c>
      <c r="I102" s="86">
        <f>VLOOKUP($A102,'Data shares'!$C:$FA,92)</f>
        <v>3081650</v>
      </c>
      <c r="J102" s="87">
        <f>VLOOKUP($A102,'Data shares'!$C:$FA,93)</f>
        <v>0.31730000000000003</v>
      </c>
      <c r="K102" s="86">
        <f>VLOOKUP($A102,'Data shares'!$C:$FA,94)</f>
        <v>14289275</v>
      </c>
      <c r="L102" s="86">
        <f>VLOOKUP($A102,'Data shares'!$C:$FA,96)</f>
        <v>3038750</v>
      </c>
      <c r="M102" s="87">
        <f>VLOOKUP($A102,'Data shares'!$C:$FA,97)</f>
        <v>0.27010000000000001</v>
      </c>
      <c r="N102" s="86">
        <f>VLOOKUP($A102,'Data shares'!$C:$FA,78)</f>
        <v>90093575</v>
      </c>
      <c r="O102" s="87">
        <f>VLOOKUP($A102,'Data shares'!$C:$FA,81)</f>
        <v>21.242699999999999</v>
      </c>
    </row>
    <row r="103" spans="1:15" x14ac:dyDescent="0.25">
      <c r="A103" s="100" t="str">
        <f>'Data Vlaue (Cr)'!C98</f>
        <v>IOC</v>
      </c>
      <c r="B103" s="82">
        <f>VLOOKUP(A103,'Data shares'!$C$2:$CV$214,98,0)</f>
        <v>131644500</v>
      </c>
      <c r="C103" s="82">
        <f>VLOOKUP(A103,'Data shares'!$C$2:$CX$214,100,0)</f>
        <v>12099750</v>
      </c>
      <c r="D103" s="141">
        <f>VLOOKUP(A103,'Data shares'!$C$2:$CY$537,101,0)</f>
        <v>0.1012</v>
      </c>
      <c r="E103" s="86">
        <f>VLOOKUP($A103,'Data shares'!$C:$FA,74)</f>
        <v>86818875</v>
      </c>
      <c r="F103" s="86">
        <f>VLOOKUP($A103,'Data shares'!$C:$FA,76)</f>
        <v>1964625</v>
      </c>
      <c r="G103" s="87">
        <f>VLOOKUP(A103,'Data shares'!$C$2:$CA$214,77,0)</f>
        <v>2.3199999999999998E-2</v>
      </c>
      <c r="H103" s="86">
        <f>VLOOKUP($A103,'Data shares'!$C:$FA,90)</f>
        <v>24526125</v>
      </c>
      <c r="I103" s="86">
        <f>VLOOKUP($A103,'Data shares'!$C:$FA,92)</f>
        <v>7078500</v>
      </c>
      <c r="J103" s="87">
        <f>VLOOKUP($A103,'Data shares'!$C:$FA,93)</f>
        <v>0.40570000000000001</v>
      </c>
      <c r="K103" s="86">
        <f>VLOOKUP($A103,'Data shares'!$C:$FA,94)</f>
        <v>20299500</v>
      </c>
      <c r="L103" s="86">
        <f>VLOOKUP($A103,'Data shares'!$C:$FA,96)</f>
        <v>3056625</v>
      </c>
      <c r="M103" s="87">
        <f>VLOOKUP($A103,'Data shares'!$C:$FA,97)</f>
        <v>0.17730000000000001</v>
      </c>
      <c r="N103" s="86">
        <f>VLOOKUP($A103,'Data shares'!$C:$FA,78)</f>
        <v>84786000</v>
      </c>
      <c r="O103" s="87">
        <f>VLOOKUP($A103,'Data shares'!$C:$FA,81)</f>
        <v>6.5948000000000002</v>
      </c>
    </row>
    <row r="104" spans="1:15" x14ac:dyDescent="0.25">
      <c r="A104" s="100" t="str">
        <f>'Data Vlaue (Cr)'!C99</f>
        <v>IRCTC</v>
      </c>
      <c r="B104" s="82">
        <f>VLOOKUP(A104,'Data shares'!$C$2:$CV$214,98,0)</f>
        <v>35960750</v>
      </c>
      <c r="C104" s="82">
        <f>VLOOKUP(A104,'Data shares'!$C$2:$CX$214,100,0)</f>
        <v>1509375</v>
      </c>
      <c r="D104" s="141">
        <f>VLOOKUP(A104,'Data shares'!$C$2:$CY$537,101,0)</f>
        <v>4.3799999999999999E-2</v>
      </c>
      <c r="E104" s="86">
        <f>VLOOKUP($A104,'Data shares'!$C:$FA,74)</f>
        <v>19781125</v>
      </c>
      <c r="F104" s="86">
        <f>VLOOKUP($A104,'Data shares'!$C:$FA,76)</f>
        <v>-86625</v>
      </c>
      <c r="G104" s="87">
        <f>VLOOKUP(A104,'Data shares'!$C$2:$CA$214,77,0)</f>
        <v>-4.4000000000000003E-3</v>
      </c>
      <c r="H104" s="86">
        <f>VLOOKUP($A104,'Data shares'!$C:$FA,90)</f>
        <v>9079000</v>
      </c>
      <c r="I104" s="86">
        <f>VLOOKUP($A104,'Data shares'!$C:$FA,92)</f>
        <v>1215375</v>
      </c>
      <c r="J104" s="87">
        <f>VLOOKUP($A104,'Data shares'!$C:$FA,93)</f>
        <v>0.15459999999999999</v>
      </c>
      <c r="K104" s="86">
        <f>VLOOKUP($A104,'Data shares'!$C:$FA,94)</f>
        <v>7100625</v>
      </c>
      <c r="L104" s="86">
        <f>VLOOKUP($A104,'Data shares'!$C:$FA,96)</f>
        <v>380625</v>
      </c>
      <c r="M104" s="87">
        <f>VLOOKUP($A104,'Data shares'!$C:$FA,97)</f>
        <v>5.6599999999999998E-2</v>
      </c>
      <c r="N104" s="86">
        <f>VLOOKUP($A104,'Data shares'!$C:$FA,78)</f>
        <v>19781125</v>
      </c>
      <c r="O104" s="87">
        <f>VLOOKUP($A104,'Data shares'!$C:$FA,81)</f>
        <v>6.7500999999999998</v>
      </c>
    </row>
    <row r="105" spans="1:15" x14ac:dyDescent="0.25">
      <c r="A105" s="100" t="str">
        <f>'Data Vlaue (Cr)'!C100</f>
        <v>IREDA</v>
      </c>
      <c r="B105" s="82">
        <f>VLOOKUP(A105,'Data shares'!$C$2:$CV$214,98,0)</f>
        <v>99052950</v>
      </c>
      <c r="C105" s="82">
        <f>VLOOKUP(A105,'Data shares'!$C$2:$CX$214,100,0)</f>
        <v>9187350</v>
      </c>
      <c r="D105" s="141">
        <f>VLOOKUP(A105,'Data shares'!$C$2:$CY$537,101,0)</f>
        <v>0.1022</v>
      </c>
      <c r="E105" s="86">
        <f>VLOOKUP($A105,'Data shares'!$C:$FA,74)</f>
        <v>61378950</v>
      </c>
      <c r="F105" s="86">
        <f>VLOOKUP($A105,'Data shares'!$C:$FA,76)</f>
        <v>2090700</v>
      </c>
      <c r="G105" s="87">
        <f>VLOOKUP(A105,'Data shares'!$C$2:$CA$214,77,0)</f>
        <v>3.5299999999999998E-2</v>
      </c>
      <c r="H105" s="86">
        <f>VLOOKUP($A105,'Data shares'!$C:$FA,90)</f>
        <v>21507300</v>
      </c>
      <c r="I105" s="86">
        <f>VLOOKUP($A105,'Data shares'!$C:$FA,92)</f>
        <v>4267650</v>
      </c>
      <c r="J105" s="87">
        <f>VLOOKUP($A105,'Data shares'!$C:$FA,93)</f>
        <v>0.2475</v>
      </c>
      <c r="K105" s="86">
        <f>VLOOKUP($A105,'Data shares'!$C:$FA,94)</f>
        <v>16166700</v>
      </c>
      <c r="L105" s="86">
        <f>VLOOKUP($A105,'Data shares'!$C:$FA,96)</f>
        <v>2829000</v>
      </c>
      <c r="M105" s="87">
        <f>VLOOKUP($A105,'Data shares'!$C:$FA,97)</f>
        <v>0.21210000000000001</v>
      </c>
      <c r="N105" s="86">
        <f>VLOOKUP($A105,'Data shares'!$C:$FA,78)</f>
        <v>55382850</v>
      </c>
      <c r="O105" s="87">
        <f>VLOOKUP($A105,'Data shares'!$C:$FA,81)</f>
        <v>12.744</v>
      </c>
    </row>
    <row r="106" spans="1:15" x14ac:dyDescent="0.25">
      <c r="A106" s="100" t="str">
        <f>'Data Vlaue (Cr)'!C101</f>
        <v>IRFC</v>
      </c>
      <c r="B106" s="82">
        <f>VLOOKUP(A106,'Data shares'!$C$2:$CV$214,98,0)</f>
        <v>133683750</v>
      </c>
      <c r="C106" s="82">
        <f>VLOOKUP(A106,'Data shares'!$C$2:$CX$214,100,0)</f>
        <v>15453000</v>
      </c>
      <c r="D106" s="141">
        <f>VLOOKUP(A106,'Data shares'!$C$2:$CY$537,101,0)</f>
        <v>0.13070000000000001</v>
      </c>
      <c r="E106" s="86">
        <f>VLOOKUP($A106,'Data shares'!$C:$FA,74)</f>
        <v>61289250</v>
      </c>
      <c r="F106" s="86">
        <f>VLOOKUP($A106,'Data shares'!$C:$FA,76)</f>
        <v>4250000</v>
      </c>
      <c r="G106" s="87">
        <f>VLOOKUP(A106,'Data shares'!$C$2:$CA$214,77,0)</f>
        <v>7.4499999999999997E-2</v>
      </c>
      <c r="H106" s="86">
        <f>VLOOKUP($A106,'Data shares'!$C:$FA,90)</f>
        <v>44688750</v>
      </c>
      <c r="I106" s="86">
        <f>VLOOKUP($A106,'Data shares'!$C:$FA,92)</f>
        <v>7331250</v>
      </c>
      <c r="J106" s="87">
        <f>VLOOKUP($A106,'Data shares'!$C:$FA,93)</f>
        <v>0.19620000000000001</v>
      </c>
      <c r="K106" s="86">
        <f>VLOOKUP($A106,'Data shares'!$C:$FA,94)</f>
        <v>27705750</v>
      </c>
      <c r="L106" s="86">
        <f>VLOOKUP($A106,'Data shares'!$C:$FA,96)</f>
        <v>3871750</v>
      </c>
      <c r="M106" s="87">
        <f>VLOOKUP($A106,'Data shares'!$C:$FA,97)</f>
        <v>0.16239999999999999</v>
      </c>
      <c r="N106" s="86">
        <f>VLOOKUP($A106,'Data shares'!$C:$FA,78)</f>
        <v>57315500</v>
      </c>
      <c r="O106" s="87">
        <f>VLOOKUP($A106,'Data shares'!$C:$FA,81)</f>
        <v>5.7328999999999999</v>
      </c>
    </row>
    <row r="107" spans="1:15" x14ac:dyDescent="0.25">
      <c r="A107" s="100" t="str">
        <f>'Data Vlaue (Cr)'!C102</f>
        <v>ITC</v>
      </c>
      <c r="B107" s="82">
        <f>VLOOKUP(A107,'Data shares'!$C$2:$CV$214,98,0)</f>
        <v>337249600</v>
      </c>
      <c r="C107" s="82">
        <f>VLOOKUP(A107,'Data shares'!$C$2:$CX$214,100,0)</f>
        <v>19257600</v>
      </c>
      <c r="D107" s="141">
        <f>VLOOKUP(A107,'Data shares'!$C$2:$CY$537,101,0)</f>
        <v>6.0600000000000001E-2</v>
      </c>
      <c r="E107" s="86">
        <f>VLOOKUP($A107,'Data shares'!$C:$FA,74)</f>
        <v>190608000</v>
      </c>
      <c r="F107" s="86">
        <f>VLOOKUP($A107,'Data shares'!$C:$FA,76)</f>
        <v>1588800</v>
      </c>
      <c r="G107" s="87">
        <f>VLOOKUP(A107,'Data shares'!$C$2:$CA$214,77,0)</f>
        <v>8.3999999999999995E-3</v>
      </c>
      <c r="H107" s="86">
        <f>VLOOKUP($A107,'Data shares'!$C:$FA,90)</f>
        <v>83595200</v>
      </c>
      <c r="I107" s="86">
        <f>VLOOKUP($A107,'Data shares'!$C:$FA,92)</f>
        <v>12936000</v>
      </c>
      <c r="J107" s="87">
        <f>VLOOKUP($A107,'Data shares'!$C:$FA,93)</f>
        <v>0.18310000000000001</v>
      </c>
      <c r="K107" s="86">
        <f>VLOOKUP($A107,'Data shares'!$C:$FA,94)</f>
        <v>63046400</v>
      </c>
      <c r="L107" s="86">
        <f>VLOOKUP($A107,'Data shares'!$C:$FA,96)</f>
        <v>4732800</v>
      </c>
      <c r="M107" s="87">
        <f>VLOOKUP($A107,'Data shares'!$C:$FA,97)</f>
        <v>8.1199999999999994E-2</v>
      </c>
      <c r="N107" s="86">
        <f>VLOOKUP($A107,'Data shares'!$C:$FA,78)</f>
        <v>178304000</v>
      </c>
      <c r="O107" s="87">
        <f>VLOOKUP($A107,'Data shares'!$C:$FA,81)</f>
        <v>2.3306</v>
      </c>
    </row>
    <row r="108" spans="1:15" x14ac:dyDescent="0.25">
      <c r="A108" s="100" t="str">
        <f>'Data Vlaue (Cr)'!C103</f>
        <v>JINDALSTEL</v>
      </c>
      <c r="B108" s="82">
        <f>VLOOKUP(A108,'Data shares'!$C$2:$CV$214,98,0)</f>
        <v>14973125</v>
      </c>
      <c r="C108" s="82">
        <f>VLOOKUP(A108,'Data shares'!$C$2:$CX$214,100,0)</f>
        <v>1221875</v>
      </c>
      <c r="D108" s="141">
        <f>VLOOKUP(A108,'Data shares'!$C$2:$CY$537,101,0)</f>
        <v>8.8900000000000007E-2</v>
      </c>
      <c r="E108" s="86">
        <f>VLOOKUP($A108,'Data shares'!$C:$FA,74)</f>
        <v>10323750</v>
      </c>
      <c r="F108" s="86">
        <f>VLOOKUP($A108,'Data shares'!$C:$FA,76)</f>
        <v>33750</v>
      </c>
      <c r="G108" s="87">
        <f>VLOOKUP(A108,'Data shares'!$C$2:$CA$214,77,0)</f>
        <v>3.3E-3</v>
      </c>
      <c r="H108" s="86">
        <f>VLOOKUP($A108,'Data shares'!$C:$FA,90)</f>
        <v>2569375</v>
      </c>
      <c r="I108" s="86">
        <f>VLOOKUP($A108,'Data shares'!$C:$FA,92)</f>
        <v>544375</v>
      </c>
      <c r="J108" s="87">
        <f>VLOOKUP($A108,'Data shares'!$C:$FA,93)</f>
        <v>0.26879999999999998</v>
      </c>
      <c r="K108" s="86">
        <f>VLOOKUP($A108,'Data shares'!$C:$FA,94)</f>
        <v>2080000</v>
      </c>
      <c r="L108" s="86">
        <f>VLOOKUP($A108,'Data shares'!$C:$FA,96)</f>
        <v>643750</v>
      </c>
      <c r="M108" s="87">
        <f>VLOOKUP($A108,'Data shares'!$C:$FA,97)</f>
        <v>0.44819999999999999</v>
      </c>
      <c r="N108" s="86">
        <f>VLOOKUP($A108,'Data shares'!$C:$FA,78)</f>
        <v>10200000</v>
      </c>
      <c r="O108" s="87">
        <f>VLOOKUP($A108,'Data shares'!$C:$FA,81)</f>
        <v>23.177800000000001</v>
      </c>
    </row>
    <row r="109" spans="1:15" x14ac:dyDescent="0.25">
      <c r="A109" s="100" t="str">
        <f>'Data Vlaue (Cr)'!C104</f>
        <v>JIOFIN</v>
      </c>
      <c r="B109" s="82">
        <f>VLOOKUP(A109,'Data shares'!$C$2:$CV$214,98,0)</f>
        <v>260605600</v>
      </c>
      <c r="C109" s="82">
        <f>VLOOKUP(A109,'Data shares'!$C$2:$CX$214,100,0)</f>
        <v>17852950</v>
      </c>
      <c r="D109" s="141">
        <f>VLOOKUP(A109,'Data shares'!$C$2:$CY$537,101,0)</f>
        <v>7.3499999999999996E-2</v>
      </c>
      <c r="E109" s="86">
        <f>VLOOKUP($A109,'Data shares'!$C:$FA,74)</f>
        <v>167376400</v>
      </c>
      <c r="F109" s="86">
        <f>VLOOKUP($A109,'Data shares'!$C:$FA,76)</f>
        <v>2375850</v>
      </c>
      <c r="G109" s="87">
        <f>VLOOKUP(A109,'Data shares'!$C$2:$CA$214,77,0)</f>
        <v>1.44E-2</v>
      </c>
      <c r="H109" s="86">
        <f>VLOOKUP($A109,'Data shares'!$C:$FA,90)</f>
        <v>54360200</v>
      </c>
      <c r="I109" s="86">
        <f>VLOOKUP($A109,'Data shares'!$C:$FA,92)</f>
        <v>12104850</v>
      </c>
      <c r="J109" s="87">
        <f>VLOOKUP($A109,'Data shares'!$C:$FA,93)</f>
        <v>0.28649999999999998</v>
      </c>
      <c r="K109" s="86">
        <f>VLOOKUP($A109,'Data shares'!$C:$FA,94)</f>
        <v>38869000</v>
      </c>
      <c r="L109" s="86">
        <f>VLOOKUP($A109,'Data shares'!$C:$FA,96)</f>
        <v>3372250</v>
      </c>
      <c r="M109" s="87">
        <f>VLOOKUP($A109,'Data shares'!$C:$FA,97)</f>
        <v>9.5000000000000001E-2</v>
      </c>
      <c r="N109" s="86">
        <f>VLOOKUP($A109,'Data shares'!$C:$FA,78)</f>
        <v>159073850</v>
      </c>
      <c r="O109" s="87">
        <f>VLOOKUP($A109,'Data shares'!$C:$FA,81)</f>
        <v>7.5381999999999998</v>
      </c>
    </row>
    <row r="110" spans="1:15" x14ac:dyDescent="0.25">
      <c r="A110" s="100" t="str">
        <f>'Data Vlaue (Cr)'!C105</f>
        <v>JSWENERGY</v>
      </c>
      <c r="B110" s="82">
        <f>VLOOKUP(A110,'Data shares'!$C$2:$CV$214,98,0)</f>
        <v>47700000</v>
      </c>
      <c r="C110" s="82">
        <f>VLOOKUP(A110,'Data shares'!$C$2:$CX$214,100,0)</f>
        <v>902000</v>
      </c>
      <c r="D110" s="141">
        <f>VLOOKUP(A110,'Data shares'!$C$2:$CY$537,101,0)</f>
        <v>1.9300000000000001E-2</v>
      </c>
      <c r="E110" s="86">
        <f>VLOOKUP($A110,'Data shares'!$C:$FA,74)</f>
        <v>34905000</v>
      </c>
      <c r="F110" s="86">
        <f>VLOOKUP($A110,'Data shares'!$C:$FA,76)</f>
        <v>974000</v>
      </c>
      <c r="G110" s="87">
        <f>VLOOKUP(A110,'Data shares'!$C$2:$CA$214,77,0)</f>
        <v>2.87E-2</v>
      </c>
      <c r="H110" s="86">
        <f>VLOOKUP($A110,'Data shares'!$C:$FA,90)</f>
        <v>6470000</v>
      </c>
      <c r="I110" s="86">
        <f>VLOOKUP($A110,'Data shares'!$C:$FA,92)</f>
        <v>188000</v>
      </c>
      <c r="J110" s="87">
        <f>VLOOKUP($A110,'Data shares'!$C:$FA,93)</f>
        <v>2.9899999999999999E-2</v>
      </c>
      <c r="K110" s="86">
        <f>VLOOKUP($A110,'Data shares'!$C:$FA,94)</f>
        <v>6325000</v>
      </c>
      <c r="L110" s="86">
        <f>VLOOKUP($A110,'Data shares'!$C:$FA,96)</f>
        <v>-260000</v>
      </c>
      <c r="M110" s="87">
        <f>VLOOKUP($A110,'Data shares'!$C:$FA,97)</f>
        <v>-3.95E-2</v>
      </c>
      <c r="N110" s="86">
        <f>VLOOKUP($A110,'Data shares'!$C:$FA,78)</f>
        <v>34664000</v>
      </c>
      <c r="O110" s="87">
        <f>VLOOKUP($A110,'Data shares'!$C:$FA,81)</f>
        <v>4.7239000000000004</v>
      </c>
    </row>
    <row r="111" spans="1:15" x14ac:dyDescent="0.25">
      <c r="A111" s="100" t="str">
        <f>'Data Vlaue (Cr)'!C106</f>
        <v>JSWSTEEL</v>
      </c>
      <c r="B111" s="82">
        <f>VLOOKUP(A111,'Data shares'!$C$2:$CV$214,98,0)</f>
        <v>57711825</v>
      </c>
      <c r="C111" s="82">
        <f>VLOOKUP(A111,'Data shares'!$C$2:$CX$214,100,0)</f>
        <v>1335825</v>
      </c>
      <c r="D111" s="141">
        <f>VLOOKUP(A111,'Data shares'!$C$2:$CY$537,101,0)</f>
        <v>2.3699999999999999E-2</v>
      </c>
      <c r="E111" s="86">
        <f>VLOOKUP($A111,'Data shares'!$C:$FA,74)</f>
        <v>50504850</v>
      </c>
      <c r="F111" s="86">
        <f>VLOOKUP($A111,'Data shares'!$C:$FA,76)</f>
        <v>-261900</v>
      </c>
      <c r="G111" s="87">
        <f>VLOOKUP(A111,'Data shares'!$C$2:$CA$214,77,0)</f>
        <v>-5.1999999999999998E-3</v>
      </c>
      <c r="H111" s="86">
        <f>VLOOKUP($A111,'Data shares'!$C:$FA,90)</f>
        <v>4301775</v>
      </c>
      <c r="I111" s="86">
        <f>VLOOKUP($A111,'Data shares'!$C:$FA,92)</f>
        <v>1068525</v>
      </c>
      <c r="J111" s="87">
        <f>VLOOKUP($A111,'Data shares'!$C:$FA,93)</f>
        <v>0.33050000000000002</v>
      </c>
      <c r="K111" s="86">
        <f>VLOOKUP($A111,'Data shares'!$C:$FA,94)</f>
        <v>2905200</v>
      </c>
      <c r="L111" s="86">
        <f>VLOOKUP($A111,'Data shares'!$C:$FA,96)</f>
        <v>529200</v>
      </c>
      <c r="M111" s="87">
        <f>VLOOKUP($A111,'Data shares'!$C:$FA,97)</f>
        <v>0.22270000000000001</v>
      </c>
      <c r="N111" s="86">
        <f>VLOOKUP($A111,'Data shares'!$C:$FA,78)</f>
        <v>50195025</v>
      </c>
      <c r="O111" s="87">
        <f>VLOOKUP($A111,'Data shares'!$C:$FA,81)</f>
        <v>33.443300000000001</v>
      </c>
    </row>
    <row r="112" spans="1:15" x14ac:dyDescent="0.25">
      <c r="A112" s="100" t="str">
        <f>'Data Vlaue (Cr)'!C107</f>
        <v>JUBLFOOD</v>
      </c>
      <c r="B112" s="82">
        <f>VLOOKUP(A112,'Data shares'!$C$2:$CV$214,98,0)</f>
        <v>31161250</v>
      </c>
      <c r="C112" s="82">
        <f>VLOOKUP(A112,'Data shares'!$C$2:$CX$214,100,0)</f>
        <v>1442500</v>
      </c>
      <c r="D112" s="141">
        <f>VLOOKUP(A112,'Data shares'!$C$2:$CY$537,101,0)</f>
        <v>4.8500000000000001E-2</v>
      </c>
      <c r="E112" s="86">
        <f>VLOOKUP($A112,'Data shares'!$C:$FA,74)</f>
        <v>23688750</v>
      </c>
      <c r="F112" s="86">
        <f>VLOOKUP($A112,'Data shares'!$C:$FA,76)</f>
        <v>203750</v>
      </c>
      <c r="G112" s="87">
        <f>VLOOKUP(A112,'Data shares'!$C$2:$CA$214,77,0)</f>
        <v>8.6999999999999994E-3</v>
      </c>
      <c r="H112" s="86">
        <f>VLOOKUP($A112,'Data shares'!$C:$FA,90)</f>
        <v>4427500</v>
      </c>
      <c r="I112" s="86">
        <f>VLOOKUP($A112,'Data shares'!$C:$FA,92)</f>
        <v>892500</v>
      </c>
      <c r="J112" s="87">
        <f>VLOOKUP($A112,'Data shares'!$C:$FA,93)</f>
        <v>0.2525</v>
      </c>
      <c r="K112" s="86">
        <f>VLOOKUP($A112,'Data shares'!$C:$FA,94)</f>
        <v>3045000</v>
      </c>
      <c r="L112" s="86">
        <f>VLOOKUP($A112,'Data shares'!$C:$FA,96)</f>
        <v>346250</v>
      </c>
      <c r="M112" s="87">
        <f>VLOOKUP($A112,'Data shares'!$C:$FA,97)</f>
        <v>0.1283</v>
      </c>
      <c r="N112" s="86">
        <f>VLOOKUP($A112,'Data shares'!$C:$FA,78)</f>
        <v>22697500</v>
      </c>
      <c r="O112" s="87">
        <f>VLOOKUP($A112,'Data shares'!$C:$FA,81)</f>
        <v>14.8309</v>
      </c>
    </row>
    <row r="113" spans="1:15" x14ac:dyDescent="0.25">
      <c r="A113" s="100" t="str">
        <f>'Data Vlaue (Cr)'!C108</f>
        <v>KALYANKJIL</v>
      </c>
      <c r="B113" s="82">
        <f>VLOOKUP(A113,'Data shares'!$C$2:$CV$214,98,0)</f>
        <v>55457650</v>
      </c>
      <c r="C113" s="82">
        <f>VLOOKUP(A113,'Data shares'!$C$2:$CX$214,100,0)</f>
        <v>2185500</v>
      </c>
      <c r="D113" s="141">
        <f>VLOOKUP(A113,'Data shares'!$C$2:$CY$537,101,0)</f>
        <v>4.1000000000000002E-2</v>
      </c>
      <c r="E113" s="86">
        <f>VLOOKUP($A113,'Data shares'!$C:$FA,74)</f>
        <v>30378450</v>
      </c>
      <c r="F113" s="86">
        <f>VLOOKUP($A113,'Data shares'!$C:$FA,76)</f>
        <v>519350</v>
      </c>
      <c r="G113" s="87">
        <f>VLOOKUP(A113,'Data shares'!$C$2:$CA$214,77,0)</f>
        <v>1.7399999999999999E-2</v>
      </c>
      <c r="H113" s="86">
        <f>VLOOKUP($A113,'Data shares'!$C:$FA,90)</f>
        <v>14453675</v>
      </c>
      <c r="I113" s="86">
        <f>VLOOKUP($A113,'Data shares'!$C:$FA,92)</f>
        <v>1529850</v>
      </c>
      <c r="J113" s="87">
        <f>VLOOKUP($A113,'Data shares'!$C:$FA,93)</f>
        <v>0.11840000000000001</v>
      </c>
      <c r="K113" s="86">
        <f>VLOOKUP($A113,'Data shares'!$C:$FA,94)</f>
        <v>10625525</v>
      </c>
      <c r="L113" s="86">
        <f>VLOOKUP($A113,'Data shares'!$C:$FA,96)</f>
        <v>136300</v>
      </c>
      <c r="M113" s="87">
        <f>VLOOKUP($A113,'Data shares'!$C:$FA,97)</f>
        <v>1.2999999999999999E-2</v>
      </c>
      <c r="N113" s="86">
        <f>VLOOKUP($A113,'Data shares'!$C:$FA,78)</f>
        <v>29436100</v>
      </c>
      <c r="O113" s="87">
        <f>VLOOKUP($A113,'Data shares'!$C:$FA,81)</f>
        <v>17.2196</v>
      </c>
    </row>
    <row r="114" spans="1:15" x14ac:dyDescent="0.25">
      <c r="A114" s="100" t="str">
        <f>'Data Vlaue (Cr)'!C109</f>
        <v>KAYNES</v>
      </c>
      <c r="B114" s="82">
        <f>VLOOKUP(A114,'Data shares'!$C$2:$CV$214,98,0)</f>
        <v>4953700</v>
      </c>
      <c r="C114" s="82">
        <f>VLOOKUP(A114,'Data shares'!$C$2:$CX$214,100,0)</f>
        <v>251900</v>
      </c>
      <c r="D114" s="141">
        <f>VLOOKUP(A114,'Data shares'!$C$2:$CY$537,101,0)</f>
        <v>5.3600000000000002E-2</v>
      </c>
      <c r="E114" s="86">
        <f>VLOOKUP($A114,'Data shares'!$C:$FA,74)</f>
        <v>3425100</v>
      </c>
      <c r="F114" s="86">
        <f>VLOOKUP($A114,'Data shares'!$C:$FA,76)</f>
        <v>45000</v>
      </c>
      <c r="G114" s="87">
        <f>VLOOKUP(A114,'Data shares'!$C$2:$CA$214,77,0)</f>
        <v>1.3299999999999999E-2</v>
      </c>
      <c r="H114" s="86">
        <f>VLOOKUP($A114,'Data shares'!$C:$FA,90)</f>
        <v>808300</v>
      </c>
      <c r="I114" s="86">
        <f>VLOOKUP($A114,'Data shares'!$C:$FA,92)</f>
        <v>109400</v>
      </c>
      <c r="J114" s="87">
        <f>VLOOKUP($A114,'Data shares'!$C:$FA,93)</f>
        <v>0.1565</v>
      </c>
      <c r="K114" s="86">
        <f>VLOOKUP($A114,'Data shares'!$C:$FA,94)</f>
        <v>720300</v>
      </c>
      <c r="L114" s="86">
        <f>VLOOKUP($A114,'Data shares'!$C:$FA,96)</f>
        <v>97500</v>
      </c>
      <c r="M114" s="87">
        <f>VLOOKUP($A114,'Data shares'!$C:$FA,97)</f>
        <v>0.15659999999999999</v>
      </c>
      <c r="N114" s="86">
        <f>VLOOKUP($A114,'Data shares'!$C:$FA,78)</f>
        <v>3243300</v>
      </c>
      <c r="O114" s="87">
        <f>VLOOKUP($A114,'Data shares'!$C:$FA,81)</f>
        <v>7.6835000000000004</v>
      </c>
    </row>
    <row r="115" spans="1:15" x14ac:dyDescent="0.25">
      <c r="A115" s="100" t="str">
        <f>'Data Vlaue (Cr)'!C110</f>
        <v>KEI</v>
      </c>
      <c r="B115" s="82">
        <f>VLOOKUP(A115,'Data shares'!$C$2:$CV$214,98,0)</f>
        <v>1549975</v>
      </c>
      <c r="C115" s="82">
        <f>VLOOKUP(A115,'Data shares'!$C$2:$CX$214,100,0)</f>
        <v>58800</v>
      </c>
      <c r="D115" s="141">
        <f>VLOOKUP(A115,'Data shares'!$C$2:$CY$537,101,0)</f>
        <v>3.9399999999999998E-2</v>
      </c>
      <c r="E115" s="86">
        <f>VLOOKUP($A115,'Data shares'!$C:$FA,74)</f>
        <v>1128050</v>
      </c>
      <c r="F115" s="86">
        <f>VLOOKUP($A115,'Data shares'!$C:$FA,76)</f>
        <v>23450</v>
      </c>
      <c r="G115" s="87">
        <f>VLOOKUP(A115,'Data shares'!$C$2:$CA$214,77,0)</f>
        <v>2.12E-2</v>
      </c>
      <c r="H115" s="86">
        <f>VLOOKUP($A115,'Data shares'!$C:$FA,90)</f>
        <v>223825</v>
      </c>
      <c r="I115" s="86">
        <f>VLOOKUP($A115,'Data shares'!$C:$FA,92)</f>
        <v>4725</v>
      </c>
      <c r="J115" s="87">
        <f>VLOOKUP($A115,'Data shares'!$C:$FA,93)</f>
        <v>2.1600000000000001E-2</v>
      </c>
      <c r="K115" s="86">
        <f>VLOOKUP($A115,'Data shares'!$C:$FA,94)</f>
        <v>198100</v>
      </c>
      <c r="L115" s="86">
        <f>VLOOKUP($A115,'Data shares'!$C:$FA,96)</f>
        <v>30625</v>
      </c>
      <c r="M115" s="87">
        <f>VLOOKUP($A115,'Data shares'!$C:$FA,97)</f>
        <v>0.18290000000000001</v>
      </c>
      <c r="N115" s="86">
        <f>VLOOKUP($A115,'Data shares'!$C:$FA,78)</f>
        <v>1113000</v>
      </c>
      <c r="O115" s="87">
        <f>VLOOKUP($A115,'Data shares'!$C:$FA,81)</f>
        <v>5.3220999999999998</v>
      </c>
    </row>
    <row r="116" spans="1:15" x14ac:dyDescent="0.25">
      <c r="A116" s="100" t="str">
        <f>'Data Vlaue (Cr)'!C111</f>
        <v>KFINTECH</v>
      </c>
      <c r="B116" s="82">
        <f>VLOOKUP(A116,'Data shares'!$C$2:$CV$214,98,0)</f>
        <v>6685000</v>
      </c>
      <c r="C116" s="82">
        <f>VLOOKUP(A116,'Data shares'!$C$2:$CX$214,100,0)</f>
        <v>109000</v>
      </c>
      <c r="D116" s="141">
        <f>VLOOKUP(A116,'Data shares'!$C$2:$CY$537,101,0)</f>
        <v>1.66E-2</v>
      </c>
      <c r="E116" s="86">
        <f>VLOOKUP($A116,'Data shares'!$C:$FA,74)</f>
        <v>5544000</v>
      </c>
      <c r="F116" s="86">
        <f>VLOOKUP($A116,'Data shares'!$C:$FA,76)</f>
        <v>-29500</v>
      </c>
      <c r="G116" s="87">
        <f>VLOOKUP(A116,'Data shares'!$C$2:$CA$214,77,0)</f>
        <v>-5.3E-3</v>
      </c>
      <c r="H116" s="86">
        <f>VLOOKUP($A116,'Data shares'!$C:$FA,90)</f>
        <v>570000</v>
      </c>
      <c r="I116" s="86">
        <f>VLOOKUP($A116,'Data shares'!$C:$FA,92)</f>
        <v>93000</v>
      </c>
      <c r="J116" s="87">
        <f>VLOOKUP($A116,'Data shares'!$C:$FA,93)</f>
        <v>0.19500000000000001</v>
      </c>
      <c r="K116" s="86">
        <f>VLOOKUP($A116,'Data shares'!$C:$FA,94)</f>
        <v>571000</v>
      </c>
      <c r="L116" s="86">
        <f>VLOOKUP($A116,'Data shares'!$C:$FA,96)</f>
        <v>45500</v>
      </c>
      <c r="M116" s="87">
        <f>VLOOKUP($A116,'Data shares'!$C:$FA,97)</f>
        <v>8.6599999999999996E-2</v>
      </c>
      <c r="N116" s="86">
        <f>VLOOKUP($A116,'Data shares'!$C:$FA,78)</f>
        <v>5277000</v>
      </c>
      <c r="O116" s="87">
        <f>VLOOKUP($A116,'Data shares'!$C:$FA,81)</f>
        <v>27.994499999999999</v>
      </c>
    </row>
    <row r="117" spans="1:15" x14ac:dyDescent="0.25">
      <c r="A117" s="100" t="str">
        <f>'Data Vlaue (Cr)'!C112</f>
        <v>KOTAKBANK</v>
      </c>
      <c r="B117" s="82">
        <f>VLOOKUP(A117,'Data shares'!$C$2:$CV$214,98,0)</f>
        <v>236018000</v>
      </c>
      <c r="C117" s="82">
        <f>VLOOKUP(A117,'Data shares'!$C$2:$CX$214,100,0)</f>
        <v>6296000</v>
      </c>
      <c r="D117" s="141">
        <f>VLOOKUP(A117,'Data shares'!$C$2:$CY$537,101,0)</f>
        <v>2.7400000000000001E-2</v>
      </c>
      <c r="E117" s="86">
        <f>VLOOKUP($A117,'Data shares'!$C:$FA,74)</f>
        <v>197358000</v>
      </c>
      <c r="F117" s="86">
        <f>VLOOKUP($A117,'Data shares'!$C:$FA,76)</f>
        <v>-1348000</v>
      </c>
      <c r="G117" s="87">
        <f>VLOOKUP(A117,'Data shares'!$C$2:$CA$214,77,0)</f>
        <v>-6.7999999999999996E-3</v>
      </c>
      <c r="H117" s="86">
        <f>VLOOKUP($A117,'Data shares'!$C:$FA,90)</f>
        <v>19984000</v>
      </c>
      <c r="I117" s="86">
        <f>VLOOKUP($A117,'Data shares'!$C:$FA,92)</f>
        <v>5204000</v>
      </c>
      <c r="J117" s="87">
        <f>VLOOKUP($A117,'Data shares'!$C:$FA,93)</f>
        <v>0.35210000000000002</v>
      </c>
      <c r="K117" s="86">
        <f>VLOOKUP($A117,'Data shares'!$C:$FA,94)</f>
        <v>18676000</v>
      </c>
      <c r="L117" s="86">
        <f>VLOOKUP($A117,'Data shares'!$C:$FA,96)</f>
        <v>2440000</v>
      </c>
      <c r="M117" s="87">
        <f>VLOOKUP($A117,'Data shares'!$C:$FA,97)</f>
        <v>0.15029999999999999</v>
      </c>
      <c r="N117" s="86">
        <f>VLOOKUP($A117,'Data shares'!$C:$FA,78)</f>
        <v>185728000</v>
      </c>
      <c r="O117" s="87">
        <f>VLOOKUP($A117,'Data shares'!$C:$FA,81)</f>
        <v>17.233699999999999</v>
      </c>
    </row>
    <row r="118" spans="1:15" x14ac:dyDescent="0.25">
      <c r="A118" s="100" t="str">
        <f>'Data Vlaue (Cr)'!C113</f>
        <v>KPITTECH</v>
      </c>
      <c r="B118" s="82">
        <f>VLOOKUP(A118,'Data shares'!$C$2:$CV$214,98,0)</f>
        <v>5490150</v>
      </c>
      <c r="C118" s="82">
        <f>VLOOKUP(A118,'Data shares'!$C$2:$CX$214,100,0)</f>
        <v>507025</v>
      </c>
      <c r="D118" s="141">
        <f>VLOOKUP(A118,'Data shares'!$C$2:$CY$537,101,0)</f>
        <v>0.1017</v>
      </c>
      <c r="E118" s="86">
        <f>VLOOKUP($A118,'Data shares'!$C:$FA,74)</f>
        <v>3870050</v>
      </c>
      <c r="F118" s="86">
        <f>VLOOKUP($A118,'Data shares'!$C:$FA,76)</f>
        <v>62050</v>
      </c>
      <c r="G118" s="87">
        <f>VLOOKUP(A118,'Data shares'!$C$2:$CA$214,77,0)</f>
        <v>1.6299999999999999E-2</v>
      </c>
      <c r="H118" s="86">
        <f>VLOOKUP($A118,'Data shares'!$C:$FA,90)</f>
        <v>847025</v>
      </c>
      <c r="I118" s="86">
        <f>VLOOKUP($A118,'Data shares'!$C:$FA,92)</f>
        <v>295800</v>
      </c>
      <c r="J118" s="87">
        <f>VLOOKUP($A118,'Data shares'!$C:$FA,93)</f>
        <v>0.53659999999999997</v>
      </c>
      <c r="K118" s="86">
        <f>VLOOKUP($A118,'Data shares'!$C:$FA,94)</f>
        <v>773075</v>
      </c>
      <c r="L118" s="86">
        <f>VLOOKUP($A118,'Data shares'!$C:$FA,96)</f>
        <v>149175</v>
      </c>
      <c r="M118" s="87">
        <f>VLOOKUP($A118,'Data shares'!$C:$FA,97)</f>
        <v>0.23910000000000001</v>
      </c>
      <c r="N118" s="86">
        <f>VLOOKUP($A118,'Data shares'!$C:$FA,78)</f>
        <v>3739150</v>
      </c>
      <c r="O118" s="87">
        <f>VLOOKUP($A118,'Data shares'!$C:$FA,81)</f>
        <v>10.323</v>
      </c>
    </row>
    <row r="119" spans="1:15" x14ac:dyDescent="0.25">
      <c r="A119" s="100" t="str">
        <f>'Data Vlaue (Cr)'!C114</f>
        <v>LAURUSLABS</v>
      </c>
      <c r="B119" s="82">
        <f>VLOOKUP(A119,'Data shares'!$C$2:$CV$214,98,0)</f>
        <v>30712200</v>
      </c>
      <c r="C119" s="82">
        <f>VLOOKUP(A119,'Data shares'!$C$2:$CX$214,100,0)</f>
        <v>2316250</v>
      </c>
      <c r="D119" s="141">
        <f>VLOOKUP(A119,'Data shares'!$C$2:$CY$537,101,0)</f>
        <v>8.1600000000000006E-2</v>
      </c>
      <c r="E119" s="86">
        <f>VLOOKUP($A119,'Data shares'!$C:$FA,74)</f>
        <v>19465850</v>
      </c>
      <c r="F119" s="86">
        <f>VLOOKUP($A119,'Data shares'!$C:$FA,76)</f>
        <v>538050</v>
      </c>
      <c r="G119" s="87">
        <f>VLOOKUP(A119,'Data shares'!$C$2:$CA$214,77,0)</f>
        <v>2.8400000000000002E-2</v>
      </c>
      <c r="H119" s="86">
        <f>VLOOKUP($A119,'Data shares'!$C:$FA,90)</f>
        <v>6978500</v>
      </c>
      <c r="I119" s="86">
        <f>VLOOKUP($A119,'Data shares'!$C:$FA,92)</f>
        <v>1111800</v>
      </c>
      <c r="J119" s="87">
        <f>VLOOKUP($A119,'Data shares'!$C:$FA,93)</f>
        <v>0.1895</v>
      </c>
      <c r="K119" s="86">
        <f>VLOOKUP($A119,'Data shares'!$C:$FA,94)</f>
        <v>4267850</v>
      </c>
      <c r="L119" s="86">
        <f>VLOOKUP($A119,'Data shares'!$C:$FA,96)</f>
        <v>666400</v>
      </c>
      <c r="M119" s="87">
        <f>VLOOKUP($A119,'Data shares'!$C:$FA,97)</f>
        <v>0.185</v>
      </c>
      <c r="N119" s="86">
        <f>VLOOKUP($A119,'Data shares'!$C:$FA,78)</f>
        <v>19171750</v>
      </c>
      <c r="O119" s="87">
        <f>VLOOKUP($A119,'Data shares'!$C:$FA,81)</f>
        <v>12.167</v>
      </c>
    </row>
    <row r="120" spans="1:15" x14ac:dyDescent="0.25">
      <c r="A120" s="100" t="str">
        <f>'Data Vlaue (Cr)'!C115</f>
        <v>LICHSGFIN</v>
      </c>
      <c r="B120" s="82">
        <f>VLOOKUP(A120,'Data shares'!$C$2:$CV$214,98,0)</f>
        <v>42423000</v>
      </c>
      <c r="C120" s="82">
        <f>VLOOKUP(A120,'Data shares'!$C$2:$CX$214,100,0)</f>
        <v>1325000</v>
      </c>
      <c r="D120" s="141">
        <f>VLOOKUP(A120,'Data shares'!$C$2:$CY$537,101,0)</f>
        <v>3.2199999999999999E-2</v>
      </c>
      <c r="E120" s="86">
        <f>VLOOKUP($A120,'Data shares'!$C:$FA,74)</f>
        <v>30346000</v>
      </c>
      <c r="F120" s="86">
        <f>VLOOKUP($A120,'Data shares'!$C:$FA,76)</f>
        <v>156000</v>
      </c>
      <c r="G120" s="87">
        <f>VLOOKUP(A120,'Data shares'!$C$2:$CA$214,77,0)</f>
        <v>5.1999999999999998E-3</v>
      </c>
      <c r="H120" s="86">
        <f>VLOOKUP($A120,'Data shares'!$C:$FA,90)</f>
        <v>5864000</v>
      </c>
      <c r="I120" s="86">
        <f>VLOOKUP($A120,'Data shares'!$C:$FA,92)</f>
        <v>708000</v>
      </c>
      <c r="J120" s="87">
        <f>VLOOKUP($A120,'Data shares'!$C:$FA,93)</f>
        <v>0.13730000000000001</v>
      </c>
      <c r="K120" s="86">
        <f>VLOOKUP($A120,'Data shares'!$C:$FA,94)</f>
        <v>6213000</v>
      </c>
      <c r="L120" s="86">
        <f>VLOOKUP($A120,'Data shares'!$C:$FA,96)</f>
        <v>461000</v>
      </c>
      <c r="M120" s="87">
        <f>VLOOKUP($A120,'Data shares'!$C:$FA,97)</f>
        <v>8.0100000000000005E-2</v>
      </c>
      <c r="N120" s="86">
        <f>VLOOKUP($A120,'Data shares'!$C:$FA,78)</f>
        <v>29859000</v>
      </c>
      <c r="O120" s="87">
        <f>VLOOKUP($A120,'Data shares'!$C:$FA,81)</f>
        <v>9.7794000000000008</v>
      </c>
    </row>
    <row r="121" spans="1:15" x14ac:dyDescent="0.25">
      <c r="A121" s="100" t="str">
        <f>'Data Vlaue (Cr)'!C116</f>
        <v>LICI</v>
      </c>
      <c r="B121" s="82">
        <f>VLOOKUP(A121,'Data shares'!$C$2:$CV$214,98,0)</f>
        <v>15231300</v>
      </c>
      <c r="C121" s="82">
        <f>VLOOKUP(A121,'Data shares'!$C$2:$CX$214,100,0)</f>
        <v>868700</v>
      </c>
      <c r="D121" s="141">
        <f>VLOOKUP(A121,'Data shares'!$C$2:$CY$537,101,0)</f>
        <v>6.0499999999999998E-2</v>
      </c>
      <c r="E121" s="86">
        <f>VLOOKUP($A121,'Data shares'!$C:$FA,74)</f>
        <v>10238900</v>
      </c>
      <c r="F121" s="86">
        <f>VLOOKUP($A121,'Data shares'!$C:$FA,76)</f>
        <v>58100</v>
      </c>
      <c r="G121" s="87">
        <f>VLOOKUP(A121,'Data shares'!$C$2:$CA$214,77,0)</f>
        <v>5.7000000000000002E-3</v>
      </c>
      <c r="H121" s="86">
        <f>VLOOKUP($A121,'Data shares'!$C:$FA,90)</f>
        <v>2650900</v>
      </c>
      <c r="I121" s="86">
        <f>VLOOKUP($A121,'Data shares'!$C:$FA,92)</f>
        <v>479500</v>
      </c>
      <c r="J121" s="87">
        <f>VLOOKUP($A121,'Data shares'!$C:$FA,93)</f>
        <v>0.2208</v>
      </c>
      <c r="K121" s="86">
        <f>VLOOKUP($A121,'Data shares'!$C:$FA,94)</f>
        <v>2341500</v>
      </c>
      <c r="L121" s="86">
        <f>VLOOKUP($A121,'Data shares'!$C:$FA,96)</f>
        <v>331100</v>
      </c>
      <c r="M121" s="87">
        <f>VLOOKUP($A121,'Data shares'!$C:$FA,97)</f>
        <v>0.16470000000000001</v>
      </c>
      <c r="N121" s="86">
        <f>VLOOKUP($A121,'Data shares'!$C:$FA,78)</f>
        <v>9883300</v>
      </c>
      <c r="O121" s="87">
        <f>VLOOKUP($A121,'Data shares'!$C:$FA,81)</f>
        <v>7.4596</v>
      </c>
    </row>
    <row r="122" spans="1:15" x14ac:dyDescent="0.25">
      <c r="A122" s="100" t="str">
        <f>'Data Vlaue (Cr)'!C117</f>
        <v>LODHA</v>
      </c>
      <c r="B122" s="82">
        <f>VLOOKUP(A122,'Data shares'!$C$2:$CV$214,98,0)</f>
        <v>16369650</v>
      </c>
      <c r="C122" s="82">
        <f>VLOOKUP(A122,'Data shares'!$C$2:$CX$214,100,0)</f>
        <v>1543500</v>
      </c>
      <c r="D122" s="141">
        <f>VLOOKUP(A122,'Data shares'!$C$2:$CY$537,101,0)</f>
        <v>0.1041</v>
      </c>
      <c r="E122" s="86">
        <f>VLOOKUP($A122,'Data shares'!$C:$FA,74)</f>
        <v>12281400</v>
      </c>
      <c r="F122" s="86">
        <f>VLOOKUP($A122,'Data shares'!$C:$FA,76)</f>
        <v>-22500</v>
      </c>
      <c r="G122" s="87">
        <f>VLOOKUP(A122,'Data shares'!$C$2:$CA$214,77,0)</f>
        <v>-1.8E-3</v>
      </c>
      <c r="H122" s="86">
        <f>VLOOKUP($A122,'Data shares'!$C:$FA,90)</f>
        <v>2057400</v>
      </c>
      <c r="I122" s="86">
        <f>VLOOKUP($A122,'Data shares'!$C:$FA,92)</f>
        <v>832950</v>
      </c>
      <c r="J122" s="87">
        <f>VLOOKUP($A122,'Data shares'!$C:$FA,93)</f>
        <v>0.68030000000000002</v>
      </c>
      <c r="K122" s="86">
        <f>VLOOKUP($A122,'Data shares'!$C:$FA,94)</f>
        <v>2030850</v>
      </c>
      <c r="L122" s="86">
        <f>VLOOKUP($A122,'Data shares'!$C:$FA,96)</f>
        <v>733050</v>
      </c>
      <c r="M122" s="87">
        <f>VLOOKUP($A122,'Data shares'!$C:$FA,97)</f>
        <v>0.56479999999999997</v>
      </c>
      <c r="N122" s="86">
        <f>VLOOKUP($A122,'Data shares'!$C:$FA,78)</f>
        <v>12034800</v>
      </c>
      <c r="O122" s="87">
        <f>VLOOKUP($A122,'Data shares'!$C:$FA,81)</f>
        <v>29.390899999999998</v>
      </c>
    </row>
    <row r="123" spans="1:15" x14ac:dyDescent="0.25">
      <c r="A123" s="100" t="str">
        <f>'Data Vlaue (Cr)'!C118</f>
        <v>LT</v>
      </c>
      <c r="B123" s="82">
        <f>VLOOKUP(A123,'Data shares'!$C$2:$CV$214,98,0)</f>
        <v>22885800</v>
      </c>
      <c r="C123" s="82">
        <f>VLOOKUP(A123,'Data shares'!$C$2:$CX$214,100,0)</f>
        <v>3593275</v>
      </c>
      <c r="D123" s="141">
        <f>VLOOKUP(A123,'Data shares'!$C$2:$CY$537,101,0)</f>
        <v>0.18629999999999999</v>
      </c>
      <c r="E123" s="86">
        <f>VLOOKUP($A123,'Data shares'!$C:$FA,74)</f>
        <v>15977850</v>
      </c>
      <c r="F123" s="86">
        <f>VLOOKUP($A123,'Data shares'!$C:$FA,76)</f>
        <v>640150</v>
      </c>
      <c r="G123" s="87">
        <f>VLOOKUP(A123,'Data shares'!$C$2:$CA$214,77,0)</f>
        <v>4.1700000000000001E-2</v>
      </c>
      <c r="H123" s="86">
        <f>VLOOKUP($A123,'Data shares'!$C:$FA,90)</f>
        <v>3973725</v>
      </c>
      <c r="I123" s="86">
        <f>VLOOKUP($A123,'Data shares'!$C:$FA,92)</f>
        <v>1924650</v>
      </c>
      <c r="J123" s="87">
        <f>VLOOKUP($A123,'Data shares'!$C:$FA,93)</f>
        <v>0.93930000000000002</v>
      </c>
      <c r="K123" s="86">
        <f>VLOOKUP($A123,'Data shares'!$C:$FA,94)</f>
        <v>2934225</v>
      </c>
      <c r="L123" s="86">
        <f>VLOOKUP($A123,'Data shares'!$C:$FA,96)</f>
        <v>1028475</v>
      </c>
      <c r="M123" s="87">
        <f>VLOOKUP($A123,'Data shares'!$C:$FA,97)</f>
        <v>0.53969999999999996</v>
      </c>
      <c r="N123" s="86">
        <f>VLOOKUP($A123,'Data shares'!$C:$FA,78)</f>
        <v>14831600</v>
      </c>
      <c r="O123" s="87">
        <f>VLOOKUP($A123,'Data shares'!$C:$FA,81)</f>
        <v>12.891500000000001</v>
      </c>
    </row>
    <row r="124" spans="1:15" x14ac:dyDescent="0.25">
      <c r="A124" s="100" t="str">
        <f>'Data Vlaue (Cr)'!C119</f>
        <v>LTF</v>
      </c>
      <c r="B124" s="82">
        <f>VLOOKUP(A124,'Data shares'!$C$2:$CV$214,98,0)</f>
        <v>76038750</v>
      </c>
      <c r="C124" s="82">
        <f>VLOOKUP(A124,'Data shares'!$C$2:$CX$214,100,0)</f>
        <v>3033000</v>
      </c>
      <c r="D124" s="141">
        <f>VLOOKUP(A124,'Data shares'!$C$2:$CY$537,101,0)</f>
        <v>4.1500000000000002E-2</v>
      </c>
      <c r="E124" s="86">
        <f>VLOOKUP($A124,'Data shares'!$C:$FA,74)</f>
        <v>45306000</v>
      </c>
      <c r="F124" s="86">
        <f>VLOOKUP($A124,'Data shares'!$C:$FA,76)</f>
        <v>139500</v>
      </c>
      <c r="G124" s="87">
        <f>VLOOKUP(A124,'Data shares'!$C$2:$CA$214,77,0)</f>
        <v>3.0999999999999999E-3</v>
      </c>
      <c r="H124" s="86">
        <f>VLOOKUP($A124,'Data shares'!$C:$FA,90)</f>
        <v>17754750</v>
      </c>
      <c r="I124" s="86">
        <f>VLOOKUP($A124,'Data shares'!$C:$FA,92)</f>
        <v>1847250</v>
      </c>
      <c r="J124" s="87">
        <f>VLOOKUP($A124,'Data shares'!$C:$FA,93)</f>
        <v>0.11609999999999999</v>
      </c>
      <c r="K124" s="86">
        <f>VLOOKUP($A124,'Data shares'!$C:$FA,94)</f>
        <v>12978000</v>
      </c>
      <c r="L124" s="86">
        <f>VLOOKUP($A124,'Data shares'!$C:$FA,96)</f>
        <v>1046250</v>
      </c>
      <c r="M124" s="87">
        <f>VLOOKUP($A124,'Data shares'!$C:$FA,97)</f>
        <v>8.77E-2</v>
      </c>
      <c r="N124" s="86">
        <f>VLOOKUP($A124,'Data shares'!$C:$FA,78)</f>
        <v>43969500</v>
      </c>
      <c r="O124" s="87">
        <f>VLOOKUP($A124,'Data shares'!$C:$FA,81)</f>
        <v>7.4305000000000003</v>
      </c>
    </row>
    <row r="125" spans="1:15" x14ac:dyDescent="0.25">
      <c r="A125" s="100" t="str">
        <f>'Data Vlaue (Cr)'!C120</f>
        <v>LTIM</v>
      </c>
      <c r="B125" s="82">
        <f>VLOOKUP(A125,'Data shares'!$C$2:$CV$214,98,0)</f>
        <v>3135300</v>
      </c>
      <c r="C125" s="82">
        <f>VLOOKUP(A125,'Data shares'!$C$2:$CX$214,100,0)</f>
        <v>101700</v>
      </c>
      <c r="D125" s="141">
        <f>VLOOKUP(A125,'Data shares'!$C$2:$CY$537,101,0)</f>
        <v>3.3500000000000002E-2</v>
      </c>
      <c r="E125" s="86">
        <f>VLOOKUP($A125,'Data shares'!$C:$FA,74)</f>
        <v>2438700</v>
      </c>
      <c r="F125" s="86">
        <f>VLOOKUP($A125,'Data shares'!$C:$FA,76)</f>
        <v>8100</v>
      </c>
      <c r="G125" s="87">
        <f>VLOOKUP(A125,'Data shares'!$C$2:$CA$214,77,0)</f>
        <v>3.3E-3</v>
      </c>
      <c r="H125" s="86">
        <f>VLOOKUP($A125,'Data shares'!$C:$FA,90)</f>
        <v>400650</v>
      </c>
      <c r="I125" s="86">
        <f>VLOOKUP($A125,'Data shares'!$C:$FA,92)</f>
        <v>44550</v>
      </c>
      <c r="J125" s="87">
        <f>VLOOKUP($A125,'Data shares'!$C:$FA,93)</f>
        <v>0.12509999999999999</v>
      </c>
      <c r="K125" s="86">
        <f>VLOOKUP($A125,'Data shares'!$C:$FA,94)</f>
        <v>295950</v>
      </c>
      <c r="L125" s="86">
        <f>VLOOKUP($A125,'Data shares'!$C:$FA,96)</f>
        <v>49050</v>
      </c>
      <c r="M125" s="87">
        <f>VLOOKUP($A125,'Data shares'!$C:$FA,97)</f>
        <v>0.19869999999999999</v>
      </c>
      <c r="N125" s="86">
        <f>VLOOKUP($A125,'Data shares'!$C:$FA,78)</f>
        <v>2425050</v>
      </c>
      <c r="O125" s="87">
        <f>VLOOKUP($A125,'Data shares'!$C:$FA,81)</f>
        <v>12.394399999999999</v>
      </c>
    </row>
    <row r="126" spans="1:15" x14ac:dyDescent="0.25">
      <c r="A126" s="100" t="str">
        <f>'Data Vlaue (Cr)'!C121</f>
        <v>LUPIN</v>
      </c>
      <c r="B126" s="82">
        <f>VLOOKUP(A126,'Data shares'!$C$2:$CV$214,98,0)</f>
        <v>8199525</v>
      </c>
      <c r="C126" s="82">
        <f>VLOOKUP(A126,'Data shares'!$C$2:$CX$214,100,0)</f>
        <v>561425</v>
      </c>
      <c r="D126" s="141">
        <f>VLOOKUP(A126,'Data shares'!$C$2:$CY$537,101,0)</f>
        <v>7.3499999999999996E-2</v>
      </c>
      <c r="E126" s="86">
        <f>VLOOKUP($A126,'Data shares'!$C:$FA,74)</f>
        <v>6393700</v>
      </c>
      <c r="F126" s="86">
        <f>VLOOKUP($A126,'Data shares'!$C:$FA,76)</f>
        <v>-90525</v>
      </c>
      <c r="G126" s="87">
        <f>VLOOKUP(A126,'Data shares'!$C$2:$CA$214,77,0)</f>
        <v>-1.4E-2</v>
      </c>
      <c r="H126" s="86">
        <f>VLOOKUP($A126,'Data shares'!$C:$FA,90)</f>
        <v>1108825</v>
      </c>
      <c r="I126" s="86">
        <f>VLOOKUP($A126,'Data shares'!$C:$FA,92)</f>
        <v>417350</v>
      </c>
      <c r="J126" s="87">
        <f>VLOOKUP($A126,'Data shares'!$C:$FA,93)</f>
        <v>0.60360000000000003</v>
      </c>
      <c r="K126" s="86">
        <f>VLOOKUP($A126,'Data shares'!$C:$FA,94)</f>
        <v>697000</v>
      </c>
      <c r="L126" s="86">
        <f>VLOOKUP($A126,'Data shares'!$C:$FA,96)</f>
        <v>234600</v>
      </c>
      <c r="M126" s="87">
        <f>VLOOKUP($A126,'Data shares'!$C:$FA,97)</f>
        <v>0.50739999999999996</v>
      </c>
      <c r="N126" s="86">
        <f>VLOOKUP($A126,'Data shares'!$C:$FA,78)</f>
        <v>6335050</v>
      </c>
      <c r="O126" s="87">
        <f>VLOOKUP($A126,'Data shares'!$C:$FA,81)</f>
        <v>20.792400000000001</v>
      </c>
    </row>
    <row r="127" spans="1:15" x14ac:dyDescent="0.25">
      <c r="A127" s="100" t="str">
        <f>'Data Vlaue (Cr)'!C122</f>
        <v>M&amp;M</v>
      </c>
      <c r="B127" s="82">
        <f>VLOOKUP(A127,'Data shares'!$C$2:$CV$214,98,0)</f>
        <v>22986600</v>
      </c>
      <c r="C127" s="82">
        <f>VLOOKUP(A127,'Data shares'!$C$2:$CX$214,100,0)</f>
        <v>1187200</v>
      </c>
      <c r="D127" s="141">
        <f>VLOOKUP(A127,'Data shares'!$C$2:$CY$537,101,0)</f>
        <v>5.45E-2</v>
      </c>
      <c r="E127" s="86">
        <f>VLOOKUP($A127,'Data shares'!$C:$FA,74)</f>
        <v>18589600</v>
      </c>
      <c r="F127" s="86">
        <f>VLOOKUP($A127,'Data shares'!$C:$FA,76)</f>
        <v>418400</v>
      </c>
      <c r="G127" s="87">
        <f>VLOOKUP(A127,'Data shares'!$C$2:$CA$214,77,0)</f>
        <v>2.3E-2</v>
      </c>
      <c r="H127" s="86">
        <f>VLOOKUP($A127,'Data shares'!$C:$FA,90)</f>
        <v>2055400</v>
      </c>
      <c r="I127" s="86">
        <f>VLOOKUP($A127,'Data shares'!$C:$FA,92)</f>
        <v>347000</v>
      </c>
      <c r="J127" s="87">
        <f>VLOOKUP($A127,'Data shares'!$C:$FA,93)</f>
        <v>0.2031</v>
      </c>
      <c r="K127" s="86">
        <f>VLOOKUP($A127,'Data shares'!$C:$FA,94)</f>
        <v>2341600</v>
      </c>
      <c r="L127" s="86">
        <f>VLOOKUP($A127,'Data shares'!$C:$FA,96)</f>
        <v>421800</v>
      </c>
      <c r="M127" s="87">
        <f>VLOOKUP($A127,'Data shares'!$C:$FA,97)</f>
        <v>0.21970000000000001</v>
      </c>
      <c r="N127" s="86">
        <f>VLOOKUP($A127,'Data shares'!$C:$FA,78)</f>
        <v>16954200</v>
      </c>
      <c r="O127" s="87">
        <f>VLOOKUP($A127,'Data shares'!$C:$FA,81)</f>
        <v>27.9222</v>
      </c>
    </row>
    <row r="128" spans="1:15" x14ac:dyDescent="0.25">
      <c r="A128" s="100" t="str">
        <f>'Data Vlaue (Cr)'!C123</f>
        <v>MANAPPURAM</v>
      </c>
      <c r="B128" s="82">
        <f>VLOOKUP(A128,'Data shares'!$C$2:$CV$214,98,0)</f>
        <v>62955000</v>
      </c>
      <c r="C128" s="82">
        <f>VLOOKUP(A128,'Data shares'!$C$2:$CX$214,100,0)</f>
        <v>5667000</v>
      </c>
      <c r="D128" s="141">
        <f>VLOOKUP(A128,'Data shares'!$C$2:$CY$537,101,0)</f>
        <v>9.8900000000000002E-2</v>
      </c>
      <c r="E128" s="86">
        <f>VLOOKUP($A128,'Data shares'!$C:$FA,74)</f>
        <v>41727000</v>
      </c>
      <c r="F128" s="86">
        <f>VLOOKUP($A128,'Data shares'!$C:$FA,76)</f>
        <v>-360000</v>
      </c>
      <c r="G128" s="87">
        <f>VLOOKUP(A128,'Data shares'!$C$2:$CA$214,77,0)</f>
        <v>-8.6E-3</v>
      </c>
      <c r="H128" s="86">
        <f>VLOOKUP($A128,'Data shares'!$C:$FA,90)</f>
        <v>11487000</v>
      </c>
      <c r="I128" s="86">
        <f>VLOOKUP($A128,'Data shares'!$C:$FA,92)</f>
        <v>3186000</v>
      </c>
      <c r="J128" s="87">
        <f>VLOOKUP($A128,'Data shares'!$C:$FA,93)</f>
        <v>0.38379999999999997</v>
      </c>
      <c r="K128" s="86">
        <f>VLOOKUP($A128,'Data shares'!$C:$FA,94)</f>
        <v>9741000</v>
      </c>
      <c r="L128" s="86">
        <f>VLOOKUP($A128,'Data shares'!$C:$FA,96)</f>
        <v>2841000</v>
      </c>
      <c r="M128" s="87">
        <f>VLOOKUP($A128,'Data shares'!$C:$FA,97)</f>
        <v>0.41170000000000001</v>
      </c>
      <c r="N128" s="86">
        <f>VLOOKUP($A128,'Data shares'!$C:$FA,78)</f>
        <v>41394000</v>
      </c>
      <c r="O128" s="87">
        <f>VLOOKUP($A128,'Data shares'!$C:$FA,81)</f>
        <v>14.7332</v>
      </c>
    </row>
    <row r="129" spans="1:15" x14ac:dyDescent="0.25">
      <c r="A129" s="100" t="str">
        <f>'Data Vlaue (Cr)'!C124</f>
        <v>MANKIND</v>
      </c>
      <c r="B129" s="82">
        <f>VLOOKUP(A129,'Data shares'!$C$2:$CV$214,98,0)</f>
        <v>2531475</v>
      </c>
      <c r="C129" s="82">
        <f>VLOOKUP(A129,'Data shares'!$C$2:$CX$214,100,0)</f>
        <v>270900</v>
      </c>
      <c r="D129" s="141">
        <f>VLOOKUP(A129,'Data shares'!$C$2:$CY$537,101,0)</f>
        <v>0.1198</v>
      </c>
      <c r="E129" s="86">
        <f>VLOOKUP($A129,'Data shares'!$C:$FA,74)</f>
        <v>2049300</v>
      </c>
      <c r="F129" s="86">
        <f>VLOOKUP($A129,'Data shares'!$C:$FA,76)</f>
        <v>55800</v>
      </c>
      <c r="G129" s="87">
        <f>VLOOKUP(A129,'Data shares'!$C$2:$CA$214,77,0)</f>
        <v>2.8000000000000001E-2</v>
      </c>
      <c r="H129" s="86">
        <f>VLOOKUP($A129,'Data shares'!$C:$FA,90)</f>
        <v>225675</v>
      </c>
      <c r="I129" s="86">
        <f>VLOOKUP($A129,'Data shares'!$C:$FA,92)</f>
        <v>124200</v>
      </c>
      <c r="J129" s="87">
        <f>VLOOKUP($A129,'Data shares'!$C:$FA,93)</f>
        <v>1.2239</v>
      </c>
      <c r="K129" s="86">
        <f>VLOOKUP($A129,'Data shares'!$C:$FA,94)</f>
        <v>256500</v>
      </c>
      <c r="L129" s="86">
        <f>VLOOKUP($A129,'Data shares'!$C:$FA,96)</f>
        <v>90900</v>
      </c>
      <c r="M129" s="87">
        <f>VLOOKUP($A129,'Data shares'!$C:$FA,97)</f>
        <v>0.54890000000000005</v>
      </c>
      <c r="N129" s="86">
        <f>VLOOKUP($A129,'Data shares'!$C:$FA,78)</f>
        <v>2020500</v>
      </c>
      <c r="O129" s="87">
        <f>VLOOKUP($A129,'Data shares'!$C:$FA,81)</f>
        <v>19.786999999999999</v>
      </c>
    </row>
    <row r="130" spans="1:15" x14ac:dyDescent="0.25">
      <c r="A130" s="100" t="str">
        <f>'Data Vlaue (Cr)'!C125</f>
        <v>MARICO</v>
      </c>
      <c r="B130" s="82">
        <f>VLOOKUP(A130,'Data shares'!$C$2:$CV$214,98,0)</f>
        <v>35424000</v>
      </c>
      <c r="C130" s="82">
        <f>VLOOKUP(A130,'Data shares'!$C$2:$CX$214,100,0)</f>
        <v>2228400</v>
      </c>
      <c r="D130" s="141">
        <f>VLOOKUP(A130,'Data shares'!$C$2:$CY$537,101,0)</f>
        <v>6.7100000000000007E-2</v>
      </c>
      <c r="E130" s="86">
        <f>VLOOKUP($A130,'Data shares'!$C:$FA,74)</f>
        <v>29803200</v>
      </c>
      <c r="F130" s="86">
        <f>VLOOKUP($A130,'Data shares'!$C:$FA,76)</f>
        <v>591600</v>
      </c>
      <c r="G130" s="87">
        <f>VLOOKUP(A130,'Data shares'!$C$2:$CA$214,77,0)</f>
        <v>2.0299999999999999E-2</v>
      </c>
      <c r="H130" s="86">
        <f>VLOOKUP($A130,'Data shares'!$C:$FA,90)</f>
        <v>3178800</v>
      </c>
      <c r="I130" s="86">
        <f>VLOOKUP($A130,'Data shares'!$C:$FA,92)</f>
        <v>1088400</v>
      </c>
      <c r="J130" s="87">
        <f>VLOOKUP($A130,'Data shares'!$C:$FA,93)</f>
        <v>0.52070000000000005</v>
      </c>
      <c r="K130" s="86">
        <f>VLOOKUP($A130,'Data shares'!$C:$FA,94)</f>
        <v>2442000</v>
      </c>
      <c r="L130" s="86">
        <f>VLOOKUP($A130,'Data shares'!$C:$FA,96)</f>
        <v>548400</v>
      </c>
      <c r="M130" s="87">
        <f>VLOOKUP($A130,'Data shares'!$C:$FA,97)</f>
        <v>0.28960000000000002</v>
      </c>
      <c r="N130" s="86">
        <f>VLOOKUP($A130,'Data shares'!$C:$FA,78)</f>
        <v>29701200</v>
      </c>
      <c r="O130" s="87">
        <f>VLOOKUP($A130,'Data shares'!$C:$FA,81)</f>
        <v>49.204900000000002</v>
      </c>
    </row>
    <row r="131" spans="1:15" x14ac:dyDescent="0.25">
      <c r="A131" s="100" t="str">
        <f>'Data Vlaue (Cr)'!C126</f>
        <v>MARUTI</v>
      </c>
      <c r="B131" s="82">
        <f>VLOOKUP(A131,'Data shares'!$C$2:$CV$214,98,0)</f>
        <v>6144900</v>
      </c>
      <c r="C131" s="82">
        <f>VLOOKUP(A131,'Data shares'!$C$2:$CX$214,100,0)</f>
        <v>2060950</v>
      </c>
      <c r="D131" s="141">
        <f>VLOOKUP(A131,'Data shares'!$C$2:$CY$537,101,0)</f>
        <v>0.50460000000000005</v>
      </c>
      <c r="E131" s="86">
        <f>VLOOKUP($A131,'Data shares'!$C:$FA,74)</f>
        <v>3269000</v>
      </c>
      <c r="F131" s="86">
        <f>VLOOKUP($A131,'Data shares'!$C:$FA,76)</f>
        <v>186300</v>
      </c>
      <c r="G131" s="87">
        <f>VLOOKUP(A131,'Data shares'!$C$2:$CA$214,77,0)</f>
        <v>6.0400000000000002E-2</v>
      </c>
      <c r="H131" s="86">
        <f>VLOOKUP($A131,'Data shares'!$C:$FA,90)</f>
        <v>1813400</v>
      </c>
      <c r="I131" s="86">
        <f>VLOOKUP($A131,'Data shares'!$C:$FA,92)</f>
        <v>1244550</v>
      </c>
      <c r="J131" s="87">
        <f>VLOOKUP($A131,'Data shares'!$C:$FA,93)</f>
        <v>2.1878000000000002</v>
      </c>
      <c r="K131" s="86">
        <f>VLOOKUP($A131,'Data shares'!$C:$FA,94)</f>
        <v>1062500</v>
      </c>
      <c r="L131" s="86">
        <f>VLOOKUP($A131,'Data shares'!$C:$FA,96)</f>
        <v>630100</v>
      </c>
      <c r="M131" s="87">
        <f>VLOOKUP($A131,'Data shares'!$C:$FA,97)</f>
        <v>1.4572000000000001</v>
      </c>
      <c r="N131" s="86">
        <f>VLOOKUP($A131,'Data shares'!$C:$FA,78)</f>
        <v>3101300</v>
      </c>
      <c r="O131" s="87">
        <f>VLOOKUP($A131,'Data shares'!$C:$FA,81)</f>
        <v>18.647099999999998</v>
      </c>
    </row>
    <row r="132" spans="1:15" x14ac:dyDescent="0.25">
      <c r="A132" s="100" t="str">
        <f>'Data Vlaue (Cr)'!C127</f>
        <v>MAXHEALTH</v>
      </c>
      <c r="B132" s="82">
        <f>VLOOKUP(A132,'Data shares'!$C$2:$CV$214,98,0)</f>
        <v>21025200</v>
      </c>
      <c r="C132" s="82">
        <f>VLOOKUP(A132,'Data shares'!$C$2:$CX$214,100,0)</f>
        <v>1044750</v>
      </c>
      <c r="D132" s="141">
        <f>VLOOKUP(A132,'Data shares'!$C$2:$CY$537,101,0)</f>
        <v>5.2299999999999999E-2</v>
      </c>
      <c r="E132" s="86">
        <f>VLOOKUP($A132,'Data shares'!$C:$FA,74)</f>
        <v>18296775</v>
      </c>
      <c r="F132" s="86">
        <f>VLOOKUP($A132,'Data shares'!$C:$FA,76)</f>
        <v>371175</v>
      </c>
      <c r="G132" s="87">
        <f>VLOOKUP(A132,'Data shares'!$C$2:$CA$214,77,0)</f>
        <v>2.07E-2</v>
      </c>
      <c r="H132" s="86">
        <f>VLOOKUP($A132,'Data shares'!$C:$FA,90)</f>
        <v>1376025</v>
      </c>
      <c r="I132" s="86">
        <f>VLOOKUP($A132,'Data shares'!$C:$FA,92)</f>
        <v>394800</v>
      </c>
      <c r="J132" s="87">
        <f>VLOOKUP($A132,'Data shares'!$C:$FA,93)</f>
        <v>0.40239999999999998</v>
      </c>
      <c r="K132" s="86">
        <f>VLOOKUP($A132,'Data shares'!$C:$FA,94)</f>
        <v>1352400</v>
      </c>
      <c r="L132" s="86">
        <f>VLOOKUP($A132,'Data shares'!$C:$FA,96)</f>
        <v>278775</v>
      </c>
      <c r="M132" s="87">
        <f>VLOOKUP($A132,'Data shares'!$C:$FA,97)</f>
        <v>0.25969999999999999</v>
      </c>
      <c r="N132" s="86">
        <f>VLOOKUP($A132,'Data shares'!$C:$FA,78)</f>
        <v>17658900</v>
      </c>
      <c r="O132" s="87">
        <f>VLOOKUP($A132,'Data shares'!$C:$FA,81)</f>
        <v>9.4785000000000004</v>
      </c>
    </row>
    <row r="133" spans="1:15" x14ac:dyDescent="0.25">
      <c r="A133" s="100" t="str">
        <f>'Data Vlaue (Cr)'!C128</f>
        <v>MAZDOCK</v>
      </c>
      <c r="B133" s="82">
        <f>VLOOKUP(A133,'Data shares'!$C$2:$CV$214,98,0)</f>
        <v>7220400</v>
      </c>
      <c r="C133" s="82">
        <f>VLOOKUP(A133,'Data shares'!$C$2:$CX$214,100,0)</f>
        <v>866600</v>
      </c>
      <c r="D133" s="141">
        <f>VLOOKUP(A133,'Data shares'!$C$2:$CY$537,101,0)</f>
        <v>0.13639999999999999</v>
      </c>
      <c r="E133" s="86">
        <f>VLOOKUP($A133,'Data shares'!$C:$FA,74)</f>
        <v>4521000</v>
      </c>
      <c r="F133" s="86">
        <f>VLOOKUP($A133,'Data shares'!$C:$FA,76)</f>
        <v>139600</v>
      </c>
      <c r="G133" s="87">
        <f>VLOOKUP(A133,'Data shares'!$C$2:$CA$214,77,0)</f>
        <v>3.1899999999999998E-2</v>
      </c>
      <c r="H133" s="86">
        <f>VLOOKUP($A133,'Data shares'!$C:$FA,90)</f>
        <v>1542000</v>
      </c>
      <c r="I133" s="86">
        <f>VLOOKUP($A133,'Data shares'!$C:$FA,92)</f>
        <v>527200</v>
      </c>
      <c r="J133" s="87">
        <f>VLOOKUP($A133,'Data shares'!$C:$FA,93)</f>
        <v>0.51949999999999996</v>
      </c>
      <c r="K133" s="86">
        <f>VLOOKUP($A133,'Data shares'!$C:$FA,94)</f>
        <v>1157400</v>
      </c>
      <c r="L133" s="86">
        <f>VLOOKUP($A133,'Data shares'!$C:$FA,96)</f>
        <v>199800</v>
      </c>
      <c r="M133" s="87">
        <f>VLOOKUP($A133,'Data shares'!$C:$FA,97)</f>
        <v>0.20860000000000001</v>
      </c>
      <c r="N133" s="86">
        <f>VLOOKUP($A133,'Data shares'!$C:$FA,78)</f>
        <v>4356000</v>
      </c>
      <c r="O133" s="87">
        <f>VLOOKUP($A133,'Data shares'!$C:$FA,81)</f>
        <v>8.8462999999999994</v>
      </c>
    </row>
    <row r="134" spans="1:15" x14ac:dyDescent="0.25">
      <c r="A134" s="100" t="str">
        <f>'Data Vlaue (Cr)'!C129</f>
        <v>MCX</v>
      </c>
      <c r="B134" s="82">
        <f>VLOOKUP(A134,'Data shares'!$C$2:$CV$214,98,0)</f>
        <v>24893125</v>
      </c>
      <c r="C134" s="82">
        <f>VLOOKUP(A134,'Data shares'!$C$2:$CX$214,100,0)</f>
        <v>2086250</v>
      </c>
      <c r="D134" s="141">
        <f>VLOOKUP(A134,'Data shares'!$C$2:$CY$537,101,0)</f>
        <v>9.1499999999999998E-2</v>
      </c>
      <c r="E134" s="86">
        <f>VLOOKUP($A134,'Data shares'!$C:$FA,74)</f>
        <v>13953125</v>
      </c>
      <c r="F134" s="86">
        <f>VLOOKUP($A134,'Data shares'!$C:$FA,76)</f>
        <v>-756875</v>
      </c>
      <c r="G134" s="87">
        <f>VLOOKUP(A134,'Data shares'!$C$2:$CA$214,77,0)</f>
        <v>-5.1499999999999997E-2</v>
      </c>
      <c r="H134" s="86">
        <f>VLOOKUP($A134,'Data shares'!$C:$FA,90)</f>
        <v>5821875</v>
      </c>
      <c r="I134" s="86">
        <f>VLOOKUP($A134,'Data shares'!$C:$FA,92)</f>
        <v>968125</v>
      </c>
      <c r="J134" s="87">
        <f>VLOOKUP($A134,'Data shares'!$C:$FA,93)</f>
        <v>0.19950000000000001</v>
      </c>
      <c r="K134" s="86">
        <f>VLOOKUP($A134,'Data shares'!$C:$FA,94)</f>
        <v>5118125</v>
      </c>
      <c r="L134" s="86">
        <f>VLOOKUP($A134,'Data shares'!$C:$FA,96)</f>
        <v>1875000</v>
      </c>
      <c r="M134" s="87">
        <f>VLOOKUP($A134,'Data shares'!$C:$FA,97)</f>
        <v>0.57809999999999995</v>
      </c>
      <c r="N134" s="86">
        <f>VLOOKUP($A134,'Data shares'!$C:$FA,78)</f>
        <v>13546875</v>
      </c>
      <c r="O134" s="87">
        <f>VLOOKUP($A134,'Data shares'!$C:$FA,81)</f>
        <v>14.661099999999999</v>
      </c>
    </row>
    <row r="135" spans="1:15" x14ac:dyDescent="0.25">
      <c r="A135" s="100" t="str">
        <f>'Data Vlaue (Cr)'!C130</f>
        <v>MFSL</v>
      </c>
      <c r="B135" s="82">
        <f>VLOOKUP(A135,'Data shares'!$C$2:$CV$214,98,0)</f>
        <v>9769200</v>
      </c>
      <c r="C135" s="82">
        <f>VLOOKUP(A135,'Data shares'!$C$2:$CX$214,100,0)</f>
        <v>393200</v>
      </c>
      <c r="D135" s="141">
        <f>VLOOKUP(A135,'Data shares'!$C$2:$CY$537,101,0)</f>
        <v>4.19E-2</v>
      </c>
      <c r="E135" s="86">
        <f>VLOOKUP($A135,'Data shares'!$C:$FA,74)</f>
        <v>8646400</v>
      </c>
      <c r="F135" s="86">
        <f>VLOOKUP($A135,'Data shares'!$C:$FA,76)</f>
        <v>-273600</v>
      </c>
      <c r="G135" s="87">
        <f>VLOOKUP(A135,'Data shares'!$C$2:$CA$214,77,0)</f>
        <v>-3.0700000000000002E-2</v>
      </c>
      <c r="H135" s="86">
        <f>VLOOKUP($A135,'Data shares'!$C:$FA,90)</f>
        <v>620800</v>
      </c>
      <c r="I135" s="86">
        <f>VLOOKUP($A135,'Data shares'!$C:$FA,92)</f>
        <v>392000</v>
      </c>
      <c r="J135" s="87">
        <f>VLOOKUP($A135,'Data shares'!$C:$FA,93)</f>
        <v>1.7133</v>
      </c>
      <c r="K135" s="86">
        <f>VLOOKUP($A135,'Data shares'!$C:$FA,94)</f>
        <v>502000</v>
      </c>
      <c r="L135" s="86">
        <f>VLOOKUP($A135,'Data shares'!$C:$FA,96)</f>
        <v>274800</v>
      </c>
      <c r="M135" s="87">
        <f>VLOOKUP($A135,'Data shares'!$C:$FA,97)</f>
        <v>1.2095</v>
      </c>
      <c r="N135" s="86">
        <f>VLOOKUP($A135,'Data shares'!$C:$FA,78)</f>
        <v>8630000</v>
      </c>
      <c r="O135" s="87">
        <f>VLOOKUP($A135,'Data shares'!$C:$FA,81)</f>
        <v>19.645900000000001</v>
      </c>
    </row>
    <row r="136" spans="1:15" x14ac:dyDescent="0.25">
      <c r="A136" s="100" t="str">
        <f>'Data Vlaue (Cr)'!C131</f>
        <v>MIDCPNIFTY</v>
      </c>
      <c r="B136" s="82">
        <f>VLOOKUP(A136,'Data shares'!$C$2:$CV$214,98,0)</f>
        <v>10161120</v>
      </c>
      <c r="C136" s="82">
        <f>VLOOKUP(A136,'Data shares'!$C$2:$CX$214,100,0)</f>
        <v>3625200</v>
      </c>
      <c r="D136" s="141">
        <f>VLOOKUP(A136,'Data shares'!$C$2:$CY$537,101,0)</f>
        <v>0.55469999999999997</v>
      </c>
      <c r="E136" s="86">
        <f>VLOOKUP($A136,'Data shares'!$C:$FA,74)</f>
        <v>2570640</v>
      </c>
      <c r="F136" s="86">
        <f>VLOOKUP($A136,'Data shares'!$C:$FA,76)</f>
        <v>-38040</v>
      </c>
      <c r="G136" s="87">
        <f>VLOOKUP(A136,'Data shares'!$C$2:$CA$214,77,0)</f>
        <v>-1.46E-2</v>
      </c>
      <c r="H136" s="86">
        <f>VLOOKUP($A136,'Data shares'!$C:$FA,90)</f>
        <v>3551880</v>
      </c>
      <c r="I136" s="86">
        <f>VLOOKUP($A136,'Data shares'!$C:$FA,92)</f>
        <v>1649280</v>
      </c>
      <c r="J136" s="87">
        <f>VLOOKUP($A136,'Data shares'!$C:$FA,93)</f>
        <v>0.8669</v>
      </c>
      <c r="K136" s="86">
        <f>VLOOKUP($A136,'Data shares'!$C:$FA,94)</f>
        <v>4038600</v>
      </c>
      <c r="L136" s="86">
        <f>VLOOKUP($A136,'Data shares'!$C:$FA,96)</f>
        <v>2013960</v>
      </c>
      <c r="M136" s="87">
        <f>VLOOKUP($A136,'Data shares'!$C:$FA,97)</f>
        <v>0.99470000000000003</v>
      </c>
      <c r="N136" s="86">
        <f>VLOOKUP($A136,'Data shares'!$C:$FA,78)</f>
        <v>2503560</v>
      </c>
      <c r="O136" s="87">
        <f>VLOOKUP($A136,'Data shares'!$C:$FA,81)</f>
        <v>5.0366999999999997</v>
      </c>
    </row>
    <row r="137" spans="1:15" x14ac:dyDescent="0.25">
      <c r="A137" s="100" t="str">
        <f>'Data Vlaue (Cr)'!C132</f>
        <v>MOTHERSON</v>
      </c>
      <c r="B137" s="82">
        <f>VLOOKUP(A137,'Data shares'!$C$2:$CV$214,98,0)</f>
        <v>214315200</v>
      </c>
      <c r="C137" s="82">
        <f>VLOOKUP(A137,'Data shares'!$C$2:$CX$214,100,0)</f>
        <v>4120500</v>
      </c>
      <c r="D137" s="141">
        <f>VLOOKUP(A137,'Data shares'!$C$2:$CY$537,101,0)</f>
        <v>1.9599999999999999E-2</v>
      </c>
      <c r="E137" s="86">
        <f>VLOOKUP($A137,'Data shares'!$C:$FA,74)</f>
        <v>173282400</v>
      </c>
      <c r="F137" s="86">
        <f>VLOOKUP($A137,'Data shares'!$C:$FA,76)</f>
        <v>1199250</v>
      </c>
      <c r="G137" s="87">
        <f>VLOOKUP(A137,'Data shares'!$C$2:$CA$214,77,0)</f>
        <v>7.0000000000000001E-3</v>
      </c>
      <c r="H137" s="86">
        <f>VLOOKUP($A137,'Data shares'!$C:$FA,90)</f>
        <v>22619700</v>
      </c>
      <c r="I137" s="86">
        <f>VLOOKUP($A137,'Data shares'!$C:$FA,92)</f>
        <v>1396050</v>
      </c>
      <c r="J137" s="87">
        <f>VLOOKUP($A137,'Data shares'!$C:$FA,93)</f>
        <v>6.5799999999999997E-2</v>
      </c>
      <c r="K137" s="86">
        <f>VLOOKUP($A137,'Data shares'!$C:$FA,94)</f>
        <v>18413100</v>
      </c>
      <c r="L137" s="86">
        <f>VLOOKUP($A137,'Data shares'!$C:$FA,96)</f>
        <v>1525200</v>
      </c>
      <c r="M137" s="87">
        <f>VLOOKUP($A137,'Data shares'!$C:$FA,97)</f>
        <v>9.0300000000000005E-2</v>
      </c>
      <c r="N137" s="86">
        <f>VLOOKUP($A137,'Data shares'!$C:$FA,78)</f>
        <v>170434950</v>
      </c>
      <c r="O137" s="87">
        <f>VLOOKUP($A137,'Data shares'!$C:$FA,81)</f>
        <v>25.494299999999999</v>
      </c>
    </row>
    <row r="138" spans="1:15" x14ac:dyDescent="0.25">
      <c r="A138" s="100" t="str">
        <f>'Data Vlaue (Cr)'!C133</f>
        <v>MPHASIS</v>
      </c>
      <c r="B138" s="82">
        <f>VLOOKUP(A138,'Data shares'!$C$2:$CV$214,98,0)</f>
        <v>5375700</v>
      </c>
      <c r="C138" s="82">
        <f>VLOOKUP(A138,'Data shares'!$C$2:$CX$214,100,0)</f>
        <v>108075</v>
      </c>
      <c r="D138" s="141">
        <f>VLOOKUP(A138,'Data shares'!$C$2:$CY$537,101,0)</f>
        <v>2.0500000000000001E-2</v>
      </c>
      <c r="E138" s="86">
        <f>VLOOKUP($A138,'Data shares'!$C:$FA,74)</f>
        <v>4638700</v>
      </c>
      <c r="F138" s="86">
        <f>VLOOKUP($A138,'Data shares'!$C:$FA,76)</f>
        <v>37400</v>
      </c>
      <c r="G138" s="87">
        <f>VLOOKUP(A138,'Data shares'!$C$2:$CA$214,77,0)</f>
        <v>8.0999999999999996E-3</v>
      </c>
      <c r="H138" s="86">
        <f>VLOOKUP($A138,'Data shares'!$C:$FA,90)</f>
        <v>423500</v>
      </c>
      <c r="I138" s="86">
        <f>VLOOKUP($A138,'Data shares'!$C:$FA,92)</f>
        <v>33275</v>
      </c>
      <c r="J138" s="87">
        <f>VLOOKUP($A138,'Data shares'!$C:$FA,93)</f>
        <v>8.5300000000000001E-2</v>
      </c>
      <c r="K138" s="86">
        <f>VLOOKUP($A138,'Data shares'!$C:$FA,94)</f>
        <v>313500</v>
      </c>
      <c r="L138" s="86">
        <f>VLOOKUP($A138,'Data shares'!$C:$FA,96)</f>
        <v>37400</v>
      </c>
      <c r="M138" s="87">
        <f>VLOOKUP($A138,'Data shares'!$C:$FA,97)</f>
        <v>0.13550000000000001</v>
      </c>
      <c r="N138" s="86">
        <f>VLOOKUP($A138,'Data shares'!$C:$FA,78)</f>
        <v>4612025</v>
      </c>
      <c r="O138" s="87">
        <f>VLOOKUP($A138,'Data shares'!$C:$FA,81)</f>
        <v>22.822399999999998</v>
      </c>
    </row>
    <row r="139" spans="1:15" x14ac:dyDescent="0.25">
      <c r="A139" s="100" t="str">
        <f>'Data Vlaue (Cr)'!C134</f>
        <v>MUTHOOTFIN</v>
      </c>
      <c r="B139" s="82">
        <f>VLOOKUP(A139,'Data shares'!$C$2:$CV$214,98,0)</f>
        <v>5564075</v>
      </c>
      <c r="C139" s="82">
        <f>VLOOKUP(A139,'Data shares'!$C$2:$CX$214,100,0)</f>
        <v>516725</v>
      </c>
      <c r="D139" s="141">
        <f>VLOOKUP(A139,'Data shares'!$C$2:$CY$537,101,0)</f>
        <v>0.1024</v>
      </c>
      <c r="E139" s="86">
        <f>VLOOKUP($A139,'Data shares'!$C:$FA,74)</f>
        <v>3921500</v>
      </c>
      <c r="F139" s="86">
        <f>VLOOKUP($A139,'Data shares'!$C:$FA,76)</f>
        <v>177100</v>
      </c>
      <c r="G139" s="87">
        <f>VLOOKUP(A139,'Data shares'!$C$2:$CA$214,77,0)</f>
        <v>4.7300000000000002E-2</v>
      </c>
      <c r="H139" s="86">
        <f>VLOOKUP($A139,'Data shares'!$C:$FA,90)</f>
        <v>971575</v>
      </c>
      <c r="I139" s="86">
        <f>VLOOKUP($A139,'Data shares'!$C:$FA,92)</f>
        <v>215875</v>
      </c>
      <c r="J139" s="87">
        <f>VLOOKUP($A139,'Data shares'!$C:$FA,93)</f>
        <v>0.28570000000000001</v>
      </c>
      <c r="K139" s="86">
        <f>VLOOKUP($A139,'Data shares'!$C:$FA,94)</f>
        <v>671000</v>
      </c>
      <c r="L139" s="86">
        <f>VLOOKUP($A139,'Data shares'!$C:$FA,96)</f>
        <v>123750</v>
      </c>
      <c r="M139" s="87">
        <f>VLOOKUP($A139,'Data shares'!$C:$FA,97)</f>
        <v>0.2261</v>
      </c>
      <c r="N139" s="86">
        <f>VLOOKUP($A139,'Data shares'!$C:$FA,78)</f>
        <v>3854950</v>
      </c>
      <c r="O139" s="87">
        <f>VLOOKUP($A139,'Data shares'!$C:$FA,81)</f>
        <v>26.325500000000002</v>
      </c>
    </row>
    <row r="140" spans="1:15" x14ac:dyDescent="0.25">
      <c r="A140" s="100" t="str">
        <f>'Data Vlaue (Cr)'!C135</f>
        <v>NATIONALUM</v>
      </c>
      <c r="B140" s="82">
        <f>VLOOKUP(A140,'Data shares'!$C$2:$CV$214,98,0)</f>
        <v>89250000</v>
      </c>
      <c r="C140" s="82">
        <f>VLOOKUP(A140,'Data shares'!$C$2:$CX$214,100,0)</f>
        <v>7061250</v>
      </c>
      <c r="D140" s="141">
        <f>VLOOKUP(A140,'Data shares'!$C$2:$CY$537,101,0)</f>
        <v>8.5900000000000004E-2</v>
      </c>
      <c r="E140" s="86">
        <f>VLOOKUP($A140,'Data shares'!$C:$FA,74)</f>
        <v>49327500</v>
      </c>
      <c r="F140" s="86">
        <f>VLOOKUP($A140,'Data shares'!$C:$FA,76)</f>
        <v>1316250</v>
      </c>
      <c r="G140" s="87">
        <f>VLOOKUP(A140,'Data shares'!$C$2:$CA$214,77,0)</f>
        <v>2.7400000000000001E-2</v>
      </c>
      <c r="H140" s="86">
        <f>VLOOKUP($A140,'Data shares'!$C:$FA,90)</f>
        <v>21401250</v>
      </c>
      <c r="I140" s="86">
        <f>VLOOKUP($A140,'Data shares'!$C:$FA,92)</f>
        <v>2156250</v>
      </c>
      <c r="J140" s="87">
        <f>VLOOKUP($A140,'Data shares'!$C:$FA,93)</f>
        <v>0.112</v>
      </c>
      <c r="K140" s="86">
        <f>VLOOKUP($A140,'Data shares'!$C:$FA,94)</f>
        <v>18521250</v>
      </c>
      <c r="L140" s="86">
        <f>VLOOKUP($A140,'Data shares'!$C:$FA,96)</f>
        <v>3588750</v>
      </c>
      <c r="M140" s="87">
        <f>VLOOKUP($A140,'Data shares'!$C:$FA,97)</f>
        <v>0.24030000000000001</v>
      </c>
      <c r="N140" s="86">
        <f>VLOOKUP($A140,'Data shares'!$C:$FA,78)</f>
        <v>47441250</v>
      </c>
      <c r="O140" s="87">
        <f>VLOOKUP($A140,'Data shares'!$C:$FA,81)</f>
        <v>9.49</v>
      </c>
    </row>
    <row r="141" spans="1:15" x14ac:dyDescent="0.25">
      <c r="A141" s="100" t="str">
        <f>'Data Vlaue (Cr)'!C136</f>
        <v>NAUKRI</v>
      </c>
      <c r="B141" s="82">
        <f>VLOOKUP(A141,'Data shares'!$C$2:$CV$214,98,0)</f>
        <v>10153500</v>
      </c>
      <c r="C141" s="82">
        <f>VLOOKUP(A141,'Data shares'!$C$2:$CX$214,100,0)</f>
        <v>578625</v>
      </c>
      <c r="D141" s="141">
        <f>VLOOKUP(A141,'Data shares'!$C$2:$CY$537,101,0)</f>
        <v>6.0400000000000002E-2</v>
      </c>
      <c r="E141" s="86">
        <f>VLOOKUP($A141,'Data shares'!$C:$FA,74)</f>
        <v>8115750</v>
      </c>
      <c r="F141" s="86">
        <f>VLOOKUP($A141,'Data shares'!$C:$FA,76)</f>
        <v>158250</v>
      </c>
      <c r="G141" s="87">
        <f>VLOOKUP(A141,'Data shares'!$C$2:$CA$214,77,0)</f>
        <v>1.9900000000000001E-2</v>
      </c>
      <c r="H141" s="86">
        <f>VLOOKUP($A141,'Data shares'!$C:$FA,90)</f>
        <v>1081125</v>
      </c>
      <c r="I141" s="86">
        <f>VLOOKUP($A141,'Data shares'!$C:$FA,92)</f>
        <v>255750</v>
      </c>
      <c r="J141" s="87">
        <f>VLOOKUP($A141,'Data shares'!$C:$FA,93)</f>
        <v>0.30990000000000001</v>
      </c>
      <c r="K141" s="86">
        <f>VLOOKUP($A141,'Data shares'!$C:$FA,94)</f>
        <v>956625</v>
      </c>
      <c r="L141" s="86">
        <f>VLOOKUP($A141,'Data shares'!$C:$FA,96)</f>
        <v>164625</v>
      </c>
      <c r="M141" s="87">
        <f>VLOOKUP($A141,'Data shares'!$C:$FA,97)</f>
        <v>0.2079</v>
      </c>
      <c r="N141" s="86">
        <f>VLOOKUP($A141,'Data shares'!$C:$FA,78)</f>
        <v>8035875</v>
      </c>
      <c r="O141" s="87">
        <f>VLOOKUP($A141,'Data shares'!$C:$FA,81)</f>
        <v>29.525600000000001</v>
      </c>
    </row>
    <row r="142" spans="1:15" x14ac:dyDescent="0.25">
      <c r="A142" s="100" t="str">
        <f>'Data Vlaue (Cr)'!C137</f>
        <v>NBCC</v>
      </c>
      <c r="B142" s="82">
        <f>VLOOKUP(A142,'Data shares'!$C$2:$CV$214,98,0)</f>
        <v>123259500</v>
      </c>
      <c r="C142" s="82">
        <f>VLOOKUP(A142,'Data shares'!$C$2:$CX$214,100,0)</f>
        <v>4842500</v>
      </c>
      <c r="D142" s="141">
        <f>VLOOKUP(A142,'Data shares'!$C$2:$CY$537,101,0)</f>
        <v>4.0899999999999999E-2</v>
      </c>
      <c r="E142" s="86">
        <f>VLOOKUP($A142,'Data shares'!$C:$FA,74)</f>
        <v>85676500</v>
      </c>
      <c r="F142" s="86">
        <f>VLOOKUP($A142,'Data shares'!$C:$FA,76)</f>
        <v>-702000</v>
      </c>
      <c r="G142" s="87">
        <f>VLOOKUP(A142,'Data shares'!$C$2:$CA$214,77,0)</f>
        <v>-8.0999999999999996E-3</v>
      </c>
      <c r="H142" s="86">
        <f>VLOOKUP($A142,'Data shares'!$C:$FA,90)</f>
        <v>20650500</v>
      </c>
      <c r="I142" s="86">
        <f>VLOOKUP($A142,'Data shares'!$C:$FA,92)</f>
        <v>3796000</v>
      </c>
      <c r="J142" s="87">
        <f>VLOOKUP($A142,'Data shares'!$C:$FA,93)</f>
        <v>0.22520000000000001</v>
      </c>
      <c r="K142" s="86">
        <f>VLOOKUP($A142,'Data shares'!$C:$FA,94)</f>
        <v>16932500</v>
      </c>
      <c r="L142" s="86">
        <f>VLOOKUP($A142,'Data shares'!$C:$FA,96)</f>
        <v>1748500</v>
      </c>
      <c r="M142" s="87">
        <f>VLOOKUP($A142,'Data shares'!$C:$FA,97)</f>
        <v>0.1152</v>
      </c>
      <c r="N142" s="86">
        <f>VLOOKUP($A142,'Data shares'!$C:$FA,78)</f>
        <v>82576000</v>
      </c>
      <c r="O142" s="87">
        <f>VLOOKUP($A142,'Data shares'!$C:$FA,81)</f>
        <v>8.9560999999999993</v>
      </c>
    </row>
    <row r="143" spans="1:15" x14ac:dyDescent="0.25">
      <c r="A143" s="100" t="str">
        <f>'Data Vlaue (Cr)'!C138</f>
        <v>NESTLEIND</v>
      </c>
      <c r="B143" s="82">
        <f>VLOOKUP(A143,'Data shares'!$C$2:$CV$214,98,0)</f>
        <v>20366000</v>
      </c>
      <c r="C143" s="82">
        <f>VLOOKUP(A143,'Data shares'!$C$2:$CX$214,100,0)</f>
        <v>1164500</v>
      </c>
      <c r="D143" s="141">
        <f>VLOOKUP(A143,'Data shares'!$C$2:$CY$537,101,0)</f>
        <v>6.0600000000000001E-2</v>
      </c>
      <c r="E143" s="86">
        <f>VLOOKUP($A143,'Data shares'!$C:$FA,74)</f>
        <v>17722500</v>
      </c>
      <c r="F143" s="86">
        <f>VLOOKUP($A143,'Data shares'!$C:$FA,76)</f>
        <v>8500</v>
      </c>
      <c r="G143" s="87">
        <f>VLOOKUP(A143,'Data shares'!$C$2:$CA$214,77,0)</f>
        <v>5.0000000000000001E-4</v>
      </c>
      <c r="H143" s="86">
        <f>VLOOKUP($A143,'Data shares'!$C:$FA,90)</f>
        <v>1539000</v>
      </c>
      <c r="I143" s="86">
        <f>VLOOKUP($A143,'Data shares'!$C:$FA,92)</f>
        <v>737000</v>
      </c>
      <c r="J143" s="87">
        <f>VLOOKUP($A143,'Data shares'!$C:$FA,93)</f>
        <v>0.91900000000000004</v>
      </c>
      <c r="K143" s="86">
        <f>VLOOKUP($A143,'Data shares'!$C:$FA,94)</f>
        <v>1104500</v>
      </c>
      <c r="L143" s="86">
        <f>VLOOKUP($A143,'Data shares'!$C:$FA,96)</f>
        <v>419000</v>
      </c>
      <c r="M143" s="87">
        <f>VLOOKUP($A143,'Data shares'!$C:$FA,97)</f>
        <v>0.61119999999999997</v>
      </c>
      <c r="N143" s="86">
        <f>VLOOKUP($A143,'Data shares'!$C:$FA,78)</f>
        <v>17447000</v>
      </c>
      <c r="O143" s="87">
        <f>VLOOKUP($A143,'Data shares'!$C:$FA,81)</f>
        <v>44.913200000000003</v>
      </c>
    </row>
    <row r="144" spans="1:15" x14ac:dyDescent="0.25">
      <c r="A144" s="100" t="str">
        <f>'Data Vlaue (Cr)'!C139</f>
        <v>NHPC</v>
      </c>
      <c r="B144" s="82">
        <f>VLOOKUP(A144,'Data shares'!$C$2:$CV$214,98,0)</f>
        <v>97248000</v>
      </c>
      <c r="C144" s="82">
        <f>VLOOKUP(A144,'Data shares'!$C$2:$CX$214,100,0)</f>
        <v>3833600</v>
      </c>
      <c r="D144" s="141">
        <f>VLOOKUP(A144,'Data shares'!$C$2:$CY$537,101,0)</f>
        <v>4.1000000000000002E-2</v>
      </c>
      <c r="E144" s="86">
        <f>VLOOKUP($A144,'Data shares'!$C:$FA,74)</f>
        <v>71475200</v>
      </c>
      <c r="F144" s="86">
        <f>VLOOKUP($A144,'Data shares'!$C:$FA,76)</f>
        <v>198400</v>
      </c>
      <c r="G144" s="87">
        <f>VLOOKUP(A144,'Data shares'!$C$2:$CA$214,77,0)</f>
        <v>2.8E-3</v>
      </c>
      <c r="H144" s="86">
        <f>VLOOKUP($A144,'Data shares'!$C:$FA,90)</f>
        <v>13612800</v>
      </c>
      <c r="I144" s="86">
        <f>VLOOKUP($A144,'Data shares'!$C:$FA,92)</f>
        <v>2124800</v>
      </c>
      <c r="J144" s="87">
        <f>VLOOKUP($A144,'Data shares'!$C:$FA,93)</f>
        <v>0.185</v>
      </c>
      <c r="K144" s="86">
        <f>VLOOKUP($A144,'Data shares'!$C:$FA,94)</f>
        <v>12160000</v>
      </c>
      <c r="L144" s="86">
        <f>VLOOKUP($A144,'Data shares'!$C:$FA,96)</f>
        <v>1510400</v>
      </c>
      <c r="M144" s="87">
        <f>VLOOKUP($A144,'Data shares'!$C:$FA,97)</f>
        <v>0.14180000000000001</v>
      </c>
      <c r="N144" s="86">
        <f>VLOOKUP($A144,'Data shares'!$C:$FA,78)</f>
        <v>69894400</v>
      </c>
      <c r="O144" s="87">
        <f>VLOOKUP($A144,'Data shares'!$C:$FA,81)</f>
        <v>2.2561</v>
      </c>
    </row>
    <row r="145" spans="1:15" x14ac:dyDescent="0.25">
      <c r="A145" s="100" t="str">
        <f>'Data Vlaue (Cr)'!C140</f>
        <v>NIFTY</v>
      </c>
      <c r="B145" s="82">
        <f>VLOOKUP(A145,'Data shares'!$C$2:$CV$214,98,0)</f>
        <v>345134455</v>
      </c>
      <c r="C145" s="82">
        <f>VLOOKUP(A145,'Data shares'!$C$2:$CX$214,100,0)</f>
        <v>88408800</v>
      </c>
      <c r="D145" s="141">
        <f>VLOOKUP(A145,'Data shares'!$C$2:$CY$537,101,0)</f>
        <v>0.34439999999999998</v>
      </c>
      <c r="E145" s="86">
        <f>VLOOKUP($A145,'Data shares'!$C:$FA,74)</f>
        <v>17879680</v>
      </c>
      <c r="F145" s="86">
        <f>VLOOKUP($A145,'Data shares'!$C:$FA,76)</f>
        <v>453245</v>
      </c>
      <c r="G145" s="87">
        <f>VLOOKUP(A145,'Data shares'!$C$2:$CA$214,77,0)</f>
        <v>2.5999999999999999E-2</v>
      </c>
      <c r="H145" s="86">
        <f>VLOOKUP($A145,'Data shares'!$C:$FA,90)</f>
        <v>166048825</v>
      </c>
      <c r="I145" s="86">
        <f>VLOOKUP($A145,'Data shares'!$C:$FA,92)</f>
        <v>47421845</v>
      </c>
      <c r="J145" s="87">
        <f>VLOOKUP($A145,'Data shares'!$C:$FA,93)</f>
        <v>0.39979999999999999</v>
      </c>
      <c r="K145" s="86">
        <f>VLOOKUP($A145,'Data shares'!$C:$FA,94)</f>
        <v>161205950</v>
      </c>
      <c r="L145" s="86">
        <f>VLOOKUP($A145,'Data shares'!$C:$FA,96)</f>
        <v>40533710</v>
      </c>
      <c r="M145" s="87">
        <f>VLOOKUP($A145,'Data shares'!$C:$FA,97)</f>
        <v>0.33589999999999998</v>
      </c>
      <c r="N145" s="86">
        <f>VLOOKUP($A145,'Data shares'!$C:$FA,78)</f>
        <v>16587545</v>
      </c>
      <c r="O145" s="87">
        <f>VLOOKUP($A145,'Data shares'!$C:$FA,81)</f>
        <v>1.3019000000000001</v>
      </c>
    </row>
    <row r="146" spans="1:15" x14ac:dyDescent="0.25">
      <c r="A146" s="100" t="str">
        <f>'Data Vlaue (Cr)'!C141</f>
        <v>NIFTYNXT50</v>
      </c>
      <c r="B146" s="82">
        <f>VLOOKUP(A146,'Data shares'!$C$2:$CV$214,98,0)</f>
        <v>25325</v>
      </c>
      <c r="C146" s="82">
        <f>VLOOKUP(A146,'Data shares'!$C$2:$CX$214,100,0)</f>
        <v>4850</v>
      </c>
      <c r="D146" s="141">
        <f>VLOOKUP(A146,'Data shares'!$C$2:$CY$537,101,0)</f>
        <v>0.2369</v>
      </c>
      <c r="E146" s="86">
        <f>VLOOKUP($A146,'Data shares'!$C:$FA,74)</f>
        <v>22000</v>
      </c>
      <c r="F146" s="86">
        <f>VLOOKUP($A146,'Data shares'!$C:$FA,76)</f>
        <v>2100</v>
      </c>
      <c r="G146" s="87">
        <f>VLOOKUP(A146,'Data shares'!$C$2:$CA$214,77,0)</f>
        <v>0.1055</v>
      </c>
      <c r="H146" s="86">
        <f>VLOOKUP($A146,'Data shares'!$C:$FA,90)</f>
        <v>1900</v>
      </c>
      <c r="I146" s="86">
        <f>VLOOKUP($A146,'Data shares'!$C:$FA,92)</f>
        <v>1875</v>
      </c>
      <c r="J146" s="87">
        <f>VLOOKUP($A146,'Data shares'!$C:$FA,93)</f>
        <v>75</v>
      </c>
      <c r="K146" s="86">
        <f>VLOOKUP($A146,'Data shares'!$C:$FA,94)</f>
        <v>1425</v>
      </c>
      <c r="L146" s="86">
        <f>VLOOKUP($A146,'Data shares'!$C:$FA,96)</f>
        <v>875</v>
      </c>
      <c r="M146" s="87">
        <f>VLOOKUP($A146,'Data shares'!$C:$FA,97)</f>
        <v>1.5909</v>
      </c>
      <c r="N146" s="86">
        <f>VLOOKUP($A146,'Data shares'!$C:$FA,78)</f>
        <v>21575</v>
      </c>
      <c r="O146" s="87">
        <f>VLOOKUP($A146,'Data shares'!$C:$FA,81)</f>
        <v>7.2980999999999998</v>
      </c>
    </row>
    <row r="147" spans="1:15" x14ac:dyDescent="0.25">
      <c r="A147" s="100" t="str">
        <f>'Data Vlaue (Cr)'!C142</f>
        <v>NMDC</v>
      </c>
      <c r="B147" s="82">
        <f>VLOOKUP(A147,'Data shares'!$C$2:$CV$214,98,0)</f>
        <v>428834250</v>
      </c>
      <c r="C147" s="82">
        <f>VLOOKUP(A147,'Data shares'!$C$2:$CX$214,100,0)</f>
        <v>11799000</v>
      </c>
      <c r="D147" s="141">
        <f>VLOOKUP(A147,'Data shares'!$C$2:$CY$537,101,0)</f>
        <v>2.8299999999999999E-2</v>
      </c>
      <c r="E147" s="86">
        <f>VLOOKUP($A147,'Data shares'!$C:$FA,74)</f>
        <v>337331250</v>
      </c>
      <c r="F147" s="86">
        <f>VLOOKUP($A147,'Data shares'!$C:$FA,76)</f>
        <v>-465750</v>
      </c>
      <c r="G147" s="87">
        <f>VLOOKUP(A147,'Data shares'!$C$2:$CA$214,77,0)</f>
        <v>-1.4E-3</v>
      </c>
      <c r="H147" s="86">
        <f>VLOOKUP($A147,'Data shares'!$C:$FA,90)</f>
        <v>57341250</v>
      </c>
      <c r="I147" s="86">
        <f>VLOOKUP($A147,'Data shares'!$C:$FA,92)</f>
        <v>10341000</v>
      </c>
      <c r="J147" s="87">
        <f>VLOOKUP($A147,'Data shares'!$C:$FA,93)</f>
        <v>0.22</v>
      </c>
      <c r="K147" s="86">
        <f>VLOOKUP($A147,'Data shares'!$C:$FA,94)</f>
        <v>34161750</v>
      </c>
      <c r="L147" s="86">
        <f>VLOOKUP($A147,'Data shares'!$C:$FA,96)</f>
        <v>1923750</v>
      </c>
      <c r="M147" s="87">
        <f>VLOOKUP($A147,'Data shares'!$C:$FA,97)</f>
        <v>5.9700000000000003E-2</v>
      </c>
      <c r="N147" s="86">
        <f>VLOOKUP($A147,'Data shares'!$C:$FA,78)</f>
        <v>332451000</v>
      </c>
      <c r="O147" s="87">
        <f>VLOOKUP($A147,'Data shares'!$C:$FA,81)</f>
        <v>22.747299999999999</v>
      </c>
    </row>
    <row r="148" spans="1:15" x14ac:dyDescent="0.25">
      <c r="A148" s="100" t="str">
        <f>'Data Vlaue (Cr)'!C143</f>
        <v>NTPC</v>
      </c>
      <c r="B148" s="82">
        <f>VLOOKUP(A148,'Data shares'!$C$2:$CV$214,98,0)</f>
        <v>115327500</v>
      </c>
      <c r="C148" s="82">
        <f>VLOOKUP(A148,'Data shares'!$C$2:$CX$214,100,0)</f>
        <v>8101500</v>
      </c>
      <c r="D148" s="141">
        <f>VLOOKUP(A148,'Data shares'!$C$2:$CY$537,101,0)</f>
        <v>7.5600000000000001E-2</v>
      </c>
      <c r="E148" s="86">
        <f>VLOOKUP($A148,'Data shares'!$C:$FA,74)</f>
        <v>84969000</v>
      </c>
      <c r="F148" s="86">
        <f>VLOOKUP($A148,'Data shares'!$C:$FA,76)</f>
        <v>552000</v>
      </c>
      <c r="G148" s="87">
        <f>VLOOKUP(A148,'Data shares'!$C$2:$CA$214,77,0)</f>
        <v>6.4999999999999997E-3</v>
      </c>
      <c r="H148" s="86">
        <f>VLOOKUP($A148,'Data shares'!$C:$FA,90)</f>
        <v>16818000</v>
      </c>
      <c r="I148" s="86">
        <f>VLOOKUP($A148,'Data shares'!$C:$FA,92)</f>
        <v>4572000</v>
      </c>
      <c r="J148" s="87">
        <f>VLOOKUP($A148,'Data shares'!$C:$FA,93)</f>
        <v>0.37330000000000002</v>
      </c>
      <c r="K148" s="86">
        <f>VLOOKUP($A148,'Data shares'!$C:$FA,94)</f>
        <v>13540500</v>
      </c>
      <c r="L148" s="86">
        <f>VLOOKUP($A148,'Data shares'!$C:$FA,96)</f>
        <v>2977500</v>
      </c>
      <c r="M148" s="87">
        <f>VLOOKUP($A148,'Data shares'!$C:$FA,97)</f>
        <v>0.28189999999999998</v>
      </c>
      <c r="N148" s="86">
        <f>VLOOKUP($A148,'Data shares'!$C:$FA,78)</f>
        <v>83296500</v>
      </c>
      <c r="O148" s="87">
        <f>VLOOKUP($A148,'Data shares'!$C:$FA,81)</f>
        <v>7.4858000000000002</v>
      </c>
    </row>
    <row r="149" spans="1:15" x14ac:dyDescent="0.25">
      <c r="A149" s="100" t="str">
        <f>'Data Vlaue (Cr)'!C144</f>
        <v>NUVAMA</v>
      </c>
      <c r="B149" s="82">
        <f>VLOOKUP(A149,'Data shares'!$C$2:$CV$214,98,0)</f>
        <v>3843000</v>
      </c>
      <c r="C149" s="82">
        <f>VLOOKUP(A149,'Data shares'!$C$2:$CX$214,100,0)</f>
        <v>315000</v>
      </c>
      <c r="D149" s="141">
        <f>VLOOKUP(A149,'Data shares'!$C$2:$CY$537,101,0)</f>
        <v>8.9300000000000004E-2</v>
      </c>
      <c r="E149" s="86">
        <f>VLOOKUP($A149,'Data shares'!$C:$FA,74)</f>
        <v>2733000</v>
      </c>
      <c r="F149" s="86">
        <f>VLOOKUP($A149,'Data shares'!$C:$FA,76)</f>
        <v>40000</v>
      </c>
      <c r="G149" s="87">
        <f>VLOOKUP(A149,'Data shares'!$C$2:$CA$214,77,0)</f>
        <v>1.49E-2</v>
      </c>
      <c r="H149" s="86">
        <f>VLOOKUP($A149,'Data shares'!$C:$FA,90)</f>
        <v>590000</v>
      </c>
      <c r="I149" s="86">
        <f>VLOOKUP($A149,'Data shares'!$C:$FA,92)</f>
        <v>155500</v>
      </c>
      <c r="J149" s="87">
        <f>VLOOKUP($A149,'Data shares'!$C:$FA,93)</f>
        <v>0.3579</v>
      </c>
      <c r="K149" s="86">
        <f>VLOOKUP($A149,'Data shares'!$C:$FA,94)</f>
        <v>520000</v>
      </c>
      <c r="L149" s="86">
        <f>VLOOKUP($A149,'Data shares'!$C:$FA,96)</f>
        <v>119500</v>
      </c>
      <c r="M149" s="87">
        <f>VLOOKUP($A149,'Data shares'!$C:$FA,97)</f>
        <v>0.2984</v>
      </c>
      <c r="N149" s="86">
        <f>VLOOKUP($A149,'Data shares'!$C:$FA,78)</f>
        <v>2702000</v>
      </c>
      <c r="O149" s="87">
        <f>VLOOKUP($A149,'Data shares'!$C:$FA,81)</f>
        <v>17.961400000000001</v>
      </c>
    </row>
    <row r="150" spans="1:15" x14ac:dyDescent="0.25">
      <c r="A150" s="100" t="str">
        <f>'Data Vlaue (Cr)'!C145</f>
        <v>NYKAA</v>
      </c>
      <c r="B150" s="82">
        <f>VLOOKUP(A150,'Data shares'!$C$2:$CV$214,98,0)</f>
        <v>49581250</v>
      </c>
      <c r="C150" s="82">
        <f>VLOOKUP(A150,'Data shares'!$C$2:$CX$214,100,0)</f>
        <v>2668750</v>
      </c>
      <c r="D150" s="141">
        <f>VLOOKUP(A150,'Data shares'!$C$2:$CY$537,101,0)</f>
        <v>5.6899999999999999E-2</v>
      </c>
      <c r="E150" s="86">
        <f>VLOOKUP($A150,'Data shares'!$C:$FA,74)</f>
        <v>37646875</v>
      </c>
      <c r="F150" s="86">
        <f>VLOOKUP($A150,'Data shares'!$C:$FA,76)</f>
        <v>1006250</v>
      </c>
      <c r="G150" s="87">
        <f>VLOOKUP(A150,'Data shares'!$C$2:$CA$214,77,0)</f>
        <v>2.75E-2</v>
      </c>
      <c r="H150" s="86">
        <f>VLOOKUP($A150,'Data shares'!$C:$FA,90)</f>
        <v>5381250</v>
      </c>
      <c r="I150" s="86">
        <f>VLOOKUP($A150,'Data shares'!$C:$FA,92)</f>
        <v>775000</v>
      </c>
      <c r="J150" s="87">
        <f>VLOOKUP($A150,'Data shares'!$C:$FA,93)</f>
        <v>0.16819999999999999</v>
      </c>
      <c r="K150" s="86">
        <f>VLOOKUP($A150,'Data shares'!$C:$FA,94)</f>
        <v>6553125</v>
      </c>
      <c r="L150" s="86">
        <f>VLOOKUP($A150,'Data shares'!$C:$FA,96)</f>
        <v>887500</v>
      </c>
      <c r="M150" s="87">
        <f>VLOOKUP($A150,'Data shares'!$C:$FA,97)</f>
        <v>0.15659999999999999</v>
      </c>
      <c r="N150" s="86">
        <f>VLOOKUP($A150,'Data shares'!$C:$FA,78)</f>
        <v>37303125</v>
      </c>
      <c r="O150" s="87">
        <f>VLOOKUP($A150,'Data shares'!$C:$FA,81)</f>
        <v>5.8525</v>
      </c>
    </row>
    <row r="151" spans="1:15" x14ac:dyDescent="0.25">
      <c r="A151" s="100" t="str">
        <f>'Data Vlaue (Cr)'!C146</f>
        <v>OBEROIRLTY</v>
      </c>
      <c r="B151" s="82">
        <f>VLOOKUP(A151,'Data shares'!$C$2:$CV$214,98,0)</f>
        <v>7218400</v>
      </c>
      <c r="C151" s="82">
        <f>VLOOKUP(A151,'Data shares'!$C$2:$CX$214,100,0)</f>
        <v>510650</v>
      </c>
      <c r="D151" s="141">
        <f>VLOOKUP(A151,'Data shares'!$C$2:$CY$537,101,0)</f>
        <v>7.6100000000000001E-2</v>
      </c>
      <c r="E151" s="86">
        <f>VLOOKUP($A151,'Data shares'!$C:$FA,74)</f>
        <v>5489400</v>
      </c>
      <c r="F151" s="86">
        <f>VLOOKUP($A151,'Data shares'!$C:$FA,76)</f>
        <v>118300</v>
      </c>
      <c r="G151" s="87">
        <f>VLOOKUP(A151,'Data shares'!$C$2:$CA$214,77,0)</f>
        <v>2.1999999999999999E-2</v>
      </c>
      <c r="H151" s="86">
        <f>VLOOKUP($A151,'Data shares'!$C:$FA,90)</f>
        <v>722750</v>
      </c>
      <c r="I151" s="86">
        <f>VLOOKUP($A151,'Data shares'!$C:$FA,92)</f>
        <v>139650</v>
      </c>
      <c r="J151" s="87">
        <f>VLOOKUP($A151,'Data shares'!$C:$FA,93)</f>
        <v>0.23949999999999999</v>
      </c>
      <c r="K151" s="86">
        <f>VLOOKUP($A151,'Data shares'!$C:$FA,94)</f>
        <v>1006250</v>
      </c>
      <c r="L151" s="86">
        <f>VLOOKUP($A151,'Data shares'!$C:$FA,96)</f>
        <v>252700</v>
      </c>
      <c r="M151" s="87">
        <f>VLOOKUP($A151,'Data shares'!$C:$FA,97)</f>
        <v>0.33529999999999999</v>
      </c>
      <c r="N151" s="86">
        <f>VLOOKUP($A151,'Data shares'!$C:$FA,78)</f>
        <v>5426400</v>
      </c>
      <c r="O151" s="87">
        <f>VLOOKUP($A151,'Data shares'!$C:$FA,81)</f>
        <v>8.0878999999999994</v>
      </c>
    </row>
    <row r="152" spans="1:15" x14ac:dyDescent="0.25">
      <c r="A152" s="100" t="str">
        <f>'Data Vlaue (Cr)'!C147</f>
        <v>OFSS</v>
      </c>
      <c r="B152" s="82">
        <f>VLOOKUP(A152,'Data shares'!$C$2:$CV$214,98,0)</f>
        <v>1530825</v>
      </c>
      <c r="C152" s="82">
        <f>VLOOKUP(A152,'Data shares'!$C$2:$CX$214,100,0)</f>
        <v>66750</v>
      </c>
      <c r="D152" s="141">
        <f>VLOOKUP(A152,'Data shares'!$C$2:$CY$537,101,0)</f>
        <v>4.5600000000000002E-2</v>
      </c>
      <c r="E152" s="86">
        <f>VLOOKUP($A152,'Data shares'!$C:$FA,74)</f>
        <v>1150200</v>
      </c>
      <c r="F152" s="86">
        <f>VLOOKUP($A152,'Data shares'!$C:$FA,76)</f>
        <v>24675</v>
      </c>
      <c r="G152" s="87">
        <f>VLOOKUP(A152,'Data shares'!$C$2:$CA$214,77,0)</f>
        <v>2.1899999999999999E-2</v>
      </c>
      <c r="H152" s="86">
        <f>VLOOKUP($A152,'Data shares'!$C:$FA,90)</f>
        <v>208575</v>
      </c>
      <c r="I152" s="86">
        <f>VLOOKUP($A152,'Data shares'!$C:$FA,92)</f>
        <v>22500</v>
      </c>
      <c r="J152" s="87">
        <f>VLOOKUP($A152,'Data shares'!$C:$FA,93)</f>
        <v>0.12089999999999999</v>
      </c>
      <c r="K152" s="86">
        <f>VLOOKUP($A152,'Data shares'!$C:$FA,94)</f>
        <v>172050</v>
      </c>
      <c r="L152" s="86">
        <f>VLOOKUP($A152,'Data shares'!$C:$FA,96)</f>
        <v>19575</v>
      </c>
      <c r="M152" s="87">
        <f>VLOOKUP($A152,'Data shares'!$C:$FA,97)</f>
        <v>0.12839999999999999</v>
      </c>
      <c r="N152" s="86">
        <f>VLOOKUP($A152,'Data shares'!$C:$FA,78)</f>
        <v>1132875</v>
      </c>
      <c r="O152" s="87">
        <f>VLOOKUP($A152,'Data shares'!$C:$FA,81)</f>
        <v>25.269600000000001</v>
      </c>
    </row>
    <row r="153" spans="1:15" x14ac:dyDescent="0.25">
      <c r="A153" s="100" t="str">
        <f>'Data Vlaue (Cr)'!C148</f>
        <v>OIL</v>
      </c>
      <c r="B153" s="82">
        <f>VLOOKUP(A153,'Data shares'!$C$2:$CV$214,98,0)</f>
        <v>23265200</v>
      </c>
      <c r="C153" s="82">
        <f>VLOOKUP(A153,'Data shares'!$C$2:$CX$214,100,0)</f>
        <v>6234200</v>
      </c>
      <c r="D153" s="141">
        <f>VLOOKUP(A153,'Data shares'!$C$2:$CY$537,101,0)</f>
        <v>0.36609999999999998</v>
      </c>
      <c r="E153" s="86">
        <f>VLOOKUP($A153,'Data shares'!$C:$FA,74)</f>
        <v>14457800</v>
      </c>
      <c r="F153" s="86">
        <f>VLOOKUP($A153,'Data shares'!$C:$FA,76)</f>
        <v>1743000</v>
      </c>
      <c r="G153" s="87">
        <f>VLOOKUP(A153,'Data shares'!$C$2:$CA$214,77,0)</f>
        <v>0.1371</v>
      </c>
      <c r="H153" s="86">
        <f>VLOOKUP($A153,'Data shares'!$C:$FA,90)</f>
        <v>4776800</v>
      </c>
      <c r="I153" s="86">
        <f>VLOOKUP($A153,'Data shares'!$C:$FA,92)</f>
        <v>2079000</v>
      </c>
      <c r="J153" s="87">
        <f>VLOOKUP($A153,'Data shares'!$C:$FA,93)</f>
        <v>0.77059999999999995</v>
      </c>
      <c r="K153" s="86">
        <f>VLOOKUP($A153,'Data shares'!$C:$FA,94)</f>
        <v>4030600</v>
      </c>
      <c r="L153" s="86">
        <f>VLOOKUP($A153,'Data shares'!$C:$FA,96)</f>
        <v>2412200</v>
      </c>
      <c r="M153" s="87">
        <f>VLOOKUP($A153,'Data shares'!$C:$FA,97)</f>
        <v>1.4904999999999999</v>
      </c>
      <c r="N153" s="86">
        <f>VLOOKUP($A153,'Data shares'!$C:$FA,78)</f>
        <v>14142800</v>
      </c>
      <c r="O153" s="87">
        <f>VLOOKUP($A153,'Data shares'!$C:$FA,81)</f>
        <v>14.858700000000001</v>
      </c>
    </row>
    <row r="154" spans="1:15" x14ac:dyDescent="0.25">
      <c r="A154" s="100" t="str">
        <f>'Data Vlaue (Cr)'!C149</f>
        <v>ONGC</v>
      </c>
      <c r="B154" s="82">
        <f>VLOOKUP(A154,'Data shares'!$C$2:$CV$214,98,0)</f>
        <v>144087750</v>
      </c>
      <c r="C154" s="82">
        <f>VLOOKUP(A154,'Data shares'!$C$2:$CX$214,100,0)</f>
        <v>31860000</v>
      </c>
      <c r="D154" s="141">
        <f>VLOOKUP(A154,'Data shares'!$C$2:$CY$537,101,0)</f>
        <v>0.28389999999999999</v>
      </c>
      <c r="E154" s="86">
        <f>VLOOKUP($A154,'Data shares'!$C:$FA,74)</f>
        <v>92110500</v>
      </c>
      <c r="F154" s="86">
        <f>VLOOKUP($A154,'Data shares'!$C:$FA,76)</f>
        <v>7161750</v>
      </c>
      <c r="G154" s="87">
        <f>VLOOKUP(A154,'Data shares'!$C$2:$CA$214,77,0)</f>
        <v>8.43E-2</v>
      </c>
      <c r="H154" s="86">
        <f>VLOOKUP($A154,'Data shares'!$C:$FA,90)</f>
        <v>27582750</v>
      </c>
      <c r="I154" s="86">
        <f>VLOOKUP($A154,'Data shares'!$C:$FA,92)</f>
        <v>12570750</v>
      </c>
      <c r="J154" s="87">
        <f>VLOOKUP($A154,'Data shares'!$C:$FA,93)</f>
        <v>0.83740000000000003</v>
      </c>
      <c r="K154" s="86">
        <f>VLOOKUP($A154,'Data shares'!$C:$FA,94)</f>
        <v>24394500</v>
      </c>
      <c r="L154" s="86">
        <f>VLOOKUP($A154,'Data shares'!$C:$FA,96)</f>
        <v>12127500</v>
      </c>
      <c r="M154" s="87">
        <f>VLOOKUP($A154,'Data shares'!$C:$FA,97)</f>
        <v>0.98860000000000003</v>
      </c>
      <c r="N154" s="86">
        <f>VLOOKUP($A154,'Data shares'!$C:$FA,78)</f>
        <v>89973000</v>
      </c>
      <c r="O154" s="87">
        <f>VLOOKUP($A154,'Data shares'!$C:$FA,81)</f>
        <v>1.3023</v>
      </c>
    </row>
    <row r="155" spans="1:15" x14ac:dyDescent="0.25">
      <c r="A155" s="100" t="str">
        <f>'Data Vlaue (Cr)'!C150</f>
        <v>PAGEIND</v>
      </c>
      <c r="B155" s="82">
        <f>VLOOKUP(A155,'Data shares'!$C$2:$CV$214,98,0)</f>
        <v>351150</v>
      </c>
      <c r="C155" s="82">
        <f>VLOOKUP(A155,'Data shares'!$C$2:$CX$214,100,0)</f>
        <v>18090</v>
      </c>
      <c r="D155" s="141">
        <f>VLOOKUP(A155,'Data shares'!$C$2:$CY$537,101,0)</f>
        <v>5.4300000000000001E-2</v>
      </c>
      <c r="E155" s="86">
        <f>VLOOKUP($A155,'Data shares'!$C:$FA,74)</f>
        <v>285270</v>
      </c>
      <c r="F155" s="86">
        <f>VLOOKUP($A155,'Data shares'!$C:$FA,76)</f>
        <v>3045</v>
      </c>
      <c r="G155" s="87">
        <f>VLOOKUP(A155,'Data shares'!$C$2:$CA$214,77,0)</f>
        <v>1.0800000000000001E-2</v>
      </c>
      <c r="H155" s="86">
        <f>VLOOKUP($A155,'Data shares'!$C:$FA,90)</f>
        <v>39255</v>
      </c>
      <c r="I155" s="86">
        <f>VLOOKUP($A155,'Data shares'!$C:$FA,92)</f>
        <v>8610</v>
      </c>
      <c r="J155" s="87">
        <f>VLOOKUP($A155,'Data shares'!$C:$FA,93)</f>
        <v>0.28100000000000003</v>
      </c>
      <c r="K155" s="86">
        <f>VLOOKUP($A155,'Data shares'!$C:$FA,94)</f>
        <v>26625</v>
      </c>
      <c r="L155" s="86">
        <f>VLOOKUP($A155,'Data shares'!$C:$FA,96)</f>
        <v>6435</v>
      </c>
      <c r="M155" s="87">
        <f>VLOOKUP($A155,'Data shares'!$C:$FA,97)</f>
        <v>0.31869999999999998</v>
      </c>
      <c r="N155" s="86">
        <f>VLOOKUP($A155,'Data shares'!$C:$FA,78)</f>
        <v>273870</v>
      </c>
      <c r="O155" s="87">
        <f>VLOOKUP($A155,'Data shares'!$C:$FA,81)</f>
        <v>22.0822</v>
      </c>
    </row>
    <row r="156" spans="1:15" x14ac:dyDescent="0.25">
      <c r="A156" s="100" t="str">
        <f>'Data Vlaue (Cr)'!C151</f>
        <v>PATANJALI</v>
      </c>
      <c r="B156" s="82">
        <f>VLOOKUP(A156,'Data shares'!$C$2:$CV$214,98,0)</f>
        <v>39532500</v>
      </c>
      <c r="C156" s="82">
        <f>VLOOKUP(A156,'Data shares'!$C$2:$CX$214,100,0)</f>
        <v>677700</v>
      </c>
      <c r="D156" s="141">
        <f>VLOOKUP(A156,'Data shares'!$C$2:$CY$537,101,0)</f>
        <v>1.7399999999999999E-2</v>
      </c>
      <c r="E156" s="86">
        <f>VLOOKUP($A156,'Data shares'!$C:$FA,74)</f>
        <v>37246500</v>
      </c>
      <c r="F156" s="86">
        <f>VLOOKUP($A156,'Data shares'!$C:$FA,76)</f>
        <v>-37800</v>
      </c>
      <c r="G156" s="87">
        <f>VLOOKUP(A156,'Data shares'!$C$2:$CA$214,77,0)</f>
        <v>-1E-3</v>
      </c>
      <c r="H156" s="86">
        <f>VLOOKUP($A156,'Data shares'!$C:$FA,90)</f>
        <v>1131300</v>
      </c>
      <c r="I156" s="86">
        <f>VLOOKUP($A156,'Data shares'!$C:$FA,92)</f>
        <v>363600</v>
      </c>
      <c r="J156" s="87">
        <f>VLOOKUP($A156,'Data shares'!$C:$FA,93)</f>
        <v>0.47360000000000002</v>
      </c>
      <c r="K156" s="86">
        <f>VLOOKUP($A156,'Data shares'!$C:$FA,94)</f>
        <v>1154700</v>
      </c>
      <c r="L156" s="86">
        <f>VLOOKUP($A156,'Data shares'!$C:$FA,96)</f>
        <v>351900</v>
      </c>
      <c r="M156" s="87">
        <f>VLOOKUP($A156,'Data shares'!$C:$FA,97)</f>
        <v>0.43830000000000002</v>
      </c>
      <c r="N156" s="86">
        <f>VLOOKUP($A156,'Data shares'!$C:$FA,78)</f>
        <v>37127700</v>
      </c>
      <c r="O156" s="87">
        <f>VLOOKUP($A156,'Data shares'!$C:$FA,81)</f>
        <v>68.332800000000006</v>
      </c>
    </row>
    <row r="157" spans="1:15" x14ac:dyDescent="0.25">
      <c r="A157" s="100" t="str">
        <f>'Data Vlaue (Cr)'!C152</f>
        <v>PAYTM</v>
      </c>
      <c r="B157" s="82">
        <f>VLOOKUP(A157,'Data shares'!$C$2:$CV$214,98,0)</f>
        <v>27030900</v>
      </c>
      <c r="C157" s="82">
        <f>VLOOKUP(A157,'Data shares'!$C$2:$CX$214,100,0)</f>
        <v>1065750</v>
      </c>
      <c r="D157" s="141">
        <f>VLOOKUP(A157,'Data shares'!$C$2:$CY$537,101,0)</f>
        <v>4.1000000000000002E-2</v>
      </c>
      <c r="E157" s="86">
        <f>VLOOKUP($A157,'Data shares'!$C:$FA,74)</f>
        <v>17797300</v>
      </c>
      <c r="F157" s="86">
        <f>VLOOKUP($A157,'Data shares'!$C:$FA,76)</f>
        <v>378450</v>
      </c>
      <c r="G157" s="87">
        <f>VLOOKUP(A157,'Data shares'!$C$2:$CA$214,77,0)</f>
        <v>2.1700000000000001E-2</v>
      </c>
      <c r="H157" s="86">
        <f>VLOOKUP($A157,'Data shares'!$C:$FA,90)</f>
        <v>5457075</v>
      </c>
      <c r="I157" s="86">
        <f>VLOOKUP($A157,'Data shares'!$C:$FA,92)</f>
        <v>625675</v>
      </c>
      <c r="J157" s="87">
        <f>VLOOKUP($A157,'Data shares'!$C:$FA,93)</f>
        <v>0.1295</v>
      </c>
      <c r="K157" s="86">
        <f>VLOOKUP($A157,'Data shares'!$C:$FA,94)</f>
        <v>3776525</v>
      </c>
      <c r="L157" s="86">
        <f>VLOOKUP($A157,'Data shares'!$C:$FA,96)</f>
        <v>61625</v>
      </c>
      <c r="M157" s="87">
        <f>VLOOKUP($A157,'Data shares'!$C:$FA,97)</f>
        <v>1.66E-2</v>
      </c>
      <c r="N157" s="86">
        <f>VLOOKUP($A157,'Data shares'!$C:$FA,78)</f>
        <v>17553700</v>
      </c>
      <c r="O157" s="87">
        <f>VLOOKUP($A157,'Data shares'!$C:$FA,81)</f>
        <v>42.546799999999998</v>
      </c>
    </row>
    <row r="158" spans="1:15" x14ac:dyDescent="0.25">
      <c r="A158" s="100" t="str">
        <f>'Data Vlaue (Cr)'!C153</f>
        <v>PERSISTENT</v>
      </c>
      <c r="B158" s="82">
        <f>VLOOKUP(A158,'Data shares'!$C$2:$CV$214,98,0)</f>
        <v>2863300</v>
      </c>
      <c r="C158" s="82">
        <f>VLOOKUP(A158,'Data shares'!$C$2:$CX$214,100,0)</f>
        <v>280100</v>
      </c>
      <c r="D158" s="141">
        <f>VLOOKUP(A158,'Data shares'!$C$2:$CY$537,101,0)</f>
        <v>0.1084</v>
      </c>
      <c r="E158" s="86">
        <f>VLOOKUP($A158,'Data shares'!$C:$FA,74)</f>
        <v>2173500</v>
      </c>
      <c r="F158" s="86">
        <f>VLOOKUP($A158,'Data shares'!$C:$FA,76)</f>
        <v>86400</v>
      </c>
      <c r="G158" s="87">
        <f>VLOOKUP(A158,'Data shares'!$C$2:$CA$214,77,0)</f>
        <v>4.1399999999999999E-2</v>
      </c>
      <c r="H158" s="86">
        <f>VLOOKUP($A158,'Data shares'!$C:$FA,90)</f>
        <v>394600</v>
      </c>
      <c r="I158" s="86">
        <f>VLOOKUP($A158,'Data shares'!$C:$FA,92)</f>
        <v>141000</v>
      </c>
      <c r="J158" s="87">
        <f>VLOOKUP($A158,'Data shares'!$C:$FA,93)</f>
        <v>0.55600000000000005</v>
      </c>
      <c r="K158" s="86">
        <f>VLOOKUP($A158,'Data shares'!$C:$FA,94)</f>
        <v>295200</v>
      </c>
      <c r="L158" s="86">
        <f>VLOOKUP($A158,'Data shares'!$C:$FA,96)</f>
        <v>52700</v>
      </c>
      <c r="M158" s="87">
        <f>VLOOKUP($A158,'Data shares'!$C:$FA,97)</f>
        <v>0.21729999999999999</v>
      </c>
      <c r="N158" s="86">
        <f>VLOOKUP($A158,'Data shares'!$C:$FA,78)</f>
        <v>2152800</v>
      </c>
      <c r="O158" s="87">
        <f>VLOOKUP($A158,'Data shares'!$C:$FA,81)</f>
        <v>3.8258000000000001</v>
      </c>
    </row>
    <row r="159" spans="1:15" x14ac:dyDescent="0.25">
      <c r="A159" s="100" t="str">
        <f>'Data Vlaue (Cr)'!C154</f>
        <v>PETRONET</v>
      </c>
      <c r="B159" s="82">
        <f>VLOOKUP(A159,'Data shares'!$C$2:$CV$214,98,0)</f>
        <v>60496000</v>
      </c>
      <c r="C159" s="82">
        <f>VLOOKUP(A159,'Data shares'!$C$2:$CX$214,100,0)</f>
        <v>5050200</v>
      </c>
      <c r="D159" s="141">
        <f>VLOOKUP(A159,'Data shares'!$C$2:$CY$537,101,0)</f>
        <v>9.11E-2</v>
      </c>
      <c r="E159" s="86">
        <f>VLOOKUP($A159,'Data shares'!$C:$FA,74)</f>
        <v>40471900</v>
      </c>
      <c r="F159" s="86">
        <f>VLOOKUP($A159,'Data shares'!$C:$FA,76)</f>
        <v>419900</v>
      </c>
      <c r="G159" s="87">
        <f>VLOOKUP(A159,'Data shares'!$C$2:$CA$214,77,0)</f>
        <v>1.0500000000000001E-2</v>
      </c>
      <c r="H159" s="86">
        <f>VLOOKUP($A159,'Data shares'!$C:$FA,90)</f>
        <v>9954100</v>
      </c>
      <c r="I159" s="86">
        <f>VLOOKUP($A159,'Data shares'!$C:$FA,92)</f>
        <v>3530200</v>
      </c>
      <c r="J159" s="87">
        <f>VLOOKUP($A159,'Data shares'!$C:$FA,93)</f>
        <v>0.54949999999999999</v>
      </c>
      <c r="K159" s="86">
        <f>VLOOKUP($A159,'Data shares'!$C:$FA,94)</f>
        <v>10070000</v>
      </c>
      <c r="L159" s="86">
        <f>VLOOKUP($A159,'Data shares'!$C:$FA,96)</f>
        <v>1100100</v>
      </c>
      <c r="M159" s="87">
        <f>VLOOKUP($A159,'Data shares'!$C:$FA,97)</f>
        <v>0.1226</v>
      </c>
      <c r="N159" s="86">
        <f>VLOOKUP($A159,'Data shares'!$C:$FA,78)</f>
        <v>40160300</v>
      </c>
      <c r="O159" s="87">
        <f>VLOOKUP($A159,'Data shares'!$C:$FA,81)</f>
        <v>23.925699999999999</v>
      </c>
    </row>
    <row r="160" spans="1:15" x14ac:dyDescent="0.25">
      <c r="A160" s="100" t="str">
        <f>'Data Vlaue (Cr)'!C155</f>
        <v>PFC</v>
      </c>
      <c r="B160" s="82">
        <f>VLOOKUP(A160,'Data shares'!$C$2:$CV$214,98,0)</f>
        <v>95925700</v>
      </c>
      <c r="C160" s="82">
        <f>VLOOKUP(A160,'Data shares'!$C$2:$CX$214,100,0)</f>
        <v>3915600</v>
      </c>
      <c r="D160" s="141">
        <f>VLOOKUP(A160,'Data shares'!$C$2:$CY$537,101,0)</f>
        <v>4.2599999999999999E-2</v>
      </c>
      <c r="E160" s="86">
        <f>VLOOKUP($A160,'Data shares'!$C:$FA,74)</f>
        <v>62791300</v>
      </c>
      <c r="F160" s="86">
        <f>VLOOKUP($A160,'Data shares'!$C:$FA,76)</f>
        <v>-780000</v>
      </c>
      <c r="G160" s="87">
        <f>VLOOKUP(A160,'Data shares'!$C$2:$CA$214,77,0)</f>
        <v>-1.23E-2</v>
      </c>
      <c r="H160" s="86">
        <f>VLOOKUP($A160,'Data shares'!$C:$FA,90)</f>
        <v>16629600</v>
      </c>
      <c r="I160" s="86">
        <f>VLOOKUP($A160,'Data shares'!$C:$FA,92)</f>
        <v>2856100</v>
      </c>
      <c r="J160" s="87">
        <f>VLOOKUP($A160,'Data shares'!$C:$FA,93)</f>
        <v>0.2074</v>
      </c>
      <c r="K160" s="86">
        <f>VLOOKUP($A160,'Data shares'!$C:$FA,94)</f>
        <v>16504800</v>
      </c>
      <c r="L160" s="86">
        <f>VLOOKUP($A160,'Data shares'!$C:$FA,96)</f>
        <v>1839500</v>
      </c>
      <c r="M160" s="87">
        <f>VLOOKUP($A160,'Data shares'!$C:$FA,97)</f>
        <v>0.12540000000000001</v>
      </c>
      <c r="N160" s="86">
        <f>VLOOKUP($A160,'Data shares'!$C:$FA,78)</f>
        <v>59655700</v>
      </c>
      <c r="O160" s="87">
        <f>VLOOKUP($A160,'Data shares'!$C:$FA,81)</f>
        <v>3.1107999999999998</v>
      </c>
    </row>
    <row r="161" spans="1:15" x14ac:dyDescent="0.25">
      <c r="A161" s="100" t="str">
        <f>'Data Vlaue (Cr)'!C156</f>
        <v>PGEL</v>
      </c>
      <c r="B161" s="82">
        <f>VLOOKUP(A161,'Data shares'!$C$2:$CV$214,98,0)</f>
        <v>16932800</v>
      </c>
      <c r="C161" s="82">
        <f>VLOOKUP(A161,'Data shares'!$C$2:$CX$214,100,0)</f>
        <v>962350</v>
      </c>
      <c r="D161" s="141">
        <f>VLOOKUP(A161,'Data shares'!$C$2:$CY$537,101,0)</f>
        <v>6.0299999999999999E-2</v>
      </c>
      <c r="E161" s="86">
        <f>VLOOKUP($A161,'Data shares'!$C:$FA,74)</f>
        <v>13724650</v>
      </c>
      <c r="F161" s="86">
        <f>VLOOKUP($A161,'Data shares'!$C:$FA,76)</f>
        <v>600400</v>
      </c>
      <c r="G161" s="87">
        <f>VLOOKUP(A161,'Data shares'!$C$2:$CA$214,77,0)</f>
        <v>4.5699999999999998E-2</v>
      </c>
      <c r="H161" s="86">
        <f>VLOOKUP($A161,'Data shares'!$C:$FA,90)</f>
        <v>1721400</v>
      </c>
      <c r="I161" s="86">
        <f>VLOOKUP($A161,'Data shares'!$C:$FA,92)</f>
        <v>141550</v>
      </c>
      <c r="J161" s="87">
        <f>VLOOKUP($A161,'Data shares'!$C:$FA,93)</f>
        <v>8.9599999999999999E-2</v>
      </c>
      <c r="K161" s="86">
        <f>VLOOKUP($A161,'Data shares'!$C:$FA,94)</f>
        <v>1486750</v>
      </c>
      <c r="L161" s="86">
        <f>VLOOKUP($A161,'Data shares'!$C:$FA,96)</f>
        <v>220400</v>
      </c>
      <c r="M161" s="87">
        <f>VLOOKUP($A161,'Data shares'!$C:$FA,97)</f>
        <v>0.17399999999999999</v>
      </c>
      <c r="N161" s="86">
        <f>VLOOKUP($A161,'Data shares'!$C:$FA,78)</f>
        <v>13474800</v>
      </c>
      <c r="O161" s="87">
        <f>VLOOKUP($A161,'Data shares'!$C:$FA,81)</f>
        <v>22.1387</v>
      </c>
    </row>
    <row r="162" spans="1:15" x14ac:dyDescent="0.25">
      <c r="A162" s="100" t="str">
        <f>'Data Vlaue (Cr)'!C157</f>
        <v>PHOENIXLTD</v>
      </c>
      <c r="B162" s="82">
        <f>VLOOKUP(A162,'Data shares'!$C$2:$CV$214,98,0)</f>
        <v>5003600</v>
      </c>
      <c r="C162" s="82">
        <f>VLOOKUP(A162,'Data shares'!$C$2:$CX$214,100,0)</f>
        <v>518350</v>
      </c>
      <c r="D162" s="141">
        <f>VLOOKUP(A162,'Data shares'!$C$2:$CY$537,101,0)</f>
        <v>0.11559999999999999</v>
      </c>
      <c r="E162" s="86">
        <f>VLOOKUP($A162,'Data shares'!$C:$FA,74)</f>
        <v>4128600</v>
      </c>
      <c r="F162" s="86">
        <f>VLOOKUP($A162,'Data shares'!$C:$FA,76)</f>
        <v>212100</v>
      </c>
      <c r="G162" s="87">
        <f>VLOOKUP(A162,'Data shares'!$C$2:$CA$214,77,0)</f>
        <v>5.4199999999999998E-2</v>
      </c>
      <c r="H162" s="86">
        <f>VLOOKUP($A162,'Data shares'!$C:$FA,90)</f>
        <v>546350</v>
      </c>
      <c r="I162" s="86">
        <f>VLOOKUP($A162,'Data shares'!$C:$FA,92)</f>
        <v>176050</v>
      </c>
      <c r="J162" s="87">
        <f>VLOOKUP($A162,'Data shares'!$C:$FA,93)</f>
        <v>0.47539999999999999</v>
      </c>
      <c r="K162" s="86">
        <f>VLOOKUP($A162,'Data shares'!$C:$FA,94)</f>
        <v>328650</v>
      </c>
      <c r="L162" s="86">
        <f>VLOOKUP($A162,'Data shares'!$C:$FA,96)</f>
        <v>130200</v>
      </c>
      <c r="M162" s="87">
        <f>VLOOKUP($A162,'Data shares'!$C:$FA,97)</f>
        <v>0.65610000000000002</v>
      </c>
      <c r="N162" s="86">
        <f>VLOOKUP($A162,'Data shares'!$C:$FA,78)</f>
        <v>4120200</v>
      </c>
      <c r="O162" s="87">
        <f>VLOOKUP($A162,'Data shares'!$C:$FA,81)</f>
        <v>34.8902</v>
      </c>
    </row>
    <row r="163" spans="1:15" x14ac:dyDescent="0.25">
      <c r="A163" s="100" t="str">
        <f>'Data Vlaue (Cr)'!C158</f>
        <v>PIDILITIND</v>
      </c>
      <c r="B163" s="82">
        <f>VLOOKUP(A163,'Data shares'!$C$2:$CV$214,98,0)</f>
        <v>10018500</v>
      </c>
      <c r="C163" s="82">
        <f>VLOOKUP(A163,'Data shares'!$C$2:$CX$214,100,0)</f>
        <v>811000</v>
      </c>
      <c r="D163" s="141">
        <f>VLOOKUP(A163,'Data shares'!$C$2:$CY$537,101,0)</f>
        <v>8.8099999999999998E-2</v>
      </c>
      <c r="E163" s="86">
        <f>VLOOKUP($A163,'Data shares'!$C:$FA,74)</f>
        <v>8715000</v>
      </c>
      <c r="F163" s="86">
        <f>VLOOKUP($A163,'Data shares'!$C:$FA,76)</f>
        <v>414000</v>
      </c>
      <c r="G163" s="87">
        <f>VLOOKUP(A163,'Data shares'!$C$2:$CA$214,77,0)</f>
        <v>4.99E-2</v>
      </c>
      <c r="H163" s="86">
        <f>VLOOKUP($A163,'Data shares'!$C:$FA,90)</f>
        <v>703500</v>
      </c>
      <c r="I163" s="86">
        <f>VLOOKUP($A163,'Data shares'!$C:$FA,92)</f>
        <v>288500</v>
      </c>
      <c r="J163" s="87">
        <f>VLOOKUP($A163,'Data shares'!$C:$FA,93)</f>
        <v>0.69520000000000004</v>
      </c>
      <c r="K163" s="86">
        <f>VLOOKUP($A163,'Data shares'!$C:$FA,94)</f>
        <v>600000</v>
      </c>
      <c r="L163" s="86">
        <f>VLOOKUP($A163,'Data shares'!$C:$FA,96)</f>
        <v>108500</v>
      </c>
      <c r="M163" s="87">
        <f>VLOOKUP($A163,'Data shares'!$C:$FA,97)</f>
        <v>0.2208</v>
      </c>
      <c r="N163" s="86">
        <f>VLOOKUP($A163,'Data shares'!$C:$FA,78)</f>
        <v>8670000</v>
      </c>
      <c r="O163" s="87">
        <f>VLOOKUP($A163,'Data shares'!$C:$FA,81)</f>
        <v>57.581099999999999</v>
      </c>
    </row>
    <row r="164" spans="1:15" x14ac:dyDescent="0.25">
      <c r="A164" s="100" t="str">
        <f>'Data Vlaue (Cr)'!C159</f>
        <v>PIIND</v>
      </c>
      <c r="B164" s="82">
        <f>VLOOKUP(A164,'Data shares'!$C$2:$CV$214,98,0)</f>
        <v>3244850</v>
      </c>
      <c r="C164" s="82">
        <f>VLOOKUP(A164,'Data shares'!$C$2:$CX$214,100,0)</f>
        <v>238525</v>
      </c>
      <c r="D164" s="141">
        <f>VLOOKUP(A164,'Data shares'!$C$2:$CY$537,101,0)</f>
        <v>7.9299999999999995E-2</v>
      </c>
      <c r="E164" s="86">
        <f>VLOOKUP($A164,'Data shares'!$C:$FA,74)</f>
        <v>2755725</v>
      </c>
      <c r="F164" s="86">
        <f>VLOOKUP($A164,'Data shares'!$C:$FA,76)</f>
        <v>50575</v>
      </c>
      <c r="G164" s="87">
        <f>VLOOKUP(A164,'Data shares'!$C$2:$CA$214,77,0)</f>
        <v>1.8700000000000001E-2</v>
      </c>
      <c r="H164" s="86">
        <f>VLOOKUP($A164,'Data shares'!$C:$FA,90)</f>
        <v>259350</v>
      </c>
      <c r="I164" s="86">
        <f>VLOOKUP($A164,'Data shares'!$C:$FA,92)</f>
        <v>116550</v>
      </c>
      <c r="J164" s="87">
        <f>VLOOKUP($A164,'Data shares'!$C:$FA,93)</f>
        <v>0.81620000000000004</v>
      </c>
      <c r="K164" s="86">
        <f>VLOOKUP($A164,'Data shares'!$C:$FA,94)</f>
        <v>229775</v>
      </c>
      <c r="L164" s="86">
        <f>VLOOKUP($A164,'Data shares'!$C:$FA,96)</f>
        <v>71400</v>
      </c>
      <c r="M164" s="87">
        <f>VLOOKUP($A164,'Data shares'!$C:$FA,97)</f>
        <v>0.45079999999999998</v>
      </c>
      <c r="N164" s="86">
        <f>VLOOKUP($A164,'Data shares'!$C:$FA,78)</f>
        <v>2643550</v>
      </c>
      <c r="O164" s="87">
        <f>VLOOKUP($A164,'Data shares'!$C:$FA,81)</f>
        <v>23.5227</v>
      </c>
    </row>
    <row r="165" spans="1:15" x14ac:dyDescent="0.25">
      <c r="A165" s="100" t="str">
        <f>'Data Vlaue (Cr)'!C160</f>
        <v>PNB</v>
      </c>
      <c r="B165" s="82">
        <f>VLOOKUP(A165,'Data shares'!$C$2:$CV$214,98,0)</f>
        <v>353432000</v>
      </c>
      <c r="C165" s="82">
        <f>VLOOKUP(A165,'Data shares'!$C$2:$CX$214,100,0)</f>
        <v>11912000</v>
      </c>
      <c r="D165" s="141">
        <f>VLOOKUP(A165,'Data shares'!$C$2:$CY$537,101,0)</f>
        <v>3.49E-2</v>
      </c>
      <c r="E165" s="86">
        <f>VLOOKUP($A165,'Data shares'!$C:$FA,74)</f>
        <v>233936000</v>
      </c>
      <c r="F165" s="86">
        <f>VLOOKUP($A165,'Data shares'!$C:$FA,76)</f>
        <v>1336000</v>
      </c>
      <c r="G165" s="87">
        <f>VLOOKUP(A165,'Data shares'!$C$2:$CA$214,77,0)</f>
        <v>5.7000000000000002E-3</v>
      </c>
      <c r="H165" s="86">
        <f>VLOOKUP($A165,'Data shares'!$C:$FA,90)</f>
        <v>72336000</v>
      </c>
      <c r="I165" s="86">
        <f>VLOOKUP($A165,'Data shares'!$C:$FA,92)</f>
        <v>4088000</v>
      </c>
      <c r="J165" s="87">
        <f>VLOOKUP($A165,'Data shares'!$C:$FA,93)</f>
        <v>5.9900000000000002E-2</v>
      </c>
      <c r="K165" s="86">
        <f>VLOOKUP($A165,'Data shares'!$C:$FA,94)</f>
        <v>47160000</v>
      </c>
      <c r="L165" s="86">
        <f>VLOOKUP($A165,'Data shares'!$C:$FA,96)</f>
        <v>6488000</v>
      </c>
      <c r="M165" s="87">
        <f>VLOOKUP($A165,'Data shares'!$C:$FA,97)</f>
        <v>0.1595</v>
      </c>
      <c r="N165" s="86">
        <f>VLOOKUP($A165,'Data shares'!$C:$FA,78)</f>
        <v>227000000</v>
      </c>
      <c r="O165" s="87">
        <f>VLOOKUP($A165,'Data shares'!$C:$FA,81)</f>
        <v>25.844799999999999</v>
      </c>
    </row>
    <row r="166" spans="1:15" x14ac:dyDescent="0.25">
      <c r="A166" s="100" t="str">
        <f>'Data Vlaue (Cr)'!C161</f>
        <v>PNBHOUSING</v>
      </c>
      <c r="B166" s="82">
        <f>VLOOKUP(A166,'Data shares'!$C$2:$CV$214,98,0)</f>
        <v>20032350</v>
      </c>
      <c r="C166" s="82">
        <f>VLOOKUP(A166,'Data shares'!$C$2:$CX$214,100,0)</f>
        <v>570700</v>
      </c>
      <c r="D166" s="141">
        <f>VLOOKUP(A166,'Data shares'!$C$2:$CY$537,101,0)</f>
        <v>2.93E-2</v>
      </c>
      <c r="E166" s="86">
        <f>VLOOKUP($A166,'Data shares'!$C:$FA,74)</f>
        <v>15336100</v>
      </c>
      <c r="F166" s="86">
        <f>VLOOKUP($A166,'Data shares'!$C:$FA,76)</f>
        <v>43550</v>
      </c>
      <c r="G166" s="87">
        <f>VLOOKUP(A166,'Data shares'!$C$2:$CA$214,77,0)</f>
        <v>2.8E-3</v>
      </c>
      <c r="H166" s="86">
        <f>VLOOKUP($A166,'Data shares'!$C:$FA,90)</f>
        <v>2568150</v>
      </c>
      <c r="I166" s="86">
        <f>VLOOKUP($A166,'Data shares'!$C:$FA,92)</f>
        <v>408850</v>
      </c>
      <c r="J166" s="87">
        <f>VLOOKUP($A166,'Data shares'!$C:$FA,93)</f>
        <v>0.1893</v>
      </c>
      <c r="K166" s="86">
        <f>VLOOKUP($A166,'Data shares'!$C:$FA,94)</f>
        <v>2128100</v>
      </c>
      <c r="L166" s="86">
        <f>VLOOKUP($A166,'Data shares'!$C:$FA,96)</f>
        <v>118300</v>
      </c>
      <c r="M166" s="87">
        <f>VLOOKUP($A166,'Data shares'!$C:$FA,97)</f>
        <v>5.8900000000000001E-2</v>
      </c>
      <c r="N166" s="86">
        <f>VLOOKUP($A166,'Data shares'!$C:$FA,78)</f>
        <v>15198950</v>
      </c>
      <c r="O166" s="87">
        <f>VLOOKUP($A166,'Data shares'!$C:$FA,81)</f>
        <v>34.482500000000002</v>
      </c>
    </row>
    <row r="167" spans="1:15" x14ac:dyDescent="0.25">
      <c r="A167" s="100" t="str">
        <f>'Data Vlaue (Cr)'!C162</f>
        <v>POLICYBZR</v>
      </c>
      <c r="B167" s="82">
        <f>VLOOKUP(A167,'Data shares'!$C$2:$CV$214,98,0)</f>
        <v>8172150</v>
      </c>
      <c r="C167" s="82">
        <f>VLOOKUP(A167,'Data shares'!$C$2:$CX$214,100,0)</f>
        <v>184100</v>
      </c>
      <c r="D167" s="141">
        <f>VLOOKUP(A167,'Data shares'!$C$2:$CY$537,101,0)</f>
        <v>2.3E-2</v>
      </c>
      <c r="E167" s="86">
        <f>VLOOKUP($A167,'Data shares'!$C:$FA,74)</f>
        <v>6771100</v>
      </c>
      <c r="F167" s="86">
        <f>VLOOKUP($A167,'Data shares'!$C:$FA,76)</f>
        <v>-9800</v>
      </c>
      <c r="G167" s="87">
        <f>VLOOKUP(A167,'Data shares'!$C$2:$CA$214,77,0)</f>
        <v>-1.4E-3</v>
      </c>
      <c r="H167" s="86">
        <f>VLOOKUP($A167,'Data shares'!$C:$FA,90)</f>
        <v>694400</v>
      </c>
      <c r="I167" s="86">
        <f>VLOOKUP($A167,'Data shares'!$C:$FA,92)</f>
        <v>135450</v>
      </c>
      <c r="J167" s="87">
        <f>VLOOKUP($A167,'Data shares'!$C:$FA,93)</f>
        <v>0.24229999999999999</v>
      </c>
      <c r="K167" s="86">
        <f>VLOOKUP($A167,'Data shares'!$C:$FA,94)</f>
        <v>706650</v>
      </c>
      <c r="L167" s="86">
        <f>VLOOKUP($A167,'Data shares'!$C:$FA,96)</f>
        <v>58450</v>
      </c>
      <c r="M167" s="87">
        <f>VLOOKUP($A167,'Data shares'!$C:$FA,97)</f>
        <v>9.0200000000000002E-2</v>
      </c>
      <c r="N167" s="86">
        <f>VLOOKUP($A167,'Data shares'!$C:$FA,78)</f>
        <v>6717550</v>
      </c>
      <c r="O167" s="87">
        <f>VLOOKUP($A167,'Data shares'!$C:$FA,81)</f>
        <v>16.495899999999999</v>
      </c>
    </row>
    <row r="168" spans="1:15" x14ac:dyDescent="0.25">
      <c r="A168" s="100" t="str">
        <f>'Data Vlaue (Cr)'!C163</f>
        <v>POLYCAB</v>
      </c>
      <c r="B168" s="82">
        <f>VLOOKUP(A168,'Data shares'!$C$2:$CV$214,98,0)</f>
        <v>4676750</v>
      </c>
      <c r="C168" s="82">
        <f>VLOOKUP(A168,'Data shares'!$C$2:$CX$214,100,0)</f>
        <v>23875</v>
      </c>
      <c r="D168" s="141">
        <f>VLOOKUP(A168,'Data shares'!$C$2:$CY$537,101,0)</f>
        <v>5.1000000000000004E-3</v>
      </c>
      <c r="E168" s="86">
        <f>VLOOKUP($A168,'Data shares'!$C:$FA,74)</f>
        <v>3412375</v>
      </c>
      <c r="F168" s="86">
        <f>VLOOKUP($A168,'Data shares'!$C:$FA,76)</f>
        <v>-93500</v>
      </c>
      <c r="G168" s="87">
        <f>VLOOKUP(A168,'Data shares'!$C$2:$CA$214,77,0)</f>
        <v>-2.6700000000000002E-2</v>
      </c>
      <c r="H168" s="86">
        <f>VLOOKUP($A168,'Data shares'!$C:$FA,90)</f>
        <v>821125</v>
      </c>
      <c r="I168" s="86">
        <f>VLOOKUP($A168,'Data shares'!$C:$FA,92)</f>
        <v>91875</v>
      </c>
      <c r="J168" s="87">
        <f>VLOOKUP($A168,'Data shares'!$C:$FA,93)</f>
        <v>0.126</v>
      </c>
      <c r="K168" s="86">
        <f>VLOOKUP($A168,'Data shares'!$C:$FA,94)</f>
        <v>443250</v>
      </c>
      <c r="L168" s="86">
        <f>VLOOKUP($A168,'Data shares'!$C:$FA,96)</f>
        <v>25500</v>
      </c>
      <c r="M168" s="87">
        <f>VLOOKUP($A168,'Data shares'!$C:$FA,97)</f>
        <v>6.0999999999999999E-2</v>
      </c>
      <c r="N168" s="86">
        <f>VLOOKUP($A168,'Data shares'!$C:$FA,78)</f>
        <v>3364875</v>
      </c>
      <c r="O168" s="87">
        <f>VLOOKUP($A168,'Data shares'!$C:$FA,81)</f>
        <v>10.0008</v>
      </c>
    </row>
    <row r="169" spans="1:15" x14ac:dyDescent="0.25">
      <c r="A169" s="100" t="str">
        <f>'Data Vlaue (Cr)'!C164</f>
        <v>POWERGRID</v>
      </c>
      <c r="B169" s="82">
        <f>VLOOKUP(A169,'Data shares'!$C$2:$CV$214,98,0)</f>
        <v>133408500</v>
      </c>
      <c r="C169" s="82">
        <f>VLOOKUP(A169,'Data shares'!$C$2:$CX$214,100,0)</f>
        <v>8225100</v>
      </c>
      <c r="D169" s="141">
        <f>VLOOKUP(A169,'Data shares'!$C$2:$CY$537,101,0)</f>
        <v>6.5699999999999995E-2</v>
      </c>
      <c r="E169" s="86">
        <f>VLOOKUP($A169,'Data shares'!$C:$FA,74)</f>
        <v>99064100</v>
      </c>
      <c r="F169" s="86">
        <f>VLOOKUP($A169,'Data shares'!$C:$FA,76)</f>
        <v>2513700</v>
      </c>
      <c r="G169" s="87">
        <f>VLOOKUP(A169,'Data shares'!$C$2:$CA$214,77,0)</f>
        <v>2.5999999999999999E-2</v>
      </c>
      <c r="H169" s="86">
        <f>VLOOKUP($A169,'Data shares'!$C:$FA,90)</f>
        <v>16283000</v>
      </c>
      <c r="I169" s="86">
        <f>VLOOKUP($A169,'Data shares'!$C:$FA,92)</f>
        <v>3972900</v>
      </c>
      <c r="J169" s="87">
        <f>VLOOKUP($A169,'Data shares'!$C:$FA,93)</f>
        <v>0.32269999999999999</v>
      </c>
      <c r="K169" s="86">
        <f>VLOOKUP($A169,'Data shares'!$C:$FA,94)</f>
        <v>18061400</v>
      </c>
      <c r="L169" s="86">
        <f>VLOOKUP($A169,'Data shares'!$C:$FA,96)</f>
        <v>1738500</v>
      </c>
      <c r="M169" s="87">
        <f>VLOOKUP($A169,'Data shares'!$C:$FA,97)</f>
        <v>0.1065</v>
      </c>
      <c r="N169" s="86">
        <f>VLOOKUP($A169,'Data shares'!$C:$FA,78)</f>
        <v>96972200</v>
      </c>
      <c r="O169" s="87">
        <f>VLOOKUP($A169,'Data shares'!$C:$FA,81)</f>
        <v>10.0138</v>
      </c>
    </row>
    <row r="170" spans="1:15" x14ac:dyDescent="0.25">
      <c r="A170" s="100" t="str">
        <f>'Data Vlaue (Cr)'!C165</f>
        <v>POWERINDIA</v>
      </c>
      <c r="B170" s="82">
        <f>VLOOKUP(A170,'Data shares'!$C$2:$CV$214,98,0)</f>
        <v>390700</v>
      </c>
      <c r="C170" s="82">
        <f>VLOOKUP(A170,'Data shares'!$C$2:$CX$214,100,0)</f>
        <v>53850</v>
      </c>
      <c r="D170" s="141">
        <f>VLOOKUP(A170,'Data shares'!$C$2:$CY$537,101,0)</f>
        <v>0.15989999999999999</v>
      </c>
      <c r="E170" s="86">
        <f>VLOOKUP($A170,'Data shares'!$C:$FA,74)</f>
        <v>295100</v>
      </c>
      <c r="F170" s="86">
        <f>VLOOKUP($A170,'Data shares'!$C:$FA,76)</f>
        <v>25500</v>
      </c>
      <c r="G170" s="87">
        <f>VLOOKUP(A170,'Data shares'!$C$2:$CA$214,77,0)</f>
        <v>9.4600000000000004E-2</v>
      </c>
      <c r="H170" s="86">
        <f>VLOOKUP($A170,'Data shares'!$C:$FA,90)</f>
        <v>60200</v>
      </c>
      <c r="I170" s="86">
        <f>VLOOKUP($A170,'Data shares'!$C:$FA,92)</f>
        <v>19050</v>
      </c>
      <c r="J170" s="87">
        <f>VLOOKUP($A170,'Data shares'!$C:$FA,93)</f>
        <v>0.46289999999999998</v>
      </c>
      <c r="K170" s="86">
        <f>VLOOKUP($A170,'Data shares'!$C:$FA,94)</f>
        <v>35400</v>
      </c>
      <c r="L170" s="86">
        <f>VLOOKUP($A170,'Data shares'!$C:$FA,96)</f>
        <v>9300</v>
      </c>
      <c r="M170" s="87">
        <f>VLOOKUP($A170,'Data shares'!$C:$FA,97)</f>
        <v>0.35630000000000001</v>
      </c>
      <c r="N170" s="86">
        <f>VLOOKUP($A170,'Data shares'!$C:$FA,78)</f>
        <v>288750</v>
      </c>
      <c r="O170" s="87">
        <f>VLOOKUP($A170,'Data shares'!$C:$FA,81)</f>
        <v>6.2096999999999998</v>
      </c>
    </row>
    <row r="171" spans="1:15" x14ac:dyDescent="0.25">
      <c r="A171" s="100" t="str">
        <f>'Data Vlaue (Cr)'!C166</f>
        <v>PPLPHARMA</v>
      </c>
      <c r="B171" s="82">
        <f>VLOOKUP(A171,'Data shares'!$C$2:$CV$214,98,0)</f>
        <v>36849750</v>
      </c>
      <c r="C171" s="82">
        <f>VLOOKUP(A171,'Data shares'!$C$2:$CX$214,100,0)</f>
        <v>8940750</v>
      </c>
      <c r="D171" s="141">
        <f>VLOOKUP(A171,'Data shares'!$C$2:$CY$537,101,0)</f>
        <v>0.32040000000000002</v>
      </c>
      <c r="E171" s="86">
        <f>VLOOKUP($A171,'Data shares'!$C:$FA,74)</f>
        <v>23294250</v>
      </c>
      <c r="F171" s="86">
        <f>VLOOKUP($A171,'Data shares'!$C:$FA,76)</f>
        <v>910875</v>
      </c>
      <c r="G171" s="87">
        <f>VLOOKUP(A171,'Data shares'!$C$2:$CA$214,77,0)</f>
        <v>4.07E-2</v>
      </c>
      <c r="H171" s="86">
        <f>VLOOKUP($A171,'Data shares'!$C:$FA,90)</f>
        <v>6533625</v>
      </c>
      <c r="I171" s="86">
        <f>VLOOKUP($A171,'Data shares'!$C:$FA,92)</f>
        <v>4011000</v>
      </c>
      <c r="J171" s="87">
        <f>VLOOKUP($A171,'Data shares'!$C:$FA,93)</f>
        <v>1.59</v>
      </c>
      <c r="K171" s="86">
        <f>VLOOKUP($A171,'Data shares'!$C:$FA,94)</f>
        <v>7021875</v>
      </c>
      <c r="L171" s="86">
        <f>VLOOKUP($A171,'Data shares'!$C:$FA,96)</f>
        <v>4018875</v>
      </c>
      <c r="M171" s="87">
        <f>VLOOKUP($A171,'Data shares'!$C:$FA,97)</f>
        <v>1.3383</v>
      </c>
      <c r="N171" s="86">
        <f>VLOOKUP($A171,'Data shares'!$C:$FA,78)</f>
        <v>21819000</v>
      </c>
      <c r="O171" s="87">
        <f>VLOOKUP($A171,'Data shares'!$C:$FA,81)</f>
        <v>14.5655</v>
      </c>
    </row>
    <row r="172" spans="1:15" x14ac:dyDescent="0.25">
      <c r="A172" s="100" t="str">
        <f>'Data Vlaue (Cr)'!C167</f>
        <v>PREMIERENE</v>
      </c>
      <c r="B172" s="82">
        <f>VLOOKUP(A172,'Data shares'!$C$2:$CV$214,98,0)</f>
        <v>7514675</v>
      </c>
      <c r="C172" s="82">
        <f>VLOOKUP(A172,'Data shares'!$C$2:$CX$214,100,0)</f>
        <v>127075</v>
      </c>
      <c r="D172" s="141">
        <f>VLOOKUP(A172,'Data shares'!$C$2:$CY$537,101,0)</f>
        <v>1.72E-2</v>
      </c>
      <c r="E172" s="86">
        <f>VLOOKUP($A172,'Data shares'!$C:$FA,74)</f>
        <v>5445250</v>
      </c>
      <c r="F172" s="86">
        <f>VLOOKUP($A172,'Data shares'!$C:$FA,76)</f>
        <v>-18975</v>
      </c>
      <c r="G172" s="87">
        <f>VLOOKUP(A172,'Data shares'!$C$2:$CA$214,77,0)</f>
        <v>-3.5000000000000001E-3</v>
      </c>
      <c r="H172" s="86">
        <f>VLOOKUP($A172,'Data shares'!$C:$FA,90)</f>
        <v>1293750</v>
      </c>
      <c r="I172" s="86">
        <f>VLOOKUP($A172,'Data shares'!$C:$FA,92)</f>
        <v>66700</v>
      </c>
      <c r="J172" s="87">
        <f>VLOOKUP($A172,'Data shares'!$C:$FA,93)</f>
        <v>5.4399999999999997E-2</v>
      </c>
      <c r="K172" s="86">
        <f>VLOOKUP($A172,'Data shares'!$C:$FA,94)</f>
        <v>775675</v>
      </c>
      <c r="L172" s="86">
        <f>VLOOKUP($A172,'Data shares'!$C:$FA,96)</f>
        <v>79350</v>
      </c>
      <c r="M172" s="87">
        <f>VLOOKUP($A172,'Data shares'!$C:$FA,97)</f>
        <v>0.114</v>
      </c>
      <c r="N172" s="86">
        <f>VLOOKUP($A172,'Data shares'!$C:$FA,78)</f>
        <v>5250325</v>
      </c>
      <c r="O172" s="87">
        <f>VLOOKUP($A172,'Data shares'!$C:$FA,81)</f>
        <v>21.5457</v>
      </c>
    </row>
    <row r="173" spans="1:15" x14ac:dyDescent="0.25">
      <c r="A173" s="100" t="str">
        <f>'Data Vlaue (Cr)'!C168</f>
        <v>PRESTIGE</v>
      </c>
      <c r="B173" s="82">
        <f>VLOOKUP(A173,'Data shares'!$C$2:$CV$214,98,0)</f>
        <v>4981050</v>
      </c>
      <c r="C173" s="82">
        <f>VLOOKUP(A173,'Data shares'!$C$2:$CX$214,100,0)</f>
        <v>154800</v>
      </c>
      <c r="D173" s="141">
        <f>VLOOKUP(A173,'Data shares'!$C$2:$CY$537,101,0)</f>
        <v>3.2099999999999997E-2</v>
      </c>
      <c r="E173" s="86">
        <f>VLOOKUP($A173,'Data shares'!$C:$FA,74)</f>
        <v>4170150</v>
      </c>
      <c r="F173" s="86">
        <f>VLOOKUP($A173,'Data shares'!$C:$FA,76)</f>
        <v>-49950</v>
      </c>
      <c r="G173" s="87">
        <f>VLOOKUP(A173,'Data shares'!$C$2:$CA$214,77,0)</f>
        <v>-1.18E-2</v>
      </c>
      <c r="H173" s="86">
        <f>VLOOKUP($A173,'Data shares'!$C:$FA,90)</f>
        <v>452700</v>
      </c>
      <c r="I173" s="86">
        <f>VLOOKUP($A173,'Data shares'!$C:$FA,92)</f>
        <v>166950</v>
      </c>
      <c r="J173" s="87">
        <f>VLOOKUP($A173,'Data shares'!$C:$FA,93)</f>
        <v>0.58430000000000004</v>
      </c>
      <c r="K173" s="86">
        <f>VLOOKUP($A173,'Data shares'!$C:$FA,94)</f>
        <v>358200</v>
      </c>
      <c r="L173" s="86">
        <f>VLOOKUP($A173,'Data shares'!$C:$FA,96)</f>
        <v>37800</v>
      </c>
      <c r="M173" s="87">
        <f>VLOOKUP($A173,'Data shares'!$C:$FA,97)</f>
        <v>0.11799999999999999</v>
      </c>
      <c r="N173" s="86">
        <f>VLOOKUP($A173,'Data shares'!$C:$FA,78)</f>
        <v>4129650</v>
      </c>
      <c r="O173" s="87">
        <f>VLOOKUP($A173,'Data shares'!$C:$FA,81)</f>
        <v>25.523099999999999</v>
      </c>
    </row>
    <row r="174" spans="1:15" x14ac:dyDescent="0.25">
      <c r="A174" s="100" t="str">
        <f>'Data Vlaue (Cr)'!C169</f>
        <v>RBLBANK</v>
      </c>
      <c r="B174" s="82">
        <f>VLOOKUP(A174,'Data shares'!$C$2:$CV$214,98,0)</f>
        <v>111880650</v>
      </c>
      <c r="C174" s="82">
        <f>VLOOKUP(A174,'Data shares'!$C$2:$CX$214,100,0)</f>
        <v>4187825</v>
      </c>
      <c r="D174" s="141">
        <f>VLOOKUP(A174,'Data shares'!$C$2:$CY$537,101,0)</f>
        <v>3.8899999999999997E-2</v>
      </c>
      <c r="E174" s="86">
        <f>VLOOKUP($A174,'Data shares'!$C:$FA,74)</f>
        <v>77863700</v>
      </c>
      <c r="F174" s="86">
        <f>VLOOKUP($A174,'Data shares'!$C:$FA,76)</f>
        <v>-485775</v>
      </c>
      <c r="G174" s="87">
        <f>VLOOKUP(A174,'Data shares'!$C$2:$CA$214,77,0)</f>
        <v>-6.1999999999999998E-3</v>
      </c>
      <c r="H174" s="86">
        <f>VLOOKUP($A174,'Data shares'!$C:$FA,90)</f>
        <v>20456525</v>
      </c>
      <c r="I174" s="86">
        <f>VLOOKUP($A174,'Data shares'!$C:$FA,92)</f>
        <v>3600450</v>
      </c>
      <c r="J174" s="87">
        <f>VLOOKUP($A174,'Data shares'!$C:$FA,93)</f>
        <v>0.21360000000000001</v>
      </c>
      <c r="K174" s="86">
        <f>VLOOKUP($A174,'Data shares'!$C:$FA,94)</f>
        <v>13560425</v>
      </c>
      <c r="L174" s="86">
        <f>VLOOKUP($A174,'Data shares'!$C:$FA,96)</f>
        <v>1073150</v>
      </c>
      <c r="M174" s="87">
        <f>VLOOKUP($A174,'Data shares'!$C:$FA,97)</f>
        <v>8.5900000000000004E-2</v>
      </c>
      <c r="N174" s="86">
        <f>VLOOKUP($A174,'Data shares'!$C:$FA,78)</f>
        <v>77412850</v>
      </c>
      <c r="O174" s="87">
        <f>VLOOKUP($A174,'Data shares'!$C:$FA,81)</f>
        <v>21.165500000000002</v>
      </c>
    </row>
    <row r="175" spans="1:15" x14ac:dyDescent="0.25">
      <c r="A175" s="100" t="str">
        <f>'Data Vlaue (Cr)'!C170</f>
        <v>RECLTD</v>
      </c>
      <c r="B175" s="82">
        <f>VLOOKUP(A175,'Data shares'!$C$2:$CV$214,98,0)</f>
        <v>118223000</v>
      </c>
      <c r="C175" s="82">
        <f>VLOOKUP(A175,'Data shares'!$C$2:$CX$214,100,0)</f>
        <v>4205600</v>
      </c>
      <c r="D175" s="141">
        <f>VLOOKUP(A175,'Data shares'!$C$2:$CY$537,101,0)</f>
        <v>3.6900000000000002E-2</v>
      </c>
      <c r="E175" s="86">
        <f>VLOOKUP($A175,'Data shares'!$C:$FA,74)</f>
        <v>77891800</v>
      </c>
      <c r="F175" s="86">
        <f>VLOOKUP($A175,'Data shares'!$C:$FA,76)</f>
        <v>606200</v>
      </c>
      <c r="G175" s="87">
        <f>VLOOKUP(A175,'Data shares'!$C$2:$CA$214,77,0)</f>
        <v>7.7999999999999996E-3</v>
      </c>
      <c r="H175" s="86">
        <f>VLOOKUP($A175,'Data shares'!$C:$FA,90)</f>
        <v>21655200</v>
      </c>
      <c r="I175" s="86">
        <f>VLOOKUP($A175,'Data shares'!$C:$FA,92)</f>
        <v>3267600</v>
      </c>
      <c r="J175" s="87">
        <f>VLOOKUP($A175,'Data shares'!$C:$FA,93)</f>
        <v>0.1777</v>
      </c>
      <c r="K175" s="86">
        <f>VLOOKUP($A175,'Data shares'!$C:$FA,94)</f>
        <v>18676000</v>
      </c>
      <c r="L175" s="86">
        <f>VLOOKUP($A175,'Data shares'!$C:$FA,96)</f>
        <v>331800</v>
      </c>
      <c r="M175" s="87">
        <f>VLOOKUP($A175,'Data shares'!$C:$FA,97)</f>
        <v>1.8100000000000002E-2</v>
      </c>
      <c r="N175" s="86">
        <f>VLOOKUP($A175,'Data shares'!$C:$FA,78)</f>
        <v>74179000</v>
      </c>
      <c r="O175" s="87">
        <f>VLOOKUP($A175,'Data shares'!$C:$FA,81)</f>
        <v>11.8231</v>
      </c>
    </row>
    <row r="176" spans="1:15" x14ac:dyDescent="0.25">
      <c r="A176" s="100" t="str">
        <f>'Data Vlaue (Cr)'!C171</f>
        <v>RELIANCE</v>
      </c>
      <c r="B176" s="82">
        <f>VLOOKUP(A176,'Data shares'!$C$2:$CV$214,98,0)</f>
        <v>185674500</v>
      </c>
      <c r="C176" s="82">
        <f>VLOOKUP(A176,'Data shares'!$C$2:$CX$214,100,0)</f>
        <v>4540000</v>
      </c>
      <c r="D176" s="141">
        <f>VLOOKUP(A176,'Data shares'!$C$2:$CY$537,101,0)</f>
        <v>2.5100000000000001E-2</v>
      </c>
      <c r="E176" s="86">
        <f>VLOOKUP($A176,'Data shares'!$C:$FA,74)</f>
        <v>117875000</v>
      </c>
      <c r="F176" s="86">
        <f>VLOOKUP($A176,'Data shares'!$C:$FA,76)</f>
        <v>-2119500</v>
      </c>
      <c r="G176" s="87">
        <f>VLOOKUP(A176,'Data shares'!$C$2:$CA$214,77,0)</f>
        <v>-1.77E-2</v>
      </c>
      <c r="H176" s="86">
        <f>VLOOKUP($A176,'Data shares'!$C:$FA,90)</f>
        <v>41126500</v>
      </c>
      <c r="I176" s="86">
        <f>VLOOKUP($A176,'Data shares'!$C:$FA,92)</f>
        <v>4772000</v>
      </c>
      <c r="J176" s="87">
        <f>VLOOKUP($A176,'Data shares'!$C:$FA,93)</f>
        <v>0.1313</v>
      </c>
      <c r="K176" s="86">
        <f>VLOOKUP($A176,'Data shares'!$C:$FA,94)</f>
        <v>26673000</v>
      </c>
      <c r="L176" s="86">
        <f>VLOOKUP($A176,'Data shares'!$C:$FA,96)</f>
        <v>1887500</v>
      </c>
      <c r="M176" s="87">
        <f>VLOOKUP($A176,'Data shares'!$C:$FA,97)</f>
        <v>7.6200000000000004E-2</v>
      </c>
      <c r="N176" s="86">
        <f>VLOOKUP($A176,'Data shares'!$C:$FA,78)</f>
        <v>106515500</v>
      </c>
      <c r="O176" s="87">
        <f>VLOOKUP($A176,'Data shares'!$C:$FA,81)</f>
        <v>6.4912999999999998</v>
      </c>
    </row>
    <row r="177" spans="1:15" x14ac:dyDescent="0.25">
      <c r="A177" s="100" t="str">
        <f>'Data Vlaue (Cr)'!C172</f>
        <v>RVNL</v>
      </c>
      <c r="B177" s="82">
        <f>VLOOKUP(A177,'Data shares'!$C$2:$CV$214,98,0)</f>
        <v>78988900</v>
      </c>
      <c r="C177" s="82">
        <f>VLOOKUP(A177,'Data shares'!$C$2:$CX$214,100,0)</f>
        <v>9044775</v>
      </c>
      <c r="D177" s="141">
        <f>VLOOKUP(A177,'Data shares'!$C$2:$CY$537,101,0)</f>
        <v>0.1293</v>
      </c>
      <c r="E177" s="86">
        <f>VLOOKUP($A177,'Data shares'!$C:$FA,74)</f>
        <v>47686750</v>
      </c>
      <c r="F177" s="86">
        <f>VLOOKUP($A177,'Data shares'!$C:$FA,76)</f>
        <v>1178825</v>
      </c>
      <c r="G177" s="87">
        <f>VLOOKUP(A177,'Data shares'!$C$2:$CA$214,77,0)</f>
        <v>2.53E-2</v>
      </c>
      <c r="H177" s="86">
        <f>VLOOKUP($A177,'Data shares'!$C:$FA,90)</f>
        <v>20136100</v>
      </c>
      <c r="I177" s="86">
        <f>VLOOKUP($A177,'Data shares'!$C:$FA,92)</f>
        <v>4324900</v>
      </c>
      <c r="J177" s="87">
        <f>VLOOKUP($A177,'Data shares'!$C:$FA,93)</f>
        <v>0.27350000000000002</v>
      </c>
      <c r="K177" s="86">
        <f>VLOOKUP($A177,'Data shares'!$C:$FA,94)</f>
        <v>11166050</v>
      </c>
      <c r="L177" s="86">
        <f>VLOOKUP($A177,'Data shares'!$C:$FA,96)</f>
        <v>3541050</v>
      </c>
      <c r="M177" s="87">
        <f>VLOOKUP($A177,'Data shares'!$C:$FA,97)</f>
        <v>0.46439999999999998</v>
      </c>
      <c r="N177" s="86">
        <f>VLOOKUP($A177,'Data shares'!$C:$FA,78)</f>
        <v>44650475</v>
      </c>
      <c r="O177" s="87">
        <f>VLOOKUP($A177,'Data shares'!$C:$FA,81)</f>
        <v>13.9306</v>
      </c>
    </row>
    <row r="178" spans="1:15" x14ac:dyDescent="0.25">
      <c r="A178" s="100" t="str">
        <f>'Data Vlaue (Cr)'!C173</f>
        <v>SAIL</v>
      </c>
      <c r="B178" s="82">
        <f>VLOOKUP(A178,'Data shares'!$C$2:$CV$214,98,0)</f>
        <v>239309900</v>
      </c>
      <c r="C178" s="82">
        <f>VLOOKUP(A178,'Data shares'!$C$2:$CX$214,100,0)</f>
        <v>14461900</v>
      </c>
      <c r="D178" s="141">
        <f>VLOOKUP(A178,'Data shares'!$C$2:$CY$537,101,0)</f>
        <v>6.4299999999999996E-2</v>
      </c>
      <c r="E178" s="86">
        <f>VLOOKUP($A178,'Data shares'!$C:$FA,74)</f>
        <v>197526900</v>
      </c>
      <c r="F178" s="86">
        <f>VLOOKUP($A178,'Data shares'!$C:$FA,76)</f>
        <v>5306300</v>
      </c>
      <c r="G178" s="87">
        <f>VLOOKUP(A178,'Data shares'!$C$2:$CA$214,77,0)</f>
        <v>2.76E-2</v>
      </c>
      <c r="H178" s="86">
        <f>VLOOKUP($A178,'Data shares'!$C:$FA,90)</f>
        <v>25572700</v>
      </c>
      <c r="I178" s="86">
        <f>VLOOKUP($A178,'Data shares'!$C:$FA,92)</f>
        <v>5851500</v>
      </c>
      <c r="J178" s="87">
        <f>VLOOKUP($A178,'Data shares'!$C:$FA,93)</f>
        <v>0.29670000000000002</v>
      </c>
      <c r="K178" s="86">
        <f>VLOOKUP($A178,'Data shares'!$C:$FA,94)</f>
        <v>16210300</v>
      </c>
      <c r="L178" s="86">
        <f>VLOOKUP($A178,'Data shares'!$C:$FA,96)</f>
        <v>3304100</v>
      </c>
      <c r="M178" s="87">
        <f>VLOOKUP($A178,'Data shares'!$C:$FA,97)</f>
        <v>0.25600000000000001</v>
      </c>
      <c r="N178" s="86">
        <f>VLOOKUP($A178,'Data shares'!$C:$FA,78)</f>
        <v>194504800</v>
      </c>
      <c r="O178" s="87">
        <f>VLOOKUP($A178,'Data shares'!$C:$FA,81)</f>
        <v>12.117000000000001</v>
      </c>
    </row>
    <row r="179" spans="1:15" x14ac:dyDescent="0.25">
      <c r="A179" s="100" t="str">
        <f>'Data Vlaue (Cr)'!C174</f>
        <v>SAMMAANCAP</v>
      </c>
      <c r="B179" s="82">
        <f>VLOOKUP(A179,'Data shares'!$C$2:$CV$214,98,0)</f>
        <v>130229800</v>
      </c>
      <c r="C179" s="82">
        <f>VLOOKUP(A179,'Data shares'!$C$2:$CX$214,100,0)</f>
        <v>49290900</v>
      </c>
      <c r="D179" s="141">
        <f>VLOOKUP(A179,'Data shares'!$C$2:$CY$537,101,0)</f>
        <v>0.60899999999999999</v>
      </c>
      <c r="E179" s="86">
        <f>VLOOKUP($A179,'Data shares'!$C:$FA,74)</f>
        <v>96229700</v>
      </c>
      <c r="F179" s="86">
        <f>VLOOKUP($A179,'Data shares'!$C:$FA,76)</f>
        <v>15815400</v>
      </c>
      <c r="G179" s="87">
        <f>VLOOKUP(A179,'Data shares'!$C$2:$CA$214,77,0)</f>
        <v>0.19670000000000001</v>
      </c>
      <c r="H179" s="86">
        <f>VLOOKUP($A179,'Data shares'!$C:$FA,90)</f>
        <v>19143600</v>
      </c>
      <c r="I179" s="86">
        <f>VLOOKUP($A179,'Data shares'!$C:$FA,92)</f>
        <v>18679200</v>
      </c>
      <c r="J179" s="87">
        <f>VLOOKUP($A179,'Data shares'!$C:$FA,93)</f>
        <v>40.222200000000001</v>
      </c>
      <c r="K179" s="86">
        <f>VLOOKUP($A179,'Data shares'!$C:$FA,94)</f>
        <v>14856500</v>
      </c>
      <c r="L179" s="86">
        <f>VLOOKUP($A179,'Data shares'!$C:$FA,96)</f>
        <v>14796300</v>
      </c>
      <c r="M179" s="87">
        <f>VLOOKUP($A179,'Data shares'!$C:$FA,97)</f>
        <v>245.78569999999999</v>
      </c>
      <c r="N179" s="86">
        <f>VLOOKUP($A179,'Data shares'!$C:$FA,78)</f>
        <v>92458600</v>
      </c>
      <c r="O179" s="87">
        <f>VLOOKUP($A179,'Data shares'!$C:$FA,81)</f>
        <v>6.3914999999999997</v>
      </c>
    </row>
    <row r="180" spans="1:15" x14ac:dyDescent="0.25">
      <c r="A180" s="100" t="str">
        <f>'Data Vlaue (Cr)'!C175</f>
        <v>SBICARD</v>
      </c>
      <c r="B180" s="82">
        <f>VLOOKUP(A180,'Data shares'!$C$2:$CV$214,98,0)</f>
        <v>24394400</v>
      </c>
      <c r="C180" s="82">
        <f>VLOOKUP(A180,'Data shares'!$C$2:$CX$214,100,0)</f>
        <v>4148800</v>
      </c>
      <c r="D180" s="141">
        <f>VLOOKUP(A180,'Data shares'!$C$2:$CY$537,101,0)</f>
        <v>0.2049</v>
      </c>
      <c r="E180" s="86">
        <f>VLOOKUP($A180,'Data shares'!$C:$FA,74)</f>
        <v>16292000</v>
      </c>
      <c r="F180" s="86">
        <f>VLOOKUP($A180,'Data shares'!$C:$FA,76)</f>
        <v>592800</v>
      </c>
      <c r="G180" s="87">
        <f>VLOOKUP(A180,'Data shares'!$C$2:$CA$214,77,0)</f>
        <v>3.78E-2</v>
      </c>
      <c r="H180" s="86">
        <f>VLOOKUP($A180,'Data shares'!$C:$FA,90)</f>
        <v>4928000</v>
      </c>
      <c r="I180" s="86">
        <f>VLOOKUP($A180,'Data shares'!$C:$FA,92)</f>
        <v>2344800</v>
      </c>
      <c r="J180" s="87">
        <f>VLOOKUP($A180,'Data shares'!$C:$FA,93)</f>
        <v>0.90769999999999995</v>
      </c>
      <c r="K180" s="86">
        <f>VLOOKUP($A180,'Data shares'!$C:$FA,94)</f>
        <v>3174400</v>
      </c>
      <c r="L180" s="86">
        <f>VLOOKUP($A180,'Data shares'!$C:$FA,96)</f>
        <v>1211200</v>
      </c>
      <c r="M180" s="87">
        <f>VLOOKUP($A180,'Data shares'!$C:$FA,97)</f>
        <v>0.61699999999999999</v>
      </c>
      <c r="N180" s="86">
        <f>VLOOKUP($A180,'Data shares'!$C:$FA,78)</f>
        <v>15860000</v>
      </c>
      <c r="O180" s="87">
        <f>VLOOKUP($A180,'Data shares'!$C:$FA,81)</f>
        <v>11.0663</v>
      </c>
    </row>
    <row r="181" spans="1:15" x14ac:dyDescent="0.25">
      <c r="A181" s="100" t="str">
        <f>'Data Vlaue (Cr)'!C176</f>
        <v>SBILIFE</v>
      </c>
      <c r="B181" s="82">
        <f>VLOOKUP(A181,'Data shares'!$C$2:$CV$214,98,0)</f>
        <v>13054125</v>
      </c>
      <c r="C181" s="82">
        <f>VLOOKUP(A181,'Data shares'!$C$2:$CX$214,100,0)</f>
        <v>2136000</v>
      </c>
      <c r="D181" s="141">
        <f>VLOOKUP(A181,'Data shares'!$C$2:$CY$537,101,0)</f>
        <v>0.1956</v>
      </c>
      <c r="E181" s="86">
        <f>VLOOKUP($A181,'Data shares'!$C:$FA,74)</f>
        <v>9895125</v>
      </c>
      <c r="F181" s="86">
        <f>VLOOKUP($A181,'Data shares'!$C:$FA,76)</f>
        <v>152250</v>
      </c>
      <c r="G181" s="87">
        <f>VLOOKUP(A181,'Data shares'!$C$2:$CA$214,77,0)</f>
        <v>1.5599999999999999E-2</v>
      </c>
      <c r="H181" s="86">
        <f>VLOOKUP($A181,'Data shares'!$C:$FA,90)</f>
        <v>1689750</v>
      </c>
      <c r="I181" s="86">
        <f>VLOOKUP($A181,'Data shares'!$C:$FA,92)</f>
        <v>1066500</v>
      </c>
      <c r="J181" s="87">
        <f>VLOOKUP($A181,'Data shares'!$C:$FA,93)</f>
        <v>1.7112000000000001</v>
      </c>
      <c r="K181" s="86">
        <f>VLOOKUP($A181,'Data shares'!$C:$FA,94)</f>
        <v>1469250</v>
      </c>
      <c r="L181" s="86">
        <f>VLOOKUP($A181,'Data shares'!$C:$FA,96)</f>
        <v>917250</v>
      </c>
      <c r="M181" s="87">
        <f>VLOOKUP($A181,'Data shares'!$C:$FA,97)</f>
        <v>1.6617</v>
      </c>
      <c r="N181" s="86">
        <f>VLOOKUP($A181,'Data shares'!$C:$FA,78)</f>
        <v>9744750</v>
      </c>
      <c r="O181" s="87">
        <f>VLOOKUP($A181,'Data shares'!$C:$FA,81)</f>
        <v>6.5606999999999998</v>
      </c>
    </row>
    <row r="182" spans="1:15" x14ac:dyDescent="0.25">
      <c r="A182" s="100" t="str">
        <f>'Data Vlaue (Cr)'!C177</f>
        <v>SBIN</v>
      </c>
      <c r="B182" s="82">
        <f>VLOOKUP(A182,'Data shares'!$C$2:$CV$214,98,0)</f>
        <v>105625500</v>
      </c>
      <c r="C182" s="82">
        <f>VLOOKUP(A182,'Data shares'!$C$2:$CX$214,100,0)</f>
        <v>5957250</v>
      </c>
      <c r="D182" s="141">
        <f>VLOOKUP(A182,'Data shares'!$C$2:$CY$537,101,0)</f>
        <v>5.9799999999999999E-2</v>
      </c>
      <c r="E182" s="86">
        <f>VLOOKUP($A182,'Data shares'!$C:$FA,74)</f>
        <v>69930750</v>
      </c>
      <c r="F182" s="86">
        <f>VLOOKUP($A182,'Data shares'!$C:$FA,76)</f>
        <v>-1024500</v>
      </c>
      <c r="G182" s="87">
        <f>VLOOKUP(A182,'Data shares'!$C$2:$CA$214,77,0)</f>
        <v>-1.44E-2</v>
      </c>
      <c r="H182" s="86">
        <f>VLOOKUP($A182,'Data shares'!$C:$FA,90)</f>
        <v>16641000</v>
      </c>
      <c r="I182" s="86">
        <f>VLOOKUP($A182,'Data shares'!$C:$FA,92)</f>
        <v>3675000</v>
      </c>
      <c r="J182" s="87">
        <f>VLOOKUP($A182,'Data shares'!$C:$FA,93)</f>
        <v>0.28339999999999999</v>
      </c>
      <c r="K182" s="86">
        <f>VLOOKUP($A182,'Data shares'!$C:$FA,94)</f>
        <v>19053750</v>
      </c>
      <c r="L182" s="86">
        <f>VLOOKUP($A182,'Data shares'!$C:$FA,96)</f>
        <v>3306750</v>
      </c>
      <c r="M182" s="87">
        <f>VLOOKUP($A182,'Data shares'!$C:$FA,97)</f>
        <v>0.21</v>
      </c>
      <c r="N182" s="86">
        <f>VLOOKUP($A182,'Data shares'!$C:$FA,78)</f>
        <v>67217250</v>
      </c>
      <c r="O182" s="87">
        <f>VLOOKUP($A182,'Data shares'!$C:$FA,81)</f>
        <v>4.1060999999999996</v>
      </c>
    </row>
    <row r="183" spans="1:15" x14ac:dyDescent="0.25">
      <c r="A183" s="100" t="str">
        <f>'Data Vlaue (Cr)'!C178</f>
        <v>SHREECEM</v>
      </c>
      <c r="B183" s="82">
        <f>VLOOKUP(A183,'Data shares'!$C$2:$CV$214,98,0)</f>
        <v>300250</v>
      </c>
      <c r="C183" s="82">
        <f>VLOOKUP(A183,'Data shares'!$C$2:$CX$214,100,0)</f>
        <v>24625</v>
      </c>
      <c r="D183" s="141">
        <f>VLOOKUP(A183,'Data shares'!$C$2:$CY$537,101,0)</f>
        <v>8.9300000000000004E-2</v>
      </c>
      <c r="E183" s="86">
        <f>VLOOKUP($A183,'Data shares'!$C:$FA,74)</f>
        <v>269650</v>
      </c>
      <c r="F183" s="86">
        <f>VLOOKUP($A183,'Data shares'!$C:$FA,76)</f>
        <v>18650</v>
      </c>
      <c r="G183" s="87">
        <f>VLOOKUP(A183,'Data shares'!$C$2:$CA$214,77,0)</f>
        <v>7.4300000000000005E-2</v>
      </c>
      <c r="H183" s="86">
        <f>VLOOKUP($A183,'Data shares'!$C:$FA,90)</f>
        <v>16075</v>
      </c>
      <c r="I183" s="86">
        <f>VLOOKUP($A183,'Data shares'!$C:$FA,92)</f>
        <v>3475</v>
      </c>
      <c r="J183" s="87">
        <f>VLOOKUP($A183,'Data shares'!$C:$FA,93)</f>
        <v>0.27579999999999999</v>
      </c>
      <c r="K183" s="86">
        <f>VLOOKUP($A183,'Data shares'!$C:$FA,94)</f>
        <v>14525</v>
      </c>
      <c r="L183" s="86">
        <f>VLOOKUP($A183,'Data shares'!$C:$FA,96)</f>
        <v>2500</v>
      </c>
      <c r="M183" s="87">
        <f>VLOOKUP($A183,'Data shares'!$C:$FA,97)</f>
        <v>0.2079</v>
      </c>
      <c r="N183" s="86">
        <f>VLOOKUP($A183,'Data shares'!$C:$FA,78)</f>
        <v>268075</v>
      </c>
      <c r="O183" s="87">
        <f>VLOOKUP($A183,'Data shares'!$C:$FA,81)</f>
        <v>20.066800000000001</v>
      </c>
    </row>
    <row r="184" spans="1:15" x14ac:dyDescent="0.25">
      <c r="A184" s="100" t="str">
        <f>'Data Vlaue (Cr)'!C179</f>
        <v>SHRIRAMFIN</v>
      </c>
      <c r="B184" s="82">
        <f>VLOOKUP(A184,'Data shares'!$C$2:$CV$214,98,0)</f>
        <v>56208900</v>
      </c>
      <c r="C184" s="82">
        <f>VLOOKUP(A184,'Data shares'!$C$2:$CX$214,100,0)</f>
        <v>1419000</v>
      </c>
      <c r="D184" s="141">
        <f>VLOOKUP(A184,'Data shares'!$C$2:$CY$537,101,0)</f>
        <v>2.5899999999999999E-2</v>
      </c>
      <c r="E184" s="86">
        <f>VLOOKUP($A184,'Data shares'!$C:$FA,74)</f>
        <v>43670550</v>
      </c>
      <c r="F184" s="86">
        <f>VLOOKUP($A184,'Data shares'!$C:$FA,76)</f>
        <v>-855525</v>
      </c>
      <c r="G184" s="87">
        <f>VLOOKUP(A184,'Data shares'!$C$2:$CA$214,77,0)</f>
        <v>-1.9199999999999998E-2</v>
      </c>
      <c r="H184" s="86">
        <f>VLOOKUP($A184,'Data shares'!$C:$FA,90)</f>
        <v>7842450</v>
      </c>
      <c r="I184" s="86">
        <f>VLOOKUP($A184,'Data shares'!$C:$FA,92)</f>
        <v>1473450</v>
      </c>
      <c r="J184" s="87">
        <f>VLOOKUP($A184,'Data shares'!$C:$FA,93)</f>
        <v>0.23130000000000001</v>
      </c>
      <c r="K184" s="86">
        <f>VLOOKUP($A184,'Data shares'!$C:$FA,94)</f>
        <v>4695900</v>
      </c>
      <c r="L184" s="86">
        <f>VLOOKUP($A184,'Data shares'!$C:$FA,96)</f>
        <v>801075</v>
      </c>
      <c r="M184" s="87">
        <f>VLOOKUP($A184,'Data shares'!$C:$FA,97)</f>
        <v>0.20569999999999999</v>
      </c>
      <c r="N184" s="86">
        <f>VLOOKUP($A184,'Data shares'!$C:$FA,78)</f>
        <v>43032000</v>
      </c>
      <c r="O184" s="87">
        <f>VLOOKUP($A184,'Data shares'!$C:$FA,81)</f>
        <v>46.8093</v>
      </c>
    </row>
    <row r="185" spans="1:15" x14ac:dyDescent="0.25">
      <c r="A185" s="100" t="str">
        <f>'Data Vlaue (Cr)'!C180</f>
        <v>SIEMENS</v>
      </c>
      <c r="B185" s="82">
        <f>VLOOKUP(A185,'Data shares'!$C$2:$CV$214,98,0)</f>
        <v>3038700</v>
      </c>
      <c r="C185" s="82">
        <f>VLOOKUP(A185,'Data shares'!$C$2:$CX$214,100,0)</f>
        <v>186550</v>
      </c>
      <c r="D185" s="141">
        <f>VLOOKUP(A185,'Data shares'!$C$2:$CY$537,101,0)</f>
        <v>6.54E-2</v>
      </c>
      <c r="E185" s="86">
        <f>VLOOKUP($A185,'Data shares'!$C:$FA,74)</f>
        <v>2381225</v>
      </c>
      <c r="F185" s="86">
        <f>VLOOKUP($A185,'Data shares'!$C:$FA,76)</f>
        <v>-8575</v>
      </c>
      <c r="G185" s="87">
        <f>VLOOKUP(A185,'Data shares'!$C$2:$CA$214,77,0)</f>
        <v>-3.5999999999999999E-3</v>
      </c>
      <c r="H185" s="86">
        <f>VLOOKUP($A185,'Data shares'!$C:$FA,90)</f>
        <v>393050</v>
      </c>
      <c r="I185" s="86">
        <f>VLOOKUP($A185,'Data shares'!$C:$FA,92)</f>
        <v>119700</v>
      </c>
      <c r="J185" s="87">
        <f>VLOOKUP($A185,'Data shares'!$C:$FA,93)</f>
        <v>0.43790000000000001</v>
      </c>
      <c r="K185" s="86">
        <f>VLOOKUP($A185,'Data shares'!$C:$FA,94)</f>
        <v>264425</v>
      </c>
      <c r="L185" s="86">
        <f>VLOOKUP($A185,'Data shares'!$C:$FA,96)</f>
        <v>75425</v>
      </c>
      <c r="M185" s="87">
        <f>VLOOKUP($A185,'Data shares'!$C:$FA,97)</f>
        <v>0.39910000000000001</v>
      </c>
      <c r="N185" s="86">
        <f>VLOOKUP($A185,'Data shares'!$C:$FA,78)</f>
        <v>2331875</v>
      </c>
      <c r="O185" s="87">
        <f>VLOOKUP($A185,'Data shares'!$C:$FA,81)</f>
        <v>10.2447</v>
      </c>
    </row>
    <row r="186" spans="1:15" x14ac:dyDescent="0.25">
      <c r="A186" s="100" t="str">
        <f>'Data Vlaue (Cr)'!C181</f>
        <v>SOLARINDS</v>
      </c>
      <c r="B186" s="82">
        <f>VLOOKUP(A186,'Data shares'!$C$2:$CV$214,98,0)</f>
        <v>1237350</v>
      </c>
      <c r="C186" s="82">
        <f>VLOOKUP(A186,'Data shares'!$C$2:$CX$214,100,0)</f>
        <v>177100</v>
      </c>
      <c r="D186" s="141">
        <f>VLOOKUP(A186,'Data shares'!$C$2:$CY$537,101,0)</f>
        <v>0.16700000000000001</v>
      </c>
      <c r="E186" s="86">
        <f>VLOOKUP($A186,'Data shares'!$C:$FA,74)</f>
        <v>913450</v>
      </c>
      <c r="F186" s="86">
        <f>VLOOKUP($A186,'Data shares'!$C:$FA,76)</f>
        <v>3000</v>
      </c>
      <c r="G186" s="87">
        <f>VLOOKUP(A186,'Data shares'!$C$2:$CA$214,77,0)</f>
        <v>3.3E-3</v>
      </c>
      <c r="H186" s="86">
        <f>VLOOKUP($A186,'Data shares'!$C:$FA,90)</f>
        <v>185950</v>
      </c>
      <c r="I186" s="86">
        <f>VLOOKUP($A186,'Data shares'!$C:$FA,92)</f>
        <v>118550</v>
      </c>
      <c r="J186" s="87">
        <f>VLOOKUP($A186,'Data shares'!$C:$FA,93)</f>
        <v>1.7588999999999999</v>
      </c>
      <c r="K186" s="86">
        <f>VLOOKUP($A186,'Data shares'!$C:$FA,94)</f>
        <v>137950</v>
      </c>
      <c r="L186" s="86">
        <f>VLOOKUP($A186,'Data shares'!$C:$FA,96)</f>
        <v>55550</v>
      </c>
      <c r="M186" s="87">
        <f>VLOOKUP($A186,'Data shares'!$C:$FA,97)</f>
        <v>0.67420000000000002</v>
      </c>
      <c r="N186" s="86">
        <f>VLOOKUP($A186,'Data shares'!$C:$FA,78)</f>
        <v>860150</v>
      </c>
      <c r="O186" s="87">
        <f>VLOOKUP($A186,'Data shares'!$C:$FA,81)</f>
        <v>7.7591999999999999</v>
      </c>
    </row>
    <row r="187" spans="1:15" x14ac:dyDescent="0.25">
      <c r="A187" s="100" t="str">
        <f>'Data Vlaue (Cr)'!C182</f>
        <v>SONACOMS</v>
      </c>
      <c r="B187" s="82">
        <f>VLOOKUP(A187,'Data shares'!$C$2:$CV$214,98,0)</f>
        <v>18051600</v>
      </c>
      <c r="C187" s="82">
        <f>VLOOKUP(A187,'Data shares'!$C$2:$CX$214,100,0)</f>
        <v>-148225</v>
      </c>
      <c r="D187" s="141">
        <f>VLOOKUP(A187,'Data shares'!$C$2:$CY$537,101,0)</f>
        <v>-8.0999999999999996E-3</v>
      </c>
      <c r="E187" s="86">
        <f>VLOOKUP($A187,'Data shares'!$C:$FA,74)</f>
        <v>14492975</v>
      </c>
      <c r="F187" s="86">
        <f>VLOOKUP($A187,'Data shares'!$C:$FA,76)</f>
        <v>-565950</v>
      </c>
      <c r="G187" s="87">
        <f>VLOOKUP(A187,'Data shares'!$C$2:$CA$214,77,0)</f>
        <v>-3.7600000000000001E-2</v>
      </c>
      <c r="H187" s="86">
        <f>VLOOKUP($A187,'Data shares'!$C:$FA,90)</f>
        <v>1945300</v>
      </c>
      <c r="I187" s="86">
        <f>VLOOKUP($A187,'Data shares'!$C:$FA,92)</f>
        <v>151900</v>
      </c>
      <c r="J187" s="87">
        <f>VLOOKUP($A187,'Data shares'!$C:$FA,93)</f>
        <v>8.4699999999999998E-2</v>
      </c>
      <c r="K187" s="86">
        <f>VLOOKUP($A187,'Data shares'!$C:$FA,94)</f>
        <v>1613325</v>
      </c>
      <c r="L187" s="86">
        <f>VLOOKUP($A187,'Data shares'!$C:$FA,96)</f>
        <v>265825</v>
      </c>
      <c r="M187" s="87">
        <f>VLOOKUP($A187,'Data shares'!$C:$FA,97)</f>
        <v>0.1973</v>
      </c>
      <c r="N187" s="86">
        <f>VLOOKUP($A187,'Data shares'!$C:$FA,78)</f>
        <v>14370475</v>
      </c>
      <c r="O187" s="87">
        <f>VLOOKUP($A187,'Data shares'!$C:$FA,81)</f>
        <v>21.778600000000001</v>
      </c>
    </row>
    <row r="188" spans="1:15" x14ac:dyDescent="0.25">
      <c r="A188" s="100" t="str">
        <f>'Data Vlaue (Cr)'!C183</f>
        <v>SRF</v>
      </c>
      <c r="B188" s="82">
        <f>VLOOKUP(A188,'Data shares'!$C$2:$CV$214,98,0)</f>
        <v>4611800</v>
      </c>
      <c r="C188" s="82">
        <f>VLOOKUP(A188,'Data shares'!$C$2:$CX$214,100,0)</f>
        <v>195400</v>
      </c>
      <c r="D188" s="141">
        <f>VLOOKUP(A188,'Data shares'!$C$2:$CY$537,101,0)</f>
        <v>4.4200000000000003E-2</v>
      </c>
      <c r="E188" s="86">
        <f>VLOOKUP($A188,'Data shares'!$C:$FA,74)</f>
        <v>3327000</v>
      </c>
      <c r="F188" s="86">
        <f>VLOOKUP($A188,'Data shares'!$C:$FA,76)</f>
        <v>-10400</v>
      </c>
      <c r="G188" s="87">
        <f>VLOOKUP(A188,'Data shares'!$C$2:$CA$214,77,0)</f>
        <v>-3.0999999999999999E-3</v>
      </c>
      <c r="H188" s="86">
        <f>VLOOKUP($A188,'Data shares'!$C:$FA,90)</f>
        <v>732600</v>
      </c>
      <c r="I188" s="86">
        <f>VLOOKUP($A188,'Data shares'!$C:$FA,92)</f>
        <v>78400</v>
      </c>
      <c r="J188" s="87">
        <f>VLOOKUP($A188,'Data shares'!$C:$FA,93)</f>
        <v>0.1198</v>
      </c>
      <c r="K188" s="86">
        <f>VLOOKUP($A188,'Data shares'!$C:$FA,94)</f>
        <v>552200</v>
      </c>
      <c r="L188" s="86">
        <f>VLOOKUP($A188,'Data shares'!$C:$FA,96)</f>
        <v>127400</v>
      </c>
      <c r="M188" s="87">
        <f>VLOOKUP($A188,'Data shares'!$C:$FA,97)</f>
        <v>0.2999</v>
      </c>
      <c r="N188" s="86">
        <f>VLOOKUP($A188,'Data shares'!$C:$FA,78)</f>
        <v>3281400</v>
      </c>
      <c r="O188" s="87">
        <f>VLOOKUP($A188,'Data shares'!$C:$FA,81)</f>
        <v>14.1496</v>
      </c>
    </row>
    <row r="189" spans="1:15" x14ac:dyDescent="0.25">
      <c r="A189" s="100" t="str">
        <f>'Data Vlaue (Cr)'!C184</f>
        <v>SUNPHARMA</v>
      </c>
      <c r="B189" s="82">
        <f>VLOOKUP(A189,'Data shares'!$C$2:$CV$214,98,0)</f>
        <v>25401600</v>
      </c>
      <c r="C189" s="82">
        <f>VLOOKUP(A189,'Data shares'!$C$2:$CX$214,100,0)</f>
        <v>2151450</v>
      </c>
      <c r="D189" s="141">
        <f>VLOOKUP(A189,'Data shares'!$C$2:$CY$537,101,0)</f>
        <v>9.2499999999999999E-2</v>
      </c>
      <c r="E189" s="86">
        <f>VLOOKUP($A189,'Data shares'!$C:$FA,74)</f>
        <v>20325900</v>
      </c>
      <c r="F189" s="86">
        <f>VLOOKUP($A189,'Data shares'!$C:$FA,76)</f>
        <v>234150</v>
      </c>
      <c r="G189" s="87">
        <f>VLOOKUP(A189,'Data shares'!$C$2:$CA$214,77,0)</f>
        <v>1.17E-2</v>
      </c>
      <c r="H189" s="86">
        <f>VLOOKUP($A189,'Data shares'!$C:$FA,90)</f>
        <v>2975350</v>
      </c>
      <c r="I189" s="86">
        <f>VLOOKUP($A189,'Data shares'!$C:$FA,92)</f>
        <v>1360450</v>
      </c>
      <c r="J189" s="87">
        <f>VLOOKUP($A189,'Data shares'!$C:$FA,93)</f>
        <v>0.84240000000000004</v>
      </c>
      <c r="K189" s="86">
        <f>VLOOKUP($A189,'Data shares'!$C:$FA,94)</f>
        <v>2100350</v>
      </c>
      <c r="L189" s="86">
        <f>VLOOKUP($A189,'Data shares'!$C:$FA,96)</f>
        <v>556850</v>
      </c>
      <c r="M189" s="87">
        <f>VLOOKUP($A189,'Data shares'!$C:$FA,97)</f>
        <v>0.36080000000000001</v>
      </c>
      <c r="N189" s="86">
        <f>VLOOKUP($A189,'Data shares'!$C:$FA,78)</f>
        <v>20089300</v>
      </c>
      <c r="O189" s="87">
        <f>VLOOKUP($A189,'Data shares'!$C:$FA,81)</f>
        <v>10.8935</v>
      </c>
    </row>
    <row r="190" spans="1:15" x14ac:dyDescent="0.25">
      <c r="A190" s="100" t="str">
        <f>'Data Vlaue (Cr)'!C185</f>
        <v>SUPREMEIND</v>
      </c>
      <c r="B190" s="82">
        <f>VLOOKUP(A190,'Data shares'!$C$2:$CV$214,98,0)</f>
        <v>2277450</v>
      </c>
      <c r="C190" s="82">
        <f>VLOOKUP(A190,'Data shares'!$C$2:$CX$214,100,0)</f>
        <v>144900</v>
      </c>
      <c r="D190" s="141">
        <f>VLOOKUP(A190,'Data shares'!$C$2:$CY$537,101,0)</f>
        <v>6.7900000000000002E-2</v>
      </c>
      <c r="E190" s="86">
        <f>VLOOKUP($A190,'Data shares'!$C:$FA,74)</f>
        <v>1870925</v>
      </c>
      <c r="F190" s="86">
        <f>VLOOKUP($A190,'Data shares'!$C:$FA,76)</f>
        <v>63875</v>
      </c>
      <c r="G190" s="87">
        <f>VLOOKUP(A190,'Data shares'!$C$2:$CA$214,77,0)</f>
        <v>3.5299999999999998E-2</v>
      </c>
      <c r="H190" s="86">
        <f>VLOOKUP($A190,'Data shares'!$C:$FA,90)</f>
        <v>227850</v>
      </c>
      <c r="I190" s="86">
        <f>VLOOKUP($A190,'Data shares'!$C:$FA,92)</f>
        <v>67375</v>
      </c>
      <c r="J190" s="87">
        <f>VLOOKUP($A190,'Data shares'!$C:$FA,93)</f>
        <v>0.41980000000000001</v>
      </c>
      <c r="K190" s="86">
        <f>VLOOKUP($A190,'Data shares'!$C:$FA,94)</f>
        <v>178675</v>
      </c>
      <c r="L190" s="86">
        <f>VLOOKUP($A190,'Data shares'!$C:$FA,96)</f>
        <v>13650</v>
      </c>
      <c r="M190" s="87">
        <f>VLOOKUP($A190,'Data shares'!$C:$FA,97)</f>
        <v>8.2699999999999996E-2</v>
      </c>
      <c r="N190" s="86">
        <f>VLOOKUP($A190,'Data shares'!$C:$FA,78)</f>
        <v>1856225</v>
      </c>
      <c r="O190" s="87">
        <f>VLOOKUP($A190,'Data shares'!$C:$FA,81)</f>
        <v>3.9358</v>
      </c>
    </row>
    <row r="191" spans="1:15" x14ac:dyDescent="0.25">
      <c r="A191" s="100" t="str">
        <f>'Data Vlaue (Cr)'!C186</f>
        <v>SUZLON</v>
      </c>
      <c r="B191" s="82">
        <f>VLOOKUP(A191,'Data shares'!$C$2:$CV$214,98,0)</f>
        <v>424906025</v>
      </c>
      <c r="C191" s="82">
        <f>VLOOKUP(A191,'Data shares'!$C$2:$CX$214,100,0)</f>
        <v>11579075</v>
      </c>
      <c r="D191" s="141">
        <f>VLOOKUP(A191,'Data shares'!$C$2:$CY$537,101,0)</f>
        <v>2.8000000000000001E-2</v>
      </c>
      <c r="E191" s="86">
        <f>VLOOKUP($A191,'Data shares'!$C:$FA,74)</f>
        <v>308853550</v>
      </c>
      <c r="F191" s="86">
        <f>VLOOKUP($A191,'Data shares'!$C:$FA,76)</f>
        <v>63175</v>
      </c>
      <c r="G191" s="87">
        <f>VLOOKUP(A191,'Data shares'!$C$2:$CA$214,77,0)</f>
        <v>2.0000000000000001E-4</v>
      </c>
      <c r="H191" s="86">
        <f>VLOOKUP($A191,'Data shares'!$C:$FA,90)</f>
        <v>67353575</v>
      </c>
      <c r="I191" s="86">
        <f>VLOOKUP($A191,'Data shares'!$C:$FA,92)</f>
        <v>7707350</v>
      </c>
      <c r="J191" s="87">
        <f>VLOOKUP($A191,'Data shares'!$C:$FA,93)</f>
        <v>0.12920000000000001</v>
      </c>
      <c r="K191" s="86">
        <f>VLOOKUP($A191,'Data shares'!$C:$FA,94)</f>
        <v>48698900</v>
      </c>
      <c r="L191" s="86">
        <f>VLOOKUP($A191,'Data shares'!$C:$FA,96)</f>
        <v>3808550</v>
      </c>
      <c r="M191" s="87">
        <f>VLOOKUP($A191,'Data shares'!$C:$FA,97)</f>
        <v>8.48E-2</v>
      </c>
      <c r="N191" s="86">
        <f>VLOOKUP($A191,'Data shares'!$C:$FA,78)</f>
        <v>296137325</v>
      </c>
      <c r="O191" s="87">
        <f>VLOOKUP($A191,'Data shares'!$C:$FA,81)</f>
        <v>13.688000000000001</v>
      </c>
    </row>
    <row r="192" spans="1:15" x14ac:dyDescent="0.25">
      <c r="A192" s="100" t="str">
        <f>'Data Vlaue (Cr)'!C187</f>
        <v>SWIGGY</v>
      </c>
      <c r="B192" s="82">
        <f>VLOOKUP(A192,'Data shares'!$C$2:$CV$214,98,0)</f>
        <v>31721300</v>
      </c>
      <c r="C192" s="82">
        <f>VLOOKUP(A192,'Data shares'!$C$2:$CX$214,100,0)</f>
        <v>743600</v>
      </c>
      <c r="D192" s="141">
        <f>VLOOKUP(A192,'Data shares'!$C$2:$CY$537,101,0)</f>
        <v>2.4E-2</v>
      </c>
      <c r="E192" s="86">
        <f>VLOOKUP($A192,'Data shares'!$C:$FA,74)</f>
        <v>25662000</v>
      </c>
      <c r="F192" s="86">
        <f>VLOOKUP($A192,'Data shares'!$C:$FA,76)</f>
        <v>-890500</v>
      </c>
      <c r="G192" s="87">
        <f>VLOOKUP(A192,'Data shares'!$C$2:$CA$214,77,0)</f>
        <v>-3.3500000000000002E-2</v>
      </c>
      <c r="H192" s="86">
        <f>VLOOKUP($A192,'Data shares'!$C:$FA,90)</f>
        <v>2771600</v>
      </c>
      <c r="I192" s="86">
        <f>VLOOKUP($A192,'Data shares'!$C:$FA,92)</f>
        <v>760500</v>
      </c>
      <c r="J192" s="87">
        <f>VLOOKUP($A192,'Data shares'!$C:$FA,93)</f>
        <v>0.37819999999999998</v>
      </c>
      <c r="K192" s="86">
        <f>VLOOKUP($A192,'Data shares'!$C:$FA,94)</f>
        <v>3287700</v>
      </c>
      <c r="L192" s="86">
        <f>VLOOKUP($A192,'Data shares'!$C:$FA,96)</f>
        <v>873600</v>
      </c>
      <c r="M192" s="87">
        <f>VLOOKUP($A192,'Data shares'!$C:$FA,97)</f>
        <v>0.3619</v>
      </c>
      <c r="N192" s="86">
        <f>VLOOKUP($A192,'Data shares'!$C:$FA,78)</f>
        <v>25170600</v>
      </c>
      <c r="O192" s="87">
        <f>VLOOKUP($A192,'Data shares'!$C:$FA,81)</f>
        <v>5.1661999999999999</v>
      </c>
    </row>
    <row r="193" spans="1:15" x14ac:dyDescent="0.25">
      <c r="A193" s="100" t="str">
        <f>'Data Vlaue (Cr)'!C188</f>
        <v>SYNGENE</v>
      </c>
      <c r="B193" s="82">
        <f>VLOOKUP(A193,'Data shares'!$C$2:$CV$214,98,0)</f>
        <v>18726000</v>
      </c>
      <c r="C193" s="82">
        <f>VLOOKUP(A193,'Data shares'!$C$2:$CX$214,100,0)</f>
        <v>2298000</v>
      </c>
      <c r="D193" s="141">
        <f>VLOOKUP(A193,'Data shares'!$C$2:$CY$537,101,0)</f>
        <v>0.1399</v>
      </c>
      <c r="E193" s="86">
        <f>VLOOKUP($A193,'Data shares'!$C:$FA,74)</f>
        <v>7964000</v>
      </c>
      <c r="F193" s="86">
        <f>VLOOKUP($A193,'Data shares'!$C:$FA,76)</f>
        <v>330000</v>
      </c>
      <c r="G193" s="87">
        <f>VLOOKUP(A193,'Data shares'!$C$2:$CA$214,77,0)</f>
        <v>4.3200000000000002E-2</v>
      </c>
      <c r="H193" s="86">
        <f>VLOOKUP($A193,'Data shares'!$C:$FA,90)</f>
        <v>6454000</v>
      </c>
      <c r="I193" s="86">
        <f>VLOOKUP($A193,'Data shares'!$C:$FA,92)</f>
        <v>1132000</v>
      </c>
      <c r="J193" s="87">
        <f>VLOOKUP($A193,'Data shares'!$C:$FA,93)</f>
        <v>0.2127</v>
      </c>
      <c r="K193" s="86">
        <f>VLOOKUP($A193,'Data shares'!$C:$FA,94)</f>
        <v>4308000</v>
      </c>
      <c r="L193" s="86">
        <f>VLOOKUP($A193,'Data shares'!$C:$FA,96)</f>
        <v>836000</v>
      </c>
      <c r="M193" s="87">
        <f>VLOOKUP($A193,'Data shares'!$C:$FA,97)</f>
        <v>0.24079999999999999</v>
      </c>
      <c r="N193" s="86">
        <f>VLOOKUP($A193,'Data shares'!$C:$FA,78)</f>
        <v>7457000</v>
      </c>
      <c r="O193" s="87">
        <f>VLOOKUP($A193,'Data shares'!$C:$FA,81)</f>
        <v>8.3798999999999992</v>
      </c>
    </row>
    <row r="194" spans="1:15" x14ac:dyDescent="0.25">
      <c r="A194" s="100" t="str">
        <f>'Data Vlaue (Cr)'!C189</f>
        <v>TATACONSUM</v>
      </c>
      <c r="B194" s="82">
        <f>VLOOKUP(A194,'Data shares'!$C$2:$CV$214,98,0)</f>
        <v>19094350</v>
      </c>
      <c r="C194" s="82">
        <f>VLOOKUP(A194,'Data shares'!$C$2:$CX$214,100,0)</f>
        <v>4226200</v>
      </c>
      <c r="D194" s="141">
        <f>VLOOKUP(A194,'Data shares'!$C$2:$CY$537,101,0)</f>
        <v>0.28420000000000001</v>
      </c>
      <c r="E194" s="86">
        <f>VLOOKUP($A194,'Data shares'!$C:$FA,74)</f>
        <v>11223300</v>
      </c>
      <c r="F194" s="86">
        <f>VLOOKUP($A194,'Data shares'!$C:$FA,76)</f>
        <v>-373450</v>
      </c>
      <c r="G194" s="87">
        <f>VLOOKUP(A194,'Data shares'!$C$2:$CA$214,77,0)</f>
        <v>-3.2199999999999999E-2</v>
      </c>
      <c r="H194" s="86">
        <f>VLOOKUP($A194,'Data shares'!$C:$FA,90)</f>
        <v>4424200</v>
      </c>
      <c r="I194" s="86">
        <f>VLOOKUP($A194,'Data shares'!$C:$FA,92)</f>
        <v>2554750</v>
      </c>
      <c r="J194" s="87">
        <f>VLOOKUP($A194,'Data shares'!$C:$FA,93)</f>
        <v>1.3666</v>
      </c>
      <c r="K194" s="86">
        <f>VLOOKUP($A194,'Data shares'!$C:$FA,94)</f>
        <v>3446850</v>
      </c>
      <c r="L194" s="86">
        <f>VLOOKUP($A194,'Data shares'!$C:$FA,96)</f>
        <v>2044900</v>
      </c>
      <c r="M194" s="87">
        <f>VLOOKUP($A194,'Data shares'!$C:$FA,97)</f>
        <v>1.4585999999999999</v>
      </c>
      <c r="N194" s="86">
        <f>VLOOKUP($A194,'Data shares'!$C:$FA,78)</f>
        <v>10965900</v>
      </c>
      <c r="O194" s="87">
        <f>VLOOKUP($A194,'Data shares'!$C:$FA,81)</f>
        <v>42.343499999999999</v>
      </c>
    </row>
    <row r="195" spans="1:15" x14ac:dyDescent="0.25">
      <c r="A195" s="100" t="str">
        <f>'Data Vlaue (Cr)'!C190</f>
        <v>TATAELXSI</v>
      </c>
      <c r="B195" s="82">
        <f>VLOOKUP(A195,'Data shares'!$C$2:$CV$214,98,0)</f>
        <v>2021500</v>
      </c>
      <c r="C195" s="82">
        <f>VLOOKUP(A195,'Data shares'!$C$2:$CX$214,100,0)</f>
        <v>194100</v>
      </c>
      <c r="D195" s="141">
        <f>VLOOKUP(A195,'Data shares'!$C$2:$CY$537,101,0)</f>
        <v>0.1062</v>
      </c>
      <c r="E195" s="86">
        <f>VLOOKUP($A195,'Data shares'!$C:$FA,74)</f>
        <v>1201000</v>
      </c>
      <c r="F195" s="86">
        <f>VLOOKUP($A195,'Data shares'!$C:$FA,76)</f>
        <v>-1000</v>
      </c>
      <c r="G195" s="87">
        <f>VLOOKUP(A195,'Data shares'!$C$2:$CA$214,77,0)</f>
        <v>-8.0000000000000004E-4</v>
      </c>
      <c r="H195" s="86">
        <f>VLOOKUP($A195,'Data shares'!$C:$FA,90)</f>
        <v>595100</v>
      </c>
      <c r="I195" s="86">
        <f>VLOOKUP($A195,'Data shares'!$C:$FA,92)</f>
        <v>141400</v>
      </c>
      <c r="J195" s="87">
        <f>VLOOKUP($A195,'Data shares'!$C:$FA,93)</f>
        <v>0.31169999999999998</v>
      </c>
      <c r="K195" s="86">
        <f>VLOOKUP($A195,'Data shares'!$C:$FA,94)</f>
        <v>225400</v>
      </c>
      <c r="L195" s="86">
        <f>VLOOKUP($A195,'Data shares'!$C:$FA,96)</f>
        <v>53700</v>
      </c>
      <c r="M195" s="87">
        <f>VLOOKUP($A195,'Data shares'!$C:$FA,97)</f>
        <v>0.31280000000000002</v>
      </c>
      <c r="N195" s="86">
        <f>VLOOKUP($A195,'Data shares'!$C:$FA,78)</f>
        <v>1176300</v>
      </c>
      <c r="O195" s="87">
        <f>VLOOKUP($A195,'Data shares'!$C:$FA,81)</f>
        <v>8.3430999999999997</v>
      </c>
    </row>
    <row r="196" spans="1:15" x14ac:dyDescent="0.25">
      <c r="A196" s="100" t="str">
        <f>'Data Vlaue (Cr)'!C191</f>
        <v>TATAPOWER</v>
      </c>
      <c r="B196" s="82">
        <f>VLOOKUP(A196,'Data shares'!$C$2:$CV$214,98,0)</f>
        <v>93613450</v>
      </c>
      <c r="C196" s="82">
        <f>VLOOKUP(A196,'Data shares'!$C$2:$CX$214,100,0)</f>
        <v>3085600</v>
      </c>
      <c r="D196" s="141">
        <f>VLOOKUP(A196,'Data shares'!$C$2:$CY$537,101,0)</f>
        <v>3.4099999999999998E-2</v>
      </c>
      <c r="E196" s="86">
        <f>VLOOKUP($A196,'Data shares'!$C:$FA,74)</f>
        <v>55600250</v>
      </c>
      <c r="F196" s="86">
        <f>VLOOKUP($A196,'Data shares'!$C:$FA,76)</f>
        <v>-693100</v>
      </c>
      <c r="G196" s="87">
        <f>VLOOKUP(A196,'Data shares'!$C$2:$CA$214,77,0)</f>
        <v>-1.23E-2</v>
      </c>
      <c r="H196" s="86">
        <f>VLOOKUP($A196,'Data shares'!$C:$FA,90)</f>
        <v>17745100</v>
      </c>
      <c r="I196" s="86">
        <f>VLOOKUP($A196,'Data shares'!$C:$FA,92)</f>
        <v>2620150</v>
      </c>
      <c r="J196" s="87">
        <f>VLOOKUP($A196,'Data shares'!$C:$FA,93)</f>
        <v>0.17319999999999999</v>
      </c>
      <c r="K196" s="86">
        <f>VLOOKUP($A196,'Data shares'!$C:$FA,94)</f>
        <v>20268100</v>
      </c>
      <c r="L196" s="86">
        <f>VLOOKUP($A196,'Data shares'!$C:$FA,96)</f>
        <v>1158550</v>
      </c>
      <c r="M196" s="87">
        <f>VLOOKUP($A196,'Data shares'!$C:$FA,97)</f>
        <v>6.0600000000000001E-2</v>
      </c>
      <c r="N196" s="86">
        <f>VLOOKUP($A196,'Data shares'!$C:$FA,78)</f>
        <v>53771800</v>
      </c>
      <c r="O196" s="87">
        <f>VLOOKUP($A196,'Data shares'!$C:$FA,81)</f>
        <v>7.3692000000000002</v>
      </c>
    </row>
    <row r="197" spans="1:15" x14ac:dyDescent="0.25">
      <c r="A197" s="100" t="str">
        <f>'Data Vlaue (Cr)'!C192</f>
        <v>TATASTEEL</v>
      </c>
      <c r="B197" s="82">
        <f>VLOOKUP(A197,'Data shares'!$C$2:$CV$214,98,0)</f>
        <v>379626500</v>
      </c>
      <c r="C197" s="82">
        <f>VLOOKUP(A197,'Data shares'!$C$2:$CX$214,100,0)</f>
        <v>12127500</v>
      </c>
      <c r="D197" s="141">
        <f>VLOOKUP(A197,'Data shares'!$C$2:$CY$537,101,0)</f>
        <v>3.3000000000000002E-2</v>
      </c>
      <c r="E197" s="86">
        <f>VLOOKUP($A197,'Data shares'!$C:$FA,74)</f>
        <v>261860500</v>
      </c>
      <c r="F197" s="86">
        <f>VLOOKUP($A197,'Data shares'!$C:$FA,76)</f>
        <v>-1655500</v>
      </c>
      <c r="G197" s="87">
        <f>VLOOKUP(A197,'Data shares'!$C$2:$CA$214,77,0)</f>
        <v>-6.3E-3</v>
      </c>
      <c r="H197" s="86">
        <f>VLOOKUP($A197,'Data shares'!$C:$FA,90)</f>
        <v>63503000</v>
      </c>
      <c r="I197" s="86">
        <f>VLOOKUP($A197,'Data shares'!$C:$FA,92)</f>
        <v>7238000</v>
      </c>
      <c r="J197" s="87">
        <f>VLOOKUP($A197,'Data shares'!$C:$FA,93)</f>
        <v>0.12859999999999999</v>
      </c>
      <c r="K197" s="86">
        <f>VLOOKUP($A197,'Data shares'!$C:$FA,94)</f>
        <v>54263000</v>
      </c>
      <c r="L197" s="86">
        <f>VLOOKUP($A197,'Data shares'!$C:$FA,96)</f>
        <v>6545000</v>
      </c>
      <c r="M197" s="87">
        <f>VLOOKUP($A197,'Data shares'!$C:$FA,97)</f>
        <v>0.13719999999999999</v>
      </c>
      <c r="N197" s="86">
        <f>VLOOKUP($A197,'Data shares'!$C:$FA,78)</f>
        <v>244893000</v>
      </c>
      <c r="O197" s="87">
        <f>VLOOKUP($A197,'Data shares'!$C:$FA,81)</f>
        <v>19.700099999999999</v>
      </c>
    </row>
    <row r="198" spans="1:15" x14ac:dyDescent="0.25">
      <c r="A198" s="100" t="str">
        <f>'Data Vlaue (Cr)'!C193</f>
        <v>TATATECH</v>
      </c>
      <c r="B198" s="82">
        <f>VLOOKUP(A198,'Data shares'!$C$2:$CV$214,98,0)</f>
        <v>13572800</v>
      </c>
      <c r="C198" s="82">
        <f>VLOOKUP(A198,'Data shares'!$C$2:$CX$214,100,0)</f>
        <v>279200</v>
      </c>
      <c r="D198" s="141">
        <f>VLOOKUP(A198,'Data shares'!$C$2:$CY$537,101,0)</f>
        <v>2.1000000000000001E-2</v>
      </c>
      <c r="E198" s="86">
        <f>VLOOKUP($A198,'Data shares'!$C:$FA,74)</f>
        <v>9549600</v>
      </c>
      <c r="F198" s="86">
        <f>VLOOKUP($A198,'Data shares'!$C:$FA,76)</f>
        <v>-76000</v>
      </c>
      <c r="G198" s="87">
        <f>VLOOKUP(A198,'Data shares'!$C$2:$CA$214,77,0)</f>
        <v>-7.9000000000000008E-3</v>
      </c>
      <c r="H198" s="86">
        <f>VLOOKUP($A198,'Data shares'!$C:$FA,90)</f>
        <v>2236000</v>
      </c>
      <c r="I198" s="86">
        <f>VLOOKUP($A198,'Data shares'!$C:$FA,92)</f>
        <v>197600</v>
      </c>
      <c r="J198" s="87">
        <f>VLOOKUP($A198,'Data shares'!$C:$FA,93)</f>
        <v>9.69E-2</v>
      </c>
      <c r="K198" s="86">
        <f>VLOOKUP($A198,'Data shares'!$C:$FA,94)</f>
        <v>1787200</v>
      </c>
      <c r="L198" s="86">
        <f>VLOOKUP($A198,'Data shares'!$C:$FA,96)</f>
        <v>157600</v>
      </c>
      <c r="M198" s="87">
        <f>VLOOKUP($A198,'Data shares'!$C:$FA,97)</f>
        <v>9.6699999999999994E-2</v>
      </c>
      <c r="N198" s="86">
        <f>VLOOKUP($A198,'Data shares'!$C:$FA,78)</f>
        <v>9186400</v>
      </c>
      <c r="O198" s="87">
        <f>VLOOKUP($A198,'Data shares'!$C:$FA,81)</f>
        <v>16.398499999999999</v>
      </c>
    </row>
    <row r="199" spans="1:15" x14ac:dyDescent="0.25">
      <c r="A199" s="100" t="str">
        <f>'Data Vlaue (Cr)'!C194</f>
        <v>TCS</v>
      </c>
      <c r="B199" s="82">
        <f>VLOOKUP(A199,'Data shares'!$C$2:$CV$214,98,0)</f>
        <v>27902000</v>
      </c>
      <c r="C199" s="82">
        <f>VLOOKUP(A199,'Data shares'!$C$2:$CX$214,100,0)</f>
        <v>495425</v>
      </c>
      <c r="D199" s="141">
        <f>VLOOKUP(A199,'Data shares'!$C$2:$CY$537,101,0)</f>
        <v>1.8100000000000002E-2</v>
      </c>
      <c r="E199" s="86">
        <f>VLOOKUP($A199,'Data shares'!$C:$FA,74)</f>
        <v>19574975</v>
      </c>
      <c r="F199" s="86">
        <f>VLOOKUP($A199,'Data shares'!$C:$FA,76)</f>
        <v>-450625</v>
      </c>
      <c r="G199" s="87">
        <f>VLOOKUP(A199,'Data shares'!$C$2:$CA$214,77,0)</f>
        <v>-2.2499999999999999E-2</v>
      </c>
      <c r="H199" s="86">
        <f>VLOOKUP($A199,'Data shares'!$C:$FA,90)</f>
        <v>4010475</v>
      </c>
      <c r="I199" s="86">
        <f>VLOOKUP($A199,'Data shares'!$C:$FA,92)</f>
        <v>592025</v>
      </c>
      <c r="J199" s="87">
        <f>VLOOKUP($A199,'Data shares'!$C:$FA,93)</f>
        <v>0.17319999999999999</v>
      </c>
      <c r="K199" s="86">
        <f>VLOOKUP($A199,'Data shares'!$C:$FA,94)</f>
        <v>4316550</v>
      </c>
      <c r="L199" s="86">
        <f>VLOOKUP($A199,'Data shares'!$C:$FA,96)</f>
        <v>354025</v>
      </c>
      <c r="M199" s="87">
        <f>VLOOKUP($A199,'Data shares'!$C:$FA,97)</f>
        <v>8.9300000000000004E-2</v>
      </c>
      <c r="N199" s="86">
        <f>VLOOKUP($A199,'Data shares'!$C:$FA,78)</f>
        <v>18715200</v>
      </c>
      <c r="O199" s="87">
        <f>VLOOKUP($A199,'Data shares'!$C:$FA,81)</f>
        <v>23.584800000000001</v>
      </c>
    </row>
    <row r="200" spans="1:15" x14ac:dyDescent="0.25">
      <c r="A200" s="100" t="str">
        <f>'Data Vlaue (Cr)'!C195</f>
        <v>TECHM</v>
      </c>
      <c r="B200" s="82">
        <f>VLOOKUP(A200,'Data shares'!$C$2:$CV$214,98,0)</f>
        <v>23602800</v>
      </c>
      <c r="C200" s="82">
        <f>VLOOKUP(A200,'Data shares'!$C$2:$CX$214,100,0)</f>
        <v>442800</v>
      </c>
      <c r="D200" s="141">
        <f>VLOOKUP(A200,'Data shares'!$C$2:$CY$537,101,0)</f>
        <v>1.9099999999999999E-2</v>
      </c>
      <c r="E200" s="86">
        <f>VLOOKUP($A200,'Data shares'!$C:$FA,74)</f>
        <v>18369000</v>
      </c>
      <c r="F200" s="86">
        <f>VLOOKUP($A200,'Data shares'!$C:$FA,76)</f>
        <v>-763800</v>
      </c>
      <c r="G200" s="87">
        <f>VLOOKUP(A200,'Data shares'!$C$2:$CA$214,77,0)</f>
        <v>-3.9899999999999998E-2</v>
      </c>
      <c r="H200" s="86">
        <f>VLOOKUP($A200,'Data shares'!$C:$FA,90)</f>
        <v>2928600</v>
      </c>
      <c r="I200" s="86">
        <f>VLOOKUP($A200,'Data shares'!$C:$FA,92)</f>
        <v>820800</v>
      </c>
      <c r="J200" s="87">
        <f>VLOOKUP($A200,'Data shares'!$C:$FA,93)</f>
        <v>0.38940000000000002</v>
      </c>
      <c r="K200" s="86">
        <f>VLOOKUP($A200,'Data shares'!$C:$FA,94)</f>
        <v>2305200</v>
      </c>
      <c r="L200" s="86">
        <f>VLOOKUP($A200,'Data shares'!$C:$FA,96)</f>
        <v>385800</v>
      </c>
      <c r="M200" s="87">
        <f>VLOOKUP($A200,'Data shares'!$C:$FA,97)</f>
        <v>0.20100000000000001</v>
      </c>
      <c r="N200" s="86">
        <f>VLOOKUP($A200,'Data shares'!$C:$FA,78)</f>
        <v>18133800</v>
      </c>
      <c r="O200" s="87">
        <f>VLOOKUP($A200,'Data shares'!$C:$FA,81)</f>
        <v>9.8016000000000005</v>
      </c>
    </row>
    <row r="201" spans="1:15" x14ac:dyDescent="0.25">
      <c r="A201" s="100" t="str">
        <f>'Data Vlaue (Cr)'!C196</f>
        <v>TIINDIA</v>
      </c>
      <c r="B201" s="82">
        <f>VLOOKUP(A201,'Data shares'!$C$2:$CV$214,98,0)</f>
        <v>4753800</v>
      </c>
      <c r="C201" s="82">
        <f>VLOOKUP(A201,'Data shares'!$C$2:$CX$214,100,0)</f>
        <v>829200</v>
      </c>
      <c r="D201" s="141">
        <f>VLOOKUP(A201,'Data shares'!$C$2:$CY$537,101,0)</f>
        <v>0.21129999999999999</v>
      </c>
      <c r="E201" s="86">
        <f>VLOOKUP($A201,'Data shares'!$C:$FA,74)</f>
        <v>3806200</v>
      </c>
      <c r="F201" s="86">
        <f>VLOOKUP($A201,'Data shares'!$C:$FA,76)</f>
        <v>333600</v>
      </c>
      <c r="G201" s="87">
        <f>VLOOKUP(A201,'Data shares'!$C$2:$CA$214,77,0)</f>
        <v>9.6100000000000005E-2</v>
      </c>
      <c r="H201" s="86">
        <f>VLOOKUP($A201,'Data shares'!$C:$FA,90)</f>
        <v>593800</v>
      </c>
      <c r="I201" s="86">
        <f>VLOOKUP($A201,'Data shares'!$C:$FA,92)</f>
        <v>374400</v>
      </c>
      <c r="J201" s="87">
        <f>VLOOKUP($A201,'Data shares'!$C:$FA,93)</f>
        <v>1.7064999999999999</v>
      </c>
      <c r="K201" s="86">
        <f>VLOOKUP($A201,'Data shares'!$C:$FA,94)</f>
        <v>353800</v>
      </c>
      <c r="L201" s="86">
        <f>VLOOKUP($A201,'Data shares'!$C:$FA,96)</f>
        <v>121200</v>
      </c>
      <c r="M201" s="87">
        <f>VLOOKUP($A201,'Data shares'!$C:$FA,97)</f>
        <v>0.52110000000000001</v>
      </c>
      <c r="N201" s="86">
        <f>VLOOKUP($A201,'Data shares'!$C:$FA,78)</f>
        <v>3759200</v>
      </c>
      <c r="O201" s="87">
        <f>VLOOKUP($A201,'Data shares'!$C:$FA,81)</f>
        <v>15.3728</v>
      </c>
    </row>
    <row r="202" spans="1:15" x14ac:dyDescent="0.25">
      <c r="A202" s="100" t="str">
        <f>'Data Vlaue (Cr)'!C197</f>
        <v>TITAN</v>
      </c>
      <c r="B202" s="82">
        <f>VLOOKUP(A202,'Data shares'!$C$2:$CV$214,98,0)</f>
        <v>11240250</v>
      </c>
      <c r="C202" s="82">
        <f>VLOOKUP(A202,'Data shares'!$C$2:$CX$214,100,0)</f>
        <v>441000</v>
      </c>
      <c r="D202" s="141">
        <f>VLOOKUP(A202,'Data shares'!$C$2:$CY$537,101,0)</f>
        <v>4.0800000000000003E-2</v>
      </c>
      <c r="E202" s="86">
        <f>VLOOKUP($A202,'Data shares'!$C:$FA,74)</f>
        <v>8454250</v>
      </c>
      <c r="F202" s="86">
        <f>VLOOKUP($A202,'Data shares'!$C:$FA,76)</f>
        <v>-20125</v>
      </c>
      <c r="G202" s="87">
        <f>VLOOKUP(A202,'Data shares'!$C$2:$CA$214,77,0)</f>
        <v>-2.3999999999999998E-3</v>
      </c>
      <c r="H202" s="86">
        <f>VLOOKUP($A202,'Data shares'!$C:$FA,90)</f>
        <v>1478225</v>
      </c>
      <c r="I202" s="86">
        <f>VLOOKUP($A202,'Data shares'!$C:$FA,92)</f>
        <v>118475</v>
      </c>
      <c r="J202" s="87">
        <f>VLOOKUP($A202,'Data shares'!$C:$FA,93)</f>
        <v>8.7099999999999997E-2</v>
      </c>
      <c r="K202" s="86">
        <f>VLOOKUP($A202,'Data shares'!$C:$FA,94)</f>
        <v>1307775</v>
      </c>
      <c r="L202" s="86">
        <f>VLOOKUP($A202,'Data shares'!$C:$FA,96)</f>
        <v>342650</v>
      </c>
      <c r="M202" s="87">
        <f>VLOOKUP($A202,'Data shares'!$C:$FA,97)</f>
        <v>0.35499999999999998</v>
      </c>
      <c r="N202" s="86">
        <f>VLOOKUP($A202,'Data shares'!$C:$FA,78)</f>
        <v>8094450</v>
      </c>
      <c r="O202" s="87">
        <f>VLOOKUP($A202,'Data shares'!$C:$FA,81)</f>
        <v>11.318</v>
      </c>
    </row>
    <row r="203" spans="1:15" x14ac:dyDescent="0.25">
      <c r="A203" s="100" t="str">
        <f>'Data Vlaue (Cr)'!C198</f>
        <v>TMPV</v>
      </c>
      <c r="B203" s="82">
        <f>VLOOKUP(A203,'Data shares'!$C$2:$CV$214,98,0)</f>
        <v>120024800</v>
      </c>
      <c r="C203" s="82">
        <f>VLOOKUP(A203,'Data shares'!$C$2:$CX$214,100,0)</f>
        <v>5974400</v>
      </c>
      <c r="D203" s="141">
        <f>VLOOKUP(A203,'Data shares'!$C$2:$CY$537,101,0)</f>
        <v>5.2400000000000002E-2</v>
      </c>
      <c r="E203" s="86">
        <f>VLOOKUP($A203,'Data shares'!$C:$FA,74)</f>
        <v>82676800</v>
      </c>
      <c r="F203" s="86">
        <f>VLOOKUP($A203,'Data shares'!$C:$FA,76)</f>
        <v>-685600</v>
      </c>
      <c r="G203" s="87">
        <f>VLOOKUP(A203,'Data shares'!$C$2:$CA$214,77,0)</f>
        <v>-8.2000000000000007E-3</v>
      </c>
      <c r="H203" s="86">
        <f>VLOOKUP($A203,'Data shares'!$C:$FA,90)</f>
        <v>18353600</v>
      </c>
      <c r="I203" s="86">
        <f>VLOOKUP($A203,'Data shares'!$C:$FA,92)</f>
        <v>2624000</v>
      </c>
      <c r="J203" s="87">
        <f>VLOOKUP($A203,'Data shares'!$C:$FA,93)</f>
        <v>0.1668</v>
      </c>
      <c r="K203" s="86">
        <f>VLOOKUP($A203,'Data shares'!$C:$FA,94)</f>
        <v>18994400</v>
      </c>
      <c r="L203" s="86">
        <f>VLOOKUP($A203,'Data shares'!$C:$FA,96)</f>
        <v>4036000</v>
      </c>
      <c r="M203" s="87">
        <f>VLOOKUP($A203,'Data shares'!$C:$FA,97)</f>
        <v>0.26979999999999998</v>
      </c>
      <c r="N203" s="86">
        <f>VLOOKUP($A203,'Data shares'!$C:$FA,78)</f>
        <v>78584800</v>
      </c>
      <c r="O203" s="87">
        <f>VLOOKUP($A203,'Data shares'!$C:$FA,81)</f>
        <v>8.0311000000000003</v>
      </c>
    </row>
    <row r="204" spans="1:15" x14ac:dyDescent="0.25">
      <c r="A204" s="100" t="str">
        <f>'Data Vlaue (Cr)'!C199</f>
        <v>TORNTPHARM</v>
      </c>
      <c r="B204" s="82">
        <f>VLOOKUP(A204,'Data shares'!$C$2:$CV$214,98,0)</f>
        <v>2782750</v>
      </c>
      <c r="C204" s="82">
        <f>VLOOKUP(A204,'Data shares'!$C$2:$CX$214,100,0)</f>
        <v>98500</v>
      </c>
      <c r="D204" s="141">
        <f>VLOOKUP(A204,'Data shares'!$C$2:$CY$537,101,0)</f>
        <v>3.6700000000000003E-2</v>
      </c>
      <c r="E204" s="86">
        <f>VLOOKUP($A204,'Data shares'!$C:$FA,74)</f>
        <v>2473250</v>
      </c>
      <c r="F204" s="86">
        <f>VLOOKUP($A204,'Data shares'!$C:$FA,76)</f>
        <v>41250</v>
      </c>
      <c r="G204" s="87">
        <f>VLOOKUP(A204,'Data shares'!$C$2:$CA$214,77,0)</f>
        <v>1.7000000000000001E-2</v>
      </c>
      <c r="H204" s="86">
        <f>VLOOKUP($A204,'Data shares'!$C:$FA,90)</f>
        <v>186750</v>
      </c>
      <c r="I204" s="86">
        <f>VLOOKUP($A204,'Data shares'!$C:$FA,92)</f>
        <v>34500</v>
      </c>
      <c r="J204" s="87">
        <f>VLOOKUP($A204,'Data shares'!$C:$FA,93)</f>
        <v>0.2266</v>
      </c>
      <c r="K204" s="86">
        <f>VLOOKUP($A204,'Data shares'!$C:$FA,94)</f>
        <v>122750</v>
      </c>
      <c r="L204" s="86">
        <f>VLOOKUP($A204,'Data shares'!$C:$FA,96)</f>
        <v>22750</v>
      </c>
      <c r="M204" s="87">
        <f>VLOOKUP($A204,'Data shares'!$C:$FA,97)</f>
        <v>0.22750000000000001</v>
      </c>
      <c r="N204" s="86">
        <f>VLOOKUP($A204,'Data shares'!$C:$FA,78)</f>
        <v>2462250</v>
      </c>
      <c r="O204" s="87">
        <f>VLOOKUP($A204,'Data shares'!$C:$FA,81)</f>
        <v>26.7437</v>
      </c>
    </row>
    <row r="205" spans="1:15" x14ac:dyDescent="0.25">
      <c r="A205" s="100" t="str">
        <f>'Data Vlaue (Cr)'!C200</f>
        <v>TORNTPOWER</v>
      </c>
      <c r="B205" s="82">
        <f>VLOOKUP(A205,'Data shares'!$C$2:$CV$214,98,0)</f>
        <v>3631200</v>
      </c>
      <c r="C205" s="82">
        <f>VLOOKUP(A205,'Data shares'!$C$2:$CX$214,100,0)</f>
        <v>145775</v>
      </c>
      <c r="D205" s="141">
        <f>VLOOKUP(A205,'Data shares'!$C$2:$CY$537,101,0)</f>
        <v>4.1799999999999997E-2</v>
      </c>
      <c r="E205" s="86">
        <f>VLOOKUP($A205,'Data shares'!$C:$FA,74)</f>
        <v>2851325</v>
      </c>
      <c r="F205" s="86">
        <f>VLOOKUP($A205,'Data shares'!$C:$FA,76)</f>
        <v>-33575</v>
      </c>
      <c r="G205" s="87">
        <f>VLOOKUP(A205,'Data shares'!$C$2:$CA$214,77,0)</f>
        <v>-1.1599999999999999E-2</v>
      </c>
      <c r="H205" s="86">
        <f>VLOOKUP($A205,'Data shares'!$C:$FA,90)</f>
        <v>356575</v>
      </c>
      <c r="I205" s="86">
        <f>VLOOKUP($A205,'Data shares'!$C:$FA,92)</f>
        <v>90525</v>
      </c>
      <c r="J205" s="87">
        <f>VLOOKUP($A205,'Data shares'!$C:$FA,93)</f>
        <v>0.34029999999999999</v>
      </c>
      <c r="K205" s="86">
        <f>VLOOKUP($A205,'Data shares'!$C:$FA,94)</f>
        <v>423300</v>
      </c>
      <c r="L205" s="86">
        <f>VLOOKUP($A205,'Data shares'!$C:$FA,96)</f>
        <v>88825</v>
      </c>
      <c r="M205" s="87">
        <f>VLOOKUP($A205,'Data shares'!$C:$FA,97)</f>
        <v>0.2656</v>
      </c>
      <c r="N205" s="86">
        <f>VLOOKUP($A205,'Data shares'!$C:$FA,78)</f>
        <v>2819450</v>
      </c>
      <c r="O205" s="87">
        <f>VLOOKUP($A205,'Data shares'!$C:$FA,81)</f>
        <v>6.7954999999999997</v>
      </c>
    </row>
    <row r="206" spans="1:15" x14ac:dyDescent="0.25">
      <c r="A206" s="100" t="str">
        <f>'Data Vlaue (Cr)'!C201</f>
        <v>TRENT</v>
      </c>
      <c r="B206" s="82">
        <f>VLOOKUP(A206,'Data shares'!$C$2:$CV$214,98,0)</f>
        <v>11142600</v>
      </c>
      <c r="C206" s="82">
        <f>VLOOKUP(A206,'Data shares'!$C$2:$CX$214,100,0)</f>
        <v>290400</v>
      </c>
      <c r="D206" s="141">
        <f>VLOOKUP(A206,'Data shares'!$C$2:$CY$537,101,0)</f>
        <v>2.6800000000000001E-2</v>
      </c>
      <c r="E206" s="86">
        <f>VLOOKUP($A206,'Data shares'!$C:$FA,74)</f>
        <v>7882200</v>
      </c>
      <c r="F206" s="86">
        <f>VLOOKUP($A206,'Data shares'!$C:$FA,76)</f>
        <v>-67200</v>
      </c>
      <c r="G206" s="87">
        <f>VLOOKUP(A206,'Data shares'!$C$2:$CA$214,77,0)</f>
        <v>-8.5000000000000006E-3</v>
      </c>
      <c r="H206" s="86">
        <f>VLOOKUP($A206,'Data shares'!$C:$FA,90)</f>
        <v>1644200</v>
      </c>
      <c r="I206" s="86">
        <f>VLOOKUP($A206,'Data shares'!$C:$FA,92)</f>
        <v>325000</v>
      </c>
      <c r="J206" s="87">
        <f>VLOOKUP($A206,'Data shares'!$C:$FA,93)</f>
        <v>0.24640000000000001</v>
      </c>
      <c r="K206" s="86">
        <f>VLOOKUP($A206,'Data shares'!$C:$FA,94)</f>
        <v>1616200</v>
      </c>
      <c r="L206" s="86">
        <f>VLOOKUP($A206,'Data shares'!$C:$FA,96)</f>
        <v>32600</v>
      </c>
      <c r="M206" s="87">
        <f>VLOOKUP($A206,'Data shares'!$C:$FA,97)</f>
        <v>2.06E-2</v>
      </c>
      <c r="N206" s="86">
        <f>VLOOKUP($A206,'Data shares'!$C:$FA,78)</f>
        <v>7533100</v>
      </c>
      <c r="O206" s="87">
        <f>VLOOKUP($A206,'Data shares'!$C:$FA,81)</f>
        <v>8.2294999999999998</v>
      </c>
    </row>
    <row r="207" spans="1:15" x14ac:dyDescent="0.25">
      <c r="A207" s="100" t="str">
        <f>'Data Vlaue (Cr)'!C202</f>
        <v>TVSMOTOR</v>
      </c>
      <c r="B207" s="82">
        <f>VLOOKUP(A207,'Data shares'!$C$2:$CV$214,98,0)</f>
        <v>11403350</v>
      </c>
      <c r="C207" s="82">
        <f>VLOOKUP(A207,'Data shares'!$C$2:$CX$214,100,0)</f>
        <v>1902600</v>
      </c>
      <c r="D207" s="141">
        <f>VLOOKUP(A207,'Data shares'!$C$2:$CY$537,101,0)</f>
        <v>0.20030000000000001</v>
      </c>
      <c r="E207" s="86">
        <f>VLOOKUP($A207,'Data shares'!$C:$FA,74)</f>
        <v>8418025</v>
      </c>
      <c r="F207" s="86">
        <f>VLOOKUP($A207,'Data shares'!$C:$FA,76)</f>
        <v>312725</v>
      </c>
      <c r="G207" s="87">
        <f>VLOOKUP(A207,'Data shares'!$C$2:$CA$214,77,0)</f>
        <v>3.8600000000000002E-2</v>
      </c>
      <c r="H207" s="86">
        <f>VLOOKUP($A207,'Data shares'!$C:$FA,90)</f>
        <v>1684375</v>
      </c>
      <c r="I207" s="86">
        <f>VLOOKUP($A207,'Data shares'!$C:$FA,92)</f>
        <v>904400</v>
      </c>
      <c r="J207" s="87">
        <f>VLOOKUP($A207,'Data shares'!$C:$FA,93)</f>
        <v>1.1595</v>
      </c>
      <c r="K207" s="86">
        <f>VLOOKUP($A207,'Data shares'!$C:$FA,94)</f>
        <v>1300950</v>
      </c>
      <c r="L207" s="86">
        <f>VLOOKUP($A207,'Data shares'!$C:$FA,96)</f>
        <v>685475</v>
      </c>
      <c r="M207" s="87">
        <f>VLOOKUP($A207,'Data shares'!$C:$FA,97)</f>
        <v>1.1136999999999999</v>
      </c>
      <c r="N207" s="86">
        <f>VLOOKUP($A207,'Data shares'!$C:$FA,78)</f>
        <v>8358875</v>
      </c>
      <c r="O207" s="87">
        <f>VLOOKUP($A207,'Data shares'!$C:$FA,81)</f>
        <v>30.259799999999998</v>
      </c>
    </row>
    <row r="208" spans="1:15" x14ac:dyDescent="0.25">
      <c r="A208" s="100" t="str">
        <f>'Data Vlaue (Cr)'!C203</f>
        <v>ULTRACEMCO</v>
      </c>
      <c r="B208" s="82">
        <f>VLOOKUP(A208,'Data shares'!$C$2:$CV$214,98,0)</f>
        <v>3293400</v>
      </c>
      <c r="C208" s="82">
        <f>VLOOKUP(A208,'Data shares'!$C$2:$CX$214,100,0)</f>
        <v>17550</v>
      </c>
      <c r="D208" s="141">
        <f>VLOOKUP(A208,'Data shares'!$C$2:$CY$537,101,0)</f>
        <v>5.4000000000000003E-3</v>
      </c>
      <c r="E208" s="86">
        <f>VLOOKUP($A208,'Data shares'!$C:$FA,74)</f>
        <v>2695700</v>
      </c>
      <c r="F208" s="86">
        <f>VLOOKUP($A208,'Data shares'!$C:$FA,76)</f>
        <v>-98250</v>
      </c>
      <c r="G208" s="87">
        <f>VLOOKUP(A208,'Data shares'!$C$2:$CA$214,77,0)</f>
        <v>-3.5200000000000002E-2</v>
      </c>
      <c r="H208" s="86">
        <f>VLOOKUP($A208,'Data shares'!$C:$FA,90)</f>
        <v>349750</v>
      </c>
      <c r="I208" s="86">
        <f>VLOOKUP($A208,'Data shares'!$C:$FA,92)</f>
        <v>51600</v>
      </c>
      <c r="J208" s="87">
        <f>VLOOKUP($A208,'Data shares'!$C:$FA,93)</f>
        <v>0.1731</v>
      </c>
      <c r="K208" s="86">
        <f>VLOOKUP($A208,'Data shares'!$C:$FA,94)</f>
        <v>247950</v>
      </c>
      <c r="L208" s="86">
        <f>VLOOKUP($A208,'Data shares'!$C:$FA,96)</f>
        <v>64200</v>
      </c>
      <c r="M208" s="87">
        <f>VLOOKUP($A208,'Data shares'!$C:$FA,97)</f>
        <v>0.34939999999999999</v>
      </c>
      <c r="N208" s="86">
        <f>VLOOKUP($A208,'Data shares'!$C:$FA,78)</f>
        <v>2532350</v>
      </c>
      <c r="O208" s="87">
        <f>VLOOKUP($A208,'Data shares'!$C:$FA,81)</f>
        <v>11.139699999999999</v>
      </c>
    </row>
    <row r="209" spans="1:15" x14ac:dyDescent="0.25">
      <c r="A209" s="100" t="str">
        <f>'Data Vlaue (Cr)'!C204</f>
        <v>UNIONBANK</v>
      </c>
      <c r="B209" s="82">
        <f>VLOOKUP(A209,'Data shares'!$C$2:$CV$214,98,0)</f>
        <v>119696250</v>
      </c>
      <c r="C209" s="82">
        <f>VLOOKUP(A209,'Data shares'!$C$2:$CX$214,100,0)</f>
        <v>14549400</v>
      </c>
      <c r="D209" s="141">
        <f>VLOOKUP(A209,'Data shares'!$C$2:$CY$537,101,0)</f>
        <v>0.1384</v>
      </c>
      <c r="E209" s="86">
        <f>VLOOKUP($A209,'Data shares'!$C:$FA,74)</f>
        <v>78871200</v>
      </c>
      <c r="F209" s="86">
        <f>VLOOKUP($A209,'Data shares'!$C:$FA,76)</f>
        <v>1031025</v>
      </c>
      <c r="G209" s="87">
        <f>VLOOKUP(A209,'Data shares'!$C$2:$CA$214,77,0)</f>
        <v>1.32E-2</v>
      </c>
      <c r="H209" s="86">
        <f>VLOOKUP($A209,'Data shares'!$C:$FA,90)</f>
        <v>23948100</v>
      </c>
      <c r="I209" s="86">
        <f>VLOOKUP($A209,'Data shares'!$C:$FA,92)</f>
        <v>7495950</v>
      </c>
      <c r="J209" s="87">
        <f>VLOOKUP($A209,'Data shares'!$C:$FA,93)</f>
        <v>0.4556</v>
      </c>
      <c r="K209" s="86">
        <f>VLOOKUP($A209,'Data shares'!$C:$FA,94)</f>
        <v>16876950</v>
      </c>
      <c r="L209" s="86">
        <f>VLOOKUP($A209,'Data shares'!$C:$FA,96)</f>
        <v>6022425</v>
      </c>
      <c r="M209" s="87">
        <f>VLOOKUP($A209,'Data shares'!$C:$FA,97)</f>
        <v>0.55479999999999996</v>
      </c>
      <c r="N209" s="86">
        <f>VLOOKUP($A209,'Data shares'!$C:$FA,78)</f>
        <v>77242800</v>
      </c>
      <c r="O209" s="87">
        <f>VLOOKUP($A209,'Data shares'!$C:$FA,81)</f>
        <v>18.245899999999999</v>
      </c>
    </row>
    <row r="210" spans="1:15" x14ac:dyDescent="0.25">
      <c r="A210" s="100" t="str">
        <f>'Data Vlaue (Cr)'!C205</f>
        <v>UNITDSPR</v>
      </c>
      <c r="B210" s="82">
        <f>VLOOKUP(A210,'Data shares'!$C$2:$CV$214,98,0)</f>
        <v>15417200</v>
      </c>
      <c r="C210" s="82">
        <f>VLOOKUP(A210,'Data shares'!$C$2:$CX$214,100,0)</f>
        <v>1500000</v>
      </c>
      <c r="D210" s="141">
        <f>VLOOKUP(A210,'Data shares'!$C$2:$CY$537,101,0)</f>
        <v>0.10780000000000001</v>
      </c>
      <c r="E210" s="86">
        <f>VLOOKUP($A210,'Data shares'!$C:$FA,74)</f>
        <v>11047600</v>
      </c>
      <c r="F210" s="86">
        <f>VLOOKUP($A210,'Data shares'!$C:$FA,76)</f>
        <v>388000</v>
      </c>
      <c r="G210" s="87">
        <f>VLOOKUP(A210,'Data shares'!$C$2:$CA$214,77,0)</f>
        <v>3.6400000000000002E-2</v>
      </c>
      <c r="H210" s="86">
        <f>VLOOKUP($A210,'Data shares'!$C:$FA,90)</f>
        <v>2282000</v>
      </c>
      <c r="I210" s="86">
        <f>VLOOKUP($A210,'Data shares'!$C:$FA,92)</f>
        <v>826800</v>
      </c>
      <c r="J210" s="87">
        <f>VLOOKUP($A210,'Data shares'!$C:$FA,93)</f>
        <v>0.56820000000000004</v>
      </c>
      <c r="K210" s="86">
        <f>VLOOKUP($A210,'Data shares'!$C:$FA,94)</f>
        <v>2087600</v>
      </c>
      <c r="L210" s="86">
        <f>VLOOKUP($A210,'Data shares'!$C:$FA,96)</f>
        <v>285200</v>
      </c>
      <c r="M210" s="87">
        <f>VLOOKUP($A210,'Data shares'!$C:$FA,97)</f>
        <v>0.15820000000000001</v>
      </c>
      <c r="N210" s="86">
        <f>VLOOKUP($A210,'Data shares'!$C:$FA,78)</f>
        <v>10916000</v>
      </c>
      <c r="O210" s="87">
        <f>VLOOKUP($A210,'Data shares'!$C:$FA,81)</f>
        <v>19.943999999999999</v>
      </c>
    </row>
    <row r="211" spans="1:15" x14ac:dyDescent="0.25">
      <c r="A211" s="100" t="str">
        <f>'Data Vlaue (Cr)'!C206</f>
        <v>UNOMINDA</v>
      </c>
      <c r="B211" s="82">
        <f>VLOOKUP(A211,'Data shares'!$C$2:$CV$214,98,0)</f>
        <v>5630350</v>
      </c>
      <c r="C211" s="82">
        <f>VLOOKUP(A211,'Data shares'!$C$2:$CX$214,100,0)</f>
        <v>93500</v>
      </c>
      <c r="D211" s="141">
        <f>VLOOKUP(A211,'Data shares'!$C$2:$CY$537,101,0)</f>
        <v>1.6899999999999998E-2</v>
      </c>
      <c r="E211" s="86">
        <f>VLOOKUP($A211,'Data shares'!$C:$FA,74)</f>
        <v>5093550</v>
      </c>
      <c r="F211" s="86">
        <f>VLOOKUP($A211,'Data shares'!$C:$FA,76)</f>
        <v>8250</v>
      </c>
      <c r="G211" s="87">
        <f>VLOOKUP(A211,'Data shares'!$C$2:$CA$214,77,0)</f>
        <v>1.6000000000000001E-3</v>
      </c>
      <c r="H211" s="86">
        <f>VLOOKUP($A211,'Data shares'!$C:$FA,90)</f>
        <v>249150</v>
      </c>
      <c r="I211" s="86">
        <f>VLOOKUP($A211,'Data shares'!$C:$FA,92)</f>
        <v>46750</v>
      </c>
      <c r="J211" s="87">
        <f>VLOOKUP($A211,'Data shares'!$C:$FA,93)</f>
        <v>0.23100000000000001</v>
      </c>
      <c r="K211" s="86">
        <f>VLOOKUP($A211,'Data shares'!$C:$FA,94)</f>
        <v>287650</v>
      </c>
      <c r="L211" s="86">
        <f>VLOOKUP($A211,'Data shares'!$C:$FA,96)</f>
        <v>38500</v>
      </c>
      <c r="M211" s="87">
        <f>VLOOKUP($A211,'Data shares'!$C:$FA,97)</f>
        <v>0.1545</v>
      </c>
      <c r="N211" s="86">
        <f>VLOOKUP($A211,'Data shares'!$C:$FA,78)</f>
        <v>5025350</v>
      </c>
      <c r="O211" s="87">
        <f>VLOOKUP($A211,'Data shares'!$C:$FA,81)</f>
        <v>26.1128</v>
      </c>
    </row>
    <row r="212" spans="1:15" x14ac:dyDescent="0.25">
      <c r="A212" s="100" t="str">
        <f>'Data Vlaue (Cr)'!C207</f>
        <v>UPL</v>
      </c>
      <c r="B212" s="82">
        <f>VLOOKUP(A212,'Data shares'!$C$2:$CV$214,98,0)</f>
        <v>46733950</v>
      </c>
      <c r="C212" s="82">
        <f>VLOOKUP(A212,'Data shares'!$C$2:$CX$214,100,0)</f>
        <v>1116520</v>
      </c>
      <c r="D212" s="141">
        <f>VLOOKUP(A212,'Data shares'!$C$2:$CY$537,101,0)</f>
        <v>2.4500000000000001E-2</v>
      </c>
      <c r="E212" s="86">
        <f>VLOOKUP($A212,'Data shares'!$C:$FA,74)</f>
        <v>33017285</v>
      </c>
      <c r="F212" s="86">
        <f>VLOOKUP($A212,'Data shares'!$C:$FA,76)</f>
        <v>-98915</v>
      </c>
      <c r="G212" s="87">
        <f>VLOOKUP(A212,'Data shares'!$C$2:$CA$214,77,0)</f>
        <v>-3.0000000000000001E-3</v>
      </c>
      <c r="H212" s="86">
        <f>VLOOKUP($A212,'Data shares'!$C:$FA,90)</f>
        <v>7890165</v>
      </c>
      <c r="I212" s="86">
        <f>VLOOKUP($A212,'Data shares'!$C:$FA,92)</f>
        <v>745250</v>
      </c>
      <c r="J212" s="87">
        <f>VLOOKUP($A212,'Data shares'!$C:$FA,93)</f>
        <v>0.1043</v>
      </c>
      <c r="K212" s="86">
        <f>VLOOKUP($A212,'Data shares'!$C:$FA,94)</f>
        <v>5826500</v>
      </c>
      <c r="L212" s="86">
        <f>VLOOKUP($A212,'Data shares'!$C:$FA,96)</f>
        <v>470185</v>
      </c>
      <c r="M212" s="87">
        <f>VLOOKUP($A212,'Data shares'!$C:$FA,97)</f>
        <v>8.7800000000000003E-2</v>
      </c>
      <c r="N212" s="86">
        <f>VLOOKUP($A212,'Data shares'!$C:$FA,78)</f>
        <v>32644660</v>
      </c>
      <c r="O212" s="87">
        <f>VLOOKUP($A212,'Data shares'!$C:$FA,81)</f>
        <v>18.683</v>
      </c>
    </row>
    <row r="213" spans="1:15" x14ac:dyDescent="0.25">
      <c r="A213" s="100" t="str">
        <f>'Data Vlaue (Cr)'!C208</f>
        <v>VBL</v>
      </c>
      <c r="B213" s="82">
        <f>VLOOKUP(A213,'Data shares'!$C$2:$CV$214,98,0)</f>
        <v>57357000</v>
      </c>
      <c r="C213" s="82">
        <f>VLOOKUP(A213,'Data shares'!$C$2:$CX$214,100,0)</f>
        <v>3871125</v>
      </c>
      <c r="D213" s="141">
        <f>VLOOKUP(A213,'Data shares'!$C$2:$CY$537,101,0)</f>
        <v>7.2400000000000006E-2</v>
      </c>
      <c r="E213" s="86">
        <f>VLOOKUP($A213,'Data shares'!$C:$FA,74)</f>
        <v>46891125</v>
      </c>
      <c r="F213" s="86">
        <f>VLOOKUP($A213,'Data shares'!$C:$FA,76)</f>
        <v>1125000</v>
      </c>
      <c r="G213" s="87">
        <f>VLOOKUP(A213,'Data shares'!$C$2:$CA$214,77,0)</f>
        <v>2.46E-2</v>
      </c>
      <c r="H213" s="86">
        <f>VLOOKUP($A213,'Data shares'!$C:$FA,90)</f>
        <v>5475375</v>
      </c>
      <c r="I213" s="86">
        <f>VLOOKUP($A213,'Data shares'!$C:$FA,92)</f>
        <v>1348875</v>
      </c>
      <c r="J213" s="87">
        <f>VLOOKUP($A213,'Data shares'!$C:$FA,93)</f>
        <v>0.32690000000000002</v>
      </c>
      <c r="K213" s="86">
        <f>VLOOKUP($A213,'Data shares'!$C:$FA,94)</f>
        <v>4990500</v>
      </c>
      <c r="L213" s="86">
        <f>VLOOKUP($A213,'Data shares'!$C:$FA,96)</f>
        <v>1397250</v>
      </c>
      <c r="M213" s="87">
        <f>VLOOKUP($A213,'Data shares'!$C:$FA,97)</f>
        <v>0.38890000000000002</v>
      </c>
      <c r="N213" s="86">
        <f>VLOOKUP($A213,'Data shares'!$C:$FA,78)</f>
        <v>46474875</v>
      </c>
      <c r="O213" s="87">
        <f>VLOOKUP($A213,'Data shares'!$C:$FA,81)</f>
        <v>14.2158</v>
      </c>
    </row>
    <row r="214" spans="1:15" x14ac:dyDescent="0.25">
      <c r="A214" s="100" t="str">
        <f>'Data Vlaue (Cr)'!C209</f>
        <v>VEDL</v>
      </c>
      <c r="B214" s="82">
        <f>VLOOKUP(A214,'Data shares'!$C$2:$CV$214,98,0)</f>
        <v>126061850</v>
      </c>
      <c r="C214" s="82">
        <f>VLOOKUP(A214,'Data shares'!$C$2:$CX$214,100,0)</f>
        <v>6517050</v>
      </c>
      <c r="D214" s="141">
        <f>VLOOKUP(A214,'Data shares'!$C$2:$CY$537,101,0)</f>
        <v>5.45E-2</v>
      </c>
      <c r="E214" s="86">
        <f>VLOOKUP($A214,'Data shares'!$C:$FA,74)</f>
        <v>78689900</v>
      </c>
      <c r="F214" s="86">
        <f>VLOOKUP($A214,'Data shares'!$C:$FA,76)</f>
        <v>1634150</v>
      </c>
      <c r="G214" s="87">
        <f>VLOOKUP(A214,'Data shares'!$C$2:$CA$214,77,0)</f>
        <v>2.12E-2</v>
      </c>
      <c r="H214" s="86">
        <f>VLOOKUP($A214,'Data shares'!$C:$FA,90)</f>
        <v>27726500</v>
      </c>
      <c r="I214" s="86">
        <f>VLOOKUP($A214,'Data shares'!$C:$FA,92)</f>
        <v>609500</v>
      </c>
      <c r="J214" s="87">
        <f>VLOOKUP($A214,'Data shares'!$C:$FA,93)</f>
        <v>2.2499999999999999E-2</v>
      </c>
      <c r="K214" s="86">
        <f>VLOOKUP($A214,'Data shares'!$C:$FA,94)</f>
        <v>19645450</v>
      </c>
      <c r="L214" s="86">
        <f>VLOOKUP($A214,'Data shares'!$C:$FA,96)</f>
        <v>4273400</v>
      </c>
      <c r="M214" s="87">
        <f>VLOOKUP($A214,'Data shares'!$C:$FA,97)</f>
        <v>0.27800000000000002</v>
      </c>
      <c r="N214" s="86">
        <f>VLOOKUP($A214,'Data shares'!$C:$FA,78)</f>
        <v>75934500</v>
      </c>
      <c r="O214" s="87">
        <f>VLOOKUP($A214,'Data shares'!$C:$FA,81)</f>
        <v>11.9801</v>
      </c>
    </row>
    <row r="215" spans="1:15" x14ac:dyDescent="0.25">
      <c r="A215" s="100" t="str">
        <f>'Data Vlaue (Cr)'!C210</f>
        <v>VOLTAS</v>
      </c>
      <c r="B215" s="82">
        <f>VLOOKUP(A215,'Data shares'!$C$2:$CV$214,98,0)</f>
        <v>15536250</v>
      </c>
      <c r="C215" s="82">
        <f>VLOOKUP(A215,'Data shares'!$C$2:$CX$214,100,0)</f>
        <v>1179750</v>
      </c>
      <c r="D215" s="141">
        <f>VLOOKUP(A215,'Data shares'!$C$2:$CY$537,101,0)</f>
        <v>8.2199999999999995E-2</v>
      </c>
      <c r="E215" s="86">
        <f>VLOOKUP($A215,'Data shares'!$C:$FA,74)</f>
        <v>12606375</v>
      </c>
      <c r="F215" s="86">
        <f>VLOOKUP($A215,'Data shares'!$C:$FA,76)</f>
        <v>733500</v>
      </c>
      <c r="G215" s="87">
        <f>VLOOKUP(A215,'Data shares'!$C$2:$CA$214,77,0)</f>
        <v>6.1800000000000001E-2</v>
      </c>
      <c r="H215" s="86">
        <f>VLOOKUP($A215,'Data shares'!$C:$FA,90)</f>
        <v>1570500</v>
      </c>
      <c r="I215" s="86">
        <f>VLOOKUP($A215,'Data shares'!$C:$FA,92)</f>
        <v>161250</v>
      </c>
      <c r="J215" s="87">
        <f>VLOOKUP($A215,'Data shares'!$C:$FA,93)</f>
        <v>0.1144</v>
      </c>
      <c r="K215" s="86">
        <f>VLOOKUP($A215,'Data shares'!$C:$FA,94)</f>
        <v>1359375</v>
      </c>
      <c r="L215" s="86">
        <f>VLOOKUP($A215,'Data shares'!$C:$FA,96)</f>
        <v>285000</v>
      </c>
      <c r="M215" s="87">
        <f>VLOOKUP($A215,'Data shares'!$C:$FA,97)</f>
        <v>0.26529999999999998</v>
      </c>
      <c r="N215" s="86">
        <f>VLOOKUP($A215,'Data shares'!$C:$FA,78)</f>
        <v>12476625</v>
      </c>
      <c r="O215" s="87">
        <f>VLOOKUP($A215,'Data shares'!$C:$FA,81)</f>
        <v>18.594200000000001</v>
      </c>
    </row>
    <row r="216" spans="1:15" s="89" customFormat="1" ht="16.5" customHeight="1" x14ac:dyDescent="0.2">
      <c r="A216" s="100" t="str">
        <f>'Data Vlaue (Cr)'!C211</f>
        <v>WAAREEENER</v>
      </c>
      <c r="B216" s="82">
        <f>VLOOKUP(A216,'Data shares'!$C$2:$CV$214,98,0)</f>
        <v>3369450</v>
      </c>
      <c r="C216" s="82">
        <f>VLOOKUP(A216,'Data shares'!$C$2:$CX$214,100,0)</f>
        <v>18200</v>
      </c>
      <c r="D216" s="141">
        <f>VLOOKUP(A216,'Data shares'!$C$2:$CY$537,101,0)</f>
        <v>5.4000000000000003E-3</v>
      </c>
      <c r="E216" s="86">
        <f>VLOOKUP($A216,'Data shares'!$C:$FA,74)</f>
        <v>2214450</v>
      </c>
      <c r="F216" s="86">
        <f>VLOOKUP($A216,'Data shares'!$C:$FA,76)</f>
        <v>-67550</v>
      </c>
      <c r="G216" s="87">
        <f>VLOOKUP(A216,'Data shares'!$C$2:$CA$214,77,0)</f>
        <v>-2.9600000000000001E-2</v>
      </c>
      <c r="H216" s="86">
        <f>VLOOKUP($A216,'Data shares'!$C:$FA,90)</f>
        <v>665700</v>
      </c>
      <c r="I216" s="86">
        <f>VLOOKUP($A216,'Data shares'!$C:$FA,92)</f>
        <v>59325</v>
      </c>
      <c r="J216" s="87">
        <f>VLOOKUP($A216,'Data shares'!$C:$FA,93)</f>
        <v>9.7799999999999998E-2</v>
      </c>
      <c r="K216" s="86">
        <f>VLOOKUP($A216,'Data shares'!$C:$FA,94)</f>
        <v>489300</v>
      </c>
      <c r="L216" s="86">
        <f>VLOOKUP($A216,'Data shares'!$C:$FA,96)</f>
        <v>26425</v>
      </c>
      <c r="M216" s="87">
        <f>VLOOKUP($A216,'Data shares'!$C:$FA,97)</f>
        <v>5.7099999999999998E-2</v>
      </c>
      <c r="N216" s="86">
        <f>VLOOKUP($A216,'Data shares'!$C:$FA,78)</f>
        <v>2153375</v>
      </c>
      <c r="O216" s="87">
        <f>VLOOKUP($A216,'Data shares'!$C:$FA,81)</f>
        <v>9.0284999999999993</v>
      </c>
    </row>
    <row r="217" spans="1:15" s="89" customFormat="1" ht="16.5" customHeight="1" x14ac:dyDescent="0.2">
      <c r="A217" s="100" t="str">
        <f>'Data Vlaue (Cr)'!C212</f>
        <v>WIPRO</v>
      </c>
      <c r="B217" s="82">
        <f>VLOOKUP(A217,'Data shares'!$C$2:$CV$214,98,0)</f>
        <v>179007000</v>
      </c>
      <c r="C217" s="82">
        <f>VLOOKUP(A217,'Data shares'!$C$2:$CX$214,100,0)</f>
        <v>7581000</v>
      </c>
      <c r="D217" s="141">
        <f>VLOOKUP(A217,'Data shares'!$C$2:$CY$537,101,0)</f>
        <v>4.4200000000000003E-2</v>
      </c>
      <c r="E217" s="86">
        <f>VLOOKUP($A217,'Data shares'!$C:$FA,74)</f>
        <v>121008000</v>
      </c>
      <c r="F217" s="86">
        <f>VLOOKUP($A217,'Data shares'!$C:$FA,76)</f>
        <v>-2484000</v>
      </c>
      <c r="G217" s="87">
        <f>VLOOKUP(A217,'Data shares'!$C$2:$CA$214,77,0)</f>
        <v>-2.01E-2</v>
      </c>
      <c r="H217" s="86">
        <f>VLOOKUP($A217,'Data shares'!$C:$FA,90)</f>
        <v>35040000</v>
      </c>
      <c r="I217" s="86">
        <f>VLOOKUP($A217,'Data shares'!$C:$FA,92)</f>
        <v>7758000</v>
      </c>
      <c r="J217" s="87">
        <f>VLOOKUP($A217,'Data shares'!$C:$FA,93)</f>
        <v>0.28439999999999999</v>
      </c>
      <c r="K217" s="86">
        <f>VLOOKUP($A217,'Data shares'!$C:$FA,94)</f>
        <v>22959000</v>
      </c>
      <c r="L217" s="86">
        <f>VLOOKUP($A217,'Data shares'!$C:$FA,96)</f>
        <v>2307000</v>
      </c>
      <c r="M217" s="87">
        <f>VLOOKUP($A217,'Data shares'!$C:$FA,97)</f>
        <v>0.11169999999999999</v>
      </c>
      <c r="N217" s="86">
        <f>VLOOKUP($A217,'Data shares'!$C:$FA,78)</f>
        <v>117618000</v>
      </c>
      <c r="O217" s="87">
        <f>VLOOKUP($A217,'Data shares'!$C:$FA,81)</f>
        <v>5.4261999999999997</v>
      </c>
    </row>
    <row r="218" spans="1:15" x14ac:dyDescent="0.25">
      <c r="A218" s="100" t="str">
        <f>'Data Vlaue (Cr)'!C213</f>
        <v>YESBANK</v>
      </c>
      <c r="B218" s="82">
        <f>VLOOKUP(A218,'Data shares'!$C$2:$CV$214,98,0)</f>
        <v>1543710700</v>
      </c>
      <c r="C218" s="82">
        <f>VLOOKUP(A218,'Data shares'!$C$2:$CX$214,100,0)</f>
        <v>29762700</v>
      </c>
      <c r="D218" s="141">
        <f>VLOOKUP(A218,'Data shares'!$C$2:$CY$537,101,0)</f>
        <v>1.9699999999999999E-2</v>
      </c>
      <c r="E218" s="86">
        <f>VLOOKUP($A218,'Data shares'!$C:$FA,74)</f>
        <v>1052859400</v>
      </c>
      <c r="F218" s="86">
        <f>VLOOKUP($A218,'Data shares'!$C:$FA,76)</f>
        <v>-7775000</v>
      </c>
      <c r="G218" s="87">
        <f>VLOOKUP(A218,'Data shares'!$C$2:$CA$214,77,0)</f>
        <v>-7.3000000000000001E-3</v>
      </c>
      <c r="H218" s="86">
        <f>VLOOKUP($A218,'Data shares'!$C:$FA,90)</f>
        <v>295543300</v>
      </c>
      <c r="I218" s="86">
        <f>VLOOKUP($A218,'Data shares'!$C:$FA,92)</f>
        <v>26901500</v>
      </c>
      <c r="J218" s="87">
        <f>VLOOKUP($A218,'Data shares'!$C:$FA,93)</f>
        <v>0.10009999999999999</v>
      </c>
      <c r="K218" s="86">
        <f>VLOOKUP($A218,'Data shares'!$C:$FA,94)</f>
        <v>195308000</v>
      </c>
      <c r="L218" s="86">
        <f>VLOOKUP($A218,'Data shares'!$C:$FA,96)</f>
        <v>10636200</v>
      </c>
      <c r="M218" s="87">
        <f>VLOOKUP($A218,'Data shares'!$C:$FA,97)</f>
        <v>5.7599999999999998E-2</v>
      </c>
      <c r="N218" s="86">
        <f>VLOOKUP($A218,'Data shares'!$C:$FA,78)</f>
        <v>999678400</v>
      </c>
      <c r="O218" s="87">
        <f>VLOOKUP($A218,'Data shares'!$C:$FA,81)</f>
        <v>22.091999999999999</v>
      </c>
    </row>
    <row r="219" spans="1:15" x14ac:dyDescent="0.25">
      <c r="A219" s="100"/>
      <c r="B219" s="82"/>
      <c r="C219" s="82"/>
      <c r="D219" s="141"/>
      <c r="E219" s="86"/>
      <c r="F219" s="86"/>
      <c r="G219" s="87"/>
      <c r="H219" s="86"/>
      <c r="I219" s="86"/>
      <c r="J219" s="87"/>
      <c r="K219" s="86"/>
      <c r="L219" s="86"/>
      <c r="M219" s="87"/>
      <c r="N219" s="86"/>
      <c r="O219" s="87"/>
    </row>
    <row r="220" spans="1:15" x14ac:dyDescent="0.25">
      <c r="A220" s="100" t="str">
        <f>'Data Vlaue (Cr)'!C214</f>
        <v>ZYDUSLIFE</v>
      </c>
      <c r="B220" s="82">
        <f>VLOOKUP(A220,'Data shares'!$C$2:$CV$214,98,0)</f>
        <v>11517300</v>
      </c>
      <c r="C220" s="82">
        <f>VLOOKUP(A220,'Data shares'!$C$2:$CX$214,100,0)</f>
        <v>565200</v>
      </c>
      <c r="D220" s="141">
        <f>VLOOKUP(A220,'Data shares'!$C$2:$CY$537,101,0)</f>
        <v>5.16E-2</v>
      </c>
      <c r="E220" s="86">
        <f>VLOOKUP($A220,'Data shares'!$C:$FA,74)</f>
        <v>8786700</v>
      </c>
      <c r="F220" s="86">
        <f>VLOOKUP($A220,'Data shares'!$C:$FA,76)</f>
        <v>-37800</v>
      </c>
      <c r="G220" s="87">
        <f>VLOOKUP(A220,'Data shares'!$C$2:$CA$214,77,0)</f>
        <v>-4.3E-3</v>
      </c>
      <c r="H220" s="86">
        <f>VLOOKUP($A220,'Data shares'!$C:$FA,90)</f>
        <v>1299600</v>
      </c>
      <c r="I220" s="86">
        <f>VLOOKUP($A220,'Data shares'!$C:$FA,92)</f>
        <v>400500</v>
      </c>
      <c r="J220" s="87">
        <f>VLOOKUP($A220,'Data shares'!$C:$FA,93)</f>
        <v>0.44540000000000002</v>
      </c>
      <c r="K220" s="86">
        <f>VLOOKUP($A220,'Data shares'!$C:$FA,94)</f>
        <v>1431000</v>
      </c>
      <c r="L220" s="86">
        <f>VLOOKUP($A220,'Data shares'!$C:$FA,96)</f>
        <v>202500</v>
      </c>
      <c r="M220" s="87">
        <f>VLOOKUP($A220,'Data shares'!$C:$FA,97)</f>
        <v>0.1648</v>
      </c>
      <c r="N220" s="86">
        <f>VLOOKUP($A220,'Data shares'!$C:$FA,78)</f>
        <v>8653500</v>
      </c>
      <c r="O220" s="87">
        <f>VLOOKUP($A220,'Data shares'!$C:$FA,81)</f>
        <v>24.504000000000001</v>
      </c>
    </row>
    <row r="221" spans="1:15" x14ac:dyDescent="0.25">
      <c r="A221" s="100"/>
      <c r="B221" s="82"/>
      <c r="C221" s="82"/>
      <c r="D221" s="141"/>
      <c r="E221" s="86"/>
      <c r="F221" s="86"/>
      <c r="G221" s="87"/>
      <c r="H221" s="86"/>
      <c r="I221" s="86"/>
      <c r="J221" s="87"/>
      <c r="K221" s="86"/>
      <c r="L221" s="86"/>
      <c r="M221" s="87"/>
      <c r="N221" s="86"/>
      <c r="O221" s="87"/>
    </row>
    <row r="222" spans="1:15" x14ac:dyDescent="0.25">
      <c r="A222" s="100"/>
      <c r="B222" s="82"/>
      <c r="C222" s="82"/>
      <c r="D222" s="141"/>
      <c r="E222" s="86"/>
      <c r="F222" s="86"/>
      <c r="G222" s="87"/>
      <c r="H222" s="86"/>
      <c r="I222" s="86"/>
      <c r="J222" s="87"/>
      <c r="K222" s="86"/>
      <c r="L222" s="86"/>
      <c r="M222" s="87"/>
      <c r="N222" s="86"/>
      <c r="O222" s="87"/>
    </row>
    <row r="223" spans="1:15" x14ac:dyDescent="0.25">
      <c r="A223" s="100"/>
      <c r="B223" s="82"/>
      <c r="C223" s="82"/>
      <c r="D223" s="141"/>
      <c r="E223" s="86"/>
      <c r="F223" s="86"/>
      <c r="G223" s="87"/>
      <c r="H223" s="86"/>
      <c r="I223" s="86"/>
      <c r="J223" s="87"/>
      <c r="K223" s="86"/>
      <c r="L223" s="86"/>
      <c r="M223" s="87"/>
      <c r="N223" s="86"/>
      <c r="O223" s="87"/>
    </row>
    <row r="224" spans="1:15" x14ac:dyDescent="0.25">
      <c r="A224" s="100"/>
      <c r="B224" s="82"/>
      <c r="C224" s="82"/>
      <c r="D224" s="141"/>
      <c r="E224" s="86"/>
      <c r="F224" s="86"/>
      <c r="G224" s="87"/>
      <c r="H224" s="86"/>
      <c r="I224" s="86"/>
      <c r="J224" s="87"/>
      <c r="K224" s="86"/>
      <c r="L224" s="86"/>
      <c r="M224" s="87"/>
      <c r="N224" s="86"/>
      <c r="O224" s="87"/>
    </row>
    <row r="225" spans="1:15" x14ac:dyDescent="0.25">
      <c r="A225" s="100"/>
      <c r="B225" s="82"/>
      <c r="C225" s="82"/>
      <c r="D225" s="141"/>
      <c r="E225" s="86"/>
      <c r="F225" s="86"/>
      <c r="G225" s="87"/>
      <c r="H225" s="86"/>
      <c r="I225" s="86"/>
      <c r="J225" s="87"/>
      <c r="K225" s="86"/>
      <c r="L225" s="86"/>
      <c r="M225" s="87"/>
      <c r="N225" s="86"/>
      <c r="O225" s="87"/>
    </row>
    <row r="226" spans="1:15" x14ac:dyDescent="0.25">
      <c r="A226" s="100"/>
      <c r="B226" s="82"/>
      <c r="C226" s="82"/>
      <c r="D226" s="141"/>
      <c r="E226" s="86"/>
      <c r="F226" s="86"/>
      <c r="G226" s="87"/>
      <c r="H226" s="86"/>
      <c r="I226" s="86"/>
      <c r="J226" s="87"/>
      <c r="K226" s="86"/>
      <c r="L226" s="86"/>
      <c r="M226" s="87"/>
      <c r="N226" s="86"/>
      <c r="O226" s="87"/>
    </row>
    <row r="227" spans="1:15" x14ac:dyDescent="0.25">
      <c r="A227" s="100"/>
      <c r="B227" s="17"/>
      <c r="C227" s="17"/>
      <c r="D227" s="17"/>
      <c r="E227" s="17"/>
      <c r="F227" s="17"/>
      <c r="G227" s="17"/>
      <c r="H227" s="17"/>
      <c r="I227" s="17"/>
      <c r="J227" s="17"/>
      <c r="K227" s="17"/>
      <c r="L227" s="17"/>
      <c r="M227" s="17"/>
      <c r="N227" s="17"/>
      <c r="O227" s="17"/>
    </row>
    <row r="228" spans="1:15" x14ac:dyDescent="0.25">
      <c r="A228" s="98"/>
      <c r="B228" s="17"/>
      <c r="C228" s="17"/>
      <c r="D228" s="17"/>
      <c r="E228" s="17"/>
      <c r="F228" s="17"/>
      <c r="G228" s="17"/>
      <c r="H228" s="17"/>
      <c r="I228" s="17"/>
      <c r="J228" s="17"/>
      <c r="K228" s="17"/>
      <c r="L228" s="17"/>
      <c r="M228" s="17"/>
      <c r="N228" s="17"/>
      <c r="O228" s="17"/>
    </row>
    <row r="229" spans="1:15" x14ac:dyDescent="0.25">
      <c r="A229" s="118" t="s">
        <v>391</v>
      </c>
      <c r="B229" s="119">
        <f>SUM(B7:B222)</f>
        <v>23446180975</v>
      </c>
      <c r="C229" s="119">
        <f>SUM(C7:C222)</f>
        <v>1217137484</v>
      </c>
      <c r="D229" s="120">
        <f>C229*100/(B229-C229)</f>
        <v>5.4754379534719497</v>
      </c>
      <c r="E229" s="119">
        <f>SUM(E7:E222)</f>
        <v>16899323502</v>
      </c>
      <c r="F229" s="119">
        <f>SUM(F7:F222)</f>
        <v>184554836</v>
      </c>
      <c r="G229" s="120">
        <f>F229*100/(E229-F229)</f>
        <v>1.1041423287862093</v>
      </c>
      <c r="H229" s="119">
        <f>SUM(H7:H222)</f>
        <v>3696456870</v>
      </c>
      <c r="I229" s="119">
        <f>SUM(I7:I222)</f>
        <v>626096029</v>
      </c>
      <c r="J229" s="120">
        <f>I229*100/(H229-I229)</f>
        <v>20.39161067453179</v>
      </c>
      <c r="K229" s="119">
        <f>SUM(K7:K222)</f>
        <v>2850400603</v>
      </c>
      <c r="L229" s="119">
        <f>SUM(L7:L222)</f>
        <v>406486619</v>
      </c>
      <c r="M229" s="120">
        <f>L229*100/(K229-L229)</f>
        <v>16.632607434681301</v>
      </c>
      <c r="N229" s="119">
        <f>SUM(N7:N222)</f>
        <v>16376290767</v>
      </c>
      <c r="O229" s="120">
        <f>(N229-FII!V3)/N229*100</f>
        <v>93.106470164325216</v>
      </c>
    </row>
    <row r="230" spans="1:15" x14ac:dyDescent="0.25">
      <c r="A230" s="118" t="s">
        <v>409</v>
      </c>
      <c r="B230" s="121">
        <f>B229/10000000</f>
        <v>2344.6180975000002</v>
      </c>
      <c r="C230" s="121">
        <f>C229/10000000</f>
        <v>121.7137484</v>
      </c>
      <c r="D230" s="120">
        <f>D229</f>
        <v>5.4754379534719497</v>
      </c>
      <c r="E230" s="121">
        <f>E229/10000000</f>
        <v>1689.9323502</v>
      </c>
      <c r="F230" s="121">
        <f>F229/10000000</f>
        <v>18.455483600000001</v>
      </c>
      <c r="G230" s="120">
        <f>G229</f>
        <v>1.1041423287862093</v>
      </c>
      <c r="H230" s="121">
        <f>H229/10000000</f>
        <v>369.64568700000001</v>
      </c>
      <c r="I230" s="121">
        <f>I229/10000000</f>
        <v>62.609602899999999</v>
      </c>
      <c r="J230" s="120">
        <f>J229</f>
        <v>20.39161067453179</v>
      </c>
      <c r="K230" s="121">
        <f>K229/10000000</f>
        <v>285.04006029999999</v>
      </c>
      <c r="L230" s="121">
        <f>L229/10000000</f>
        <v>40.6486619</v>
      </c>
      <c r="M230" s="120">
        <f>M229</f>
        <v>16.632607434681301</v>
      </c>
      <c r="N230" s="121">
        <f>N229/10000000</f>
        <v>1637.6290767</v>
      </c>
      <c r="O230" s="120">
        <f>O229</f>
        <v>93.106470164325216</v>
      </c>
    </row>
    <row r="238" spans="1:15" x14ac:dyDescent="0.25">
      <c r="A238" s="273" t="s">
        <v>410</v>
      </c>
      <c r="B238" s="273"/>
      <c r="C238" s="273"/>
      <c r="D238" s="273"/>
    </row>
    <row r="239" spans="1:15" x14ac:dyDescent="0.25">
      <c r="A239" s="35" t="s">
        <v>401</v>
      </c>
      <c r="B239" s="35" t="s">
        <v>402</v>
      </c>
      <c r="C239" s="35" t="s">
        <v>369</v>
      </c>
      <c r="D239" s="35" t="s">
        <v>407</v>
      </c>
    </row>
    <row r="240" spans="1:15" x14ac:dyDescent="0.25">
      <c r="A240" s="36" t="s">
        <v>403</v>
      </c>
      <c r="B240" s="37">
        <f>E230</f>
        <v>1689.9323502</v>
      </c>
      <c r="C240" s="37">
        <f>F230</f>
        <v>18.455483600000001</v>
      </c>
      <c r="D240" s="39">
        <f>C240/B240</f>
        <v>1.0920841652516939E-2</v>
      </c>
    </row>
    <row r="241" spans="1:4" x14ac:dyDescent="0.25">
      <c r="A241" s="36" t="s">
        <v>404</v>
      </c>
      <c r="B241" s="37">
        <f>H230</f>
        <v>369.64568700000001</v>
      </c>
      <c r="C241" s="37">
        <f>I230</f>
        <v>62.609602899999999</v>
      </c>
      <c r="D241" s="39">
        <f>C241/B241</f>
        <v>0.16937733917073947</v>
      </c>
    </row>
    <row r="242" spans="1:4" x14ac:dyDescent="0.25">
      <c r="A242" s="36" t="s">
        <v>405</v>
      </c>
      <c r="B242" s="37">
        <f>K230</f>
        <v>285.04006029999999</v>
      </c>
      <c r="C242" s="37">
        <f>L230</f>
        <v>40.6486619</v>
      </c>
      <c r="D242" s="39">
        <f>C242/B242</f>
        <v>0.14260683869214014</v>
      </c>
    </row>
    <row r="243" spans="1:4" x14ac:dyDescent="0.25">
      <c r="A243" s="36" t="s">
        <v>406</v>
      </c>
      <c r="B243" s="40">
        <f>SUM(B240:B242)</f>
        <v>2344.6180974999997</v>
      </c>
      <c r="C243" s="40">
        <f>SUM(C240:C242)</f>
        <v>121.71374840000001</v>
      </c>
      <c r="D243" s="41">
        <f>C243/B243</f>
        <v>5.191197173210424E-2</v>
      </c>
    </row>
  </sheetData>
  <mergeCells count="9">
    <mergeCell ref="A238:D238"/>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7"/>
  <sheetViews>
    <sheetView workbookViewId="0">
      <pane ySplit="6" topLeftCell="A7" activePane="bottomLeft" state="frozen"/>
      <selection pane="bottomLeft" activeCell="C221" sqref="C221"/>
    </sheetView>
  </sheetViews>
  <sheetFormatPr defaultRowHeight="15" x14ac:dyDescent="0.25"/>
  <cols>
    <col min="1" max="1" width="10.7109375" customWidth="1"/>
    <col min="2" max="2" width="10.7109375" bestFit="1" customWidth="1"/>
    <col min="3" max="3" width="9.28515625" bestFit="1" customWidth="1"/>
    <col min="4" max="4" width="7.5703125" bestFit="1" customWidth="1"/>
  </cols>
  <sheetData>
    <row r="1" spans="1:15" ht="15.75" thickBot="1" x14ac:dyDescent="0.3"/>
    <row r="2" spans="1:15" ht="20.25" hidden="1" customHeight="1" thickBot="1" x14ac:dyDescent="0.3"/>
    <row r="3" spans="1:15" ht="20.25" customHeight="1" thickBot="1" x14ac:dyDescent="0.3">
      <c r="A3" s="279" t="s">
        <v>334</v>
      </c>
      <c r="B3" s="280"/>
      <c r="C3" s="280"/>
      <c r="D3" s="281"/>
      <c r="E3" s="282"/>
      <c r="F3" s="282"/>
      <c r="G3" s="282"/>
      <c r="H3" s="282"/>
      <c r="I3" s="282"/>
      <c r="J3" s="282"/>
      <c r="K3" s="282"/>
      <c r="L3" s="282"/>
      <c r="M3" s="282"/>
      <c r="N3" s="282"/>
      <c r="O3" s="283"/>
    </row>
    <row r="4" spans="1:15" x14ac:dyDescent="0.25">
      <c r="A4" s="284" t="s">
        <v>330</v>
      </c>
      <c r="B4" s="286" t="s">
        <v>309</v>
      </c>
      <c r="C4" s="287"/>
      <c r="D4" s="287"/>
      <c r="E4" s="287"/>
      <c r="F4" s="287"/>
      <c r="G4" s="287"/>
      <c r="H4" s="287"/>
      <c r="I4" s="287"/>
      <c r="J4" s="287"/>
      <c r="K4" s="287"/>
      <c r="L4" s="287"/>
      <c r="M4" s="287"/>
      <c r="N4" s="287"/>
      <c r="O4" s="288"/>
    </row>
    <row r="5" spans="1:15" x14ac:dyDescent="0.25">
      <c r="A5" s="285"/>
      <c r="B5" s="289" t="s">
        <v>314</v>
      </c>
      <c r="C5" s="289"/>
      <c r="D5" s="290"/>
      <c r="E5" s="289" t="s">
        <v>335</v>
      </c>
      <c r="F5" s="289"/>
      <c r="G5" s="290"/>
      <c r="H5" s="289" t="s">
        <v>336</v>
      </c>
      <c r="I5" s="289"/>
      <c r="J5" s="290"/>
      <c r="K5" s="289" t="s">
        <v>337</v>
      </c>
      <c r="L5" s="289"/>
      <c r="M5" s="290"/>
      <c r="N5" s="289" t="s">
        <v>338</v>
      </c>
      <c r="O5" s="290"/>
    </row>
    <row r="6" spans="1:15" x14ac:dyDescent="0.25">
      <c r="A6" s="3" t="s">
        <v>318</v>
      </c>
      <c r="B6" s="3">
        <f>'Sectorwise OI'!D6</f>
        <v>46050</v>
      </c>
      <c r="C6" s="76" t="s">
        <v>333</v>
      </c>
      <c r="D6" s="76" t="s">
        <v>328</v>
      </c>
      <c r="E6" s="3">
        <f>B6</f>
        <v>46050</v>
      </c>
      <c r="F6" s="76" t="s">
        <v>333</v>
      </c>
      <c r="G6" s="76" t="s">
        <v>328</v>
      </c>
      <c r="H6" s="3">
        <f>E6</f>
        <v>46050</v>
      </c>
      <c r="I6" s="76" t="s">
        <v>333</v>
      </c>
      <c r="J6" s="76" t="s">
        <v>328</v>
      </c>
      <c r="K6" s="3">
        <f>E6</f>
        <v>46050</v>
      </c>
      <c r="L6" s="76" t="s">
        <v>333</v>
      </c>
      <c r="M6" s="76" t="s">
        <v>328</v>
      </c>
      <c r="N6" s="76" t="s">
        <v>339</v>
      </c>
      <c r="O6" s="76" t="s">
        <v>328</v>
      </c>
    </row>
    <row r="7" spans="1:15" x14ac:dyDescent="0.25">
      <c r="A7" s="97" t="str">
        <f>'Data Vlaue (Cr)'!C2</f>
        <v>360ONE</v>
      </c>
      <c r="B7" s="142">
        <f>VLOOKUP(A7,'Data Vlaue (Cr)'!C2:CW214,99,0)</f>
        <v>391</v>
      </c>
      <c r="C7" s="90">
        <f>VLOOKUP(A7,'Data Vlaue (Cr)'!C2:CY214,101,0)</f>
        <v>-3</v>
      </c>
      <c r="D7" s="139">
        <f>VLOOKUP(A7,'Data Vlaue (Cr)'!C2:CZ214,102,0)</f>
        <v>-8.5000000000000006E-3</v>
      </c>
      <c r="E7" s="91">
        <f>VLOOKUP($A7,'Data Vlaue (Cr)'!$C:$FB,75)</f>
        <v>333</v>
      </c>
      <c r="F7" s="91">
        <f>VLOOKUP($A7,'Data Vlaue (Cr)'!$C:$FB,77)</f>
        <v>-14</v>
      </c>
      <c r="G7" s="92">
        <f>VLOOKUP(A7,'Data Vlaue (Cr)'!C2:CB214,78,0)</f>
        <v>-4.1000000000000002E-2</v>
      </c>
      <c r="H7" s="91">
        <f>VLOOKUP($A7,'Data Vlaue (Cr)'!$C:$FB,91)</f>
        <v>36</v>
      </c>
      <c r="I7" s="91">
        <f>VLOOKUP($A7,'Data Vlaue (Cr)'!$C:$FB,93)</f>
        <v>5</v>
      </c>
      <c r="J7" s="92">
        <f>VLOOKUP($A7,'Data Vlaue (Cr)'!$C:$FB,94)</f>
        <v>0.17710000000000001</v>
      </c>
      <c r="K7" s="91">
        <f>VLOOKUP($A7,'Data Vlaue (Cr)'!$C:$FB,95)</f>
        <v>22</v>
      </c>
      <c r="L7" s="91">
        <f>VLOOKUP($A7,'Data Vlaue (Cr)'!$C:$FB,97)</f>
        <v>5</v>
      </c>
      <c r="M7" s="92">
        <f>VLOOKUP($A7,'Data Vlaue (Cr)'!$C:$FB,98)</f>
        <v>0.32300000000000001</v>
      </c>
      <c r="N7" s="91">
        <f>VLOOKUP($A7,'Data Vlaue (Cr)'!$C:$FB,79)</f>
        <v>329</v>
      </c>
      <c r="O7" s="92">
        <f>VLOOKUP($A7,'Data Vlaue (Cr)'!$C:$FB,82)</f>
        <v>2.4035000000000002</v>
      </c>
    </row>
    <row r="8" spans="1:15" x14ac:dyDescent="0.25">
      <c r="A8" s="97" t="str">
        <f>'Data Vlaue (Cr)'!C3</f>
        <v>ABB</v>
      </c>
      <c r="B8" s="142">
        <f>VLOOKUP(A8,'Data Vlaue (Cr)'!C3:CW215,99,0)</f>
        <v>1664</v>
      </c>
      <c r="C8" s="90">
        <f>VLOOKUP(A8,'Data Vlaue (Cr)'!C3:CY215,101,0)</f>
        <v>195</v>
      </c>
      <c r="D8" s="139">
        <f>VLOOKUP(A8,'Data Vlaue (Cr)'!C3:CZ215,102,0)</f>
        <v>0.13289999999999999</v>
      </c>
      <c r="E8" s="91">
        <f>VLOOKUP($A8,'Data Vlaue (Cr)'!$C:$FB,75)</f>
        <v>1117</v>
      </c>
      <c r="F8" s="91">
        <f>VLOOKUP($A8,'Data Vlaue (Cr)'!$C:$FB,77)</f>
        <v>10</v>
      </c>
      <c r="G8" s="92">
        <f>VLOOKUP(A8,'Data Vlaue (Cr)'!C3:CB215,78,0)</f>
        <v>8.6E-3</v>
      </c>
      <c r="H8" s="91">
        <f>VLOOKUP($A8,'Data Vlaue (Cr)'!$C:$FB,91)</f>
        <v>278</v>
      </c>
      <c r="I8" s="91">
        <f>VLOOKUP($A8,'Data Vlaue (Cr)'!$C:$FB,93)</f>
        <v>123</v>
      </c>
      <c r="J8" s="92">
        <f>VLOOKUP($A8,'Data Vlaue (Cr)'!$C:$FB,94)</f>
        <v>0.79269999999999996</v>
      </c>
      <c r="K8" s="91">
        <f>VLOOKUP($A8,'Data Vlaue (Cr)'!$C:$FB,95)</f>
        <v>270</v>
      </c>
      <c r="L8" s="91">
        <f>VLOOKUP($A8,'Data Vlaue (Cr)'!$C:$FB,97)</f>
        <v>63</v>
      </c>
      <c r="M8" s="92">
        <f>VLOOKUP($A8,'Data Vlaue (Cr)'!$C:$FB,98)</f>
        <v>0.30320000000000003</v>
      </c>
      <c r="N8" s="91">
        <f>VLOOKUP($A8,'Data Vlaue (Cr)'!$C:$FB,79)</f>
        <v>1088</v>
      </c>
      <c r="O8" s="92">
        <f>VLOOKUP($A8,'Data Vlaue (Cr)'!$C:$FB,82)</f>
        <v>7.5865</v>
      </c>
    </row>
    <row r="9" spans="1:15" x14ac:dyDescent="0.25">
      <c r="A9" s="97" t="str">
        <f>'Data Vlaue (Cr)'!C4</f>
        <v>ABCAPITAL</v>
      </c>
      <c r="B9" s="142">
        <f>VLOOKUP(A9,'Data Vlaue (Cr)'!C4:CW216,99,0)</f>
        <v>3163</v>
      </c>
      <c r="C9" s="90">
        <f>VLOOKUP(A9,'Data Vlaue (Cr)'!C4:CY216,101,0)</f>
        <v>93</v>
      </c>
      <c r="D9" s="139">
        <f>VLOOKUP(A9,'Data Vlaue (Cr)'!C4:CZ216,102,0)</f>
        <v>3.0200000000000001E-2</v>
      </c>
      <c r="E9" s="91">
        <f>VLOOKUP($A9,'Data Vlaue (Cr)'!$C:$FB,75)</f>
        <v>2676</v>
      </c>
      <c r="F9" s="91">
        <f>VLOOKUP($A9,'Data Vlaue (Cr)'!$C:$FB,77)</f>
        <v>7</v>
      </c>
      <c r="G9" s="92">
        <f>VLOOKUP(A9,'Data Vlaue (Cr)'!C4:CB216,78,0)</f>
        <v>2.8E-3</v>
      </c>
      <c r="H9" s="91">
        <f>VLOOKUP($A9,'Data Vlaue (Cr)'!$C:$FB,91)</f>
        <v>278</v>
      </c>
      <c r="I9" s="91">
        <f>VLOOKUP($A9,'Data Vlaue (Cr)'!$C:$FB,93)</f>
        <v>54</v>
      </c>
      <c r="J9" s="92">
        <f>VLOOKUP($A9,'Data Vlaue (Cr)'!$C:$FB,94)</f>
        <v>0.2437</v>
      </c>
      <c r="K9" s="91">
        <f>VLOOKUP($A9,'Data Vlaue (Cr)'!$C:$FB,95)</f>
        <v>209</v>
      </c>
      <c r="L9" s="91">
        <f>VLOOKUP($A9,'Data Vlaue (Cr)'!$C:$FB,97)</f>
        <v>31</v>
      </c>
      <c r="M9" s="92">
        <f>VLOOKUP($A9,'Data Vlaue (Cr)'!$C:$FB,98)</f>
        <v>0.1734</v>
      </c>
      <c r="N9" s="91">
        <f>VLOOKUP($A9,'Data Vlaue (Cr)'!$C:$FB,79)</f>
        <v>2643</v>
      </c>
      <c r="O9" s="92">
        <f>VLOOKUP($A9,'Data Vlaue (Cr)'!$C:$FB,82)</f>
        <v>44.881100000000004</v>
      </c>
    </row>
    <row r="10" spans="1:15" x14ac:dyDescent="0.25">
      <c r="A10" s="97" t="str">
        <f>'Data Vlaue (Cr)'!C5</f>
        <v>ADANIENSOL</v>
      </c>
      <c r="B10" s="142">
        <f>VLOOKUP(A10,'Data Vlaue (Cr)'!C5:CW217,99,0)</f>
        <v>2319</v>
      </c>
      <c r="C10" s="90">
        <f>VLOOKUP(A10,'Data Vlaue (Cr)'!C5:CY217,101,0)</f>
        <v>70</v>
      </c>
      <c r="D10" s="139">
        <f>VLOOKUP(A10,'Data Vlaue (Cr)'!C5:CZ217,102,0)</f>
        <v>3.1300000000000001E-2</v>
      </c>
      <c r="E10" s="91">
        <f>VLOOKUP($A10,'Data Vlaue (Cr)'!$C:$FB,75)</f>
        <v>1921</v>
      </c>
      <c r="F10" s="91">
        <f>VLOOKUP($A10,'Data Vlaue (Cr)'!$C:$FB,77)</f>
        <v>51</v>
      </c>
      <c r="G10" s="92">
        <f>VLOOKUP(A10,'Data Vlaue (Cr)'!C5:CB217,78,0)</f>
        <v>2.7300000000000001E-2</v>
      </c>
      <c r="H10" s="91">
        <f>VLOOKUP($A10,'Data Vlaue (Cr)'!$C:$FB,91)</f>
        <v>240</v>
      </c>
      <c r="I10" s="91">
        <f>VLOOKUP($A10,'Data Vlaue (Cr)'!$C:$FB,93)</f>
        <v>9</v>
      </c>
      <c r="J10" s="92">
        <f>VLOOKUP($A10,'Data Vlaue (Cr)'!$C:$FB,94)</f>
        <v>3.7400000000000003E-2</v>
      </c>
      <c r="K10" s="91">
        <f>VLOOKUP($A10,'Data Vlaue (Cr)'!$C:$FB,95)</f>
        <v>158</v>
      </c>
      <c r="L10" s="91">
        <f>VLOOKUP($A10,'Data Vlaue (Cr)'!$C:$FB,97)</f>
        <v>11</v>
      </c>
      <c r="M10" s="92">
        <f>VLOOKUP($A10,'Data Vlaue (Cr)'!$C:$FB,98)</f>
        <v>7.2499999999999995E-2</v>
      </c>
      <c r="N10" s="91">
        <f>VLOOKUP($A10,'Data Vlaue (Cr)'!$C:$FB,79)</f>
        <v>1901</v>
      </c>
      <c r="O10" s="92">
        <f>VLOOKUP($A10,'Data Vlaue (Cr)'!$C:$FB,82)</f>
        <v>22.721800000000002</v>
      </c>
    </row>
    <row r="11" spans="1:15" x14ac:dyDescent="0.25">
      <c r="A11" s="97" t="str">
        <f>'Data Vlaue (Cr)'!C6</f>
        <v>ADANIENT</v>
      </c>
      <c r="B11" s="142">
        <f>VLOOKUP(A11,'Data Vlaue (Cr)'!C6:CW218,99,0)</f>
        <v>6247</v>
      </c>
      <c r="C11" s="90">
        <f>VLOOKUP(A11,'Data Vlaue (Cr)'!C6:CY218,101,0)</f>
        <v>226</v>
      </c>
      <c r="D11" s="139">
        <f>VLOOKUP(A11,'Data Vlaue (Cr)'!C6:CZ218,102,0)</f>
        <v>3.7499999999999999E-2</v>
      </c>
      <c r="E11" s="91">
        <f>VLOOKUP($A11,'Data Vlaue (Cr)'!$C:$FB,75)</f>
        <v>4033</v>
      </c>
      <c r="F11" s="91">
        <f>VLOOKUP($A11,'Data Vlaue (Cr)'!$C:$FB,77)</f>
        <v>9</v>
      </c>
      <c r="G11" s="92">
        <f>VLOOKUP(A11,'Data Vlaue (Cr)'!C6:CB218,78,0)</f>
        <v>2.0999999999999999E-3</v>
      </c>
      <c r="H11" s="91">
        <f>VLOOKUP($A11,'Data Vlaue (Cr)'!$C:$FB,91)</f>
        <v>1062</v>
      </c>
      <c r="I11" s="91">
        <f>VLOOKUP($A11,'Data Vlaue (Cr)'!$C:$FB,93)</f>
        <v>72</v>
      </c>
      <c r="J11" s="92">
        <f>VLOOKUP($A11,'Data Vlaue (Cr)'!$C:$FB,94)</f>
        <v>7.2599999999999998E-2</v>
      </c>
      <c r="K11" s="91">
        <f>VLOOKUP($A11,'Data Vlaue (Cr)'!$C:$FB,95)</f>
        <v>1152</v>
      </c>
      <c r="L11" s="91">
        <f>VLOOKUP($A11,'Data Vlaue (Cr)'!$C:$FB,97)</f>
        <v>145</v>
      </c>
      <c r="M11" s="92">
        <f>VLOOKUP($A11,'Data Vlaue (Cr)'!$C:$FB,98)</f>
        <v>0.14410000000000001</v>
      </c>
      <c r="N11" s="91">
        <f>VLOOKUP($A11,'Data Vlaue (Cr)'!$C:$FB,79)</f>
        <v>3905</v>
      </c>
      <c r="O11" s="92">
        <f>VLOOKUP($A11,'Data Vlaue (Cr)'!$C:$FB,82)</f>
        <v>9.8042999999999996</v>
      </c>
    </row>
    <row r="12" spans="1:15" x14ac:dyDescent="0.25">
      <c r="A12" s="97" t="str">
        <f>'Data Vlaue (Cr)'!C7</f>
        <v>ADANIGREEN</v>
      </c>
      <c r="B12" s="142">
        <f>VLOOKUP(A12,'Data Vlaue (Cr)'!C7:CW219,99,0)</f>
        <v>2891</v>
      </c>
      <c r="C12" s="90">
        <f>VLOOKUP(A12,'Data Vlaue (Cr)'!C7:CY219,101,0)</f>
        <v>180</v>
      </c>
      <c r="D12" s="139">
        <f>VLOOKUP(A12,'Data Vlaue (Cr)'!C7:CZ219,102,0)</f>
        <v>6.6400000000000001E-2</v>
      </c>
      <c r="E12" s="91">
        <f>VLOOKUP($A12,'Data Vlaue (Cr)'!$C:$FB,75)</f>
        <v>1899</v>
      </c>
      <c r="F12" s="91">
        <f>VLOOKUP($A12,'Data Vlaue (Cr)'!$C:$FB,77)</f>
        <v>4</v>
      </c>
      <c r="G12" s="92">
        <f>VLOOKUP(A12,'Data Vlaue (Cr)'!C7:CB219,78,0)</f>
        <v>2.0999999999999999E-3</v>
      </c>
      <c r="H12" s="91">
        <f>VLOOKUP($A12,'Data Vlaue (Cr)'!$C:$FB,91)</f>
        <v>549</v>
      </c>
      <c r="I12" s="91">
        <f>VLOOKUP($A12,'Data Vlaue (Cr)'!$C:$FB,93)</f>
        <v>102</v>
      </c>
      <c r="J12" s="92">
        <f>VLOOKUP($A12,'Data Vlaue (Cr)'!$C:$FB,94)</f>
        <v>0.22689999999999999</v>
      </c>
      <c r="K12" s="91">
        <f>VLOOKUP($A12,'Data Vlaue (Cr)'!$C:$FB,95)</f>
        <v>443</v>
      </c>
      <c r="L12" s="91">
        <f>VLOOKUP($A12,'Data Vlaue (Cr)'!$C:$FB,97)</f>
        <v>74</v>
      </c>
      <c r="M12" s="92">
        <f>VLOOKUP($A12,'Data Vlaue (Cr)'!$C:$FB,98)</f>
        <v>0.20169999999999999</v>
      </c>
      <c r="N12" s="91">
        <f>VLOOKUP($A12,'Data Vlaue (Cr)'!$C:$FB,79)</f>
        <v>1857</v>
      </c>
      <c r="O12" s="92">
        <f>VLOOKUP($A12,'Data Vlaue (Cr)'!$C:$FB,82)</f>
        <v>27.260200000000001</v>
      </c>
    </row>
    <row r="13" spans="1:15" x14ac:dyDescent="0.25">
      <c r="A13" s="97" t="str">
        <f>'Data Vlaue (Cr)'!C8</f>
        <v>ADANIPORTS</v>
      </c>
      <c r="B13" s="142">
        <f>VLOOKUP(A13,'Data Vlaue (Cr)'!C8:CW220,99,0)</f>
        <v>4720</v>
      </c>
      <c r="C13" s="90">
        <f>VLOOKUP(A13,'Data Vlaue (Cr)'!C8:CY220,101,0)</f>
        <v>113</v>
      </c>
      <c r="D13" s="139">
        <f>VLOOKUP(A13,'Data Vlaue (Cr)'!C8:CZ220,102,0)</f>
        <v>2.46E-2</v>
      </c>
      <c r="E13" s="91">
        <f>VLOOKUP($A13,'Data Vlaue (Cr)'!$C:$FB,75)</f>
        <v>3444</v>
      </c>
      <c r="F13" s="91">
        <f>VLOOKUP($A13,'Data Vlaue (Cr)'!$C:$FB,77)</f>
        <v>-79</v>
      </c>
      <c r="G13" s="92">
        <f>VLOOKUP(A13,'Data Vlaue (Cr)'!C8:CB220,78,0)</f>
        <v>-2.2499999999999999E-2</v>
      </c>
      <c r="H13" s="91">
        <f>VLOOKUP($A13,'Data Vlaue (Cr)'!$C:$FB,91)</f>
        <v>656</v>
      </c>
      <c r="I13" s="91">
        <f>VLOOKUP($A13,'Data Vlaue (Cr)'!$C:$FB,93)</f>
        <v>126</v>
      </c>
      <c r="J13" s="92">
        <f>VLOOKUP($A13,'Data Vlaue (Cr)'!$C:$FB,94)</f>
        <v>0.23799999999999999</v>
      </c>
      <c r="K13" s="91">
        <f>VLOOKUP($A13,'Data Vlaue (Cr)'!$C:$FB,95)</f>
        <v>620</v>
      </c>
      <c r="L13" s="91">
        <f>VLOOKUP($A13,'Data Vlaue (Cr)'!$C:$FB,97)</f>
        <v>66</v>
      </c>
      <c r="M13" s="92">
        <f>VLOOKUP($A13,'Data Vlaue (Cr)'!$C:$FB,98)</f>
        <v>0.1196</v>
      </c>
      <c r="N13" s="91">
        <f>VLOOKUP($A13,'Data Vlaue (Cr)'!$C:$FB,79)</f>
        <v>3343</v>
      </c>
      <c r="O13" s="92">
        <f>VLOOKUP($A13,'Data Vlaue (Cr)'!$C:$FB,82)</f>
        <v>12.293699999999999</v>
      </c>
    </row>
    <row r="14" spans="1:15" x14ac:dyDescent="0.25">
      <c r="A14" s="97" t="str">
        <f>'Data Vlaue (Cr)'!C9</f>
        <v>ALKEM</v>
      </c>
      <c r="B14" s="142">
        <f>VLOOKUP(A14,'Data Vlaue (Cr)'!C9:CW221,99,0)</f>
        <v>776</v>
      </c>
      <c r="C14" s="90">
        <f>VLOOKUP(A14,'Data Vlaue (Cr)'!C9:CY221,101,0)</f>
        <v>17</v>
      </c>
      <c r="D14" s="139">
        <f>VLOOKUP(A14,'Data Vlaue (Cr)'!C9:CZ221,102,0)</f>
        <v>2.23E-2</v>
      </c>
      <c r="E14" s="91">
        <f>VLOOKUP($A14,'Data Vlaue (Cr)'!$C:$FB,75)</f>
        <v>709</v>
      </c>
      <c r="F14" s="91">
        <f>VLOOKUP($A14,'Data Vlaue (Cr)'!$C:$FB,77)</f>
        <v>-9</v>
      </c>
      <c r="G14" s="92">
        <f>VLOOKUP(A14,'Data Vlaue (Cr)'!C9:CB221,78,0)</f>
        <v>-1.2999999999999999E-2</v>
      </c>
      <c r="H14" s="91">
        <f>VLOOKUP($A14,'Data Vlaue (Cr)'!$C:$FB,91)</f>
        <v>35</v>
      </c>
      <c r="I14" s="91">
        <f>VLOOKUP($A14,'Data Vlaue (Cr)'!$C:$FB,93)</f>
        <v>12</v>
      </c>
      <c r="J14" s="92">
        <f>VLOOKUP($A14,'Data Vlaue (Cr)'!$C:$FB,94)</f>
        <v>0.54749999999999999</v>
      </c>
      <c r="K14" s="91">
        <f>VLOOKUP($A14,'Data Vlaue (Cr)'!$C:$FB,95)</f>
        <v>32</v>
      </c>
      <c r="L14" s="91">
        <f>VLOOKUP($A14,'Data Vlaue (Cr)'!$C:$FB,97)</f>
        <v>14</v>
      </c>
      <c r="M14" s="92">
        <f>VLOOKUP($A14,'Data Vlaue (Cr)'!$C:$FB,98)</f>
        <v>0.77170000000000005</v>
      </c>
      <c r="N14" s="91">
        <f>VLOOKUP($A14,'Data Vlaue (Cr)'!$C:$FB,79)</f>
        <v>708</v>
      </c>
      <c r="O14" s="92">
        <f>VLOOKUP($A14,'Data Vlaue (Cr)'!$C:$FB,82)</f>
        <v>8.4914000000000005</v>
      </c>
    </row>
    <row r="15" spans="1:15" x14ac:dyDescent="0.25">
      <c r="A15" s="97" t="str">
        <f>'Data Vlaue (Cr)'!C10</f>
        <v>AMBER</v>
      </c>
      <c r="B15" s="142">
        <f>VLOOKUP(A15,'Data Vlaue (Cr)'!C10:CW222,99,0)</f>
        <v>867</v>
      </c>
      <c r="C15" s="90">
        <f>VLOOKUP(A15,'Data Vlaue (Cr)'!C10:CY222,101,0)</f>
        <v>27</v>
      </c>
      <c r="D15" s="139">
        <f>VLOOKUP(A15,'Data Vlaue (Cr)'!C10:CZ222,102,0)</f>
        <v>3.2500000000000001E-2</v>
      </c>
      <c r="E15" s="91">
        <f>VLOOKUP($A15,'Data Vlaue (Cr)'!$C:$FB,75)</f>
        <v>751</v>
      </c>
      <c r="F15" s="91">
        <f>VLOOKUP($A15,'Data Vlaue (Cr)'!$C:$FB,77)</f>
        <v>11</v>
      </c>
      <c r="G15" s="92">
        <f>VLOOKUP(A15,'Data Vlaue (Cr)'!C10:CB222,78,0)</f>
        <v>1.54E-2</v>
      </c>
      <c r="H15" s="91">
        <f>VLOOKUP($A15,'Data Vlaue (Cr)'!$C:$FB,91)</f>
        <v>64</v>
      </c>
      <c r="I15" s="91">
        <f>VLOOKUP($A15,'Data Vlaue (Cr)'!$C:$FB,93)</f>
        <v>13</v>
      </c>
      <c r="J15" s="92">
        <f>VLOOKUP($A15,'Data Vlaue (Cr)'!$C:$FB,94)</f>
        <v>0.24529999999999999</v>
      </c>
      <c r="K15" s="91">
        <f>VLOOKUP($A15,'Data Vlaue (Cr)'!$C:$FB,95)</f>
        <v>52</v>
      </c>
      <c r="L15" s="91">
        <f>VLOOKUP($A15,'Data Vlaue (Cr)'!$C:$FB,97)</f>
        <v>3</v>
      </c>
      <c r="M15" s="92">
        <f>VLOOKUP($A15,'Data Vlaue (Cr)'!$C:$FB,98)</f>
        <v>6.7799999999999999E-2</v>
      </c>
      <c r="N15" s="91">
        <f>VLOOKUP($A15,'Data Vlaue (Cr)'!$C:$FB,79)</f>
        <v>733</v>
      </c>
      <c r="O15" s="92">
        <f>VLOOKUP($A15,'Data Vlaue (Cr)'!$C:$FB,82)</f>
        <v>14.2529</v>
      </c>
    </row>
    <row r="16" spans="1:15" x14ac:dyDescent="0.25">
      <c r="A16" s="97" t="str">
        <f>'Data Vlaue (Cr)'!C11</f>
        <v>AMBUJACEM</v>
      </c>
      <c r="B16" s="142">
        <f>VLOOKUP(A16,'Data Vlaue (Cr)'!C11:CW223,99,0)</f>
        <v>3367</v>
      </c>
      <c r="C16" s="90">
        <f>VLOOKUP(A16,'Data Vlaue (Cr)'!C11:CY223,101,0)</f>
        <v>59</v>
      </c>
      <c r="D16" s="139">
        <f>VLOOKUP(A16,'Data Vlaue (Cr)'!C11:CZ223,102,0)</f>
        <v>1.7899999999999999E-2</v>
      </c>
      <c r="E16" s="91">
        <f>VLOOKUP($A16,'Data Vlaue (Cr)'!$C:$FB,75)</f>
        <v>2505</v>
      </c>
      <c r="F16" s="91">
        <f>VLOOKUP($A16,'Data Vlaue (Cr)'!$C:$FB,77)</f>
        <v>12</v>
      </c>
      <c r="G16" s="92">
        <f>VLOOKUP(A16,'Data Vlaue (Cr)'!C11:CB223,78,0)</f>
        <v>4.7000000000000002E-3</v>
      </c>
      <c r="H16" s="91">
        <f>VLOOKUP($A16,'Data Vlaue (Cr)'!$C:$FB,91)</f>
        <v>400</v>
      </c>
      <c r="I16" s="91">
        <f>VLOOKUP($A16,'Data Vlaue (Cr)'!$C:$FB,93)</f>
        <v>38</v>
      </c>
      <c r="J16" s="92">
        <f>VLOOKUP($A16,'Data Vlaue (Cr)'!$C:$FB,94)</f>
        <v>0.1046</v>
      </c>
      <c r="K16" s="91">
        <f>VLOOKUP($A16,'Data Vlaue (Cr)'!$C:$FB,95)</f>
        <v>462</v>
      </c>
      <c r="L16" s="91">
        <f>VLOOKUP($A16,'Data Vlaue (Cr)'!$C:$FB,97)</f>
        <v>10</v>
      </c>
      <c r="M16" s="92">
        <f>VLOOKUP($A16,'Data Vlaue (Cr)'!$C:$FB,98)</f>
        <v>2.1600000000000001E-2</v>
      </c>
      <c r="N16" s="91">
        <f>VLOOKUP($A16,'Data Vlaue (Cr)'!$C:$FB,79)</f>
        <v>2469</v>
      </c>
      <c r="O16" s="92">
        <f>VLOOKUP($A16,'Data Vlaue (Cr)'!$C:$FB,82)</f>
        <v>25.273700000000002</v>
      </c>
    </row>
    <row r="17" spans="1:15" x14ac:dyDescent="0.25">
      <c r="A17" s="97" t="str">
        <f>'Data Vlaue (Cr)'!C12</f>
        <v>ANGELONE</v>
      </c>
      <c r="B17" s="142">
        <f>VLOOKUP(A17,'Data Vlaue (Cr)'!C12:CW224,99,0)</f>
        <v>1231</v>
      </c>
      <c r="C17" s="90">
        <f>VLOOKUP(A17,'Data Vlaue (Cr)'!C12:CY224,101,0)</f>
        <v>46</v>
      </c>
      <c r="D17" s="139">
        <f>VLOOKUP(A17,'Data Vlaue (Cr)'!C12:CZ224,102,0)</f>
        <v>3.85E-2</v>
      </c>
      <c r="E17" s="91">
        <f>VLOOKUP($A17,'Data Vlaue (Cr)'!$C:$FB,75)</f>
        <v>793</v>
      </c>
      <c r="F17" s="91">
        <f>VLOOKUP($A17,'Data Vlaue (Cr)'!$C:$FB,77)</f>
        <v>-11</v>
      </c>
      <c r="G17" s="92">
        <f>VLOOKUP(A17,'Data Vlaue (Cr)'!C12:CB224,78,0)</f>
        <v>-1.4200000000000001E-2</v>
      </c>
      <c r="H17" s="91">
        <f>VLOOKUP($A17,'Data Vlaue (Cr)'!$C:$FB,91)</f>
        <v>255</v>
      </c>
      <c r="I17" s="91">
        <f>VLOOKUP($A17,'Data Vlaue (Cr)'!$C:$FB,93)</f>
        <v>61</v>
      </c>
      <c r="J17" s="92">
        <f>VLOOKUP($A17,'Data Vlaue (Cr)'!$C:$FB,94)</f>
        <v>0.31630000000000003</v>
      </c>
      <c r="K17" s="91">
        <f>VLOOKUP($A17,'Data Vlaue (Cr)'!$C:$FB,95)</f>
        <v>183</v>
      </c>
      <c r="L17" s="91">
        <f>VLOOKUP($A17,'Data Vlaue (Cr)'!$C:$FB,97)</f>
        <v>-4</v>
      </c>
      <c r="M17" s="92">
        <f>VLOOKUP($A17,'Data Vlaue (Cr)'!$C:$FB,98)</f>
        <v>-2.2800000000000001E-2</v>
      </c>
      <c r="N17" s="91">
        <f>VLOOKUP($A17,'Data Vlaue (Cr)'!$C:$FB,79)</f>
        <v>776</v>
      </c>
      <c r="O17" s="92">
        <f>VLOOKUP($A17,'Data Vlaue (Cr)'!$C:$FB,82)</f>
        <v>3.9655</v>
      </c>
    </row>
    <row r="18" spans="1:15" x14ac:dyDescent="0.25">
      <c r="A18" s="97" t="str">
        <f>'Data Vlaue (Cr)'!C13</f>
        <v>APLAPOLLO</v>
      </c>
      <c r="B18" s="142">
        <f>VLOOKUP(A18,'Data Vlaue (Cr)'!C13:CW225,99,0)</f>
        <v>2416</v>
      </c>
      <c r="C18" s="90">
        <f>VLOOKUP(A18,'Data Vlaue (Cr)'!C13:CY225,101,0)</f>
        <v>-87</v>
      </c>
      <c r="D18" s="139">
        <f>VLOOKUP(A18,'Data Vlaue (Cr)'!C13:CZ225,102,0)</f>
        <v>-3.4599999999999999E-2</v>
      </c>
      <c r="E18" s="91">
        <f>VLOOKUP($A18,'Data Vlaue (Cr)'!$C:$FB,75)</f>
        <v>2069</v>
      </c>
      <c r="F18" s="91">
        <f>VLOOKUP($A18,'Data Vlaue (Cr)'!$C:$FB,77)</f>
        <v>-88</v>
      </c>
      <c r="G18" s="92">
        <f>VLOOKUP(A18,'Data Vlaue (Cr)'!C13:CB225,78,0)</f>
        <v>-4.0899999999999999E-2</v>
      </c>
      <c r="H18" s="91">
        <f>VLOOKUP($A18,'Data Vlaue (Cr)'!$C:$FB,91)</f>
        <v>225</v>
      </c>
      <c r="I18" s="91">
        <f>VLOOKUP($A18,'Data Vlaue (Cr)'!$C:$FB,93)</f>
        <v>-10</v>
      </c>
      <c r="J18" s="92">
        <f>VLOOKUP($A18,'Data Vlaue (Cr)'!$C:$FB,94)</f>
        <v>-4.1700000000000001E-2</v>
      </c>
      <c r="K18" s="91">
        <f>VLOOKUP($A18,'Data Vlaue (Cr)'!$C:$FB,95)</f>
        <v>123</v>
      </c>
      <c r="L18" s="91">
        <f>VLOOKUP($A18,'Data Vlaue (Cr)'!$C:$FB,97)</f>
        <v>12</v>
      </c>
      <c r="M18" s="92">
        <f>VLOOKUP($A18,'Data Vlaue (Cr)'!$C:$FB,98)</f>
        <v>0.1032</v>
      </c>
      <c r="N18" s="91">
        <f>VLOOKUP($A18,'Data Vlaue (Cr)'!$C:$FB,79)</f>
        <v>2059</v>
      </c>
      <c r="O18" s="92">
        <f>VLOOKUP($A18,'Data Vlaue (Cr)'!$C:$FB,82)</f>
        <v>47.584099999999999</v>
      </c>
    </row>
    <row r="19" spans="1:15" x14ac:dyDescent="0.25">
      <c r="A19" s="97" t="str">
        <f>'Data Vlaue (Cr)'!C14</f>
        <v>APOLLOHOSP</v>
      </c>
      <c r="B19" s="142">
        <f>VLOOKUP(A19,'Data Vlaue (Cr)'!C14:CW226,99,0)</f>
        <v>3378</v>
      </c>
      <c r="C19" s="90">
        <f>VLOOKUP(A19,'Data Vlaue (Cr)'!C14:CY226,101,0)</f>
        <v>178</v>
      </c>
      <c r="D19" s="139">
        <f>VLOOKUP(A19,'Data Vlaue (Cr)'!C14:CZ226,102,0)</f>
        <v>5.5500000000000001E-2</v>
      </c>
      <c r="E19" s="91">
        <f>VLOOKUP($A19,'Data Vlaue (Cr)'!$C:$FB,75)</f>
        <v>2599</v>
      </c>
      <c r="F19" s="91">
        <f>VLOOKUP($A19,'Data Vlaue (Cr)'!$C:$FB,77)</f>
        <v>-70</v>
      </c>
      <c r="G19" s="92">
        <f>VLOOKUP(A19,'Data Vlaue (Cr)'!C14:CB226,78,0)</f>
        <v>-2.64E-2</v>
      </c>
      <c r="H19" s="91">
        <f>VLOOKUP($A19,'Data Vlaue (Cr)'!$C:$FB,91)</f>
        <v>442</v>
      </c>
      <c r="I19" s="91">
        <f>VLOOKUP($A19,'Data Vlaue (Cr)'!$C:$FB,93)</f>
        <v>148</v>
      </c>
      <c r="J19" s="92">
        <f>VLOOKUP($A19,'Data Vlaue (Cr)'!$C:$FB,94)</f>
        <v>0.50229999999999997</v>
      </c>
      <c r="K19" s="91">
        <f>VLOOKUP($A19,'Data Vlaue (Cr)'!$C:$FB,95)</f>
        <v>336</v>
      </c>
      <c r="L19" s="91">
        <f>VLOOKUP($A19,'Data Vlaue (Cr)'!$C:$FB,97)</f>
        <v>100</v>
      </c>
      <c r="M19" s="92">
        <f>VLOOKUP($A19,'Data Vlaue (Cr)'!$C:$FB,98)</f>
        <v>0.42420000000000002</v>
      </c>
      <c r="N19" s="91">
        <f>VLOOKUP($A19,'Data Vlaue (Cr)'!$C:$FB,79)</f>
        <v>2568</v>
      </c>
      <c r="O19" s="92">
        <f>VLOOKUP($A19,'Data Vlaue (Cr)'!$C:$FB,82)</f>
        <v>6.9512</v>
      </c>
    </row>
    <row r="20" spans="1:15" x14ac:dyDescent="0.25">
      <c r="A20" s="97" t="str">
        <f>'Data Vlaue (Cr)'!C15</f>
        <v>ASHOKLEY</v>
      </c>
      <c r="B20" s="142">
        <f>VLOOKUP(A20,'Data Vlaue (Cr)'!C15:CW227,99,0)</f>
        <v>4285</v>
      </c>
      <c r="C20" s="90">
        <f>VLOOKUP(A20,'Data Vlaue (Cr)'!C15:CY227,101,0)</f>
        <v>47</v>
      </c>
      <c r="D20" s="139">
        <f>VLOOKUP(A20,'Data Vlaue (Cr)'!C15:CZ227,102,0)</f>
        <v>1.0999999999999999E-2</v>
      </c>
      <c r="E20" s="91">
        <f>VLOOKUP($A20,'Data Vlaue (Cr)'!$C:$FB,75)</f>
        <v>3083</v>
      </c>
      <c r="F20" s="91">
        <f>VLOOKUP($A20,'Data Vlaue (Cr)'!$C:$FB,77)</f>
        <v>-77</v>
      </c>
      <c r="G20" s="92">
        <f>VLOOKUP(A20,'Data Vlaue (Cr)'!C15:CB227,78,0)</f>
        <v>-2.4299999999999999E-2</v>
      </c>
      <c r="H20" s="91">
        <f>VLOOKUP($A20,'Data Vlaue (Cr)'!$C:$FB,91)</f>
        <v>747</v>
      </c>
      <c r="I20" s="91">
        <f>VLOOKUP($A20,'Data Vlaue (Cr)'!$C:$FB,93)</f>
        <v>63</v>
      </c>
      <c r="J20" s="92">
        <f>VLOOKUP($A20,'Data Vlaue (Cr)'!$C:$FB,94)</f>
        <v>9.2399999999999996E-2</v>
      </c>
      <c r="K20" s="91">
        <f>VLOOKUP($A20,'Data Vlaue (Cr)'!$C:$FB,95)</f>
        <v>454</v>
      </c>
      <c r="L20" s="91">
        <f>VLOOKUP($A20,'Data Vlaue (Cr)'!$C:$FB,97)</f>
        <v>60</v>
      </c>
      <c r="M20" s="92">
        <f>VLOOKUP($A20,'Data Vlaue (Cr)'!$C:$FB,98)</f>
        <v>0.1527</v>
      </c>
      <c r="N20" s="91">
        <f>VLOOKUP($A20,'Data Vlaue (Cr)'!$C:$FB,79)</f>
        <v>3049</v>
      </c>
      <c r="O20" s="92">
        <f>VLOOKUP($A20,'Data Vlaue (Cr)'!$C:$FB,82)</f>
        <v>11.2736</v>
      </c>
    </row>
    <row r="21" spans="1:15" x14ac:dyDescent="0.25">
      <c r="A21" s="97" t="str">
        <f>'Data Vlaue (Cr)'!C16</f>
        <v>ASIANPAINT</v>
      </c>
      <c r="B21" s="142">
        <f>VLOOKUP(A21,'Data Vlaue (Cr)'!C16:CW228,99,0)</f>
        <v>5593</v>
      </c>
      <c r="C21" s="90">
        <f>VLOOKUP(A21,'Data Vlaue (Cr)'!C16:CY228,101,0)</f>
        <v>914</v>
      </c>
      <c r="D21" s="139">
        <f>VLOOKUP(A21,'Data Vlaue (Cr)'!C16:CZ228,102,0)</f>
        <v>0.19539999999999999</v>
      </c>
      <c r="E21" s="91">
        <f>VLOOKUP($A21,'Data Vlaue (Cr)'!$C:$FB,75)</f>
        <v>3545</v>
      </c>
      <c r="F21" s="91">
        <f>VLOOKUP($A21,'Data Vlaue (Cr)'!$C:$FB,77)</f>
        <v>266</v>
      </c>
      <c r="G21" s="92">
        <f>VLOOKUP(A21,'Data Vlaue (Cr)'!C16:CB228,78,0)</f>
        <v>8.1199999999999994E-2</v>
      </c>
      <c r="H21" s="91">
        <f>VLOOKUP($A21,'Data Vlaue (Cr)'!$C:$FB,91)</f>
        <v>1250</v>
      </c>
      <c r="I21" s="91">
        <f>VLOOKUP($A21,'Data Vlaue (Cr)'!$C:$FB,93)</f>
        <v>517</v>
      </c>
      <c r="J21" s="92">
        <f>VLOOKUP($A21,'Data Vlaue (Cr)'!$C:$FB,94)</f>
        <v>0.7056</v>
      </c>
      <c r="K21" s="91">
        <f>VLOOKUP($A21,'Data Vlaue (Cr)'!$C:$FB,95)</f>
        <v>798</v>
      </c>
      <c r="L21" s="91">
        <f>VLOOKUP($A21,'Data Vlaue (Cr)'!$C:$FB,97)</f>
        <v>131</v>
      </c>
      <c r="M21" s="92">
        <f>VLOOKUP($A21,'Data Vlaue (Cr)'!$C:$FB,98)</f>
        <v>0.1963</v>
      </c>
      <c r="N21" s="91">
        <f>VLOOKUP($A21,'Data Vlaue (Cr)'!$C:$FB,79)</f>
        <v>3474</v>
      </c>
      <c r="O21" s="92">
        <f>VLOOKUP($A21,'Data Vlaue (Cr)'!$C:$FB,82)</f>
        <v>19.425000000000001</v>
      </c>
    </row>
    <row r="22" spans="1:15" x14ac:dyDescent="0.25">
      <c r="A22" s="97" t="str">
        <f>'Data Vlaue (Cr)'!C17</f>
        <v>ASTRAL</v>
      </c>
      <c r="B22" s="142">
        <f>VLOOKUP(A22,'Data Vlaue (Cr)'!C17:CW229,99,0)</f>
        <v>1310</v>
      </c>
      <c r="C22" s="90">
        <f>VLOOKUP(A22,'Data Vlaue (Cr)'!C17:CY229,101,0)</f>
        <v>59</v>
      </c>
      <c r="D22" s="139">
        <f>VLOOKUP(A22,'Data Vlaue (Cr)'!C17:CZ229,102,0)</f>
        <v>4.7100000000000003E-2</v>
      </c>
      <c r="E22" s="91">
        <f>VLOOKUP($A22,'Data Vlaue (Cr)'!$C:$FB,75)</f>
        <v>1048</v>
      </c>
      <c r="F22" s="91">
        <f>VLOOKUP($A22,'Data Vlaue (Cr)'!$C:$FB,77)</f>
        <v>-6</v>
      </c>
      <c r="G22" s="92">
        <f>VLOOKUP(A22,'Data Vlaue (Cr)'!C17:CB229,78,0)</f>
        <v>-5.4999999999999997E-3</v>
      </c>
      <c r="H22" s="91">
        <f>VLOOKUP($A22,'Data Vlaue (Cr)'!$C:$FB,91)</f>
        <v>159</v>
      </c>
      <c r="I22" s="91">
        <f>VLOOKUP($A22,'Data Vlaue (Cr)'!$C:$FB,93)</f>
        <v>50</v>
      </c>
      <c r="J22" s="92">
        <f>VLOOKUP($A22,'Data Vlaue (Cr)'!$C:$FB,94)</f>
        <v>0.45229999999999998</v>
      </c>
      <c r="K22" s="91">
        <f>VLOOKUP($A22,'Data Vlaue (Cr)'!$C:$FB,95)</f>
        <v>102</v>
      </c>
      <c r="L22" s="91">
        <f>VLOOKUP($A22,'Data Vlaue (Cr)'!$C:$FB,97)</f>
        <v>15</v>
      </c>
      <c r="M22" s="92">
        <f>VLOOKUP($A22,'Data Vlaue (Cr)'!$C:$FB,98)</f>
        <v>0.17180000000000001</v>
      </c>
      <c r="N22" s="91">
        <f>VLOOKUP($A22,'Data Vlaue (Cr)'!$C:$FB,79)</f>
        <v>1029</v>
      </c>
      <c r="O22" s="92">
        <f>VLOOKUP($A22,'Data Vlaue (Cr)'!$C:$FB,82)</f>
        <v>27.091200000000001</v>
      </c>
    </row>
    <row r="23" spans="1:15" x14ac:dyDescent="0.25">
      <c r="A23" s="97" t="str">
        <f>'Data Vlaue (Cr)'!C18</f>
        <v>AUBANK</v>
      </c>
      <c r="B23" s="142">
        <f>VLOOKUP(A23,'Data Vlaue (Cr)'!C18:CW230,99,0)</f>
        <v>2943</v>
      </c>
      <c r="C23" s="90">
        <f>VLOOKUP(A23,'Data Vlaue (Cr)'!C18:CY230,101,0)</f>
        <v>46</v>
      </c>
      <c r="D23" s="139">
        <f>VLOOKUP(A23,'Data Vlaue (Cr)'!C18:CZ230,102,0)</f>
        <v>1.5900000000000001E-2</v>
      </c>
      <c r="E23" s="91">
        <f>VLOOKUP($A23,'Data Vlaue (Cr)'!$C:$FB,75)</f>
        <v>2224</v>
      </c>
      <c r="F23" s="91">
        <f>VLOOKUP($A23,'Data Vlaue (Cr)'!$C:$FB,77)</f>
        <v>-57</v>
      </c>
      <c r="G23" s="92">
        <f>VLOOKUP(A23,'Data Vlaue (Cr)'!C18:CB230,78,0)</f>
        <v>-2.4799999999999999E-2</v>
      </c>
      <c r="H23" s="91">
        <f>VLOOKUP($A23,'Data Vlaue (Cr)'!$C:$FB,91)</f>
        <v>413</v>
      </c>
      <c r="I23" s="91">
        <f>VLOOKUP($A23,'Data Vlaue (Cr)'!$C:$FB,93)</f>
        <v>74</v>
      </c>
      <c r="J23" s="92">
        <f>VLOOKUP($A23,'Data Vlaue (Cr)'!$C:$FB,94)</f>
        <v>0.2195</v>
      </c>
      <c r="K23" s="91">
        <f>VLOOKUP($A23,'Data Vlaue (Cr)'!$C:$FB,95)</f>
        <v>307</v>
      </c>
      <c r="L23" s="91">
        <f>VLOOKUP($A23,'Data Vlaue (Cr)'!$C:$FB,97)</f>
        <v>28</v>
      </c>
      <c r="M23" s="92">
        <f>VLOOKUP($A23,'Data Vlaue (Cr)'!$C:$FB,98)</f>
        <v>0.10150000000000001</v>
      </c>
      <c r="N23" s="91">
        <f>VLOOKUP($A23,'Data Vlaue (Cr)'!$C:$FB,79)</f>
        <v>2199</v>
      </c>
      <c r="O23" s="92">
        <f>VLOOKUP($A23,'Data Vlaue (Cr)'!$C:$FB,82)</f>
        <v>35.364800000000002</v>
      </c>
    </row>
    <row r="24" spans="1:15" x14ac:dyDescent="0.25">
      <c r="A24" s="97" t="str">
        <f>'Data Vlaue (Cr)'!C19</f>
        <v>AUROPHARMA</v>
      </c>
      <c r="B24" s="142">
        <f>VLOOKUP(A24,'Data Vlaue (Cr)'!C19:CW231,99,0)</f>
        <v>2715</v>
      </c>
      <c r="C24" s="90">
        <f>VLOOKUP(A24,'Data Vlaue (Cr)'!C19:CY231,101,0)</f>
        <v>46</v>
      </c>
      <c r="D24" s="139">
        <f>VLOOKUP(A24,'Data Vlaue (Cr)'!C19:CZ231,102,0)</f>
        <v>1.72E-2</v>
      </c>
      <c r="E24" s="91">
        <f>VLOOKUP($A24,'Data Vlaue (Cr)'!$C:$FB,75)</f>
        <v>2395</v>
      </c>
      <c r="F24" s="91">
        <f>VLOOKUP($A24,'Data Vlaue (Cr)'!$C:$FB,77)</f>
        <v>-6</v>
      </c>
      <c r="G24" s="92">
        <f>VLOOKUP(A24,'Data Vlaue (Cr)'!C19:CB231,78,0)</f>
        <v>-2.3999999999999998E-3</v>
      </c>
      <c r="H24" s="91">
        <f>VLOOKUP($A24,'Data Vlaue (Cr)'!$C:$FB,91)</f>
        <v>148</v>
      </c>
      <c r="I24" s="91">
        <f>VLOOKUP($A24,'Data Vlaue (Cr)'!$C:$FB,93)</f>
        <v>30</v>
      </c>
      <c r="J24" s="92">
        <f>VLOOKUP($A24,'Data Vlaue (Cr)'!$C:$FB,94)</f>
        <v>0.2555</v>
      </c>
      <c r="K24" s="91">
        <f>VLOOKUP($A24,'Data Vlaue (Cr)'!$C:$FB,95)</f>
        <v>172</v>
      </c>
      <c r="L24" s="91">
        <f>VLOOKUP($A24,'Data Vlaue (Cr)'!$C:$FB,97)</f>
        <v>22</v>
      </c>
      <c r="M24" s="92">
        <f>VLOOKUP($A24,'Data Vlaue (Cr)'!$C:$FB,98)</f>
        <v>0.14349999999999999</v>
      </c>
      <c r="N24" s="91">
        <f>VLOOKUP($A24,'Data Vlaue (Cr)'!$C:$FB,79)</f>
        <v>2386</v>
      </c>
      <c r="O24" s="92">
        <f>VLOOKUP($A24,'Data Vlaue (Cr)'!$C:$FB,82)</f>
        <v>17.304600000000001</v>
      </c>
    </row>
    <row r="25" spans="1:15" x14ac:dyDescent="0.25">
      <c r="A25" s="97" t="str">
        <f>'Data Vlaue (Cr)'!C20</f>
        <v>AXISBANK</v>
      </c>
      <c r="B25" s="142">
        <f>VLOOKUP(A25,'Data Vlaue (Cr)'!C20:CW232,99,0)</f>
        <v>13956</v>
      </c>
      <c r="C25" s="90">
        <f>VLOOKUP(A25,'Data Vlaue (Cr)'!C20:CY232,101,0)</f>
        <v>130</v>
      </c>
      <c r="D25" s="139">
        <f>VLOOKUP(A25,'Data Vlaue (Cr)'!C20:CZ232,102,0)</f>
        <v>9.4000000000000004E-3</v>
      </c>
      <c r="E25" s="91">
        <f>VLOOKUP($A25,'Data Vlaue (Cr)'!$C:$FB,75)</f>
        <v>10785</v>
      </c>
      <c r="F25" s="91">
        <f>VLOOKUP($A25,'Data Vlaue (Cr)'!$C:$FB,77)</f>
        <v>-578</v>
      </c>
      <c r="G25" s="92">
        <f>VLOOKUP(A25,'Data Vlaue (Cr)'!C20:CB232,78,0)</f>
        <v>-5.0900000000000001E-2</v>
      </c>
      <c r="H25" s="91">
        <f>VLOOKUP($A25,'Data Vlaue (Cr)'!$C:$FB,91)</f>
        <v>1689</v>
      </c>
      <c r="I25" s="91">
        <f>VLOOKUP($A25,'Data Vlaue (Cr)'!$C:$FB,93)</f>
        <v>545</v>
      </c>
      <c r="J25" s="92">
        <f>VLOOKUP($A25,'Data Vlaue (Cr)'!$C:$FB,94)</f>
        <v>0.47599999999999998</v>
      </c>
      <c r="K25" s="91">
        <f>VLOOKUP($A25,'Data Vlaue (Cr)'!$C:$FB,95)</f>
        <v>1483</v>
      </c>
      <c r="L25" s="91">
        <f>VLOOKUP($A25,'Data Vlaue (Cr)'!$C:$FB,97)</f>
        <v>163</v>
      </c>
      <c r="M25" s="92">
        <f>VLOOKUP($A25,'Data Vlaue (Cr)'!$C:$FB,98)</f>
        <v>0.12330000000000001</v>
      </c>
      <c r="N25" s="91">
        <f>VLOOKUP($A25,'Data Vlaue (Cr)'!$C:$FB,79)</f>
        <v>10445</v>
      </c>
      <c r="O25" s="92">
        <f>VLOOKUP($A25,'Data Vlaue (Cr)'!$C:$FB,82)</f>
        <v>5.4782999999999999</v>
      </c>
    </row>
    <row r="26" spans="1:15" x14ac:dyDescent="0.25">
      <c r="A26" s="97" t="str">
        <f>'Data Vlaue (Cr)'!C21</f>
        <v>BAJAJ-AUTO</v>
      </c>
      <c r="B26" s="142">
        <f>VLOOKUP(A26,'Data Vlaue (Cr)'!C21:CW233,99,0)</f>
        <v>4012</v>
      </c>
      <c r="C26" s="90">
        <f>VLOOKUP(A26,'Data Vlaue (Cr)'!C21:CY233,101,0)</f>
        <v>174</v>
      </c>
      <c r="D26" s="139">
        <f>VLOOKUP(A26,'Data Vlaue (Cr)'!C21:CZ233,102,0)</f>
        <v>4.5400000000000003E-2</v>
      </c>
      <c r="E26" s="91">
        <f>VLOOKUP($A26,'Data Vlaue (Cr)'!$C:$FB,75)</f>
        <v>3114</v>
      </c>
      <c r="F26" s="91">
        <f>VLOOKUP($A26,'Data Vlaue (Cr)'!$C:$FB,77)</f>
        <v>-13</v>
      </c>
      <c r="G26" s="92">
        <f>VLOOKUP(A26,'Data Vlaue (Cr)'!C21:CB233,78,0)</f>
        <v>-4.1000000000000003E-3</v>
      </c>
      <c r="H26" s="91">
        <f>VLOOKUP($A26,'Data Vlaue (Cr)'!$C:$FB,91)</f>
        <v>481</v>
      </c>
      <c r="I26" s="91">
        <f>VLOOKUP($A26,'Data Vlaue (Cr)'!$C:$FB,93)</f>
        <v>92</v>
      </c>
      <c r="J26" s="92">
        <f>VLOOKUP($A26,'Data Vlaue (Cr)'!$C:$FB,94)</f>
        <v>0.23669999999999999</v>
      </c>
      <c r="K26" s="91">
        <f>VLOOKUP($A26,'Data Vlaue (Cr)'!$C:$FB,95)</f>
        <v>417</v>
      </c>
      <c r="L26" s="91">
        <f>VLOOKUP($A26,'Data Vlaue (Cr)'!$C:$FB,97)</f>
        <v>95</v>
      </c>
      <c r="M26" s="92">
        <f>VLOOKUP($A26,'Data Vlaue (Cr)'!$C:$FB,98)</f>
        <v>0.29459999999999997</v>
      </c>
      <c r="N26" s="91">
        <f>VLOOKUP($A26,'Data Vlaue (Cr)'!$C:$FB,79)</f>
        <v>3062</v>
      </c>
      <c r="O26" s="92">
        <f>VLOOKUP($A26,'Data Vlaue (Cr)'!$C:$FB,82)</f>
        <v>19.8081</v>
      </c>
    </row>
    <row r="27" spans="1:15" x14ac:dyDescent="0.25">
      <c r="A27" s="97" t="str">
        <f>'Data Vlaue (Cr)'!C22</f>
        <v>BAJAJFINSV</v>
      </c>
      <c r="B27" s="142">
        <f>VLOOKUP(A27,'Data Vlaue (Cr)'!C22:CW234,99,0)</f>
        <v>3631</v>
      </c>
      <c r="C27" s="90">
        <f>VLOOKUP(A27,'Data Vlaue (Cr)'!C22:CY234,101,0)</f>
        <v>76</v>
      </c>
      <c r="D27" s="139">
        <f>VLOOKUP(A27,'Data Vlaue (Cr)'!C22:CZ234,102,0)</f>
        <v>2.1299999999999999E-2</v>
      </c>
      <c r="E27" s="91">
        <f>VLOOKUP($A27,'Data Vlaue (Cr)'!$C:$FB,75)</f>
        <v>2903</v>
      </c>
      <c r="F27" s="91">
        <f>VLOOKUP($A27,'Data Vlaue (Cr)'!$C:$FB,77)</f>
        <v>-14</v>
      </c>
      <c r="G27" s="92">
        <f>VLOOKUP(A27,'Data Vlaue (Cr)'!C22:CB234,78,0)</f>
        <v>-4.8999999999999998E-3</v>
      </c>
      <c r="H27" s="91">
        <f>VLOOKUP($A27,'Data Vlaue (Cr)'!$C:$FB,91)</f>
        <v>351</v>
      </c>
      <c r="I27" s="91">
        <f>VLOOKUP($A27,'Data Vlaue (Cr)'!$C:$FB,93)</f>
        <v>41</v>
      </c>
      <c r="J27" s="92">
        <f>VLOOKUP($A27,'Data Vlaue (Cr)'!$C:$FB,94)</f>
        <v>0.13270000000000001</v>
      </c>
      <c r="K27" s="91">
        <f>VLOOKUP($A27,'Data Vlaue (Cr)'!$C:$FB,95)</f>
        <v>377</v>
      </c>
      <c r="L27" s="91">
        <f>VLOOKUP($A27,'Data Vlaue (Cr)'!$C:$FB,97)</f>
        <v>49</v>
      </c>
      <c r="M27" s="92">
        <f>VLOOKUP($A27,'Data Vlaue (Cr)'!$C:$FB,98)</f>
        <v>0.14860000000000001</v>
      </c>
      <c r="N27" s="91">
        <f>VLOOKUP($A27,'Data Vlaue (Cr)'!$C:$FB,79)</f>
        <v>2847</v>
      </c>
      <c r="O27" s="92">
        <f>VLOOKUP($A27,'Data Vlaue (Cr)'!$C:$FB,82)</f>
        <v>6.6338999999999997</v>
      </c>
    </row>
    <row r="28" spans="1:15" x14ac:dyDescent="0.25">
      <c r="A28" s="97" t="str">
        <f>'Data Vlaue (Cr)'!C23</f>
        <v>BAJAJHLDNG</v>
      </c>
      <c r="B28" s="142">
        <f>VLOOKUP(A28,'Data Vlaue (Cr)'!C23:CW235,99,0)</f>
        <v>272</v>
      </c>
      <c r="C28" s="90">
        <f>VLOOKUP(A28,'Data Vlaue (Cr)'!C23:CY235,101,0)</f>
        <v>27</v>
      </c>
      <c r="D28" s="139">
        <f>VLOOKUP(A28,'Data Vlaue (Cr)'!C23:CZ235,102,0)</f>
        <v>0.1103</v>
      </c>
      <c r="E28" s="91">
        <f>VLOOKUP($A28,'Data Vlaue (Cr)'!$C:$FB,75)</f>
        <v>218</v>
      </c>
      <c r="F28" s="91">
        <f>VLOOKUP($A28,'Data Vlaue (Cr)'!$C:$FB,77)</f>
        <v>-3</v>
      </c>
      <c r="G28" s="92">
        <f>VLOOKUP(A28,'Data Vlaue (Cr)'!C23:CB235,78,0)</f>
        <v>-1.17E-2</v>
      </c>
      <c r="H28" s="91">
        <f>VLOOKUP($A28,'Data Vlaue (Cr)'!$C:$FB,91)</f>
        <v>31</v>
      </c>
      <c r="I28" s="91">
        <f>VLOOKUP($A28,'Data Vlaue (Cr)'!$C:$FB,93)</f>
        <v>19</v>
      </c>
      <c r="J28" s="92">
        <f>VLOOKUP($A28,'Data Vlaue (Cr)'!$C:$FB,94)</f>
        <v>1.5478000000000001</v>
      </c>
      <c r="K28" s="91">
        <f>VLOOKUP($A28,'Data Vlaue (Cr)'!$C:$FB,95)</f>
        <v>22</v>
      </c>
      <c r="L28" s="91">
        <f>VLOOKUP($A28,'Data Vlaue (Cr)'!$C:$FB,97)</f>
        <v>11</v>
      </c>
      <c r="M28" s="92">
        <f>VLOOKUP($A28,'Data Vlaue (Cr)'!$C:$FB,98)</f>
        <v>0.88290000000000002</v>
      </c>
      <c r="N28" s="91">
        <f>VLOOKUP($A28,'Data Vlaue (Cr)'!$C:$FB,79)</f>
        <v>217</v>
      </c>
      <c r="O28" s="92">
        <f>VLOOKUP($A28,'Data Vlaue (Cr)'!$C:$FB,82)</f>
        <v>8.59</v>
      </c>
    </row>
    <row r="29" spans="1:15" x14ac:dyDescent="0.25">
      <c r="A29" s="97" t="str">
        <f>'Data Vlaue (Cr)'!C24</f>
        <v>BAJFINANCE</v>
      </c>
      <c r="B29" s="142">
        <f>VLOOKUP(A29,'Data Vlaue (Cr)'!C24:CW236,99,0)</f>
        <v>10798</v>
      </c>
      <c r="C29" s="90">
        <f>VLOOKUP(A29,'Data Vlaue (Cr)'!C24:CY236,101,0)</f>
        <v>42</v>
      </c>
      <c r="D29" s="139">
        <f>VLOOKUP(A29,'Data Vlaue (Cr)'!C24:CZ236,102,0)</f>
        <v>3.8999999999999998E-3</v>
      </c>
      <c r="E29" s="91">
        <f>VLOOKUP($A29,'Data Vlaue (Cr)'!$C:$FB,75)</f>
        <v>8636</v>
      </c>
      <c r="F29" s="91">
        <f>VLOOKUP($A29,'Data Vlaue (Cr)'!$C:$FB,77)</f>
        <v>-169</v>
      </c>
      <c r="G29" s="92">
        <f>VLOOKUP(A29,'Data Vlaue (Cr)'!C24:CB236,78,0)</f>
        <v>-1.9099999999999999E-2</v>
      </c>
      <c r="H29" s="91">
        <f>VLOOKUP($A29,'Data Vlaue (Cr)'!$C:$FB,91)</f>
        <v>1002</v>
      </c>
      <c r="I29" s="91">
        <f>VLOOKUP($A29,'Data Vlaue (Cr)'!$C:$FB,93)</f>
        <v>126</v>
      </c>
      <c r="J29" s="92">
        <f>VLOOKUP($A29,'Data Vlaue (Cr)'!$C:$FB,94)</f>
        <v>0.1444</v>
      </c>
      <c r="K29" s="91">
        <f>VLOOKUP($A29,'Data Vlaue (Cr)'!$C:$FB,95)</f>
        <v>1160</v>
      </c>
      <c r="L29" s="91">
        <f>VLOOKUP($A29,'Data Vlaue (Cr)'!$C:$FB,97)</f>
        <v>84</v>
      </c>
      <c r="M29" s="92">
        <f>VLOOKUP($A29,'Data Vlaue (Cr)'!$C:$FB,98)</f>
        <v>7.7799999999999994E-2</v>
      </c>
      <c r="N29" s="91">
        <f>VLOOKUP($A29,'Data Vlaue (Cr)'!$C:$FB,79)</f>
        <v>8306</v>
      </c>
      <c r="O29" s="92">
        <f>VLOOKUP($A29,'Data Vlaue (Cr)'!$C:$FB,82)</f>
        <v>8.2965999999999998</v>
      </c>
    </row>
    <row r="30" spans="1:15" x14ac:dyDescent="0.25">
      <c r="A30" s="97" t="str">
        <f>'Data Vlaue (Cr)'!C25</f>
        <v>BANDHANBNK</v>
      </c>
      <c r="B30" s="142">
        <f>VLOOKUP(A30,'Data Vlaue (Cr)'!C25:CW237,99,0)</f>
        <v>2058</v>
      </c>
      <c r="C30" s="90">
        <f>VLOOKUP(A30,'Data Vlaue (Cr)'!C25:CY237,101,0)</f>
        <v>120</v>
      </c>
      <c r="D30" s="139">
        <f>VLOOKUP(A30,'Data Vlaue (Cr)'!C25:CZ237,102,0)</f>
        <v>6.2100000000000002E-2</v>
      </c>
      <c r="E30" s="91">
        <f>VLOOKUP($A30,'Data Vlaue (Cr)'!$C:$FB,75)</f>
        <v>1615</v>
      </c>
      <c r="F30" s="91">
        <f>VLOOKUP($A30,'Data Vlaue (Cr)'!$C:$FB,77)</f>
        <v>-9</v>
      </c>
      <c r="G30" s="92">
        <f>VLOOKUP(A30,'Data Vlaue (Cr)'!C25:CB237,78,0)</f>
        <v>-5.7000000000000002E-3</v>
      </c>
      <c r="H30" s="91">
        <f>VLOOKUP($A30,'Data Vlaue (Cr)'!$C:$FB,91)</f>
        <v>239</v>
      </c>
      <c r="I30" s="91">
        <f>VLOOKUP($A30,'Data Vlaue (Cr)'!$C:$FB,93)</f>
        <v>95</v>
      </c>
      <c r="J30" s="92">
        <f>VLOOKUP($A30,'Data Vlaue (Cr)'!$C:$FB,94)</f>
        <v>0.66400000000000003</v>
      </c>
      <c r="K30" s="91">
        <f>VLOOKUP($A30,'Data Vlaue (Cr)'!$C:$FB,95)</f>
        <v>204</v>
      </c>
      <c r="L30" s="91">
        <f>VLOOKUP($A30,'Data Vlaue (Cr)'!$C:$FB,97)</f>
        <v>34</v>
      </c>
      <c r="M30" s="92">
        <f>VLOOKUP($A30,'Data Vlaue (Cr)'!$C:$FB,98)</f>
        <v>0.2026</v>
      </c>
      <c r="N30" s="91">
        <f>VLOOKUP($A30,'Data Vlaue (Cr)'!$C:$FB,79)</f>
        <v>1565</v>
      </c>
      <c r="O30" s="92">
        <f>VLOOKUP($A30,'Data Vlaue (Cr)'!$C:$FB,82)</f>
        <v>13.3527</v>
      </c>
    </row>
    <row r="31" spans="1:15" x14ac:dyDescent="0.25">
      <c r="A31" s="97" t="str">
        <f>'Data Vlaue (Cr)'!C26</f>
        <v>BANKBARODA</v>
      </c>
      <c r="B31" s="142">
        <f>VLOOKUP(A31,'Data Vlaue (Cr)'!C26:CW238,99,0)</f>
        <v>3891</v>
      </c>
      <c r="C31" s="90">
        <f>VLOOKUP(A31,'Data Vlaue (Cr)'!C26:CY238,101,0)</f>
        <v>101</v>
      </c>
      <c r="D31" s="139">
        <f>VLOOKUP(A31,'Data Vlaue (Cr)'!C26:CZ238,102,0)</f>
        <v>2.6700000000000002E-2</v>
      </c>
      <c r="E31" s="91">
        <f>VLOOKUP($A31,'Data Vlaue (Cr)'!$C:$FB,75)</f>
        <v>2589</v>
      </c>
      <c r="F31" s="91">
        <f>VLOOKUP($A31,'Data Vlaue (Cr)'!$C:$FB,77)</f>
        <v>16</v>
      </c>
      <c r="G31" s="92">
        <f>VLOOKUP(A31,'Data Vlaue (Cr)'!C26:CB238,78,0)</f>
        <v>6.4000000000000003E-3</v>
      </c>
      <c r="H31" s="91">
        <f>VLOOKUP($A31,'Data Vlaue (Cr)'!$C:$FB,91)</f>
        <v>654</v>
      </c>
      <c r="I31" s="91">
        <f>VLOOKUP($A31,'Data Vlaue (Cr)'!$C:$FB,93)</f>
        <v>56</v>
      </c>
      <c r="J31" s="92">
        <f>VLOOKUP($A31,'Data Vlaue (Cr)'!$C:$FB,94)</f>
        <v>9.3399999999999997E-2</v>
      </c>
      <c r="K31" s="91">
        <f>VLOOKUP($A31,'Data Vlaue (Cr)'!$C:$FB,95)</f>
        <v>648</v>
      </c>
      <c r="L31" s="91">
        <f>VLOOKUP($A31,'Data Vlaue (Cr)'!$C:$FB,97)</f>
        <v>29</v>
      </c>
      <c r="M31" s="92">
        <f>VLOOKUP($A31,'Data Vlaue (Cr)'!$C:$FB,98)</f>
        <v>4.65E-2</v>
      </c>
      <c r="N31" s="91">
        <f>VLOOKUP($A31,'Data Vlaue (Cr)'!$C:$FB,79)</f>
        <v>2541</v>
      </c>
      <c r="O31" s="92">
        <f>VLOOKUP($A31,'Data Vlaue (Cr)'!$C:$FB,82)</f>
        <v>17.9208</v>
      </c>
    </row>
    <row r="32" spans="1:15" x14ac:dyDescent="0.25">
      <c r="A32" s="97" t="str">
        <f>'Data Vlaue (Cr)'!C27</f>
        <v>BANKINDIA</v>
      </c>
      <c r="B32" s="142">
        <f>VLOOKUP(A32,'Data Vlaue (Cr)'!C27:CW239,99,0)</f>
        <v>1311</v>
      </c>
      <c r="C32" s="90">
        <f>VLOOKUP(A32,'Data Vlaue (Cr)'!C27:CY239,101,0)</f>
        <v>67</v>
      </c>
      <c r="D32" s="139">
        <f>VLOOKUP(A32,'Data Vlaue (Cr)'!C27:CZ239,102,0)</f>
        <v>5.3900000000000003E-2</v>
      </c>
      <c r="E32" s="91">
        <f>VLOOKUP($A32,'Data Vlaue (Cr)'!$C:$FB,75)</f>
        <v>850</v>
      </c>
      <c r="F32" s="91">
        <f>VLOOKUP($A32,'Data Vlaue (Cr)'!$C:$FB,77)</f>
        <v>-23</v>
      </c>
      <c r="G32" s="92">
        <f>VLOOKUP(A32,'Data Vlaue (Cr)'!C27:CB239,78,0)</f>
        <v>-2.63E-2</v>
      </c>
      <c r="H32" s="91">
        <f>VLOOKUP($A32,'Data Vlaue (Cr)'!$C:$FB,91)</f>
        <v>249</v>
      </c>
      <c r="I32" s="91">
        <f>VLOOKUP($A32,'Data Vlaue (Cr)'!$C:$FB,93)</f>
        <v>16</v>
      </c>
      <c r="J32" s="92">
        <f>VLOOKUP($A32,'Data Vlaue (Cr)'!$C:$FB,94)</f>
        <v>6.8099999999999994E-2</v>
      </c>
      <c r="K32" s="91">
        <f>VLOOKUP($A32,'Data Vlaue (Cr)'!$C:$FB,95)</f>
        <v>212</v>
      </c>
      <c r="L32" s="91">
        <f>VLOOKUP($A32,'Data Vlaue (Cr)'!$C:$FB,97)</f>
        <v>74</v>
      </c>
      <c r="M32" s="92">
        <f>VLOOKUP($A32,'Data Vlaue (Cr)'!$C:$FB,98)</f>
        <v>0.53559999999999997</v>
      </c>
      <c r="N32" s="91">
        <f>VLOOKUP($A32,'Data Vlaue (Cr)'!$C:$FB,79)</f>
        <v>832</v>
      </c>
      <c r="O32" s="92">
        <f>VLOOKUP($A32,'Data Vlaue (Cr)'!$C:$FB,82)</f>
        <v>11.4915</v>
      </c>
    </row>
    <row r="33" spans="1:15" x14ac:dyDescent="0.25">
      <c r="A33" s="97" t="str">
        <f>'Data Vlaue (Cr)'!C28</f>
        <v>BANKNIFTY</v>
      </c>
      <c r="B33" s="142">
        <f>VLOOKUP(A33,'Data Vlaue (Cr)'!C28:CW240,99,0)</f>
        <v>109667</v>
      </c>
      <c r="C33" s="90">
        <f>VLOOKUP(A33,'Data Vlaue (Cr)'!C28:CY240,101,0)</f>
        <v>20484</v>
      </c>
      <c r="D33" s="139">
        <f>VLOOKUP(A33,'Data Vlaue (Cr)'!C28:CZ240,102,0)</f>
        <v>0.22969999999999999</v>
      </c>
      <c r="E33" s="91">
        <f>VLOOKUP($A33,'Data Vlaue (Cr)'!$C:$FB,75)</f>
        <v>8647</v>
      </c>
      <c r="F33" s="91">
        <f>VLOOKUP($A33,'Data Vlaue (Cr)'!$C:$FB,77)</f>
        <v>564</v>
      </c>
      <c r="G33" s="92">
        <f>VLOOKUP(A33,'Data Vlaue (Cr)'!C28:CB240,78,0)</f>
        <v>6.9800000000000001E-2</v>
      </c>
      <c r="H33" s="91">
        <f>VLOOKUP($A33,'Data Vlaue (Cr)'!$C:$FB,91)</f>
        <v>47224</v>
      </c>
      <c r="I33" s="91">
        <f>VLOOKUP($A33,'Data Vlaue (Cr)'!$C:$FB,93)</f>
        <v>8979</v>
      </c>
      <c r="J33" s="92">
        <f>VLOOKUP($A33,'Data Vlaue (Cr)'!$C:$FB,94)</f>
        <v>0.23480000000000001</v>
      </c>
      <c r="K33" s="91">
        <f>VLOOKUP($A33,'Data Vlaue (Cr)'!$C:$FB,95)</f>
        <v>53796</v>
      </c>
      <c r="L33" s="91">
        <f>VLOOKUP($A33,'Data Vlaue (Cr)'!$C:$FB,97)</f>
        <v>10940</v>
      </c>
      <c r="M33" s="92">
        <f>VLOOKUP($A33,'Data Vlaue (Cr)'!$C:$FB,98)</f>
        <v>0.25530000000000003</v>
      </c>
      <c r="N33" s="91">
        <f>VLOOKUP($A33,'Data Vlaue (Cr)'!$C:$FB,79)</f>
        <v>7979</v>
      </c>
      <c r="O33" s="92">
        <f>VLOOKUP($A33,'Data Vlaue (Cr)'!$C:$FB,82)</f>
        <v>1.4341999999999999</v>
      </c>
    </row>
    <row r="34" spans="1:15" x14ac:dyDescent="0.25">
      <c r="A34" s="97" t="str">
        <f>'Data Vlaue (Cr)'!C29</f>
        <v>BDL</v>
      </c>
      <c r="B34" s="142">
        <f>VLOOKUP(A34,'Data Vlaue (Cr)'!C29:CW241,99,0)</f>
        <v>1363</v>
      </c>
      <c r="C34" s="90">
        <f>VLOOKUP(A34,'Data Vlaue (Cr)'!C29:CY241,101,0)</f>
        <v>242</v>
      </c>
      <c r="D34" s="139">
        <f>VLOOKUP(A34,'Data Vlaue (Cr)'!C29:CZ241,102,0)</f>
        <v>0.21590000000000001</v>
      </c>
      <c r="E34" s="91">
        <f>VLOOKUP($A34,'Data Vlaue (Cr)'!$C:$FB,75)</f>
        <v>803</v>
      </c>
      <c r="F34" s="91">
        <f>VLOOKUP($A34,'Data Vlaue (Cr)'!$C:$FB,77)</f>
        <v>47</v>
      </c>
      <c r="G34" s="92">
        <f>VLOOKUP(A34,'Data Vlaue (Cr)'!C29:CB241,78,0)</f>
        <v>6.2600000000000003E-2</v>
      </c>
      <c r="H34" s="91">
        <f>VLOOKUP($A34,'Data Vlaue (Cr)'!$C:$FB,91)</f>
        <v>323</v>
      </c>
      <c r="I34" s="91">
        <f>VLOOKUP($A34,'Data Vlaue (Cr)'!$C:$FB,93)</f>
        <v>140</v>
      </c>
      <c r="J34" s="92">
        <f>VLOOKUP($A34,'Data Vlaue (Cr)'!$C:$FB,94)</f>
        <v>0.76400000000000001</v>
      </c>
      <c r="K34" s="91">
        <f>VLOOKUP($A34,'Data Vlaue (Cr)'!$C:$FB,95)</f>
        <v>237</v>
      </c>
      <c r="L34" s="91">
        <f>VLOOKUP($A34,'Data Vlaue (Cr)'!$C:$FB,97)</f>
        <v>55</v>
      </c>
      <c r="M34" s="92">
        <f>VLOOKUP($A34,'Data Vlaue (Cr)'!$C:$FB,98)</f>
        <v>0.30159999999999998</v>
      </c>
      <c r="N34" s="91">
        <f>VLOOKUP($A34,'Data Vlaue (Cr)'!$C:$FB,79)</f>
        <v>767</v>
      </c>
      <c r="O34" s="92">
        <f>VLOOKUP($A34,'Data Vlaue (Cr)'!$C:$FB,82)</f>
        <v>10.8306</v>
      </c>
    </row>
    <row r="35" spans="1:15" x14ac:dyDescent="0.25">
      <c r="A35" s="97" t="str">
        <f>'Data Vlaue (Cr)'!C30</f>
        <v>BEL</v>
      </c>
      <c r="B35" s="142">
        <f>VLOOKUP(A35,'Data Vlaue (Cr)'!C30:CW242,99,0)</f>
        <v>9370</v>
      </c>
      <c r="C35" s="90">
        <f>VLOOKUP(A35,'Data Vlaue (Cr)'!C30:CY242,101,0)</f>
        <v>2034</v>
      </c>
      <c r="D35" s="139">
        <f>VLOOKUP(A35,'Data Vlaue (Cr)'!C30:CZ242,102,0)</f>
        <v>0.27729999999999999</v>
      </c>
      <c r="E35" s="91">
        <f>VLOOKUP($A35,'Data Vlaue (Cr)'!$C:$FB,75)</f>
        <v>5718</v>
      </c>
      <c r="F35" s="91">
        <f>VLOOKUP($A35,'Data Vlaue (Cr)'!$C:$FB,77)</f>
        <v>461</v>
      </c>
      <c r="G35" s="92">
        <f>VLOOKUP(A35,'Data Vlaue (Cr)'!C30:CB242,78,0)</f>
        <v>8.7599999999999997E-2</v>
      </c>
      <c r="H35" s="91">
        <f>VLOOKUP($A35,'Data Vlaue (Cr)'!$C:$FB,91)</f>
        <v>2187</v>
      </c>
      <c r="I35" s="91">
        <f>VLOOKUP($A35,'Data Vlaue (Cr)'!$C:$FB,93)</f>
        <v>973</v>
      </c>
      <c r="J35" s="92">
        <f>VLOOKUP($A35,'Data Vlaue (Cr)'!$C:$FB,94)</f>
        <v>0.80200000000000005</v>
      </c>
      <c r="K35" s="91">
        <f>VLOOKUP($A35,'Data Vlaue (Cr)'!$C:$FB,95)</f>
        <v>1465</v>
      </c>
      <c r="L35" s="91">
        <f>VLOOKUP($A35,'Data Vlaue (Cr)'!$C:$FB,97)</f>
        <v>600</v>
      </c>
      <c r="M35" s="92">
        <f>VLOOKUP($A35,'Data Vlaue (Cr)'!$C:$FB,98)</f>
        <v>0.69410000000000005</v>
      </c>
      <c r="N35" s="91">
        <f>VLOOKUP($A35,'Data Vlaue (Cr)'!$C:$FB,79)</f>
        <v>5469</v>
      </c>
      <c r="O35" s="92">
        <f>VLOOKUP($A35,'Data Vlaue (Cr)'!$C:$FB,82)</f>
        <v>28.443200000000001</v>
      </c>
    </row>
    <row r="36" spans="1:15" x14ac:dyDescent="0.25">
      <c r="A36" s="97" t="str">
        <f>'Data Vlaue (Cr)'!C31</f>
        <v>BHARATFORG</v>
      </c>
      <c r="B36" s="142">
        <f>VLOOKUP(A36,'Data Vlaue (Cr)'!C31:CW243,99,0)</f>
        <v>1350</v>
      </c>
      <c r="C36" s="90">
        <f>VLOOKUP(A36,'Data Vlaue (Cr)'!C31:CY243,101,0)</f>
        <v>134</v>
      </c>
      <c r="D36" s="139">
        <f>VLOOKUP(A36,'Data Vlaue (Cr)'!C31:CZ243,102,0)</f>
        <v>0.10979999999999999</v>
      </c>
      <c r="E36" s="91">
        <f>VLOOKUP($A36,'Data Vlaue (Cr)'!$C:$FB,75)</f>
        <v>987</v>
      </c>
      <c r="F36" s="91">
        <f>VLOOKUP($A36,'Data Vlaue (Cr)'!$C:$FB,77)</f>
        <v>7</v>
      </c>
      <c r="G36" s="92">
        <f>VLOOKUP(A36,'Data Vlaue (Cr)'!C31:CB243,78,0)</f>
        <v>7.1999999999999998E-3</v>
      </c>
      <c r="H36" s="91">
        <f>VLOOKUP($A36,'Data Vlaue (Cr)'!$C:$FB,91)</f>
        <v>214</v>
      </c>
      <c r="I36" s="91">
        <f>VLOOKUP($A36,'Data Vlaue (Cr)'!$C:$FB,93)</f>
        <v>90</v>
      </c>
      <c r="J36" s="92">
        <f>VLOOKUP($A36,'Data Vlaue (Cr)'!$C:$FB,94)</f>
        <v>0.72430000000000005</v>
      </c>
      <c r="K36" s="91">
        <f>VLOOKUP($A36,'Data Vlaue (Cr)'!$C:$FB,95)</f>
        <v>149</v>
      </c>
      <c r="L36" s="91">
        <f>VLOOKUP($A36,'Data Vlaue (Cr)'!$C:$FB,97)</f>
        <v>37</v>
      </c>
      <c r="M36" s="92">
        <f>VLOOKUP($A36,'Data Vlaue (Cr)'!$C:$FB,98)</f>
        <v>0.32450000000000001</v>
      </c>
      <c r="N36" s="91">
        <f>VLOOKUP($A36,'Data Vlaue (Cr)'!$C:$FB,79)</f>
        <v>977</v>
      </c>
      <c r="O36" s="92">
        <f>VLOOKUP($A36,'Data Vlaue (Cr)'!$C:$FB,82)</f>
        <v>13.7324</v>
      </c>
    </row>
    <row r="37" spans="1:15" x14ac:dyDescent="0.25">
      <c r="A37" s="97" t="str">
        <f>'Data Vlaue (Cr)'!C32</f>
        <v>BHARTIARTL</v>
      </c>
      <c r="B37" s="142">
        <f>VLOOKUP(A37,'Data Vlaue (Cr)'!C32:CW244,99,0)</f>
        <v>12745</v>
      </c>
      <c r="C37" s="90">
        <f>VLOOKUP(A37,'Data Vlaue (Cr)'!C32:CY244,101,0)</f>
        <v>949</v>
      </c>
      <c r="D37" s="139">
        <f>VLOOKUP(A37,'Data Vlaue (Cr)'!C32:CZ244,102,0)</f>
        <v>8.0500000000000002E-2</v>
      </c>
      <c r="E37" s="91">
        <f>VLOOKUP($A37,'Data Vlaue (Cr)'!$C:$FB,75)</f>
        <v>10992</v>
      </c>
      <c r="F37" s="91">
        <f>VLOOKUP($A37,'Data Vlaue (Cr)'!$C:$FB,77)</f>
        <v>265</v>
      </c>
      <c r="G37" s="92">
        <f>VLOOKUP(A37,'Data Vlaue (Cr)'!C32:CB244,78,0)</f>
        <v>2.47E-2</v>
      </c>
      <c r="H37" s="91">
        <f>VLOOKUP($A37,'Data Vlaue (Cr)'!$C:$FB,91)</f>
        <v>1013</v>
      </c>
      <c r="I37" s="91">
        <f>VLOOKUP($A37,'Data Vlaue (Cr)'!$C:$FB,93)</f>
        <v>408</v>
      </c>
      <c r="J37" s="92">
        <f>VLOOKUP($A37,'Data Vlaue (Cr)'!$C:$FB,94)</f>
        <v>0.67269999999999996</v>
      </c>
      <c r="K37" s="91">
        <f>VLOOKUP($A37,'Data Vlaue (Cr)'!$C:$FB,95)</f>
        <v>739</v>
      </c>
      <c r="L37" s="91">
        <f>VLOOKUP($A37,'Data Vlaue (Cr)'!$C:$FB,97)</f>
        <v>277</v>
      </c>
      <c r="M37" s="92">
        <f>VLOOKUP($A37,'Data Vlaue (Cr)'!$C:$FB,98)</f>
        <v>0.59819999999999995</v>
      </c>
      <c r="N37" s="91">
        <f>VLOOKUP($A37,'Data Vlaue (Cr)'!$C:$FB,79)</f>
        <v>10518</v>
      </c>
      <c r="O37" s="92">
        <f>VLOOKUP($A37,'Data Vlaue (Cr)'!$C:$FB,82)</f>
        <v>7.9006999999999996</v>
      </c>
    </row>
    <row r="38" spans="1:15" x14ac:dyDescent="0.25">
      <c r="A38" s="97" t="str">
        <f>'Data Vlaue (Cr)'!C33</f>
        <v>BHEL</v>
      </c>
      <c r="B38" s="142">
        <f>VLOOKUP(A38,'Data Vlaue (Cr)'!C33:CW245,99,0)</f>
        <v>3628</v>
      </c>
      <c r="C38" s="90">
        <f>VLOOKUP(A38,'Data Vlaue (Cr)'!C33:CY245,101,0)</f>
        <v>338</v>
      </c>
      <c r="D38" s="139">
        <f>VLOOKUP(A38,'Data Vlaue (Cr)'!C33:CZ245,102,0)</f>
        <v>0.1026</v>
      </c>
      <c r="E38" s="91">
        <f>VLOOKUP($A38,'Data Vlaue (Cr)'!$C:$FB,75)</f>
        <v>2088</v>
      </c>
      <c r="F38" s="91">
        <f>VLOOKUP($A38,'Data Vlaue (Cr)'!$C:$FB,77)</f>
        <v>67</v>
      </c>
      <c r="G38" s="92">
        <f>VLOOKUP(A38,'Data Vlaue (Cr)'!C33:CB245,78,0)</f>
        <v>3.3099999999999997E-2</v>
      </c>
      <c r="H38" s="91">
        <f>VLOOKUP($A38,'Data Vlaue (Cr)'!$C:$FB,91)</f>
        <v>1044</v>
      </c>
      <c r="I38" s="91">
        <f>VLOOKUP($A38,'Data Vlaue (Cr)'!$C:$FB,93)</f>
        <v>222</v>
      </c>
      <c r="J38" s="92">
        <f>VLOOKUP($A38,'Data Vlaue (Cr)'!$C:$FB,94)</f>
        <v>0.26929999999999998</v>
      </c>
      <c r="K38" s="91">
        <f>VLOOKUP($A38,'Data Vlaue (Cr)'!$C:$FB,95)</f>
        <v>496</v>
      </c>
      <c r="L38" s="91">
        <f>VLOOKUP($A38,'Data Vlaue (Cr)'!$C:$FB,97)</f>
        <v>49</v>
      </c>
      <c r="M38" s="92">
        <f>VLOOKUP($A38,'Data Vlaue (Cr)'!$C:$FB,98)</f>
        <v>0.1104</v>
      </c>
      <c r="N38" s="91">
        <f>VLOOKUP($A38,'Data Vlaue (Cr)'!$C:$FB,79)</f>
        <v>2035</v>
      </c>
      <c r="O38" s="92">
        <f>VLOOKUP($A38,'Data Vlaue (Cr)'!$C:$FB,82)</f>
        <v>12.4536</v>
      </c>
    </row>
    <row r="39" spans="1:15" x14ac:dyDescent="0.25">
      <c r="A39" s="97" t="str">
        <f>'Data Vlaue (Cr)'!C34</f>
        <v>BIOCON</v>
      </c>
      <c r="B39" s="142">
        <f>VLOOKUP(A39,'Data Vlaue (Cr)'!C34:CW246,99,0)</f>
        <v>2051</v>
      </c>
      <c r="C39" s="90">
        <f>VLOOKUP(A39,'Data Vlaue (Cr)'!C34:CY246,101,0)</f>
        <v>72</v>
      </c>
      <c r="D39" s="139">
        <f>VLOOKUP(A39,'Data Vlaue (Cr)'!C34:CZ246,102,0)</f>
        <v>3.6299999999999999E-2</v>
      </c>
      <c r="E39" s="91">
        <f>VLOOKUP($A39,'Data Vlaue (Cr)'!$C:$FB,75)</f>
        <v>1497</v>
      </c>
      <c r="F39" s="91">
        <f>VLOOKUP($A39,'Data Vlaue (Cr)'!$C:$FB,77)</f>
        <v>-6</v>
      </c>
      <c r="G39" s="92">
        <f>VLOOKUP(A39,'Data Vlaue (Cr)'!C34:CB246,78,0)</f>
        <v>-4.1000000000000003E-3</v>
      </c>
      <c r="H39" s="91">
        <f>VLOOKUP($A39,'Data Vlaue (Cr)'!$C:$FB,91)</f>
        <v>280</v>
      </c>
      <c r="I39" s="91">
        <f>VLOOKUP($A39,'Data Vlaue (Cr)'!$C:$FB,93)</f>
        <v>45</v>
      </c>
      <c r="J39" s="92">
        <f>VLOOKUP($A39,'Data Vlaue (Cr)'!$C:$FB,94)</f>
        <v>0.19339999999999999</v>
      </c>
      <c r="K39" s="91">
        <f>VLOOKUP($A39,'Data Vlaue (Cr)'!$C:$FB,95)</f>
        <v>274</v>
      </c>
      <c r="L39" s="91">
        <f>VLOOKUP($A39,'Data Vlaue (Cr)'!$C:$FB,97)</f>
        <v>33</v>
      </c>
      <c r="M39" s="92">
        <f>VLOOKUP($A39,'Data Vlaue (Cr)'!$C:$FB,98)</f>
        <v>0.13489999999999999</v>
      </c>
      <c r="N39" s="91">
        <f>VLOOKUP($A39,'Data Vlaue (Cr)'!$C:$FB,79)</f>
        <v>1471</v>
      </c>
      <c r="O39" s="92">
        <f>VLOOKUP($A39,'Data Vlaue (Cr)'!$C:$FB,82)</f>
        <v>4.5879000000000003</v>
      </c>
    </row>
    <row r="40" spans="1:15" x14ac:dyDescent="0.25">
      <c r="A40" s="97" t="str">
        <f>'Data Vlaue (Cr)'!C35</f>
        <v>BLUESTARCO</v>
      </c>
      <c r="B40" s="142">
        <f>VLOOKUP(A40,'Data Vlaue (Cr)'!C35:CW247,99,0)</f>
        <v>499</v>
      </c>
      <c r="C40" s="90">
        <f>VLOOKUP(A40,'Data Vlaue (Cr)'!C35:CY247,101,0)</f>
        <v>53</v>
      </c>
      <c r="D40" s="139">
        <f>VLOOKUP(A40,'Data Vlaue (Cr)'!C35:CZ247,102,0)</f>
        <v>0.1181</v>
      </c>
      <c r="E40" s="91">
        <f>VLOOKUP($A40,'Data Vlaue (Cr)'!$C:$FB,75)</f>
        <v>427</v>
      </c>
      <c r="F40" s="91">
        <f>VLOOKUP($A40,'Data Vlaue (Cr)'!$C:$FB,77)</f>
        <v>22</v>
      </c>
      <c r="G40" s="92">
        <f>VLOOKUP(A40,'Data Vlaue (Cr)'!C35:CB247,78,0)</f>
        <v>5.4300000000000001E-2</v>
      </c>
      <c r="H40" s="91">
        <f>VLOOKUP($A40,'Data Vlaue (Cr)'!$C:$FB,91)</f>
        <v>36</v>
      </c>
      <c r="I40" s="91">
        <f>VLOOKUP($A40,'Data Vlaue (Cr)'!$C:$FB,93)</f>
        <v>19</v>
      </c>
      <c r="J40" s="92">
        <f>VLOOKUP($A40,'Data Vlaue (Cr)'!$C:$FB,94)</f>
        <v>1.0670999999999999</v>
      </c>
      <c r="K40" s="91">
        <f>VLOOKUP($A40,'Data Vlaue (Cr)'!$C:$FB,95)</f>
        <v>36</v>
      </c>
      <c r="L40" s="91">
        <f>VLOOKUP($A40,'Data Vlaue (Cr)'!$C:$FB,97)</f>
        <v>12</v>
      </c>
      <c r="M40" s="92">
        <f>VLOOKUP($A40,'Data Vlaue (Cr)'!$C:$FB,98)</f>
        <v>0.50229999999999997</v>
      </c>
      <c r="N40" s="91">
        <f>VLOOKUP($A40,'Data Vlaue (Cr)'!$C:$FB,79)</f>
        <v>426</v>
      </c>
      <c r="O40" s="92">
        <f>VLOOKUP($A40,'Data Vlaue (Cr)'!$C:$FB,82)</f>
        <v>14.2371</v>
      </c>
    </row>
    <row r="41" spans="1:15" x14ac:dyDescent="0.25">
      <c r="A41" s="97" t="str">
        <f>'Data Vlaue (Cr)'!C36</f>
        <v>BOSCHLTD</v>
      </c>
      <c r="B41" s="142">
        <f>VLOOKUP(A41,'Data Vlaue (Cr)'!C36:CW248,99,0)</f>
        <v>987</v>
      </c>
      <c r="C41" s="90">
        <f>VLOOKUP(A41,'Data Vlaue (Cr)'!C36:CY248,101,0)</f>
        <v>94</v>
      </c>
      <c r="D41" s="139">
        <f>VLOOKUP(A41,'Data Vlaue (Cr)'!C36:CZ248,102,0)</f>
        <v>0.1053</v>
      </c>
      <c r="E41" s="91">
        <f>VLOOKUP($A41,'Data Vlaue (Cr)'!$C:$FB,75)</f>
        <v>674</v>
      </c>
      <c r="F41" s="91">
        <f>VLOOKUP($A41,'Data Vlaue (Cr)'!$C:$FB,77)</f>
        <v>8</v>
      </c>
      <c r="G41" s="92">
        <f>VLOOKUP(A41,'Data Vlaue (Cr)'!C36:CB248,78,0)</f>
        <v>1.14E-2</v>
      </c>
      <c r="H41" s="91">
        <f>VLOOKUP($A41,'Data Vlaue (Cr)'!$C:$FB,91)</f>
        <v>180</v>
      </c>
      <c r="I41" s="91">
        <f>VLOOKUP($A41,'Data Vlaue (Cr)'!$C:$FB,93)</f>
        <v>54</v>
      </c>
      <c r="J41" s="92">
        <f>VLOOKUP($A41,'Data Vlaue (Cr)'!$C:$FB,94)</f>
        <v>0.42570000000000002</v>
      </c>
      <c r="K41" s="91">
        <f>VLOOKUP($A41,'Data Vlaue (Cr)'!$C:$FB,95)</f>
        <v>133</v>
      </c>
      <c r="L41" s="91">
        <f>VLOOKUP($A41,'Data Vlaue (Cr)'!$C:$FB,97)</f>
        <v>33</v>
      </c>
      <c r="M41" s="92">
        <f>VLOOKUP($A41,'Data Vlaue (Cr)'!$C:$FB,98)</f>
        <v>0.32669999999999999</v>
      </c>
      <c r="N41" s="91">
        <f>VLOOKUP($A41,'Data Vlaue (Cr)'!$C:$FB,79)</f>
        <v>663</v>
      </c>
      <c r="O41" s="92">
        <f>VLOOKUP($A41,'Data Vlaue (Cr)'!$C:$FB,82)</f>
        <v>3.5533000000000001</v>
      </c>
    </row>
    <row r="42" spans="1:15" x14ac:dyDescent="0.25">
      <c r="A42" s="97" t="str">
        <f>'Data Vlaue (Cr)'!C37</f>
        <v>BPCL</v>
      </c>
      <c r="B42" s="142">
        <f>VLOOKUP(A42,'Data Vlaue (Cr)'!C37:CW249,99,0)</f>
        <v>1775</v>
      </c>
      <c r="C42" s="90">
        <f>VLOOKUP(A42,'Data Vlaue (Cr)'!C37:CY249,101,0)</f>
        <v>154</v>
      </c>
      <c r="D42" s="139">
        <f>VLOOKUP(A42,'Data Vlaue (Cr)'!C37:CZ249,102,0)</f>
        <v>9.5200000000000007E-2</v>
      </c>
      <c r="E42" s="91">
        <f>VLOOKUP($A42,'Data Vlaue (Cr)'!$C:$FB,75)</f>
        <v>1238</v>
      </c>
      <c r="F42" s="91">
        <f>VLOOKUP($A42,'Data Vlaue (Cr)'!$C:$FB,77)</f>
        <v>95</v>
      </c>
      <c r="G42" s="92">
        <f>VLOOKUP(A42,'Data Vlaue (Cr)'!C37:CB249,78,0)</f>
        <v>8.2699999999999996E-2</v>
      </c>
      <c r="H42" s="91">
        <f>VLOOKUP($A42,'Data Vlaue (Cr)'!$C:$FB,91)</f>
        <v>296</v>
      </c>
      <c r="I42" s="91">
        <f>VLOOKUP($A42,'Data Vlaue (Cr)'!$C:$FB,93)</f>
        <v>12</v>
      </c>
      <c r="J42" s="92">
        <f>VLOOKUP($A42,'Data Vlaue (Cr)'!$C:$FB,94)</f>
        <v>4.24E-2</v>
      </c>
      <c r="K42" s="91">
        <f>VLOOKUP($A42,'Data Vlaue (Cr)'!$C:$FB,95)</f>
        <v>241</v>
      </c>
      <c r="L42" s="91">
        <f>VLOOKUP($A42,'Data Vlaue (Cr)'!$C:$FB,97)</f>
        <v>48</v>
      </c>
      <c r="M42" s="92">
        <f>VLOOKUP($A42,'Data Vlaue (Cr)'!$C:$FB,98)</f>
        <v>0.2467</v>
      </c>
      <c r="N42" s="91">
        <f>VLOOKUP($A42,'Data Vlaue (Cr)'!$C:$FB,79)</f>
        <v>1223</v>
      </c>
      <c r="O42" s="92">
        <f>VLOOKUP($A42,'Data Vlaue (Cr)'!$C:$FB,82)</f>
        <v>2.9411</v>
      </c>
    </row>
    <row r="43" spans="1:15" x14ac:dyDescent="0.25">
      <c r="A43" s="97" t="str">
        <f>'Data Vlaue (Cr)'!C38</f>
        <v>BRITANNIA</v>
      </c>
      <c r="B43" s="142">
        <f>VLOOKUP(A43,'Data Vlaue (Cr)'!C38:CW250,99,0)</f>
        <v>2279</v>
      </c>
      <c r="C43" s="90">
        <f>VLOOKUP(A43,'Data Vlaue (Cr)'!C38:CY250,101,0)</f>
        <v>259</v>
      </c>
      <c r="D43" s="139">
        <f>VLOOKUP(A43,'Data Vlaue (Cr)'!C38:CZ250,102,0)</f>
        <v>0.1283</v>
      </c>
      <c r="E43" s="91">
        <f>VLOOKUP($A43,'Data Vlaue (Cr)'!$C:$FB,75)</f>
        <v>1906</v>
      </c>
      <c r="F43" s="91">
        <f>VLOOKUP($A43,'Data Vlaue (Cr)'!$C:$FB,77)</f>
        <v>70</v>
      </c>
      <c r="G43" s="92">
        <f>VLOOKUP(A43,'Data Vlaue (Cr)'!C38:CB250,78,0)</f>
        <v>3.8100000000000002E-2</v>
      </c>
      <c r="H43" s="91">
        <f>VLOOKUP($A43,'Data Vlaue (Cr)'!$C:$FB,91)</f>
        <v>238</v>
      </c>
      <c r="I43" s="91">
        <f>VLOOKUP($A43,'Data Vlaue (Cr)'!$C:$FB,93)</f>
        <v>129</v>
      </c>
      <c r="J43" s="92">
        <f>VLOOKUP($A43,'Data Vlaue (Cr)'!$C:$FB,94)</f>
        <v>1.1873</v>
      </c>
      <c r="K43" s="91">
        <f>VLOOKUP($A43,'Data Vlaue (Cr)'!$C:$FB,95)</f>
        <v>135</v>
      </c>
      <c r="L43" s="91">
        <f>VLOOKUP($A43,'Data Vlaue (Cr)'!$C:$FB,97)</f>
        <v>60</v>
      </c>
      <c r="M43" s="92">
        <f>VLOOKUP($A43,'Data Vlaue (Cr)'!$C:$FB,98)</f>
        <v>0.79900000000000004</v>
      </c>
      <c r="N43" s="91">
        <f>VLOOKUP($A43,'Data Vlaue (Cr)'!$C:$FB,79)</f>
        <v>1900</v>
      </c>
      <c r="O43" s="92">
        <f>VLOOKUP($A43,'Data Vlaue (Cr)'!$C:$FB,82)</f>
        <v>11.595599999999999</v>
      </c>
    </row>
    <row r="44" spans="1:15" x14ac:dyDescent="0.25">
      <c r="A44" s="97" t="str">
        <f>'Data Vlaue (Cr)'!C39</f>
        <v>BSE</v>
      </c>
      <c r="B44" s="142">
        <f>VLOOKUP(A44,'Data Vlaue (Cr)'!C39:CW251,99,0)</f>
        <v>4839</v>
      </c>
      <c r="C44" s="90">
        <f>VLOOKUP(A44,'Data Vlaue (Cr)'!C39:CY251,101,0)</f>
        <v>709</v>
      </c>
      <c r="D44" s="139">
        <f>VLOOKUP(A44,'Data Vlaue (Cr)'!C39:CZ251,102,0)</f>
        <v>0.17169999999999999</v>
      </c>
      <c r="E44" s="91">
        <f>VLOOKUP($A44,'Data Vlaue (Cr)'!$C:$FB,75)</f>
        <v>2852</v>
      </c>
      <c r="F44" s="91">
        <f>VLOOKUP($A44,'Data Vlaue (Cr)'!$C:$FB,77)</f>
        <v>117</v>
      </c>
      <c r="G44" s="92">
        <f>VLOOKUP(A44,'Data Vlaue (Cr)'!C39:CB251,78,0)</f>
        <v>4.2900000000000001E-2</v>
      </c>
      <c r="H44" s="91">
        <f>VLOOKUP($A44,'Data Vlaue (Cr)'!$C:$FB,91)</f>
        <v>1199</v>
      </c>
      <c r="I44" s="91">
        <f>VLOOKUP($A44,'Data Vlaue (Cr)'!$C:$FB,93)</f>
        <v>424</v>
      </c>
      <c r="J44" s="92">
        <f>VLOOKUP($A44,'Data Vlaue (Cr)'!$C:$FB,94)</f>
        <v>0.54690000000000005</v>
      </c>
      <c r="K44" s="91">
        <f>VLOOKUP($A44,'Data Vlaue (Cr)'!$C:$FB,95)</f>
        <v>788</v>
      </c>
      <c r="L44" s="91">
        <f>VLOOKUP($A44,'Data Vlaue (Cr)'!$C:$FB,97)</f>
        <v>168</v>
      </c>
      <c r="M44" s="92">
        <f>VLOOKUP($A44,'Data Vlaue (Cr)'!$C:$FB,98)</f>
        <v>0.2712</v>
      </c>
      <c r="N44" s="91">
        <f>VLOOKUP($A44,'Data Vlaue (Cr)'!$C:$FB,79)</f>
        <v>2763</v>
      </c>
      <c r="O44" s="92">
        <f>VLOOKUP($A44,'Data Vlaue (Cr)'!$C:$FB,82)</f>
        <v>13.8432</v>
      </c>
    </row>
    <row r="45" spans="1:15" x14ac:dyDescent="0.25">
      <c r="A45" s="97" t="str">
        <f>'Data Vlaue (Cr)'!C40</f>
        <v>CAMS</v>
      </c>
      <c r="B45" s="142">
        <f>VLOOKUP(A45,'Data Vlaue (Cr)'!C40:CW252,99,0)</f>
        <v>736</v>
      </c>
      <c r="C45" s="90">
        <f>VLOOKUP(A45,'Data Vlaue (Cr)'!C40:CY252,101,0)</f>
        <v>50</v>
      </c>
      <c r="D45" s="139">
        <f>VLOOKUP(A45,'Data Vlaue (Cr)'!C40:CZ252,102,0)</f>
        <v>7.3400000000000007E-2</v>
      </c>
      <c r="E45" s="91">
        <f>VLOOKUP($A45,'Data Vlaue (Cr)'!$C:$FB,75)</f>
        <v>482</v>
      </c>
      <c r="F45" s="91">
        <f>VLOOKUP($A45,'Data Vlaue (Cr)'!$C:$FB,77)</f>
        <v>3</v>
      </c>
      <c r="G45" s="92">
        <f>VLOOKUP(A45,'Data Vlaue (Cr)'!C40:CB252,78,0)</f>
        <v>6.0000000000000001E-3</v>
      </c>
      <c r="H45" s="91">
        <f>VLOOKUP($A45,'Data Vlaue (Cr)'!$C:$FB,91)</f>
        <v>128</v>
      </c>
      <c r="I45" s="91">
        <f>VLOOKUP($A45,'Data Vlaue (Cr)'!$C:$FB,93)</f>
        <v>26</v>
      </c>
      <c r="J45" s="92">
        <f>VLOOKUP($A45,'Data Vlaue (Cr)'!$C:$FB,94)</f>
        <v>0.25269999999999998</v>
      </c>
      <c r="K45" s="91">
        <f>VLOOKUP($A45,'Data Vlaue (Cr)'!$C:$FB,95)</f>
        <v>126</v>
      </c>
      <c r="L45" s="91">
        <f>VLOOKUP($A45,'Data Vlaue (Cr)'!$C:$FB,97)</f>
        <v>22</v>
      </c>
      <c r="M45" s="92">
        <f>VLOOKUP($A45,'Data Vlaue (Cr)'!$C:$FB,98)</f>
        <v>0.2072</v>
      </c>
      <c r="N45" s="91">
        <f>VLOOKUP($A45,'Data Vlaue (Cr)'!$C:$FB,79)</f>
        <v>463</v>
      </c>
      <c r="O45" s="92">
        <f>VLOOKUP($A45,'Data Vlaue (Cr)'!$C:$FB,82)</f>
        <v>16.076599999999999</v>
      </c>
    </row>
    <row r="46" spans="1:15" x14ac:dyDescent="0.25">
      <c r="A46" s="97" t="str">
        <f>'Data Vlaue (Cr)'!C41</f>
        <v>CANBK</v>
      </c>
      <c r="B46" s="142">
        <f>VLOOKUP(A46,'Data Vlaue (Cr)'!C41:CW253,99,0)</f>
        <v>3971</v>
      </c>
      <c r="C46" s="90">
        <f>VLOOKUP(A46,'Data Vlaue (Cr)'!C41:CY253,101,0)</f>
        <v>496</v>
      </c>
      <c r="D46" s="139">
        <f>VLOOKUP(A46,'Data Vlaue (Cr)'!C41:CZ253,102,0)</f>
        <v>0.1426</v>
      </c>
      <c r="E46" s="91">
        <f>VLOOKUP($A46,'Data Vlaue (Cr)'!$C:$FB,75)</f>
        <v>2321</v>
      </c>
      <c r="F46" s="91">
        <f>VLOOKUP($A46,'Data Vlaue (Cr)'!$C:$FB,77)</f>
        <v>89</v>
      </c>
      <c r="G46" s="92">
        <f>VLOOKUP(A46,'Data Vlaue (Cr)'!C41:CB253,78,0)</f>
        <v>3.9699999999999999E-2</v>
      </c>
      <c r="H46" s="91">
        <f>VLOOKUP($A46,'Data Vlaue (Cr)'!$C:$FB,91)</f>
        <v>815</v>
      </c>
      <c r="I46" s="91">
        <f>VLOOKUP($A46,'Data Vlaue (Cr)'!$C:$FB,93)</f>
        <v>196</v>
      </c>
      <c r="J46" s="92">
        <f>VLOOKUP($A46,'Data Vlaue (Cr)'!$C:$FB,94)</f>
        <v>0.31619999999999998</v>
      </c>
      <c r="K46" s="91">
        <f>VLOOKUP($A46,'Data Vlaue (Cr)'!$C:$FB,95)</f>
        <v>835</v>
      </c>
      <c r="L46" s="91">
        <f>VLOOKUP($A46,'Data Vlaue (Cr)'!$C:$FB,97)</f>
        <v>211</v>
      </c>
      <c r="M46" s="92">
        <f>VLOOKUP($A46,'Data Vlaue (Cr)'!$C:$FB,98)</f>
        <v>0.33829999999999999</v>
      </c>
      <c r="N46" s="91">
        <f>VLOOKUP($A46,'Data Vlaue (Cr)'!$C:$FB,79)</f>
        <v>2246</v>
      </c>
      <c r="O46" s="92">
        <f>VLOOKUP($A46,'Data Vlaue (Cr)'!$C:$FB,82)</f>
        <v>7.5201000000000002</v>
      </c>
    </row>
    <row r="47" spans="1:15" x14ac:dyDescent="0.25">
      <c r="A47" s="97" t="str">
        <f>'Data Vlaue (Cr)'!C42</f>
        <v>CDSL</v>
      </c>
      <c r="B47" s="142">
        <f>VLOOKUP(A47,'Data Vlaue (Cr)'!C42:CW254,99,0)</f>
        <v>2611</v>
      </c>
      <c r="C47" s="90">
        <f>VLOOKUP(A47,'Data Vlaue (Cr)'!C42:CY254,101,0)</f>
        <v>275</v>
      </c>
      <c r="D47" s="139">
        <f>VLOOKUP(A47,'Data Vlaue (Cr)'!C42:CZ254,102,0)</f>
        <v>0.1177</v>
      </c>
      <c r="E47" s="91">
        <f>VLOOKUP($A47,'Data Vlaue (Cr)'!$C:$FB,75)</f>
        <v>1384</v>
      </c>
      <c r="F47" s="91">
        <f>VLOOKUP($A47,'Data Vlaue (Cr)'!$C:$FB,77)</f>
        <v>29</v>
      </c>
      <c r="G47" s="92">
        <f>VLOOKUP(A47,'Data Vlaue (Cr)'!C42:CB254,78,0)</f>
        <v>2.1299999999999999E-2</v>
      </c>
      <c r="H47" s="91">
        <f>VLOOKUP($A47,'Data Vlaue (Cr)'!$C:$FB,91)</f>
        <v>672</v>
      </c>
      <c r="I47" s="91">
        <f>VLOOKUP($A47,'Data Vlaue (Cr)'!$C:$FB,93)</f>
        <v>181</v>
      </c>
      <c r="J47" s="92">
        <f>VLOOKUP($A47,'Data Vlaue (Cr)'!$C:$FB,94)</f>
        <v>0.36730000000000002</v>
      </c>
      <c r="K47" s="91">
        <f>VLOOKUP($A47,'Data Vlaue (Cr)'!$C:$FB,95)</f>
        <v>555</v>
      </c>
      <c r="L47" s="91">
        <f>VLOOKUP($A47,'Data Vlaue (Cr)'!$C:$FB,97)</f>
        <v>66</v>
      </c>
      <c r="M47" s="92">
        <f>VLOOKUP($A47,'Data Vlaue (Cr)'!$C:$FB,98)</f>
        <v>0.13389999999999999</v>
      </c>
      <c r="N47" s="91">
        <f>VLOOKUP($A47,'Data Vlaue (Cr)'!$C:$FB,79)</f>
        <v>1305</v>
      </c>
      <c r="O47" s="92">
        <f>VLOOKUP($A47,'Data Vlaue (Cr)'!$C:$FB,82)</f>
        <v>10.422499999999999</v>
      </c>
    </row>
    <row r="48" spans="1:15" x14ac:dyDescent="0.25">
      <c r="A48" s="97" t="str">
        <f>'Data Vlaue (Cr)'!C43</f>
        <v>CGPOWER</v>
      </c>
      <c r="B48" s="142">
        <f>VLOOKUP(A48,'Data Vlaue (Cr)'!C43:CW255,99,0)</f>
        <v>1753</v>
      </c>
      <c r="C48" s="90">
        <f>VLOOKUP(A48,'Data Vlaue (Cr)'!C43:CY255,101,0)</f>
        <v>145</v>
      </c>
      <c r="D48" s="139">
        <f>VLOOKUP(A48,'Data Vlaue (Cr)'!C43:CZ255,102,0)</f>
        <v>9.01E-2</v>
      </c>
      <c r="E48" s="91">
        <f>VLOOKUP($A48,'Data Vlaue (Cr)'!$C:$FB,75)</f>
        <v>1107</v>
      </c>
      <c r="F48" s="91">
        <f>VLOOKUP($A48,'Data Vlaue (Cr)'!$C:$FB,77)</f>
        <v>47</v>
      </c>
      <c r="G48" s="92">
        <f>VLOOKUP(A48,'Data Vlaue (Cr)'!C43:CB255,78,0)</f>
        <v>4.4600000000000001E-2</v>
      </c>
      <c r="H48" s="91">
        <f>VLOOKUP($A48,'Data Vlaue (Cr)'!$C:$FB,91)</f>
        <v>330</v>
      </c>
      <c r="I48" s="91">
        <f>VLOOKUP($A48,'Data Vlaue (Cr)'!$C:$FB,93)</f>
        <v>5</v>
      </c>
      <c r="J48" s="92">
        <f>VLOOKUP($A48,'Data Vlaue (Cr)'!$C:$FB,94)</f>
        <v>1.54E-2</v>
      </c>
      <c r="K48" s="91">
        <f>VLOOKUP($A48,'Data Vlaue (Cr)'!$C:$FB,95)</f>
        <v>315</v>
      </c>
      <c r="L48" s="91">
        <f>VLOOKUP($A48,'Data Vlaue (Cr)'!$C:$FB,97)</f>
        <v>93</v>
      </c>
      <c r="M48" s="92">
        <f>VLOOKUP($A48,'Data Vlaue (Cr)'!$C:$FB,98)</f>
        <v>0.41589999999999999</v>
      </c>
      <c r="N48" s="91">
        <f>VLOOKUP($A48,'Data Vlaue (Cr)'!$C:$FB,79)</f>
        <v>1081</v>
      </c>
      <c r="O48" s="92">
        <f>VLOOKUP($A48,'Data Vlaue (Cr)'!$C:$FB,82)</f>
        <v>10.1203</v>
      </c>
    </row>
    <row r="49" spans="1:15" x14ac:dyDescent="0.25">
      <c r="A49" s="97" t="str">
        <f>'Data Vlaue (Cr)'!C44</f>
        <v>CHOLAFIN</v>
      </c>
      <c r="B49" s="142">
        <f>VLOOKUP(A49,'Data Vlaue (Cr)'!C44:CW256,99,0)</f>
        <v>2917</v>
      </c>
      <c r="C49" s="90">
        <f>VLOOKUP(A49,'Data Vlaue (Cr)'!C44:CY256,101,0)</f>
        <v>142</v>
      </c>
      <c r="D49" s="139">
        <f>VLOOKUP(A49,'Data Vlaue (Cr)'!C44:CZ256,102,0)</f>
        <v>5.0999999999999997E-2</v>
      </c>
      <c r="E49" s="91">
        <f>VLOOKUP($A49,'Data Vlaue (Cr)'!$C:$FB,75)</f>
        <v>2489</v>
      </c>
      <c r="F49" s="91">
        <f>VLOOKUP($A49,'Data Vlaue (Cr)'!$C:$FB,77)</f>
        <v>45</v>
      </c>
      <c r="G49" s="92">
        <f>VLOOKUP(A49,'Data Vlaue (Cr)'!C44:CB256,78,0)</f>
        <v>1.84E-2</v>
      </c>
      <c r="H49" s="91">
        <f>VLOOKUP($A49,'Data Vlaue (Cr)'!$C:$FB,91)</f>
        <v>209</v>
      </c>
      <c r="I49" s="91">
        <f>VLOOKUP($A49,'Data Vlaue (Cr)'!$C:$FB,93)</f>
        <v>52</v>
      </c>
      <c r="J49" s="92">
        <f>VLOOKUP($A49,'Data Vlaue (Cr)'!$C:$FB,94)</f>
        <v>0.33250000000000002</v>
      </c>
      <c r="K49" s="91">
        <f>VLOOKUP($A49,'Data Vlaue (Cr)'!$C:$FB,95)</f>
        <v>219</v>
      </c>
      <c r="L49" s="91">
        <f>VLOOKUP($A49,'Data Vlaue (Cr)'!$C:$FB,97)</f>
        <v>45</v>
      </c>
      <c r="M49" s="92">
        <f>VLOOKUP($A49,'Data Vlaue (Cr)'!$C:$FB,98)</f>
        <v>0.25530000000000003</v>
      </c>
      <c r="N49" s="91">
        <f>VLOOKUP($A49,'Data Vlaue (Cr)'!$C:$FB,79)</f>
        <v>2477</v>
      </c>
      <c r="O49" s="92">
        <f>VLOOKUP($A49,'Data Vlaue (Cr)'!$C:$FB,82)</f>
        <v>16.608599999999999</v>
      </c>
    </row>
    <row r="50" spans="1:15" x14ac:dyDescent="0.25">
      <c r="A50" s="97" t="str">
        <f>'Data Vlaue (Cr)'!C45</f>
        <v>CIPLA</v>
      </c>
      <c r="B50" s="142">
        <f>VLOOKUP(A50,'Data Vlaue (Cr)'!C45:CW257,99,0)</f>
        <v>2804</v>
      </c>
      <c r="C50" s="90">
        <f>VLOOKUP(A50,'Data Vlaue (Cr)'!C45:CY257,101,0)</f>
        <v>47</v>
      </c>
      <c r="D50" s="139">
        <f>VLOOKUP(A50,'Data Vlaue (Cr)'!C45:CZ257,102,0)</f>
        <v>1.7000000000000001E-2</v>
      </c>
      <c r="E50" s="91">
        <f>VLOOKUP($A50,'Data Vlaue (Cr)'!$C:$FB,75)</f>
        <v>1950</v>
      </c>
      <c r="F50" s="91">
        <f>VLOOKUP($A50,'Data Vlaue (Cr)'!$C:$FB,77)</f>
        <v>-60</v>
      </c>
      <c r="G50" s="92">
        <f>VLOOKUP(A50,'Data Vlaue (Cr)'!C45:CB257,78,0)</f>
        <v>-0.03</v>
      </c>
      <c r="H50" s="91">
        <f>VLOOKUP($A50,'Data Vlaue (Cr)'!$C:$FB,91)</f>
        <v>466</v>
      </c>
      <c r="I50" s="91">
        <f>VLOOKUP($A50,'Data Vlaue (Cr)'!$C:$FB,93)</f>
        <v>75</v>
      </c>
      <c r="J50" s="92">
        <f>VLOOKUP($A50,'Data Vlaue (Cr)'!$C:$FB,94)</f>
        <v>0.19109999999999999</v>
      </c>
      <c r="K50" s="91">
        <f>VLOOKUP($A50,'Data Vlaue (Cr)'!$C:$FB,95)</f>
        <v>388</v>
      </c>
      <c r="L50" s="91">
        <f>VLOOKUP($A50,'Data Vlaue (Cr)'!$C:$FB,97)</f>
        <v>32</v>
      </c>
      <c r="M50" s="92">
        <f>VLOOKUP($A50,'Data Vlaue (Cr)'!$C:$FB,98)</f>
        <v>9.06E-2</v>
      </c>
      <c r="N50" s="91">
        <f>VLOOKUP($A50,'Data Vlaue (Cr)'!$C:$FB,79)</f>
        <v>1905</v>
      </c>
      <c r="O50" s="92">
        <f>VLOOKUP($A50,'Data Vlaue (Cr)'!$C:$FB,82)</f>
        <v>6.6113</v>
      </c>
    </row>
    <row r="51" spans="1:15" x14ac:dyDescent="0.25">
      <c r="A51" s="97" t="str">
        <f>'Data Vlaue (Cr)'!C46</f>
        <v>COALINDIA</v>
      </c>
      <c r="B51" s="142">
        <f>VLOOKUP(A51,'Data Vlaue (Cr)'!C46:CW258,99,0)</f>
        <v>3163</v>
      </c>
      <c r="C51" s="90">
        <f>VLOOKUP(A51,'Data Vlaue (Cr)'!C46:CY258,101,0)</f>
        <v>370</v>
      </c>
      <c r="D51" s="139">
        <f>VLOOKUP(A51,'Data Vlaue (Cr)'!C46:CZ258,102,0)</f>
        <v>0.1326</v>
      </c>
      <c r="E51" s="91">
        <f>VLOOKUP($A51,'Data Vlaue (Cr)'!$C:$FB,75)</f>
        <v>1716</v>
      </c>
      <c r="F51" s="91">
        <f>VLOOKUP($A51,'Data Vlaue (Cr)'!$C:$FB,77)</f>
        <v>-3</v>
      </c>
      <c r="G51" s="92">
        <f>VLOOKUP(A51,'Data Vlaue (Cr)'!C46:CB258,78,0)</f>
        <v>-1.6999999999999999E-3</v>
      </c>
      <c r="H51" s="91">
        <f>VLOOKUP($A51,'Data Vlaue (Cr)'!$C:$FB,91)</f>
        <v>900</v>
      </c>
      <c r="I51" s="91">
        <f>VLOOKUP($A51,'Data Vlaue (Cr)'!$C:$FB,93)</f>
        <v>227</v>
      </c>
      <c r="J51" s="92">
        <f>VLOOKUP($A51,'Data Vlaue (Cr)'!$C:$FB,94)</f>
        <v>0.33700000000000002</v>
      </c>
      <c r="K51" s="91">
        <f>VLOOKUP($A51,'Data Vlaue (Cr)'!$C:$FB,95)</f>
        <v>547</v>
      </c>
      <c r="L51" s="91">
        <f>VLOOKUP($A51,'Data Vlaue (Cr)'!$C:$FB,97)</f>
        <v>146</v>
      </c>
      <c r="M51" s="92">
        <f>VLOOKUP($A51,'Data Vlaue (Cr)'!$C:$FB,98)</f>
        <v>0.36499999999999999</v>
      </c>
      <c r="N51" s="91">
        <f>VLOOKUP($A51,'Data Vlaue (Cr)'!$C:$FB,79)</f>
        <v>1663</v>
      </c>
      <c r="O51" s="92">
        <f>VLOOKUP($A51,'Data Vlaue (Cr)'!$C:$FB,82)</f>
        <v>1.6768000000000001</v>
      </c>
    </row>
    <row r="52" spans="1:15" x14ac:dyDescent="0.25">
      <c r="A52" s="97" t="str">
        <f>'Data Vlaue (Cr)'!C47</f>
        <v>COFORGE</v>
      </c>
      <c r="B52" s="142">
        <f>VLOOKUP(A52,'Data Vlaue (Cr)'!C47:CW259,99,0)</f>
        <v>2903</v>
      </c>
      <c r="C52" s="90">
        <f>VLOOKUP(A52,'Data Vlaue (Cr)'!C47:CY259,101,0)</f>
        <v>93</v>
      </c>
      <c r="D52" s="139">
        <f>VLOOKUP(A52,'Data Vlaue (Cr)'!C47:CZ259,102,0)</f>
        <v>3.3099999999999997E-2</v>
      </c>
      <c r="E52" s="91">
        <f>VLOOKUP($A52,'Data Vlaue (Cr)'!$C:$FB,75)</f>
        <v>2046</v>
      </c>
      <c r="F52" s="91">
        <f>VLOOKUP($A52,'Data Vlaue (Cr)'!$C:$FB,77)</f>
        <v>-37</v>
      </c>
      <c r="G52" s="92">
        <f>VLOOKUP(A52,'Data Vlaue (Cr)'!C47:CB259,78,0)</f>
        <v>-1.7600000000000001E-2</v>
      </c>
      <c r="H52" s="91">
        <f>VLOOKUP($A52,'Data Vlaue (Cr)'!$C:$FB,91)</f>
        <v>495</v>
      </c>
      <c r="I52" s="91">
        <f>VLOOKUP($A52,'Data Vlaue (Cr)'!$C:$FB,93)</f>
        <v>92</v>
      </c>
      <c r="J52" s="92">
        <f>VLOOKUP($A52,'Data Vlaue (Cr)'!$C:$FB,94)</f>
        <v>0.22750000000000001</v>
      </c>
      <c r="K52" s="91">
        <f>VLOOKUP($A52,'Data Vlaue (Cr)'!$C:$FB,95)</f>
        <v>363</v>
      </c>
      <c r="L52" s="91">
        <f>VLOOKUP($A52,'Data Vlaue (Cr)'!$C:$FB,97)</f>
        <v>38</v>
      </c>
      <c r="M52" s="92">
        <f>VLOOKUP($A52,'Data Vlaue (Cr)'!$C:$FB,98)</f>
        <v>0.1171</v>
      </c>
      <c r="N52" s="91">
        <f>VLOOKUP($A52,'Data Vlaue (Cr)'!$C:$FB,79)</f>
        <v>2018</v>
      </c>
      <c r="O52" s="92">
        <f>VLOOKUP($A52,'Data Vlaue (Cr)'!$C:$FB,82)</f>
        <v>10.3847</v>
      </c>
    </row>
    <row r="53" spans="1:15" x14ac:dyDescent="0.25">
      <c r="A53" s="97" t="str">
        <f>'Data Vlaue (Cr)'!C48</f>
        <v>COLPAL</v>
      </c>
      <c r="B53" s="142">
        <f>VLOOKUP(A53,'Data Vlaue (Cr)'!C48:CW260,99,0)</f>
        <v>1496</v>
      </c>
      <c r="C53" s="90">
        <f>VLOOKUP(A53,'Data Vlaue (Cr)'!C48:CY260,101,0)</f>
        <v>54</v>
      </c>
      <c r="D53" s="139">
        <f>VLOOKUP(A53,'Data Vlaue (Cr)'!C48:CZ260,102,0)</f>
        <v>3.7100000000000001E-2</v>
      </c>
      <c r="E53" s="91">
        <f>VLOOKUP($A53,'Data Vlaue (Cr)'!$C:$FB,75)</f>
        <v>1104</v>
      </c>
      <c r="F53" s="91">
        <f>VLOOKUP($A53,'Data Vlaue (Cr)'!$C:$FB,77)</f>
        <v>-5</v>
      </c>
      <c r="G53" s="92">
        <f>VLOOKUP(A53,'Data Vlaue (Cr)'!C48:CB260,78,0)</f>
        <v>-4.5999999999999999E-3</v>
      </c>
      <c r="H53" s="91">
        <f>VLOOKUP($A53,'Data Vlaue (Cr)'!$C:$FB,91)</f>
        <v>197</v>
      </c>
      <c r="I53" s="91">
        <f>VLOOKUP($A53,'Data Vlaue (Cr)'!$C:$FB,93)</f>
        <v>23</v>
      </c>
      <c r="J53" s="92">
        <f>VLOOKUP($A53,'Data Vlaue (Cr)'!$C:$FB,94)</f>
        <v>0.13350000000000001</v>
      </c>
      <c r="K53" s="91">
        <f>VLOOKUP($A53,'Data Vlaue (Cr)'!$C:$FB,95)</f>
        <v>195</v>
      </c>
      <c r="L53" s="91">
        <f>VLOOKUP($A53,'Data Vlaue (Cr)'!$C:$FB,97)</f>
        <v>35</v>
      </c>
      <c r="M53" s="92">
        <f>VLOOKUP($A53,'Data Vlaue (Cr)'!$C:$FB,98)</f>
        <v>0.2215</v>
      </c>
      <c r="N53" s="91">
        <f>VLOOKUP($A53,'Data Vlaue (Cr)'!$C:$FB,79)</f>
        <v>1078</v>
      </c>
      <c r="O53" s="92">
        <f>VLOOKUP($A53,'Data Vlaue (Cr)'!$C:$FB,82)</f>
        <v>3.8296000000000001</v>
      </c>
    </row>
    <row r="54" spans="1:15" x14ac:dyDescent="0.25">
      <c r="A54" s="97" t="str">
        <f>'Data Vlaue (Cr)'!C49</f>
        <v>CONCOR</v>
      </c>
      <c r="B54" s="142">
        <f>VLOOKUP(A54,'Data Vlaue (Cr)'!C49:CW261,99,0)</f>
        <v>2300</v>
      </c>
      <c r="C54" s="90">
        <f>VLOOKUP(A54,'Data Vlaue (Cr)'!C49:CY261,101,0)</f>
        <v>119</v>
      </c>
      <c r="D54" s="139">
        <f>VLOOKUP(A54,'Data Vlaue (Cr)'!C49:CZ261,102,0)</f>
        <v>5.4699999999999999E-2</v>
      </c>
      <c r="E54" s="91">
        <f>VLOOKUP($A54,'Data Vlaue (Cr)'!$C:$FB,75)</f>
        <v>1579</v>
      </c>
      <c r="F54" s="91">
        <f>VLOOKUP($A54,'Data Vlaue (Cr)'!$C:$FB,77)</f>
        <v>27</v>
      </c>
      <c r="G54" s="92">
        <f>VLOOKUP(A54,'Data Vlaue (Cr)'!C49:CB261,78,0)</f>
        <v>1.7100000000000001E-2</v>
      </c>
      <c r="H54" s="91">
        <f>VLOOKUP($A54,'Data Vlaue (Cr)'!$C:$FB,91)</f>
        <v>341</v>
      </c>
      <c r="I54" s="91">
        <f>VLOOKUP($A54,'Data Vlaue (Cr)'!$C:$FB,93)</f>
        <v>57</v>
      </c>
      <c r="J54" s="92">
        <f>VLOOKUP($A54,'Data Vlaue (Cr)'!$C:$FB,94)</f>
        <v>0.1986</v>
      </c>
      <c r="K54" s="91">
        <f>VLOOKUP($A54,'Data Vlaue (Cr)'!$C:$FB,95)</f>
        <v>380</v>
      </c>
      <c r="L54" s="91">
        <f>VLOOKUP($A54,'Data Vlaue (Cr)'!$C:$FB,97)</f>
        <v>36</v>
      </c>
      <c r="M54" s="92">
        <f>VLOOKUP($A54,'Data Vlaue (Cr)'!$C:$FB,98)</f>
        <v>0.10489999999999999</v>
      </c>
      <c r="N54" s="91">
        <f>VLOOKUP($A54,'Data Vlaue (Cr)'!$C:$FB,79)</f>
        <v>1536</v>
      </c>
      <c r="O54" s="92">
        <f>VLOOKUP($A54,'Data Vlaue (Cr)'!$C:$FB,82)</f>
        <v>16.356200000000001</v>
      </c>
    </row>
    <row r="55" spans="1:15" x14ac:dyDescent="0.25">
      <c r="A55" s="97" t="str">
        <f>'Data Vlaue (Cr)'!C50</f>
        <v>CROMPTON</v>
      </c>
      <c r="B55" s="142">
        <f>VLOOKUP(A55,'Data Vlaue (Cr)'!C50:CW262,99,0)</f>
        <v>1523</v>
      </c>
      <c r="C55" s="90">
        <f>VLOOKUP(A55,'Data Vlaue (Cr)'!C50:CY262,101,0)</f>
        <v>64</v>
      </c>
      <c r="D55" s="139">
        <f>VLOOKUP(A55,'Data Vlaue (Cr)'!C50:CZ262,102,0)</f>
        <v>4.36E-2</v>
      </c>
      <c r="E55" s="91">
        <f>VLOOKUP($A55,'Data Vlaue (Cr)'!$C:$FB,75)</f>
        <v>1189</v>
      </c>
      <c r="F55" s="91">
        <f>VLOOKUP($A55,'Data Vlaue (Cr)'!$C:$FB,77)</f>
        <v>2</v>
      </c>
      <c r="G55" s="92">
        <f>VLOOKUP(A55,'Data Vlaue (Cr)'!C50:CB262,78,0)</f>
        <v>1.8E-3</v>
      </c>
      <c r="H55" s="91">
        <f>VLOOKUP($A55,'Data Vlaue (Cr)'!$C:$FB,91)</f>
        <v>205</v>
      </c>
      <c r="I55" s="91">
        <f>VLOOKUP($A55,'Data Vlaue (Cr)'!$C:$FB,93)</f>
        <v>43</v>
      </c>
      <c r="J55" s="92">
        <f>VLOOKUP($A55,'Data Vlaue (Cr)'!$C:$FB,94)</f>
        <v>0.26700000000000002</v>
      </c>
      <c r="K55" s="91">
        <f>VLOOKUP($A55,'Data Vlaue (Cr)'!$C:$FB,95)</f>
        <v>129</v>
      </c>
      <c r="L55" s="91">
        <f>VLOOKUP($A55,'Data Vlaue (Cr)'!$C:$FB,97)</f>
        <v>18</v>
      </c>
      <c r="M55" s="92">
        <f>VLOOKUP($A55,'Data Vlaue (Cr)'!$C:$FB,98)</f>
        <v>0.1643</v>
      </c>
      <c r="N55" s="91">
        <f>VLOOKUP($A55,'Data Vlaue (Cr)'!$C:$FB,79)</f>
        <v>1155</v>
      </c>
      <c r="O55" s="92">
        <f>VLOOKUP($A55,'Data Vlaue (Cr)'!$C:$FB,82)</f>
        <v>18.4084</v>
      </c>
    </row>
    <row r="56" spans="1:15" x14ac:dyDescent="0.25">
      <c r="A56" s="97" t="str">
        <f>'Data Vlaue (Cr)'!C51</f>
        <v>CUMMINSIND</v>
      </c>
      <c r="B56" s="142">
        <f>VLOOKUP(A56,'Data Vlaue (Cr)'!C51:CW263,99,0)</f>
        <v>1639</v>
      </c>
      <c r="C56" s="90">
        <f>VLOOKUP(A56,'Data Vlaue (Cr)'!C51:CY263,101,0)</f>
        <v>68</v>
      </c>
      <c r="D56" s="139">
        <f>VLOOKUP(A56,'Data Vlaue (Cr)'!C51:CZ263,102,0)</f>
        <v>4.3099999999999999E-2</v>
      </c>
      <c r="E56" s="91">
        <f>VLOOKUP($A56,'Data Vlaue (Cr)'!$C:$FB,75)</f>
        <v>1409</v>
      </c>
      <c r="F56" s="91">
        <f>VLOOKUP($A56,'Data Vlaue (Cr)'!$C:$FB,77)</f>
        <v>16</v>
      </c>
      <c r="G56" s="92">
        <f>VLOOKUP(A56,'Data Vlaue (Cr)'!C51:CB263,78,0)</f>
        <v>1.12E-2</v>
      </c>
      <c r="H56" s="91">
        <f>VLOOKUP($A56,'Data Vlaue (Cr)'!$C:$FB,91)</f>
        <v>112</v>
      </c>
      <c r="I56" s="91">
        <f>VLOOKUP($A56,'Data Vlaue (Cr)'!$C:$FB,93)</f>
        <v>32</v>
      </c>
      <c r="J56" s="92">
        <f>VLOOKUP($A56,'Data Vlaue (Cr)'!$C:$FB,94)</f>
        <v>0.39219999999999999</v>
      </c>
      <c r="K56" s="91">
        <f>VLOOKUP($A56,'Data Vlaue (Cr)'!$C:$FB,95)</f>
        <v>118</v>
      </c>
      <c r="L56" s="91">
        <f>VLOOKUP($A56,'Data Vlaue (Cr)'!$C:$FB,97)</f>
        <v>20</v>
      </c>
      <c r="M56" s="92">
        <f>VLOOKUP($A56,'Data Vlaue (Cr)'!$C:$FB,98)</f>
        <v>0.21060000000000001</v>
      </c>
      <c r="N56" s="91">
        <f>VLOOKUP($A56,'Data Vlaue (Cr)'!$C:$FB,79)</f>
        <v>1396</v>
      </c>
      <c r="O56" s="92">
        <f>VLOOKUP($A56,'Data Vlaue (Cr)'!$C:$FB,82)</f>
        <v>22.078600000000002</v>
      </c>
    </row>
    <row r="57" spans="1:15" x14ac:dyDescent="0.25">
      <c r="A57" s="97" t="str">
        <f>'Data Vlaue (Cr)'!C52</f>
        <v>DABUR</v>
      </c>
      <c r="B57" s="142">
        <f>VLOOKUP(A57,'Data Vlaue (Cr)'!C52:CW264,99,0)</f>
        <v>1658</v>
      </c>
      <c r="C57" s="90">
        <f>VLOOKUP(A57,'Data Vlaue (Cr)'!C52:CY264,101,0)</f>
        <v>180</v>
      </c>
      <c r="D57" s="139">
        <f>VLOOKUP(A57,'Data Vlaue (Cr)'!C52:CZ264,102,0)</f>
        <v>0.12180000000000001</v>
      </c>
      <c r="E57" s="91">
        <f>VLOOKUP($A57,'Data Vlaue (Cr)'!$C:$FB,75)</f>
        <v>1220</v>
      </c>
      <c r="F57" s="91">
        <f>VLOOKUP($A57,'Data Vlaue (Cr)'!$C:$FB,77)</f>
        <v>52</v>
      </c>
      <c r="G57" s="92">
        <f>VLOOKUP(A57,'Data Vlaue (Cr)'!C52:CB264,78,0)</f>
        <v>4.4699999999999997E-2</v>
      </c>
      <c r="H57" s="91">
        <f>VLOOKUP($A57,'Data Vlaue (Cr)'!$C:$FB,91)</f>
        <v>265</v>
      </c>
      <c r="I57" s="91">
        <f>VLOOKUP($A57,'Data Vlaue (Cr)'!$C:$FB,93)</f>
        <v>89</v>
      </c>
      <c r="J57" s="92">
        <f>VLOOKUP($A57,'Data Vlaue (Cr)'!$C:$FB,94)</f>
        <v>0.50460000000000005</v>
      </c>
      <c r="K57" s="91">
        <f>VLOOKUP($A57,'Data Vlaue (Cr)'!$C:$FB,95)</f>
        <v>173</v>
      </c>
      <c r="L57" s="91">
        <f>VLOOKUP($A57,'Data Vlaue (Cr)'!$C:$FB,97)</f>
        <v>39</v>
      </c>
      <c r="M57" s="92">
        <f>VLOOKUP($A57,'Data Vlaue (Cr)'!$C:$FB,98)</f>
        <v>0.29120000000000001</v>
      </c>
      <c r="N57" s="91">
        <f>VLOOKUP($A57,'Data Vlaue (Cr)'!$C:$FB,79)</f>
        <v>1208</v>
      </c>
      <c r="O57" s="92">
        <f>VLOOKUP($A57,'Data Vlaue (Cr)'!$C:$FB,82)</f>
        <v>34.094000000000001</v>
      </c>
    </row>
    <row r="58" spans="1:15" x14ac:dyDescent="0.25">
      <c r="A58" s="97" t="str">
        <f>'Data Vlaue (Cr)'!C53</f>
        <v>DALBHARAT</v>
      </c>
      <c r="B58" s="142">
        <f>VLOOKUP(A58,'Data Vlaue (Cr)'!C53:CW265,99,0)</f>
        <v>778</v>
      </c>
      <c r="C58" s="90">
        <f>VLOOKUP(A58,'Data Vlaue (Cr)'!C53:CY265,101,0)</f>
        <v>33</v>
      </c>
      <c r="D58" s="139">
        <f>VLOOKUP(A58,'Data Vlaue (Cr)'!C53:CZ265,102,0)</f>
        <v>4.41E-2</v>
      </c>
      <c r="E58" s="91">
        <f>VLOOKUP($A58,'Data Vlaue (Cr)'!$C:$FB,75)</f>
        <v>580</v>
      </c>
      <c r="F58" s="91">
        <f>VLOOKUP($A58,'Data Vlaue (Cr)'!$C:$FB,77)</f>
        <v>0</v>
      </c>
      <c r="G58" s="92">
        <f>VLOOKUP(A58,'Data Vlaue (Cr)'!C53:CB265,78,0)</f>
        <v>-5.0000000000000001E-4</v>
      </c>
      <c r="H58" s="91">
        <f>VLOOKUP($A58,'Data Vlaue (Cr)'!$C:$FB,91)</f>
        <v>116</v>
      </c>
      <c r="I58" s="91">
        <f>VLOOKUP($A58,'Data Vlaue (Cr)'!$C:$FB,93)</f>
        <v>21</v>
      </c>
      <c r="J58" s="92">
        <f>VLOOKUP($A58,'Data Vlaue (Cr)'!$C:$FB,94)</f>
        <v>0.22359999999999999</v>
      </c>
      <c r="K58" s="91">
        <f>VLOOKUP($A58,'Data Vlaue (Cr)'!$C:$FB,95)</f>
        <v>82</v>
      </c>
      <c r="L58" s="91">
        <f>VLOOKUP($A58,'Data Vlaue (Cr)'!$C:$FB,97)</f>
        <v>12</v>
      </c>
      <c r="M58" s="92">
        <f>VLOOKUP($A58,'Data Vlaue (Cr)'!$C:$FB,98)</f>
        <v>0.1696</v>
      </c>
      <c r="N58" s="91">
        <f>VLOOKUP($A58,'Data Vlaue (Cr)'!$C:$FB,79)</f>
        <v>574</v>
      </c>
      <c r="O58" s="92">
        <f>VLOOKUP($A58,'Data Vlaue (Cr)'!$C:$FB,82)</f>
        <v>9.5404999999999998</v>
      </c>
    </row>
    <row r="59" spans="1:15" x14ac:dyDescent="0.25">
      <c r="A59" s="97" t="str">
        <f>'Data Vlaue (Cr)'!C54</f>
        <v>DELHIVERY</v>
      </c>
      <c r="B59" s="142">
        <f>VLOOKUP(A59,'Data Vlaue (Cr)'!C54:CW266,99,0)</f>
        <v>1336</v>
      </c>
      <c r="C59" s="90">
        <f>VLOOKUP(A59,'Data Vlaue (Cr)'!C54:CY266,101,0)</f>
        <v>151</v>
      </c>
      <c r="D59" s="139">
        <f>VLOOKUP(A59,'Data Vlaue (Cr)'!C54:CZ266,102,0)</f>
        <v>0.1278</v>
      </c>
      <c r="E59" s="91">
        <f>VLOOKUP($A59,'Data Vlaue (Cr)'!$C:$FB,75)</f>
        <v>1038</v>
      </c>
      <c r="F59" s="91">
        <f>VLOOKUP($A59,'Data Vlaue (Cr)'!$C:$FB,77)</f>
        <v>62</v>
      </c>
      <c r="G59" s="92">
        <f>VLOOKUP(A59,'Data Vlaue (Cr)'!C54:CB266,78,0)</f>
        <v>6.3100000000000003E-2</v>
      </c>
      <c r="H59" s="91">
        <f>VLOOKUP($A59,'Data Vlaue (Cr)'!$C:$FB,91)</f>
        <v>158</v>
      </c>
      <c r="I59" s="91">
        <f>VLOOKUP($A59,'Data Vlaue (Cr)'!$C:$FB,93)</f>
        <v>65</v>
      </c>
      <c r="J59" s="92">
        <f>VLOOKUP($A59,'Data Vlaue (Cr)'!$C:$FB,94)</f>
        <v>0.69340000000000002</v>
      </c>
      <c r="K59" s="91">
        <f>VLOOKUP($A59,'Data Vlaue (Cr)'!$C:$FB,95)</f>
        <v>140</v>
      </c>
      <c r="L59" s="91">
        <f>VLOOKUP($A59,'Data Vlaue (Cr)'!$C:$FB,97)</f>
        <v>25</v>
      </c>
      <c r="M59" s="92">
        <f>VLOOKUP($A59,'Data Vlaue (Cr)'!$C:$FB,98)</f>
        <v>0.21779999999999999</v>
      </c>
      <c r="N59" s="91">
        <f>VLOOKUP($A59,'Data Vlaue (Cr)'!$C:$FB,79)</f>
        <v>1026</v>
      </c>
      <c r="O59" s="92">
        <f>VLOOKUP($A59,'Data Vlaue (Cr)'!$C:$FB,82)</f>
        <v>35.419899999999998</v>
      </c>
    </row>
    <row r="60" spans="1:15" x14ac:dyDescent="0.25">
      <c r="A60" s="97" t="str">
        <f>'Data Vlaue (Cr)'!C55</f>
        <v>DIVISLAB</v>
      </c>
      <c r="B60" s="142">
        <f>VLOOKUP(A60,'Data Vlaue (Cr)'!C55:CW267,99,0)</f>
        <v>2528</v>
      </c>
      <c r="C60" s="90">
        <f>VLOOKUP(A60,'Data Vlaue (Cr)'!C55:CY267,101,0)</f>
        <v>160</v>
      </c>
      <c r="D60" s="139">
        <f>VLOOKUP(A60,'Data Vlaue (Cr)'!C55:CZ267,102,0)</f>
        <v>6.7699999999999996E-2</v>
      </c>
      <c r="E60" s="91">
        <f>VLOOKUP($A60,'Data Vlaue (Cr)'!$C:$FB,75)</f>
        <v>2076</v>
      </c>
      <c r="F60" s="91">
        <f>VLOOKUP($A60,'Data Vlaue (Cr)'!$C:$FB,77)</f>
        <v>-3</v>
      </c>
      <c r="G60" s="92">
        <f>VLOOKUP(A60,'Data Vlaue (Cr)'!C55:CB267,78,0)</f>
        <v>-1.6000000000000001E-3</v>
      </c>
      <c r="H60" s="91">
        <f>VLOOKUP($A60,'Data Vlaue (Cr)'!$C:$FB,91)</f>
        <v>277</v>
      </c>
      <c r="I60" s="91">
        <f>VLOOKUP($A60,'Data Vlaue (Cr)'!$C:$FB,93)</f>
        <v>123</v>
      </c>
      <c r="J60" s="92">
        <f>VLOOKUP($A60,'Data Vlaue (Cr)'!$C:$FB,94)</f>
        <v>0.79479999999999995</v>
      </c>
      <c r="K60" s="91">
        <f>VLOOKUP($A60,'Data Vlaue (Cr)'!$C:$FB,95)</f>
        <v>175</v>
      </c>
      <c r="L60" s="91">
        <f>VLOOKUP($A60,'Data Vlaue (Cr)'!$C:$FB,97)</f>
        <v>41</v>
      </c>
      <c r="M60" s="92">
        <f>VLOOKUP($A60,'Data Vlaue (Cr)'!$C:$FB,98)</f>
        <v>0.30640000000000001</v>
      </c>
      <c r="N60" s="91">
        <f>VLOOKUP($A60,'Data Vlaue (Cr)'!$C:$FB,79)</f>
        <v>2064</v>
      </c>
      <c r="O60" s="92">
        <f>VLOOKUP($A60,'Data Vlaue (Cr)'!$C:$FB,82)</f>
        <v>9.3056000000000001</v>
      </c>
    </row>
    <row r="61" spans="1:15" x14ac:dyDescent="0.25">
      <c r="A61" s="97" t="str">
        <f>'Data Vlaue (Cr)'!C56</f>
        <v>DIXON</v>
      </c>
      <c r="B61" s="142">
        <f>VLOOKUP(A61,'Data Vlaue (Cr)'!C56:CW268,99,0)</f>
        <v>4958</v>
      </c>
      <c r="C61" s="90">
        <f>VLOOKUP(A61,'Data Vlaue (Cr)'!C56:CY268,101,0)</f>
        <v>392</v>
      </c>
      <c r="D61" s="139">
        <f>VLOOKUP(A61,'Data Vlaue (Cr)'!C56:CZ268,102,0)</f>
        <v>8.5900000000000004E-2</v>
      </c>
      <c r="E61" s="91">
        <f>VLOOKUP($A61,'Data Vlaue (Cr)'!$C:$FB,75)</f>
        <v>3166</v>
      </c>
      <c r="F61" s="91">
        <f>VLOOKUP($A61,'Data Vlaue (Cr)'!$C:$FB,77)</f>
        <v>93</v>
      </c>
      <c r="G61" s="92">
        <f>VLOOKUP(A61,'Data Vlaue (Cr)'!C56:CB268,78,0)</f>
        <v>3.04E-2</v>
      </c>
      <c r="H61" s="91">
        <f>VLOOKUP($A61,'Data Vlaue (Cr)'!$C:$FB,91)</f>
        <v>953</v>
      </c>
      <c r="I61" s="91">
        <f>VLOOKUP($A61,'Data Vlaue (Cr)'!$C:$FB,93)</f>
        <v>177</v>
      </c>
      <c r="J61" s="92">
        <f>VLOOKUP($A61,'Data Vlaue (Cr)'!$C:$FB,94)</f>
        <v>0.22800000000000001</v>
      </c>
      <c r="K61" s="91">
        <f>VLOOKUP($A61,'Data Vlaue (Cr)'!$C:$FB,95)</f>
        <v>838</v>
      </c>
      <c r="L61" s="91">
        <f>VLOOKUP($A61,'Data Vlaue (Cr)'!$C:$FB,97)</f>
        <v>122</v>
      </c>
      <c r="M61" s="92">
        <f>VLOOKUP($A61,'Data Vlaue (Cr)'!$C:$FB,98)</f>
        <v>0.17030000000000001</v>
      </c>
      <c r="N61" s="91">
        <f>VLOOKUP($A61,'Data Vlaue (Cr)'!$C:$FB,79)</f>
        <v>3040</v>
      </c>
      <c r="O61" s="92">
        <f>VLOOKUP($A61,'Data Vlaue (Cr)'!$C:$FB,82)</f>
        <v>3.5781999999999998</v>
      </c>
    </row>
    <row r="62" spans="1:15" x14ac:dyDescent="0.25">
      <c r="A62" s="97" t="str">
        <f>'Data Vlaue (Cr)'!C57</f>
        <v>DLF</v>
      </c>
      <c r="B62" s="142">
        <f>VLOOKUP(A62,'Data Vlaue (Cr)'!C57:CW269,99,0)</f>
        <v>4880</v>
      </c>
      <c r="C62" s="90">
        <f>VLOOKUP(A62,'Data Vlaue (Cr)'!C57:CY269,101,0)</f>
        <v>77</v>
      </c>
      <c r="D62" s="139">
        <f>VLOOKUP(A62,'Data Vlaue (Cr)'!C57:CZ269,102,0)</f>
        <v>1.5900000000000001E-2</v>
      </c>
      <c r="E62" s="91">
        <f>VLOOKUP($A62,'Data Vlaue (Cr)'!$C:$FB,75)</f>
        <v>3583</v>
      </c>
      <c r="F62" s="91">
        <f>VLOOKUP($A62,'Data Vlaue (Cr)'!$C:$FB,77)</f>
        <v>-57</v>
      </c>
      <c r="G62" s="92">
        <f>VLOOKUP(A62,'Data Vlaue (Cr)'!C57:CB269,78,0)</f>
        <v>-1.5800000000000002E-2</v>
      </c>
      <c r="H62" s="91">
        <f>VLOOKUP($A62,'Data Vlaue (Cr)'!$C:$FB,91)</f>
        <v>722</v>
      </c>
      <c r="I62" s="91">
        <f>VLOOKUP($A62,'Data Vlaue (Cr)'!$C:$FB,93)</f>
        <v>75</v>
      </c>
      <c r="J62" s="92">
        <f>VLOOKUP($A62,'Data Vlaue (Cr)'!$C:$FB,94)</f>
        <v>0.1168</v>
      </c>
      <c r="K62" s="91">
        <f>VLOOKUP($A62,'Data Vlaue (Cr)'!$C:$FB,95)</f>
        <v>576</v>
      </c>
      <c r="L62" s="91">
        <f>VLOOKUP($A62,'Data Vlaue (Cr)'!$C:$FB,97)</f>
        <v>59</v>
      </c>
      <c r="M62" s="92">
        <f>VLOOKUP($A62,'Data Vlaue (Cr)'!$C:$FB,98)</f>
        <v>0.1132</v>
      </c>
      <c r="N62" s="91">
        <f>VLOOKUP($A62,'Data Vlaue (Cr)'!$C:$FB,79)</f>
        <v>3520</v>
      </c>
      <c r="O62" s="92">
        <f>VLOOKUP($A62,'Data Vlaue (Cr)'!$C:$FB,82)</f>
        <v>20.0456</v>
      </c>
    </row>
    <row r="63" spans="1:15" x14ac:dyDescent="0.25">
      <c r="A63" s="97" t="str">
        <f>'Data Vlaue (Cr)'!C58</f>
        <v>DMART</v>
      </c>
      <c r="B63" s="142">
        <f>VLOOKUP(A63,'Data Vlaue (Cr)'!C58:CW270,99,0)</f>
        <v>2619</v>
      </c>
      <c r="C63" s="90">
        <f>VLOOKUP(A63,'Data Vlaue (Cr)'!C58:CY270,101,0)</f>
        <v>281</v>
      </c>
      <c r="D63" s="139">
        <f>VLOOKUP(A63,'Data Vlaue (Cr)'!C58:CZ270,102,0)</f>
        <v>0.1202</v>
      </c>
      <c r="E63" s="91">
        <f>VLOOKUP($A63,'Data Vlaue (Cr)'!$C:$FB,75)</f>
        <v>1883</v>
      </c>
      <c r="F63" s="91">
        <f>VLOOKUP($A63,'Data Vlaue (Cr)'!$C:$FB,77)</f>
        <v>46</v>
      </c>
      <c r="G63" s="92">
        <f>VLOOKUP(A63,'Data Vlaue (Cr)'!C58:CB270,78,0)</f>
        <v>2.52E-2</v>
      </c>
      <c r="H63" s="91">
        <f>VLOOKUP($A63,'Data Vlaue (Cr)'!$C:$FB,91)</f>
        <v>469</v>
      </c>
      <c r="I63" s="91">
        <f>VLOOKUP($A63,'Data Vlaue (Cr)'!$C:$FB,93)</f>
        <v>205</v>
      </c>
      <c r="J63" s="92">
        <f>VLOOKUP($A63,'Data Vlaue (Cr)'!$C:$FB,94)</f>
        <v>0.77880000000000005</v>
      </c>
      <c r="K63" s="91">
        <f>VLOOKUP($A63,'Data Vlaue (Cr)'!$C:$FB,95)</f>
        <v>267</v>
      </c>
      <c r="L63" s="91">
        <f>VLOOKUP($A63,'Data Vlaue (Cr)'!$C:$FB,97)</f>
        <v>29</v>
      </c>
      <c r="M63" s="92">
        <f>VLOOKUP($A63,'Data Vlaue (Cr)'!$C:$FB,98)</f>
        <v>0.1235</v>
      </c>
      <c r="N63" s="91">
        <f>VLOOKUP($A63,'Data Vlaue (Cr)'!$C:$FB,79)</f>
        <v>1851</v>
      </c>
      <c r="O63" s="92">
        <f>VLOOKUP($A63,'Data Vlaue (Cr)'!$C:$FB,82)</f>
        <v>19.804300000000001</v>
      </c>
    </row>
    <row r="64" spans="1:15" x14ac:dyDescent="0.25">
      <c r="A64" s="97" t="str">
        <f>'Data Vlaue (Cr)'!C59</f>
        <v>DRREDDY</v>
      </c>
      <c r="B64" s="142">
        <f>VLOOKUP(A64,'Data Vlaue (Cr)'!C59:CW271,99,0)</f>
        <v>2401</v>
      </c>
      <c r="C64" s="90">
        <f>VLOOKUP(A64,'Data Vlaue (Cr)'!C59:CY271,101,0)</f>
        <v>136</v>
      </c>
      <c r="D64" s="139">
        <f>VLOOKUP(A64,'Data Vlaue (Cr)'!C59:CZ271,102,0)</f>
        <v>6.0199999999999997E-2</v>
      </c>
      <c r="E64" s="91">
        <f>VLOOKUP($A64,'Data Vlaue (Cr)'!$C:$FB,75)</f>
        <v>1824</v>
      </c>
      <c r="F64" s="91">
        <f>VLOOKUP($A64,'Data Vlaue (Cr)'!$C:$FB,77)</f>
        <v>31</v>
      </c>
      <c r="G64" s="92">
        <f>VLOOKUP(A64,'Data Vlaue (Cr)'!C59:CB271,78,0)</f>
        <v>1.7399999999999999E-2</v>
      </c>
      <c r="H64" s="91">
        <f>VLOOKUP($A64,'Data Vlaue (Cr)'!$C:$FB,91)</f>
        <v>306</v>
      </c>
      <c r="I64" s="91">
        <f>VLOOKUP($A64,'Data Vlaue (Cr)'!$C:$FB,93)</f>
        <v>57</v>
      </c>
      <c r="J64" s="92">
        <f>VLOOKUP($A64,'Data Vlaue (Cr)'!$C:$FB,94)</f>
        <v>0.2301</v>
      </c>
      <c r="K64" s="91">
        <f>VLOOKUP($A64,'Data Vlaue (Cr)'!$C:$FB,95)</f>
        <v>272</v>
      </c>
      <c r="L64" s="91">
        <f>VLOOKUP($A64,'Data Vlaue (Cr)'!$C:$FB,97)</f>
        <v>48</v>
      </c>
      <c r="M64" s="92">
        <f>VLOOKUP($A64,'Data Vlaue (Cr)'!$C:$FB,98)</f>
        <v>0.21460000000000001</v>
      </c>
      <c r="N64" s="91">
        <f>VLOOKUP($A64,'Data Vlaue (Cr)'!$C:$FB,79)</f>
        <v>1800</v>
      </c>
      <c r="O64" s="92">
        <f>VLOOKUP($A64,'Data Vlaue (Cr)'!$C:$FB,82)</f>
        <v>10.2034</v>
      </c>
    </row>
    <row r="65" spans="1:15" x14ac:dyDescent="0.25">
      <c r="A65" s="97" t="str">
        <f>'Data Vlaue (Cr)'!C60</f>
        <v>EICHERMOT</v>
      </c>
      <c r="B65" s="142">
        <f>VLOOKUP(A65,'Data Vlaue (Cr)'!C60:CW272,99,0)</f>
        <v>3222</v>
      </c>
      <c r="C65" s="90">
        <f>VLOOKUP(A65,'Data Vlaue (Cr)'!C60:CY272,101,0)</f>
        <v>327</v>
      </c>
      <c r="D65" s="139">
        <f>VLOOKUP(A65,'Data Vlaue (Cr)'!C60:CZ272,102,0)</f>
        <v>0.1128</v>
      </c>
      <c r="E65" s="91">
        <f>VLOOKUP($A65,'Data Vlaue (Cr)'!$C:$FB,75)</f>
        <v>2180</v>
      </c>
      <c r="F65" s="91">
        <f>VLOOKUP($A65,'Data Vlaue (Cr)'!$C:$FB,77)</f>
        <v>115</v>
      </c>
      <c r="G65" s="92">
        <f>VLOOKUP(A65,'Data Vlaue (Cr)'!C60:CB272,78,0)</f>
        <v>5.5899999999999998E-2</v>
      </c>
      <c r="H65" s="91">
        <f>VLOOKUP($A65,'Data Vlaue (Cr)'!$C:$FB,91)</f>
        <v>514</v>
      </c>
      <c r="I65" s="91">
        <f>VLOOKUP($A65,'Data Vlaue (Cr)'!$C:$FB,93)</f>
        <v>105</v>
      </c>
      <c r="J65" s="92">
        <f>VLOOKUP($A65,'Data Vlaue (Cr)'!$C:$FB,94)</f>
        <v>0.25840000000000002</v>
      </c>
      <c r="K65" s="91">
        <f>VLOOKUP($A65,'Data Vlaue (Cr)'!$C:$FB,95)</f>
        <v>528</v>
      </c>
      <c r="L65" s="91">
        <f>VLOOKUP($A65,'Data Vlaue (Cr)'!$C:$FB,97)</f>
        <v>106</v>
      </c>
      <c r="M65" s="92">
        <f>VLOOKUP($A65,'Data Vlaue (Cr)'!$C:$FB,98)</f>
        <v>0.24990000000000001</v>
      </c>
      <c r="N65" s="91">
        <f>VLOOKUP($A65,'Data Vlaue (Cr)'!$C:$FB,79)</f>
        <v>2127</v>
      </c>
      <c r="O65" s="92">
        <f>VLOOKUP($A65,'Data Vlaue (Cr)'!$C:$FB,82)</f>
        <v>7.9877000000000002</v>
      </c>
    </row>
    <row r="66" spans="1:15" x14ac:dyDescent="0.25">
      <c r="A66" s="97" t="str">
        <f>'Data Vlaue (Cr)'!C61</f>
        <v>ETERNAL</v>
      </c>
      <c r="B66" s="142">
        <f>VLOOKUP(A66,'Data Vlaue (Cr)'!C61:CW273,99,0)</f>
        <v>11510</v>
      </c>
      <c r="C66" s="90">
        <f>VLOOKUP(A66,'Data Vlaue (Cr)'!C61:CY273,101,0)</f>
        <v>-78</v>
      </c>
      <c r="D66" s="139">
        <f>VLOOKUP(A66,'Data Vlaue (Cr)'!C61:CZ273,102,0)</f>
        <v>-6.7000000000000002E-3</v>
      </c>
      <c r="E66" s="91">
        <f>VLOOKUP($A66,'Data Vlaue (Cr)'!$C:$FB,75)</f>
        <v>8912</v>
      </c>
      <c r="F66" s="91">
        <f>VLOOKUP($A66,'Data Vlaue (Cr)'!$C:$FB,77)</f>
        <v>-302</v>
      </c>
      <c r="G66" s="92">
        <f>VLOOKUP(A66,'Data Vlaue (Cr)'!C61:CB273,78,0)</f>
        <v>-3.2800000000000003E-2</v>
      </c>
      <c r="H66" s="91">
        <f>VLOOKUP($A66,'Data Vlaue (Cr)'!$C:$FB,91)</f>
        <v>1521</v>
      </c>
      <c r="I66" s="91">
        <f>VLOOKUP($A66,'Data Vlaue (Cr)'!$C:$FB,93)</f>
        <v>114</v>
      </c>
      <c r="J66" s="92">
        <f>VLOOKUP($A66,'Data Vlaue (Cr)'!$C:$FB,94)</f>
        <v>8.1199999999999994E-2</v>
      </c>
      <c r="K66" s="91">
        <f>VLOOKUP($A66,'Data Vlaue (Cr)'!$C:$FB,95)</f>
        <v>1077</v>
      </c>
      <c r="L66" s="91">
        <f>VLOOKUP($A66,'Data Vlaue (Cr)'!$C:$FB,97)</f>
        <v>110</v>
      </c>
      <c r="M66" s="92">
        <f>VLOOKUP($A66,'Data Vlaue (Cr)'!$C:$FB,98)</f>
        <v>0.1137</v>
      </c>
      <c r="N66" s="91">
        <f>VLOOKUP($A66,'Data Vlaue (Cr)'!$C:$FB,79)</f>
        <v>8662</v>
      </c>
      <c r="O66" s="92">
        <f>VLOOKUP($A66,'Data Vlaue (Cr)'!$C:$FB,82)</f>
        <v>49.588000000000001</v>
      </c>
    </row>
    <row r="67" spans="1:15" x14ac:dyDescent="0.25">
      <c r="A67" s="97" t="str">
        <f>'Data Vlaue (Cr)'!C62</f>
        <v>EXIDEIND</v>
      </c>
      <c r="B67" s="142">
        <f>VLOOKUP(A67,'Data Vlaue (Cr)'!C62:CW274,99,0)</f>
        <v>1527</v>
      </c>
      <c r="C67" s="90">
        <f>VLOOKUP(A67,'Data Vlaue (Cr)'!C62:CY274,101,0)</f>
        <v>153</v>
      </c>
      <c r="D67" s="139">
        <f>VLOOKUP(A67,'Data Vlaue (Cr)'!C62:CZ274,102,0)</f>
        <v>0.1114</v>
      </c>
      <c r="E67" s="91">
        <f>VLOOKUP($A67,'Data Vlaue (Cr)'!$C:$FB,75)</f>
        <v>1033</v>
      </c>
      <c r="F67" s="91">
        <f>VLOOKUP($A67,'Data Vlaue (Cr)'!$C:$FB,77)</f>
        <v>29</v>
      </c>
      <c r="G67" s="92">
        <f>VLOOKUP(A67,'Data Vlaue (Cr)'!C62:CB274,78,0)</f>
        <v>2.8500000000000001E-2</v>
      </c>
      <c r="H67" s="91">
        <f>VLOOKUP($A67,'Data Vlaue (Cr)'!$C:$FB,91)</f>
        <v>239</v>
      </c>
      <c r="I67" s="91">
        <f>VLOOKUP($A67,'Data Vlaue (Cr)'!$C:$FB,93)</f>
        <v>74</v>
      </c>
      <c r="J67" s="92">
        <f>VLOOKUP($A67,'Data Vlaue (Cr)'!$C:$FB,94)</f>
        <v>0.4511</v>
      </c>
      <c r="K67" s="91">
        <f>VLOOKUP($A67,'Data Vlaue (Cr)'!$C:$FB,95)</f>
        <v>254</v>
      </c>
      <c r="L67" s="91">
        <f>VLOOKUP($A67,'Data Vlaue (Cr)'!$C:$FB,97)</f>
        <v>50</v>
      </c>
      <c r="M67" s="92">
        <f>VLOOKUP($A67,'Data Vlaue (Cr)'!$C:$FB,98)</f>
        <v>0.24440000000000001</v>
      </c>
      <c r="N67" s="91">
        <f>VLOOKUP($A67,'Data Vlaue (Cr)'!$C:$FB,79)</f>
        <v>992</v>
      </c>
      <c r="O67" s="92">
        <f>VLOOKUP($A67,'Data Vlaue (Cr)'!$C:$FB,82)</f>
        <v>16.821100000000001</v>
      </c>
    </row>
    <row r="68" spans="1:15" x14ac:dyDescent="0.25">
      <c r="A68" s="97" t="str">
        <f>'Data Vlaue (Cr)'!C63</f>
        <v>FEDERALBNK</v>
      </c>
      <c r="B68" s="142">
        <f>VLOOKUP(A68,'Data Vlaue (Cr)'!C63:CW275,99,0)</f>
        <v>2846</v>
      </c>
      <c r="C68" s="90">
        <f>VLOOKUP(A68,'Data Vlaue (Cr)'!C63:CY275,101,0)</f>
        <v>103</v>
      </c>
      <c r="D68" s="139">
        <f>VLOOKUP(A68,'Data Vlaue (Cr)'!C63:CZ275,102,0)</f>
        <v>3.7699999999999997E-2</v>
      </c>
      <c r="E68" s="91">
        <f>VLOOKUP($A68,'Data Vlaue (Cr)'!$C:$FB,75)</f>
        <v>1461</v>
      </c>
      <c r="F68" s="91">
        <f>VLOOKUP($A68,'Data Vlaue (Cr)'!$C:$FB,77)</f>
        <v>-11</v>
      </c>
      <c r="G68" s="92">
        <f>VLOOKUP(A68,'Data Vlaue (Cr)'!C63:CB275,78,0)</f>
        <v>-7.7999999999999996E-3</v>
      </c>
      <c r="H68" s="91">
        <f>VLOOKUP($A68,'Data Vlaue (Cr)'!$C:$FB,91)</f>
        <v>648</v>
      </c>
      <c r="I68" s="91">
        <f>VLOOKUP($A68,'Data Vlaue (Cr)'!$C:$FB,93)</f>
        <v>53</v>
      </c>
      <c r="J68" s="92">
        <f>VLOOKUP($A68,'Data Vlaue (Cr)'!$C:$FB,94)</f>
        <v>8.9700000000000002E-2</v>
      </c>
      <c r="K68" s="91">
        <f>VLOOKUP($A68,'Data Vlaue (Cr)'!$C:$FB,95)</f>
        <v>737</v>
      </c>
      <c r="L68" s="91">
        <f>VLOOKUP($A68,'Data Vlaue (Cr)'!$C:$FB,97)</f>
        <v>62</v>
      </c>
      <c r="M68" s="92">
        <f>VLOOKUP($A68,'Data Vlaue (Cr)'!$C:$FB,98)</f>
        <v>9.0999999999999998E-2</v>
      </c>
      <c r="N68" s="91">
        <f>VLOOKUP($A68,'Data Vlaue (Cr)'!$C:$FB,79)</f>
        <v>1396</v>
      </c>
      <c r="O68" s="92">
        <f>VLOOKUP($A68,'Data Vlaue (Cr)'!$C:$FB,82)</f>
        <v>7.9069000000000003</v>
      </c>
    </row>
    <row r="69" spans="1:15" x14ac:dyDescent="0.25">
      <c r="A69" s="97" t="str">
        <f>'Data Vlaue (Cr)'!C64</f>
        <v>FINNIFTY</v>
      </c>
      <c r="B69" s="142">
        <f>VLOOKUP(A69,'Data Vlaue (Cr)'!C64:CW276,99,0)</f>
        <v>730</v>
      </c>
      <c r="C69" s="90">
        <f>VLOOKUP(A69,'Data Vlaue (Cr)'!C64:CY276,101,0)</f>
        <v>374</v>
      </c>
      <c r="D69" s="139">
        <f>VLOOKUP(A69,'Data Vlaue (Cr)'!C64:CZ276,102,0)</f>
        <v>1.0542</v>
      </c>
      <c r="E69" s="91">
        <f>VLOOKUP($A69,'Data Vlaue (Cr)'!$C:$FB,75)</f>
        <v>138</v>
      </c>
      <c r="F69" s="91">
        <f>VLOOKUP($A69,'Data Vlaue (Cr)'!$C:$FB,77)</f>
        <v>1</v>
      </c>
      <c r="G69" s="92">
        <f>VLOOKUP(A69,'Data Vlaue (Cr)'!C64:CB276,78,0)</f>
        <v>7.1999999999999998E-3</v>
      </c>
      <c r="H69" s="91">
        <f>VLOOKUP($A69,'Data Vlaue (Cr)'!$C:$FB,91)</f>
        <v>331</v>
      </c>
      <c r="I69" s="91">
        <f>VLOOKUP($A69,'Data Vlaue (Cr)'!$C:$FB,93)</f>
        <v>186</v>
      </c>
      <c r="J69" s="92">
        <f>VLOOKUP($A69,'Data Vlaue (Cr)'!$C:$FB,94)</f>
        <v>1.2786</v>
      </c>
      <c r="K69" s="91">
        <f>VLOOKUP($A69,'Data Vlaue (Cr)'!$C:$FB,95)</f>
        <v>260</v>
      </c>
      <c r="L69" s="91">
        <f>VLOOKUP($A69,'Data Vlaue (Cr)'!$C:$FB,97)</f>
        <v>188</v>
      </c>
      <c r="M69" s="92">
        <f>VLOOKUP($A69,'Data Vlaue (Cr)'!$C:$FB,98)</f>
        <v>2.5945</v>
      </c>
      <c r="N69" s="91">
        <f>VLOOKUP($A69,'Data Vlaue (Cr)'!$C:$FB,79)</f>
        <v>138</v>
      </c>
      <c r="O69" s="92">
        <f>VLOOKUP($A69,'Data Vlaue (Cr)'!$C:$FB,82)</f>
        <v>1.9681999999999999</v>
      </c>
    </row>
    <row r="70" spans="1:15" x14ac:dyDescent="0.25">
      <c r="A70" s="97" t="str">
        <f>'Data Vlaue (Cr)'!C65</f>
        <v>FORTIS</v>
      </c>
      <c r="B70" s="142">
        <f>VLOOKUP(A70,'Data Vlaue (Cr)'!C65:CW277,99,0)</f>
        <v>1180</v>
      </c>
      <c r="C70" s="90">
        <f>VLOOKUP(A70,'Data Vlaue (Cr)'!C65:CY277,101,0)</f>
        <v>42</v>
      </c>
      <c r="D70" s="139">
        <f>VLOOKUP(A70,'Data Vlaue (Cr)'!C65:CZ277,102,0)</f>
        <v>3.73E-2</v>
      </c>
      <c r="E70" s="91">
        <f>VLOOKUP($A70,'Data Vlaue (Cr)'!$C:$FB,75)</f>
        <v>1025</v>
      </c>
      <c r="F70" s="91">
        <f>VLOOKUP($A70,'Data Vlaue (Cr)'!$C:$FB,77)</f>
        <v>-2</v>
      </c>
      <c r="G70" s="92">
        <f>VLOOKUP(A70,'Data Vlaue (Cr)'!C65:CB277,78,0)</f>
        <v>-1.9E-3</v>
      </c>
      <c r="H70" s="91">
        <f>VLOOKUP($A70,'Data Vlaue (Cr)'!$C:$FB,91)</f>
        <v>78</v>
      </c>
      <c r="I70" s="91">
        <f>VLOOKUP($A70,'Data Vlaue (Cr)'!$C:$FB,93)</f>
        <v>29</v>
      </c>
      <c r="J70" s="92">
        <f>VLOOKUP($A70,'Data Vlaue (Cr)'!$C:$FB,94)</f>
        <v>0.58099999999999996</v>
      </c>
      <c r="K70" s="91">
        <f>VLOOKUP($A70,'Data Vlaue (Cr)'!$C:$FB,95)</f>
        <v>77</v>
      </c>
      <c r="L70" s="91">
        <f>VLOOKUP($A70,'Data Vlaue (Cr)'!$C:$FB,97)</f>
        <v>16</v>
      </c>
      <c r="M70" s="92">
        <f>VLOOKUP($A70,'Data Vlaue (Cr)'!$C:$FB,98)</f>
        <v>0.2576</v>
      </c>
      <c r="N70" s="91">
        <f>VLOOKUP($A70,'Data Vlaue (Cr)'!$C:$FB,79)</f>
        <v>1015</v>
      </c>
      <c r="O70" s="92">
        <f>VLOOKUP($A70,'Data Vlaue (Cr)'!$C:$FB,82)</f>
        <v>26.2913</v>
      </c>
    </row>
    <row r="71" spans="1:15" x14ac:dyDescent="0.25">
      <c r="A71" s="97" t="str">
        <f>'Data Vlaue (Cr)'!C66</f>
        <v>GAIL</v>
      </c>
      <c r="B71" s="142">
        <f>VLOOKUP(A71,'Data Vlaue (Cr)'!C66:CW278,99,0)</f>
        <v>2438</v>
      </c>
      <c r="C71" s="90">
        <f>VLOOKUP(A71,'Data Vlaue (Cr)'!C66:CY278,101,0)</f>
        <v>180</v>
      </c>
      <c r="D71" s="139">
        <f>VLOOKUP(A71,'Data Vlaue (Cr)'!C66:CZ278,102,0)</f>
        <v>7.9899999999999999E-2</v>
      </c>
      <c r="E71" s="91">
        <f>VLOOKUP($A71,'Data Vlaue (Cr)'!$C:$FB,75)</f>
        <v>1562</v>
      </c>
      <c r="F71" s="91">
        <f>VLOOKUP($A71,'Data Vlaue (Cr)'!$C:$FB,77)</f>
        <v>-16</v>
      </c>
      <c r="G71" s="92">
        <f>VLOOKUP(A71,'Data Vlaue (Cr)'!C66:CB278,78,0)</f>
        <v>-9.9000000000000008E-3</v>
      </c>
      <c r="H71" s="91">
        <f>VLOOKUP($A71,'Data Vlaue (Cr)'!$C:$FB,91)</f>
        <v>443</v>
      </c>
      <c r="I71" s="91">
        <f>VLOOKUP($A71,'Data Vlaue (Cr)'!$C:$FB,93)</f>
        <v>138</v>
      </c>
      <c r="J71" s="92">
        <f>VLOOKUP($A71,'Data Vlaue (Cr)'!$C:$FB,94)</f>
        <v>0.45300000000000001</v>
      </c>
      <c r="K71" s="91">
        <f>VLOOKUP($A71,'Data Vlaue (Cr)'!$C:$FB,95)</f>
        <v>433</v>
      </c>
      <c r="L71" s="91">
        <f>VLOOKUP($A71,'Data Vlaue (Cr)'!$C:$FB,97)</f>
        <v>58</v>
      </c>
      <c r="M71" s="92">
        <f>VLOOKUP($A71,'Data Vlaue (Cr)'!$C:$FB,98)</f>
        <v>0.1545</v>
      </c>
      <c r="N71" s="91">
        <f>VLOOKUP($A71,'Data Vlaue (Cr)'!$C:$FB,79)</f>
        <v>1512</v>
      </c>
      <c r="O71" s="92">
        <f>VLOOKUP($A71,'Data Vlaue (Cr)'!$C:$FB,82)</f>
        <v>9.8270999999999997</v>
      </c>
    </row>
    <row r="72" spans="1:15" x14ac:dyDescent="0.25">
      <c r="A72" s="97" t="str">
        <f>'Data Vlaue (Cr)'!C67</f>
        <v>GLENMARK</v>
      </c>
      <c r="B72" s="142">
        <f>VLOOKUP(A72,'Data Vlaue (Cr)'!C67:CW279,99,0)</f>
        <v>2672</v>
      </c>
      <c r="C72" s="90">
        <f>VLOOKUP(A72,'Data Vlaue (Cr)'!C67:CY279,101,0)</f>
        <v>80</v>
      </c>
      <c r="D72" s="139">
        <f>VLOOKUP(A72,'Data Vlaue (Cr)'!C67:CZ279,102,0)</f>
        <v>3.1E-2</v>
      </c>
      <c r="E72" s="91">
        <f>VLOOKUP($A72,'Data Vlaue (Cr)'!$C:$FB,75)</f>
        <v>2259</v>
      </c>
      <c r="F72" s="91">
        <f>VLOOKUP($A72,'Data Vlaue (Cr)'!$C:$FB,77)</f>
        <v>36</v>
      </c>
      <c r="G72" s="92">
        <f>VLOOKUP(A72,'Data Vlaue (Cr)'!C67:CB279,78,0)</f>
        <v>1.6299999999999999E-2</v>
      </c>
      <c r="H72" s="91">
        <f>VLOOKUP($A72,'Data Vlaue (Cr)'!$C:$FB,91)</f>
        <v>240</v>
      </c>
      <c r="I72" s="91">
        <f>VLOOKUP($A72,'Data Vlaue (Cr)'!$C:$FB,93)</f>
        <v>29</v>
      </c>
      <c r="J72" s="92">
        <f>VLOOKUP($A72,'Data Vlaue (Cr)'!$C:$FB,94)</f>
        <v>0.13969999999999999</v>
      </c>
      <c r="K72" s="91">
        <f>VLOOKUP($A72,'Data Vlaue (Cr)'!$C:$FB,95)</f>
        <v>173</v>
      </c>
      <c r="L72" s="91">
        <f>VLOOKUP($A72,'Data Vlaue (Cr)'!$C:$FB,97)</f>
        <v>15</v>
      </c>
      <c r="M72" s="92">
        <f>VLOOKUP($A72,'Data Vlaue (Cr)'!$C:$FB,98)</f>
        <v>9.35E-2</v>
      </c>
      <c r="N72" s="91">
        <f>VLOOKUP($A72,'Data Vlaue (Cr)'!$C:$FB,79)</f>
        <v>2250</v>
      </c>
      <c r="O72" s="92">
        <f>VLOOKUP($A72,'Data Vlaue (Cr)'!$C:$FB,82)</f>
        <v>39.841999999999999</v>
      </c>
    </row>
    <row r="73" spans="1:15" x14ac:dyDescent="0.25">
      <c r="A73" s="97" t="str">
        <f>'Data Vlaue (Cr)'!C68</f>
        <v>GMRAIRPORT</v>
      </c>
      <c r="B73" s="142">
        <f>VLOOKUP(A73,'Data Vlaue (Cr)'!C68:CW280,99,0)</f>
        <v>2397</v>
      </c>
      <c r="C73" s="90">
        <f>VLOOKUP(A73,'Data Vlaue (Cr)'!C68:CY280,101,0)</f>
        <v>62</v>
      </c>
      <c r="D73" s="139">
        <f>VLOOKUP(A73,'Data Vlaue (Cr)'!C68:CZ280,102,0)</f>
        <v>2.6499999999999999E-2</v>
      </c>
      <c r="E73" s="91">
        <f>VLOOKUP($A73,'Data Vlaue (Cr)'!$C:$FB,75)</f>
        <v>1551</v>
      </c>
      <c r="F73" s="91">
        <f>VLOOKUP($A73,'Data Vlaue (Cr)'!$C:$FB,77)</f>
        <v>10</v>
      </c>
      <c r="G73" s="92">
        <f>VLOOKUP(A73,'Data Vlaue (Cr)'!C68:CB280,78,0)</f>
        <v>6.1999999999999998E-3</v>
      </c>
      <c r="H73" s="91">
        <f>VLOOKUP($A73,'Data Vlaue (Cr)'!$C:$FB,91)</f>
        <v>452</v>
      </c>
      <c r="I73" s="91">
        <f>VLOOKUP($A73,'Data Vlaue (Cr)'!$C:$FB,93)</f>
        <v>31</v>
      </c>
      <c r="J73" s="92">
        <f>VLOOKUP($A73,'Data Vlaue (Cr)'!$C:$FB,94)</f>
        <v>7.3400000000000007E-2</v>
      </c>
      <c r="K73" s="91">
        <f>VLOOKUP($A73,'Data Vlaue (Cr)'!$C:$FB,95)</f>
        <v>394</v>
      </c>
      <c r="L73" s="91">
        <f>VLOOKUP($A73,'Data Vlaue (Cr)'!$C:$FB,97)</f>
        <v>21</v>
      </c>
      <c r="M73" s="92">
        <f>VLOOKUP($A73,'Data Vlaue (Cr)'!$C:$FB,98)</f>
        <v>5.7200000000000001E-2</v>
      </c>
      <c r="N73" s="91">
        <f>VLOOKUP($A73,'Data Vlaue (Cr)'!$C:$FB,79)</f>
        <v>1519</v>
      </c>
      <c r="O73" s="92">
        <f>VLOOKUP($A73,'Data Vlaue (Cr)'!$C:$FB,82)</f>
        <v>4.9516999999999998</v>
      </c>
    </row>
    <row r="74" spans="1:15" x14ac:dyDescent="0.25">
      <c r="A74" s="97" t="str">
        <f>'Data Vlaue (Cr)'!C69</f>
        <v>GODREJCP</v>
      </c>
      <c r="B74" s="142">
        <f>VLOOKUP(A74,'Data Vlaue (Cr)'!C69:CW281,99,0)</f>
        <v>1209</v>
      </c>
      <c r="C74" s="90">
        <f>VLOOKUP(A74,'Data Vlaue (Cr)'!C69:CY281,101,0)</f>
        <v>74</v>
      </c>
      <c r="D74" s="139">
        <f>VLOOKUP(A74,'Data Vlaue (Cr)'!C69:CZ281,102,0)</f>
        <v>6.5600000000000006E-2</v>
      </c>
      <c r="E74" s="91">
        <f>VLOOKUP($A74,'Data Vlaue (Cr)'!$C:$FB,75)</f>
        <v>926</v>
      </c>
      <c r="F74" s="91">
        <f>VLOOKUP($A74,'Data Vlaue (Cr)'!$C:$FB,77)</f>
        <v>-6</v>
      </c>
      <c r="G74" s="92">
        <f>VLOOKUP(A74,'Data Vlaue (Cr)'!C69:CB281,78,0)</f>
        <v>-6.8999999999999999E-3</v>
      </c>
      <c r="H74" s="91">
        <f>VLOOKUP($A74,'Data Vlaue (Cr)'!$C:$FB,91)</f>
        <v>142</v>
      </c>
      <c r="I74" s="91">
        <f>VLOOKUP($A74,'Data Vlaue (Cr)'!$C:$FB,93)</f>
        <v>28</v>
      </c>
      <c r="J74" s="92">
        <f>VLOOKUP($A74,'Data Vlaue (Cr)'!$C:$FB,94)</f>
        <v>0.24079999999999999</v>
      </c>
      <c r="K74" s="91">
        <f>VLOOKUP($A74,'Data Vlaue (Cr)'!$C:$FB,95)</f>
        <v>141</v>
      </c>
      <c r="L74" s="91">
        <f>VLOOKUP($A74,'Data Vlaue (Cr)'!$C:$FB,97)</f>
        <v>53</v>
      </c>
      <c r="M74" s="92">
        <f>VLOOKUP($A74,'Data Vlaue (Cr)'!$C:$FB,98)</f>
        <v>0.60819999999999996</v>
      </c>
      <c r="N74" s="91">
        <f>VLOOKUP($A74,'Data Vlaue (Cr)'!$C:$FB,79)</f>
        <v>922</v>
      </c>
      <c r="O74" s="92">
        <f>VLOOKUP($A74,'Data Vlaue (Cr)'!$C:$FB,82)</f>
        <v>15.9968</v>
      </c>
    </row>
    <row r="75" spans="1:15" x14ac:dyDescent="0.25">
      <c r="A75" s="97" t="str">
        <f>'Data Vlaue (Cr)'!C70</f>
        <v>GODREJPROP</v>
      </c>
      <c r="B75" s="142">
        <f>VLOOKUP(A75,'Data Vlaue (Cr)'!C70:CW282,99,0)</f>
        <v>3069</v>
      </c>
      <c r="C75" s="90">
        <f>VLOOKUP(A75,'Data Vlaue (Cr)'!C70:CY282,101,0)</f>
        <v>175</v>
      </c>
      <c r="D75" s="139">
        <f>VLOOKUP(A75,'Data Vlaue (Cr)'!C70:CZ282,102,0)</f>
        <v>6.0299999999999999E-2</v>
      </c>
      <c r="E75" s="91">
        <f>VLOOKUP($A75,'Data Vlaue (Cr)'!$C:$FB,75)</f>
        <v>2121</v>
      </c>
      <c r="F75" s="91">
        <f>VLOOKUP($A75,'Data Vlaue (Cr)'!$C:$FB,77)</f>
        <v>113</v>
      </c>
      <c r="G75" s="92">
        <f>VLOOKUP(A75,'Data Vlaue (Cr)'!C70:CB282,78,0)</f>
        <v>5.6300000000000003E-2</v>
      </c>
      <c r="H75" s="91">
        <f>VLOOKUP($A75,'Data Vlaue (Cr)'!$C:$FB,91)</f>
        <v>588</v>
      </c>
      <c r="I75" s="91">
        <f>VLOOKUP($A75,'Data Vlaue (Cr)'!$C:$FB,93)</f>
        <v>28</v>
      </c>
      <c r="J75" s="92">
        <f>VLOOKUP($A75,'Data Vlaue (Cr)'!$C:$FB,94)</f>
        <v>4.99E-2</v>
      </c>
      <c r="K75" s="91">
        <f>VLOOKUP($A75,'Data Vlaue (Cr)'!$C:$FB,95)</f>
        <v>360</v>
      </c>
      <c r="L75" s="91">
        <f>VLOOKUP($A75,'Data Vlaue (Cr)'!$C:$FB,97)</f>
        <v>34</v>
      </c>
      <c r="M75" s="92">
        <f>VLOOKUP($A75,'Data Vlaue (Cr)'!$C:$FB,98)</f>
        <v>0.10299999999999999</v>
      </c>
      <c r="N75" s="91">
        <f>VLOOKUP($A75,'Data Vlaue (Cr)'!$C:$FB,79)</f>
        <v>2067</v>
      </c>
      <c r="O75" s="92">
        <f>VLOOKUP($A75,'Data Vlaue (Cr)'!$C:$FB,82)</f>
        <v>22.3965</v>
      </c>
    </row>
    <row r="76" spans="1:15" x14ac:dyDescent="0.25">
      <c r="A76" s="97" t="str">
        <f>'Data Vlaue (Cr)'!C71</f>
        <v>GRASIM</v>
      </c>
      <c r="B76" s="142">
        <f>VLOOKUP(A76,'Data Vlaue (Cr)'!C71:CW283,99,0)</f>
        <v>4946</v>
      </c>
      <c r="C76" s="90">
        <f>VLOOKUP(A76,'Data Vlaue (Cr)'!C71:CY283,101,0)</f>
        <v>131</v>
      </c>
      <c r="D76" s="139">
        <f>VLOOKUP(A76,'Data Vlaue (Cr)'!C71:CZ283,102,0)</f>
        <v>2.7199999999999998E-2</v>
      </c>
      <c r="E76" s="91">
        <f>VLOOKUP($A76,'Data Vlaue (Cr)'!$C:$FB,75)</f>
        <v>4581</v>
      </c>
      <c r="F76" s="91">
        <f>VLOOKUP($A76,'Data Vlaue (Cr)'!$C:$FB,77)</f>
        <v>25</v>
      </c>
      <c r="G76" s="92">
        <f>VLOOKUP(A76,'Data Vlaue (Cr)'!C71:CB283,78,0)</f>
        <v>5.4999999999999997E-3</v>
      </c>
      <c r="H76" s="91">
        <f>VLOOKUP($A76,'Data Vlaue (Cr)'!$C:$FB,91)</f>
        <v>184</v>
      </c>
      <c r="I76" s="91">
        <f>VLOOKUP($A76,'Data Vlaue (Cr)'!$C:$FB,93)</f>
        <v>51</v>
      </c>
      <c r="J76" s="92">
        <f>VLOOKUP($A76,'Data Vlaue (Cr)'!$C:$FB,94)</f>
        <v>0.3886</v>
      </c>
      <c r="K76" s="91">
        <f>VLOOKUP($A76,'Data Vlaue (Cr)'!$C:$FB,95)</f>
        <v>181</v>
      </c>
      <c r="L76" s="91">
        <f>VLOOKUP($A76,'Data Vlaue (Cr)'!$C:$FB,97)</f>
        <v>55</v>
      </c>
      <c r="M76" s="92">
        <f>VLOOKUP($A76,'Data Vlaue (Cr)'!$C:$FB,98)</f>
        <v>0.43319999999999997</v>
      </c>
      <c r="N76" s="91">
        <f>VLOOKUP($A76,'Data Vlaue (Cr)'!$C:$FB,79)</f>
        <v>4559</v>
      </c>
      <c r="O76" s="92">
        <f>VLOOKUP($A76,'Data Vlaue (Cr)'!$C:$FB,82)</f>
        <v>25.240400000000001</v>
      </c>
    </row>
    <row r="77" spans="1:15" x14ac:dyDescent="0.25">
      <c r="A77" s="97" t="str">
        <f>'Data Vlaue (Cr)'!C72</f>
        <v>HAL</v>
      </c>
      <c r="B77" s="142">
        <f>VLOOKUP(A77,'Data Vlaue (Cr)'!C72:CW284,99,0)</f>
        <v>6750</v>
      </c>
      <c r="C77" s="90">
        <f>VLOOKUP(A77,'Data Vlaue (Cr)'!C72:CY284,101,0)</f>
        <v>595</v>
      </c>
      <c r="D77" s="139">
        <f>VLOOKUP(A77,'Data Vlaue (Cr)'!C72:CZ284,102,0)</f>
        <v>9.6699999999999994E-2</v>
      </c>
      <c r="E77" s="91">
        <f>VLOOKUP($A77,'Data Vlaue (Cr)'!$C:$FB,75)</f>
        <v>4076</v>
      </c>
      <c r="F77" s="91">
        <f>VLOOKUP($A77,'Data Vlaue (Cr)'!$C:$FB,77)</f>
        <v>52</v>
      </c>
      <c r="G77" s="92">
        <f>VLOOKUP(A77,'Data Vlaue (Cr)'!C72:CB284,78,0)</f>
        <v>1.29E-2</v>
      </c>
      <c r="H77" s="91">
        <f>VLOOKUP($A77,'Data Vlaue (Cr)'!$C:$FB,91)</f>
        <v>1483</v>
      </c>
      <c r="I77" s="91">
        <f>VLOOKUP($A77,'Data Vlaue (Cr)'!$C:$FB,93)</f>
        <v>382</v>
      </c>
      <c r="J77" s="92">
        <f>VLOOKUP($A77,'Data Vlaue (Cr)'!$C:$FB,94)</f>
        <v>0.34699999999999998</v>
      </c>
      <c r="K77" s="91">
        <f>VLOOKUP($A77,'Data Vlaue (Cr)'!$C:$FB,95)</f>
        <v>1191</v>
      </c>
      <c r="L77" s="91">
        <f>VLOOKUP($A77,'Data Vlaue (Cr)'!$C:$FB,97)</f>
        <v>161</v>
      </c>
      <c r="M77" s="92">
        <f>VLOOKUP($A77,'Data Vlaue (Cr)'!$C:$FB,98)</f>
        <v>0.15659999999999999</v>
      </c>
      <c r="N77" s="91">
        <f>VLOOKUP($A77,'Data Vlaue (Cr)'!$C:$FB,79)</f>
        <v>3837</v>
      </c>
      <c r="O77" s="92">
        <f>VLOOKUP($A77,'Data Vlaue (Cr)'!$C:$FB,82)</f>
        <v>12.425599999999999</v>
      </c>
    </row>
    <row r="78" spans="1:15" x14ac:dyDescent="0.25">
      <c r="A78" s="97" t="str">
        <f>'Data Vlaue (Cr)'!C73</f>
        <v>HAVELLS</v>
      </c>
      <c r="B78" s="142">
        <f>VLOOKUP(A78,'Data Vlaue (Cr)'!C73:CW285,99,0)</f>
        <v>1679</v>
      </c>
      <c r="C78" s="90">
        <f>VLOOKUP(A78,'Data Vlaue (Cr)'!C73:CY285,101,0)</f>
        <v>104</v>
      </c>
      <c r="D78" s="139">
        <f>VLOOKUP(A78,'Data Vlaue (Cr)'!C73:CZ285,102,0)</f>
        <v>6.5699999999999995E-2</v>
      </c>
      <c r="E78" s="91">
        <f>VLOOKUP($A78,'Data Vlaue (Cr)'!$C:$FB,75)</f>
        <v>1175</v>
      </c>
      <c r="F78" s="91">
        <f>VLOOKUP($A78,'Data Vlaue (Cr)'!$C:$FB,77)</f>
        <v>27</v>
      </c>
      <c r="G78" s="92">
        <f>VLOOKUP(A78,'Data Vlaue (Cr)'!C73:CB285,78,0)</f>
        <v>2.3599999999999999E-2</v>
      </c>
      <c r="H78" s="91">
        <f>VLOOKUP($A78,'Data Vlaue (Cr)'!$C:$FB,91)</f>
        <v>260</v>
      </c>
      <c r="I78" s="91">
        <f>VLOOKUP($A78,'Data Vlaue (Cr)'!$C:$FB,93)</f>
        <v>39</v>
      </c>
      <c r="J78" s="92">
        <f>VLOOKUP($A78,'Data Vlaue (Cr)'!$C:$FB,94)</f>
        <v>0.1767</v>
      </c>
      <c r="K78" s="91">
        <f>VLOOKUP($A78,'Data Vlaue (Cr)'!$C:$FB,95)</f>
        <v>244</v>
      </c>
      <c r="L78" s="91">
        <f>VLOOKUP($A78,'Data Vlaue (Cr)'!$C:$FB,97)</f>
        <v>37</v>
      </c>
      <c r="M78" s="92">
        <f>VLOOKUP($A78,'Data Vlaue (Cr)'!$C:$FB,98)</f>
        <v>0.18090000000000001</v>
      </c>
      <c r="N78" s="91">
        <f>VLOOKUP($A78,'Data Vlaue (Cr)'!$C:$FB,79)</f>
        <v>1148</v>
      </c>
      <c r="O78" s="92">
        <f>VLOOKUP($A78,'Data Vlaue (Cr)'!$C:$FB,82)</f>
        <v>11.5831</v>
      </c>
    </row>
    <row r="79" spans="1:15" x14ac:dyDescent="0.25">
      <c r="A79" s="97" t="str">
        <f>'Data Vlaue (Cr)'!C74</f>
        <v>HCLTECH</v>
      </c>
      <c r="B79" s="142">
        <f>VLOOKUP(A79,'Data Vlaue (Cr)'!C74:CW286,99,0)</f>
        <v>3663</v>
      </c>
      <c r="C79" s="90">
        <f>VLOOKUP(A79,'Data Vlaue (Cr)'!C74:CY286,101,0)</f>
        <v>139</v>
      </c>
      <c r="D79" s="139">
        <f>VLOOKUP(A79,'Data Vlaue (Cr)'!C74:CZ286,102,0)</f>
        <v>3.9300000000000002E-2</v>
      </c>
      <c r="E79" s="91">
        <f>VLOOKUP($A79,'Data Vlaue (Cr)'!$C:$FB,75)</f>
        <v>3032</v>
      </c>
      <c r="F79" s="91">
        <f>VLOOKUP($A79,'Data Vlaue (Cr)'!$C:$FB,77)</f>
        <v>8</v>
      </c>
      <c r="G79" s="92">
        <f>VLOOKUP(A79,'Data Vlaue (Cr)'!C74:CB286,78,0)</f>
        <v>2.5000000000000001E-3</v>
      </c>
      <c r="H79" s="91">
        <f>VLOOKUP($A79,'Data Vlaue (Cr)'!$C:$FB,91)</f>
        <v>344</v>
      </c>
      <c r="I79" s="91">
        <f>VLOOKUP($A79,'Data Vlaue (Cr)'!$C:$FB,93)</f>
        <v>62</v>
      </c>
      <c r="J79" s="92">
        <f>VLOOKUP($A79,'Data Vlaue (Cr)'!$C:$FB,94)</f>
        <v>0.2203</v>
      </c>
      <c r="K79" s="91">
        <f>VLOOKUP($A79,'Data Vlaue (Cr)'!$C:$FB,95)</f>
        <v>287</v>
      </c>
      <c r="L79" s="91">
        <f>VLOOKUP($A79,'Data Vlaue (Cr)'!$C:$FB,97)</f>
        <v>69</v>
      </c>
      <c r="M79" s="92">
        <f>VLOOKUP($A79,'Data Vlaue (Cr)'!$C:$FB,98)</f>
        <v>0.31580000000000003</v>
      </c>
      <c r="N79" s="91">
        <f>VLOOKUP($A79,'Data Vlaue (Cr)'!$C:$FB,79)</f>
        <v>2960</v>
      </c>
      <c r="O79" s="92">
        <f>VLOOKUP($A79,'Data Vlaue (Cr)'!$C:$FB,82)</f>
        <v>7.2779999999999996</v>
      </c>
    </row>
    <row r="80" spans="1:15" x14ac:dyDescent="0.25">
      <c r="A80" s="97" t="str">
        <f>'Data Vlaue (Cr)'!C75</f>
        <v>HDFCAMC</v>
      </c>
      <c r="B80" s="142">
        <f>VLOOKUP(A80,'Data Vlaue (Cr)'!C75:CW287,99,0)</f>
        <v>2211</v>
      </c>
      <c r="C80" s="90">
        <f>VLOOKUP(A80,'Data Vlaue (Cr)'!C75:CY287,101,0)</f>
        <v>126</v>
      </c>
      <c r="D80" s="139">
        <f>VLOOKUP(A80,'Data Vlaue (Cr)'!C75:CZ287,102,0)</f>
        <v>6.0400000000000002E-2</v>
      </c>
      <c r="E80" s="91">
        <f>VLOOKUP($A80,'Data Vlaue (Cr)'!$C:$FB,75)</f>
        <v>1804</v>
      </c>
      <c r="F80" s="91">
        <f>VLOOKUP($A80,'Data Vlaue (Cr)'!$C:$FB,77)</f>
        <v>44</v>
      </c>
      <c r="G80" s="92">
        <f>VLOOKUP(A80,'Data Vlaue (Cr)'!C75:CB287,78,0)</f>
        <v>2.4899999999999999E-2</v>
      </c>
      <c r="H80" s="91">
        <f>VLOOKUP($A80,'Data Vlaue (Cr)'!$C:$FB,91)</f>
        <v>250</v>
      </c>
      <c r="I80" s="91">
        <f>VLOOKUP($A80,'Data Vlaue (Cr)'!$C:$FB,93)</f>
        <v>51</v>
      </c>
      <c r="J80" s="92">
        <f>VLOOKUP($A80,'Data Vlaue (Cr)'!$C:$FB,94)</f>
        <v>0.25869999999999999</v>
      </c>
      <c r="K80" s="91">
        <f>VLOOKUP($A80,'Data Vlaue (Cr)'!$C:$FB,95)</f>
        <v>158</v>
      </c>
      <c r="L80" s="91">
        <f>VLOOKUP($A80,'Data Vlaue (Cr)'!$C:$FB,97)</f>
        <v>31</v>
      </c>
      <c r="M80" s="92">
        <f>VLOOKUP($A80,'Data Vlaue (Cr)'!$C:$FB,98)</f>
        <v>0.2427</v>
      </c>
      <c r="N80" s="91">
        <f>VLOOKUP($A80,'Data Vlaue (Cr)'!$C:$FB,79)</f>
        <v>1794</v>
      </c>
      <c r="O80" s="92">
        <f>VLOOKUP($A80,'Data Vlaue (Cr)'!$C:$FB,82)</f>
        <v>6.9100999999999999</v>
      </c>
    </row>
    <row r="81" spans="1:15" x14ac:dyDescent="0.25">
      <c r="A81" s="97" t="str">
        <f>'Data Vlaue (Cr)'!C76</f>
        <v>HDFCBANK</v>
      </c>
      <c r="B81" s="142">
        <f>VLOOKUP(A81,'Data Vlaue (Cr)'!C76:CW288,99,0)</f>
        <v>29986</v>
      </c>
      <c r="C81" s="90">
        <f>VLOOKUP(A81,'Data Vlaue (Cr)'!C76:CY288,101,0)</f>
        <v>-79</v>
      </c>
      <c r="D81" s="139">
        <f>VLOOKUP(A81,'Data Vlaue (Cr)'!C76:CZ288,102,0)</f>
        <v>-2.5999999999999999E-3</v>
      </c>
      <c r="E81" s="91">
        <f>VLOOKUP($A81,'Data Vlaue (Cr)'!$C:$FB,75)</f>
        <v>24184</v>
      </c>
      <c r="F81" s="91">
        <f>VLOOKUP($A81,'Data Vlaue (Cr)'!$C:$FB,77)</f>
        <v>-253</v>
      </c>
      <c r="G81" s="92">
        <f>VLOOKUP(A81,'Data Vlaue (Cr)'!C76:CB288,78,0)</f>
        <v>-1.04E-2</v>
      </c>
      <c r="H81" s="91">
        <f>VLOOKUP($A81,'Data Vlaue (Cr)'!$C:$FB,91)</f>
        <v>3398</v>
      </c>
      <c r="I81" s="91">
        <f>VLOOKUP($A81,'Data Vlaue (Cr)'!$C:$FB,93)</f>
        <v>59</v>
      </c>
      <c r="J81" s="92">
        <f>VLOOKUP($A81,'Data Vlaue (Cr)'!$C:$FB,94)</f>
        <v>1.78E-2</v>
      </c>
      <c r="K81" s="91">
        <f>VLOOKUP($A81,'Data Vlaue (Cr)'!$C:$FB,95)</f>
        <v>2404</v>
      </c>
      <c r="L81" s="91">
        <f>VLOOKUP($A81,'Data Vlaue (Cr)'!$C:$FB,97)</f>
        <v>115</v>
      </c>
      <c r="M81" s="92">
        <f>VLOOKUP($A81,'Data Vlaue (Cr)'!$C:$FB,98)</f>
        <v>5.0200000000000002E-2</v>
      </c>
      <c r="N81" s="91">
        <f>VLOOKUP($A81,'Data Vlaue (Cr)'!$C:$FB,79)</f>
        <v>21847</v>
      </c>
      <c r="O81" s="92">
        <f>VLOOKUP($A81,'Data Vlaue (Cr)'!$C:$FB,82)</f>
        <v>14.0274</v>
      </c>
    </row>
    <row r="82" spans="1:15" x14ac:dyDescent="0.25">
      <c r="A82" s="97" t="str">
        <f>'Data Vlaue (Cr)'!C77</f>
        <v>HDFCLIFE</v>
      </c>
      <c r="B82" s="142">
        <f>VLOOKUP(A82,'Data Vlaue (Cr)'!C77:CW289,99,0)</f>
        <v>3052</v>
      </c>
      <c r="C82" s="90">
        <f>VLOOKUP(A82,'Data Vlaue (Cr)'!C77:CY289,101,0)</f>
        <v>128</v>
      </c>
      <c r="D82" s="139">
        <f>VLOOKUP(A82,'Data Vlaue (Cr)'!C77:CZ289,102,0)</f>
        <v>4.3900000000000002E-2</v>
      </c>
      <c r="E82" s="91">
        <f>VLOOKUP($A82,'Data Vlaue (Cr)'!$C:$FB,75)</f>
        <v>2385</v>
      </c>
      <c r="F82" s="91">
        <f>VLOOKUP($A82,'Data Vlaue (Cr)'!$C:$FB,77)</f>
        <v>-86</v>
      </c>
      <c r="G82" s="92">
        <f>VLOOKUP(A82,'Data Vlaue (Cr)'!C77:CB289,78,0)</f>
        <v>-3.49E-2</v>
      </c>
      <c r="H82" s="91">
        <f>VLOOKUP($A82,'Data Vlaue (Cr)'!$C:$FB,91)</f>
        <v>420</v>
      </c>
      <c r="I82" s="91">
        <f>VLOOKUP($A82,'Data Vlaue (Cr)'!$C:$FB,93)</f>
        <v>178</v>
      </c>
      <c r="J82" s="92">
        <f>VLOOKUP($A82,'Data Vlaue (Cr)'!$C:$FB,94)</f>
        <v>0.73229999999999995</v>
      </c>
      <c r="K82" s="91">
        <f>VLOOKUP($A82,'Data Vlaue (Cr)'!$C:$FB,95)</f>
        <v>247</v>
      </c>
      <c r="L82" s="91">
        <f>VLOOKUP($A82,'Data Vlaue (Cr)'!$C:$FB,97)</f>
        <v>37</v>
      </c>
      <c r="M82" s="92">
        <f>VLOOKUP($A82,'Data Vlaue (Cr)'!$C:$FB,98)</f>
        <v>0.17680000000000001</v>
      </c>
      <c r="N82" s="91">
        <f>VLOOKUP($A82,'Data Vlaue (Cr)'!$C:$FB,79)</f>
        <v>2352</v>
      </c>
      <c r="O82" s="92">
        <f>VLOOKUP($A82,'Data Vlaue (Cr)'!$C:$FB,82)</f>
        <v>5.0808</v>
      </c>
    </row>
    <row r="83" spans="1:15" x14ac:dyDescent="0.25">
      <c r="A83" s="97" t="str">
        <f>'Data Vlaue (Cr)'!C78</f>
        <v>HEROMOTOCO</v>
      </c>
      <c r="B83" s="142">
        <f>VLOOKUP(A83,'Data Vlaue (Cr)'!C78:CW290,99,0)</f>
        <v>2824</v>
      </c>
      <c r="C83" s="90">
        <f>VLOOKUP(A83,'Data Vlaue (Cr)'!C78:CY290,101,0)</f>
        <v>124</v>
      </c>
      <c r="D83" s="139">
        <f>VLOOKUP(A83,'Data Vlaue (Cr)'!C78:CZ290,102,0)</f>
        <v>4.5699999999999998E-2</v>
      </c>
      <c r="E83" s="91">
        <f>VLOOKUP($A83,'Data Vlaue (Cr)'!$C:$FB,75)</f>
        <v>1929</v>
      </c>
      <c r="F83" s="91">
        <f>VLOOKUP($A83,'Data Vlaue (Cr)'!$C:$FB,77)</f>
        <v>-15</v>
      </c>
      <c r="G83" s="92">
        <f>VLOOKUP(A83,'Data Vlaue (Cr)'!C78:CB290,78,0)</f>
        <v>-8.0000000000000002E-3</v>
      </c>
      <c r="H83" s="91">
        <f>VLOOKUP($A83,'Data Vlaue (Cr)'!$C:$FB,91)</f>
        <v>515</v>
      </c>
      <c r="I83" s="91">
        <f>VLOOKUP($A83,'Data Vlaue (Cr)'!$C:$FB,93)</f>
        <v>86</v>
      </c>
      <c r="J83" s="92">
        <f>VLOOKUP($A83,'Data Vlaue (Cr)'!$C:$FB,94)</f>
        <v>0.1996</v>
      </c>
      <c r="K83" s="91">
        <f>VLOOKUP($A83,'Data Vlaue (Cr)'!$C:$FB,95)</f>
        <v>380</v>
      </c>
      <c r="L83" s="91">
        <f>VLOOKUP($A83,'Data Vlaue (Cr)'!$C:$FB,97)</f>
        <v>53</v>
      </c>
      <c r="M83" s="92">
        <f>VLOOKUP($A83,'Data Vlaue (Cr)'!$C:$FB,98)</f>
        <v>0.1628</v>
      </c>
      <c r="N83" s="91">
        <f>VLOOKUP($A83,'Data Vlaue (Cr)'!$C:$FB,79)</f>
        <v>1898</v>
      </c>
      <c r="O83" s="92">
        <f>VLOOKUP($A83,'Data Vlaue (Cr)'!$C:$FB,82)</f>
        <v>1.8003</v>
      </c>
    </row>
    <row r="84" spans="1:15" x14ac:dyDescent="0.25">
      <c r="A84" s="97" t="str">
        <f>'Data Vlaue (Cr)'!C79</f>
        <v>HINDALCO</v>
      </c>
      <c r="B84" s="142">
        <f>VLOOKUP(A84,'Data Vlaue (Cr)'!C79:CW291,99,0)</f>
        <v>5698</v>
      </c>
      <c r="C84" s="90">
        <f>VLOOKUP(A84,'Data Vlaue (Cr)'!C79:CY291,101,0)</f>
        <v>174</v>
      </c>
      <c r="D84" s="139">
        <f>VLOOKUP(A84,'Data Vlaue (Cr)'!C79:CZ291,102,0)</f>
        <v>3.1399999999999997E-2</v>
      </c>
      <c r="E84" s="91">
        <f>VLOOKUP($A84,'Data Vlaue (Cr)'!$C:$FB,75)</f>
        <v>4651</v>
      </c>
      <c r="F84" s="91">
        <f>VLOOKUP($A84,'Data Vlaue (Cr)'!$C:$FB,77)</f>
        <v>-57</v>
      </c>
      <c r="G84" s="92">
        <f>VLOOKUP(A84,'Data Vlaue (Cr)'!C79:CB291,78,0)</f>
        <v>-1.2E-2</v>
      </c>
      <c r="H84" s="91">
        <f>VLOOKUP($A84,'Data Vlaue (Cr)'!$C:$FB,91)</f>
        <v>554</v>
      </c>
      <c r="I84" s="91">
        <f>VLOOKUP($A84,'Data Vlaue (Cr)'!$C:$FB,93)</f>
        <v>103</v>
      </c>
      <c r="J84" s="92">
        <f>VLOOKUP($A84,'Data Vlaue (Cr)'!$C:$FB,94)</f>
        <v>0.22700000000000001</v>
      </c>
      <c r="K84" s="91">
        <f>VLOOKUP($A84,'Data Vlaue (Cr)'!$C:$FB,95)</f>
        <v>493</v>
      </c>
      <c r="L84" s="91">
        <f>VLOOKUP($A84,'Data Vlaue (Cr)'!$C:$FB,97)</f>
        <v>128</v>
      </c>
      <c r="M84" s="92">
        <f>VLOOKUP($A84,'Data Vlaue (Cr)'!$C:$FB,98)</f>
        <v>0.34970000000000001</v>
      </c>
      <c r="N84" s="91">
        <f>VLOOKUP($A84,'Data Vlaue (Cr)'!$C:$FB,79)</f>
        <v>4490</v>
      </c>
      <c r="O84" s="92">
        <f>VLOOKUP($A84,'Data Vlaue (Cr)'!$C:$FB,82)</f>
        <v>15.744199999999999</v>
      </c>
    </row>
    <row r="85" spans="1:15" x14ac:dyDescent="0.25">
      <c r="A85" s="97" t="str">
        <f>'Data Vlaue (Cr)'!C80</f>
        <v>HINDPETRO</v>
      </c>
      <c r="B85" s="142">
        <f>VLOOKUP(A85,'Data Vlaue (Cr)'!C80:CW292,99,0)</f>
        <v>2263</v>
      </c>
      <c r="C85" s="90">
        <f>VLOOKUP(A85,'Data Vlaue (Cr)'!C80:CY292,101,0)</f>
        <v>103</v>
      </c>
      <c r="D85" s="139">
        <f>VLOOKUP(A85,'Data Vlaue (Cr)'!C80:CZ292,102,0)</f>
        <v>4.7600000000000003E-2</v>
      </c>
      <c r="E85" s="91">
        <f>VLOOKUP($A85,'Data Vlaue (Cr)'!$C:$FB,75)</f>
        <v>1582</v>
      </c>
      <c r="F85" s="91">
        <f>VLOOKUP($A85,'Data Vlaue (Cr)'!$C:$FB,77)</f>
        <v>11</v>
      </c>
      <c r="G85" s="92">
        <f>VLOOKUP(A85,'Data Vlaue (Cr)'!C80:CB292,78,0)</f>
        <v>6.7000000000000002E-3</v>
      </c>
      <c r="H85" s="91">
        <f>VLOOKUP($A85,'Data Vlaue (Cr)'!$C:$FB,91)</f>
        <v>358</v>
      </c>
      <c r="I85" s="91">
        <f>VLOOKUP($A85,'Data Vlaue (Cr)'!$C:$FB,93)</f>
        <v>58</v>
      </c>
      <c r="J85" s="92">
        <f>VLOOKUP($A85,'Data Vlaue (Cr)'!$C:$FB,94)</f>
        <v>0.19259999999999999</v>
      </c>
      <c r="K85" s="91">
        <f>VLOOKUP($A85,'Data Vlaue (Cr)'!$C:$FB,95)</f>
        <v>322</v>
      </c>
      <c r="L85" s="91">
        <f>VLOOKUP($A85,'Data Vlaue (Cr)'!$C:$FB,97)</f>
        <v>34</v>
      </c>
      <c r="M85" s="92">
        <f>VLOOKUP($A85,'Data Vlaue (Cr)'!$C:$FB,98)</f>
        <v>0.1192</v>
      </c>
      <c r="N85" s="91">
        <f>VLOOKUP($A85,'Data Vlaue (Cr)'!$C:$FB,79)</f>
        <v>1564</v>
      </c>
      <c r="O85" s="92">
        <f>VLOOKUP($A85,'Data Vlaue (Cr)'!$C:$FB,82)</f>
        <v>8.6912000000000003</v>
      </c>
    </row>
    <row r="86" spans="1:15" x14ac:dyDescent="0.25">
      <c r="A86" s="97" t="str">
        <f>'Data Vlaue (Cr)'!C81</f>
        <v>HINDUNILVR</v>
      </c>
      <c r="B86" s="142">
        <f>VLOOKUP(A86,'Data Vlaue (Cr)'!C81:CW293,99,0)</f>
        <v>4348</v>
      </c>
      <c r="C86" s="90">
        <f>VLOOKUP(A86,'Data Vlaue (Cr)'!C81:CY293,101,0)</f>
        <v>380</v>
      </c>
      <c r="D86" s="139">
        <f>VLOOKUP(A86,'Data Vlaue (Cr)'!C81:CZ293,102,0)</f>
        <v>9.5799999999999996E-2</v>
      </c>
      <c r="E86" s="91">
        <f>VLOOKUP($A86,'Data Vlaue (Cr)'!$C:$FB,75)</f>
        <v>3332</v>
      </c>
      <c r="F86" s="91">
        <f>VLOOKUP($A86,'Data Vlaue (Cr)'!$C:$FB,77)</f>
        <v>85</v>
      </c>
      <c r="G86" s="92">
        <f>VLOOKUP(A86,'Data Vlaue (Cr)'!C81:CB293,78,0)</f>
        <v>2.5999999999999999E-2</v>
      </c>
      <c r="H86" s="91">
        <f>VLOOKUP($A86,'Data Vlaue (Cr)'!$C:$FB,91)</f>
        <v>504</v>
      </c>
      <c r="I86" s="91">
        <f>VLOOKUP($A86,'Data Vlaue (Cr)'!$C:$FB,93)</f>
        <v>117</v>
      </c>
      <c r="J86" s="92">
        <f>VLOOKUP($A86,'Data Vlaue (Cr)'!$C:$FB,94)</f>
        <v>0.30249999999999999</v>
      </c>
      <c r="K86" s="91">
        <f>VLOOKUP($A86,'Data Vlaue (Cr)'!$C:$FB,95)</f>
        <v>512</v>
      </c>
      <c r="L86" s="91">
        <f>VLOOKUP($A86,'Data Vlaue (Cr)'!$C:$FB,97)</f>
        <v>179</v>
      </c>
      <c r="M86" s="92">
        <f>VLOOKUP($A86,'Data Vlaue (Cr)'!$C:$FB,98)</f>
        <v>0.53620000000000001</v>
      </c>
      <c r="N86" s="91">
        <f>VLOOKUP($A86,'Data Vlaue (Cr)'!$C:$FB,79)</f>
        <v>3280</v>
      </c>
      <c r="O86" s="92">
        <f>VLOOKUP($A86,'Data Vlaue (Cr)'!$C:$FB,82)</f>
        <v>9.3741000000000003</v>
      </c>
    </row>
    <row r="87" spans="1:15" x14ac:dyDescent="0.25">
      <c r="A87" s="97" t="str">
        <f>'Data Vlaue (Cr)'!C82</f>
        <v>HINDZINC</v>
      </c>
      <c r="B87" s="142">
        <f>VLOOKUP(A87,'Data Vlaue (Cr)'!C82:CW294,99,0)</f>
        <v>6742</v>
      </c>
      <c r="C87" s="90">
        <f>VLOOKUP(A87,'Data Vlaue (Cr)'!C82:CY294,101,0)</f>
        <v>1416</v>
      </c>
      <c r="D87" s="139">
        <f>VLOOKUP(A87,'Data Vlaue (Cr)'!C82:CZ294,102,0)</f>
        <v>0.26590000000000003</v>
      </c>
      <c r="E87" s="91">
        <f>VLOOKUP($A87,'Data Vlaue (Cr)'!$C:$FB,75)</f>
        <v>2697</v>
      </c>
      <c r="F87" s="91">
        <f>VLOOKUP($A87,'Data Vlaue (Cr)'!$C:$FB,77)</f>
        <v>354</v>
      </c>
      <c r="G87" s="92">
        <f>VLOOKUP(A87,'Data Vlaue (Cr)'!C82:CB294,78,0)</f>
        <v>0.15090000000000001</v>
      </c>
      <c r="H87" s="91">
        <f>VLOOKUP($A87,'Data Vlaue (Cr)'!$C:$FB,91)</f>
        <v>2334</v>
      </c>
      <c r="I87" s="91">
        <f>VLOOKUP($A87,'Data Vlaue (Cr)'!$C:$FB,93)</f>
        <v>458</v>
      </c>
      <c r="J87" s="92">
        <f>VLOOKUP($A87,'Data Vlaue (Cr)'!$C:$FB,94)</f>
        <v>0.24399999999999999</v>
      </c>
      <c r="K87" s="91">
        <f>VLOOKUP($A87,'Data Vlaue (Cr)'!$C:$FB,95)</f>
        <v>1710</v>
      </c>
      <c r="L87" s="91">
        <f>VLOOKUP($A87,'Data Vlaue (Cr)'!$C:$FB,97)</f>
        <v>605</v>
      </c>
      <c r="M87" s="92">
        <f>VLOOKUP($A87,'Data Vlaue (Cr)'!$C:$FB,98)</f>
        <v>0.54700000000000004</v>
      </c>
      <c r="N87" s="91">
        <f>VLOOKUP($A87,'Data Vlaue (Cr)'!$C:$FB,79)</f>
        <v>2549</v>
      </c>
      <c r="O87" s="92">
        <f>VLOOKUP($A87,'Data Vlaue (Cr)'!$C:$FB,82)</f>
        <v>7.0423</v>
      </c>
    </row>
    <row r="88" spans="1:15" x14ac:dyDescent="0.25">
      <c r="A88" s="97" t="str">
        <f>'Data Vlaue (Cr)'!C83</f>
        <v>HUDCO</v>
      </c>
      <c r="B88" s="142">
        <f>VLOOKUP(A88,'Data Vlaue (Cr)'!C83:CW295,99,0)</f>
        <v>1242</v>
      </c>
      <c r="C88" s="90">
        <f>VLOOKUP(A88,'Data Vlaue (Cr)'!C83:CY295,101,0)</f>
        <v>89</v>
      </c>
      <c r="D88" s="139">
        <f>VLOOKUP(A88,'Data Vlaue (Cr)'!C83:CZ295,102,0)</f>
        <v>7.7600000000000002E-2</v>
      </c>
      <c r="E88" s="91">
        <f>VLOOKUP($A88,'Data Vlaue (Cr)'!$C:$FB,75)</f>
        <v>751</v>
      </c>
      <c r="F88" s="91">
        <f>VLOOKUP($A88,'Data Vlaue (Cr)'!$C:$FB,77)</f>
        <v>12</v>
      </c>
      <c r="G88" s="92">
        <f>VLOOKUP(A88,'Data Vlaue (Cr)'!C83:CB295,78,0)</f>
        <v>1.5800000000000002E-2</v>
      </c>
      <c r="H88" s="91">
        <f>VLOOKUP($A88,'Data Vlaue (Cr)'!$C:$FB,91)</f>
        <v>252</v>
      </c>
      <c r="I88" s="91">
        <f>VLOOKUP($A88,'Data Vlaue (Cr)'!$C:$FB,93)</f>
        <v>43</v>
      </c>
      <c r="J88" s="92">
        <f>VLOOKUP($A88,'Data Vlaue (Cr)'!$C:$FB,94)</f>
        <v>0.20530000000000001</v>
      </c>
      <c r="K88" s="91">
        <f>VLOOKUP($A88,'Data Vlaue (Cr)'!$C:$FB,95)</f>
        <v>240</v>
      </c>
      <c r="L88" s="91">
        <f>VLOOKUP($A88,'Data Vlaue (Cr)'!$C:$FB,97)</f>
        <v>35</v>
      </c>
      <c r="M88" s="92">
        <f>VLOOKUP($A88,'Data Vlaue (Cr)'!$C:$FB,98)</f>
        <v>0.1701</v>
      </c>
      <c r="N88" s="91">
        <f>VLOOKUP($A88,'Data Vlaue (Cr)'!$C:$FB,79)</f>
        <v>727</v>
      </c>
      <c r="O88" s="92">
        <f>VLOOKUP($A88,'Data Vlaue (Cr)'!$C:$FB,82)</f>
        <v>12.7729</v>
      </c>
    </row>
    <row r="89" spans="1:15" x14ac:dyDescent="0.25">
      <c r="A89" s="97" t="str">
        <f>'Data Vlaue (Cr)'!C84</f>
        <v>ICICIBANK</v>
      </c>
      <c r="B89" s="142">
        <f>VLOOKUP(A89,'Data Vlaue (Cr)'!C84:CW296,99,0)</f>
        <v>21919</v>
      </c>
      <c r="C89" s="90">
        <f>VLOOKUP(A89,'Data Vlaue (Cr)'!C84:CY296,101,0)</f>
        <v>219</v>
      </c>
      <c r="D89" s="139">
        <f>VLOOKUP(A89,'Data Vlaue (Cr)'!C84:CZ296,102,0)</f>
        <v>1.01E-2</v>
      </c>
      <c r="E89" s="91">
        <f>VLOOKUP($A89,'Data Vlaue (Cr)'!$C:$FB,75)</f>
        <v>17417</v>
      </c>
      <c r="F89" s="91">
        <f>VLOOKUP($A89,'Data Vlaue (Cr)'!$C:$FB,77)</f>
        <v>-179</v>
      </c>
      <c r="G89" s="92">
        <f>VLOOKUP(A89,'Data Vlaue (Cr)'!C84:CB296,78,0)</f>
        <v>-1.0200000000000001E-2</v>
      </c>
      <c r="H89" s="91">
        <f>VLOOKUP($A89,'Data Vlaue (Cr)'!$C:$FB,91)</f>
        <v>2260</v>
      </c>
      <c r="I89" s="91">
        <f>VLOOKUP($A89,'Data Vlaue (Cr)'!$C:$FB,93)</f>
        <v>172</v>
      </c>
      <c r="J89" s="92">
        <f>VLOOKUP($A89,'Data Vlaue (Cr)'!$C:$FB,94)</f>
        <v>8.2400000000000001E-2</v>
      </c>
      <c r="K89" s="91">
        <f>VLOOKUP($A89,'Data Vlaue (Cr)'!$C:$FB,95)</f>
        <v>2242</v>
      </c>
      <c r="L89" s="91">
        <f>VLOOKUP($A89,'Data Vlaue (Cr)'!$C:$FB,97)</f>
        <v>226</v>
      </c>
      <c r="M89" s="92">
        <f>VLOOKUP($A89,'Data Vlaue (Cr)'!$C:$FB,98)</f>
        <v>0.112</v>
      </c>
      <c r="N89" s="91">
        <f>VLOOKUP($A89,'Data Vlaue (Cr)'!$C:$FB,79)</f>
        <v>15742</v>
      </c>
      <c r="O89" s="92">
        <f>VLOOKUP($A89,'Data Vlaue (Cr)'!$C:$FB,82)</f>
        <v>13.335699999999999</v>
      </c>
    </row>
    <row r="90" spans="1:15" x14ac:dyDescent="0.25">
      <c r="A90" s="97" t="str">
        <f>'Data Vlaue (Cr)'!C85</f>
        <v>ICICIGI</v>
      </c>
      <c r="B90" s="142">
        <f>VLOOKUP(A90,'Data Vlaue (Cr)'!C85:CW297,99,0)</f>
        <v>1133</v>
      </c>
      <c r="C90" s="90">
        <f>VLOOKUP(A90,'Data Vlaue (Cr)'!C85:CY297,101,0)</f>
        <v>20</v>
      </c>
      <c r="D90" s="139">
        <f>VLOOKUP(A90,'Data Vlaue (Cr)'!C85:CZ297,102,0)</f>
        <v>1.7999999999999999E-2</v>
      </c>
      <c r="E90" s="91">
        <f>VLOOKUP($A90,'Data Vlaue (Cr)'!$C:$FB,75)</f>
        <v>1001</v>
      </c>
      <c r="F90" s="91">
        <f>VLOOKUP($A90,'Data Vlaue (Cr)'!$C:$FB,77)</f>
        <v>-2</v>
      </c>
      <c r="G90" s="92">
        <f>VLOOKUP(A90,'Data Vlaue (Cr)'!C85:CB297,78,0)</f>
        <v>-1.6999999999999999E-3</v>
      </c>
      <c r="H90" s="91">
        <f>VLOOKUP($A90,'Data Vlaue (Cr)'!$C:$FB,91)</f>
        <v>59</v>
      </c>
      <c r="I90" s="91">
        <f>VLOOKUP($A90,'Data Vlaue (Cr)'!$C:$FB,93)</f>
        <v>13</v>
      </c>
      <c r="J90" s="92">
        <f>VLOOKUP($A90,'Data Vlaue (Cr)'!$C:$FB,94)</f>
        <v>0.2727</v>
      </c>
      <c r="K90" s="91">
        <f>VLOOKUP($A90,'Data Vlaue (Cr)'!$C:$FB,95)</f>
        <v>73</v>
      </c>
      <c r="L90" s="91">
        <f>VLOOKUP($A90,'Data Vlaue (Cr)'!$C:$FB,97)</f>
        <v>9</v>
      </c>
      <c r="M90" s="92">
        <f>VLOOKUP($A90,'Data Vlaue (Cr)'!$C:$FB,98)</f>
        <v>0.1414</v>
      </c>
      <c r="N90" s="91">
        <f>VLOOKUP($A90,'Data Vlaue (Cr)'!$C:$FB,79)</f>
        <v>994</v>
      </c>
      <c r="O90" s="92">
        <f>VLOOKUP($A90,'Data Vlaue (Cr)'!$C:$FB,82)</f>
        <v>28.1829</v>
      </c>
    </row>
    <row r="91" spans="1:15" x14ac:dyDescent="0.25">
      <c r="A91" s="97" t="str">
        <f>'Data Vlaue (Cr)'!C86</f>
        <v>ICICIPRULI</v>
      </c>
      <c r="B91" s="142">
        <f>VLOOKUP(A91,'Data Vlaue (Cr)'!C86:CW298,99,0)</f>
        <v>1039</v>
      </c>
      <c r="C91" s="90">
        <f>VLOOKUP(A91,'Data Vlaue (Cr)'!C86:CY298,101,0)</f>
        <v>49</v>
      </c>
      <c r="D91" s="139">
        <f>VLOOKUP(A91,'Data Vlaue (Cr)'!C86:CZ298,102,0)</f>
        <v>4.9799999999999997E-2</v>
      </c>
      <c r="E91" s="91">
        <f>VLOOKUP($A91,'Data Vlaue (Cr)'!$C:$FB,75)</f>
        <v>863</v>
      </c>
      <c r="F91" s="91">
        <f>VLOOKUP($A91,'Data Vlaue (Cr)'!$C:$FB,77)</f>
        <v>5</v>
      </c>
      <c r="G91" s="92">
        <f>VLOOKUP(A91,'Data Vlaue (Cr)'!C86:CB298,78,0)</f>
        <v>5.4000000000000003E-3</v>
      </c>
      <c r="H91" s="91">
        <f>VLOOKUP($A91,'Data Vlaue (Cr)'!$C:$FB,91)</f>
        <v>90</v>
      </c>
      <c r="I91" s="91">
        <f>VLOOKUP($A91,'Data Vlaue (Cr)'!$C:$FB,93)</f>
        <v>17</v>
      </c>
      <c r="J91" s="92">
        <f>VLOOKUP($A91,'Data Vlaue (Cr)'!$C:$FB,94)</f>
        <v>0.23930000000000001</v>
      </c>
      <c r="K91" s="91">
        <f>VLOOKUP($A91,'Data Vlaue (Cr)'!$C:$FB,95)</f>
        <v>86</v>
      </c>
      <c r="L91" s="91">
        <f>VLOOKUP($A91,'Data Vlaue (Cr)'!$C:$FB,97)</f>
        <v>27</v>
      </c>
      <c r="M91" s="92">
        <f>VLOOKUP($A91,'Data Vlaue (Cr)'!$C:$FB,98)</f>
        <v>0.46650000000000003</v>
      </c>
      <c r="N91" s="91">
        <f>VLOOKUP($A91,'Data Vlaue (Cr)'!$C:$FB,79)</f>
        <v>861</v>
      </c>
      <c r="O91" s="92">
        <f>VLOOKUP($A91,'Data Vlaue (Cr)'!$C:$FB,82)</f>
        <v>2.2319</v>
      </c>
    </row>
    <row r="92" spans="1:15" x14ac:dyDescent="0.25">
      <c r="A92" s="97" t="str">
        <f>'Data Vlaue (Cr)'!C87</f>
        <v>IDEA</v>
      </c>
      <c r="B92" s="142">
        <f>VLOOKUP(A92,'Data Vlaue (Cr)'!C87:CW299,99,0)</f>
        <v>9160</v>
      </c>
      <c r="C92" s="90">
        <f>VLOOKUP(A92,'Data Vlaue (Cr)'!C87:CY299,101,0)</f>
        <v>372</v>
      </c>
      <c r="D92" s="139">
        <f>VLOOKUP(A92,'Data Vlaue (Cr)'!C87:CZ299,102,0)</f>
        <v>4.2299999999999997E-2</v>
      </c>
      <c r="E92" s="91">
        <f>VLOOKUP($A92,'Data Vlaue (Cr)'!$C:$FB,75)</f>
        <v>7155</v>
      </c>
      <c r="F92" s="91">
        <f>VLOOKUP($A92,'Data Vlaue (Cr)'!$C:$FB,77)</f>
        <v>132</v>
      </c>
      <c r="G92" s="92">
        <f>VLOOKUP(A92,'Data Vlaue (Cr)'!C87:CB299,78,0)</f>
        <v>1.89E-2</v>
      </c>
      <c r="H92" s="91">
        <f>VLOOKUP($A92,'Data Vlaue (Cr)'!$C:$FB,91)</f>
        <v>1165</v>
      </c>
      <c r="I92" s="91">
        <f>VLOOKUP($A92,'Data Vlaue (Cr)'!$C:$FB,93)</f>
        <v>159</v>
      </c>
      <c r="J92" s="92">
        <f>VLOOKUP($A92,'Data Vlaue (Cr)'!$C:$FB,94)</f>
        <v>0.15809999999999999</v>
      </c>
      <c r="K92" s="91">
        <f>VLOOKUP($A92,'Data Vlaue (Cr)'!$C:$FB,95)</f>
        <v>840</v>
      </c>
      <c r="L92" s="91">
        <f>VLOOKUP($A92,'Data Vlaue (Cr)'!$C:$FB,97)</f>
        <v>80</v>
      </c>
      <c r="M92" s="92">
        <f>VLOOKUP($A92,'Data Vlaue (Cr)'!$C:$FB,98)</f>
        <v>0.1055</v>
      </c>
      <c r="N92" s="91">
        <f>VLOOKUP($A92,'Data Vlaue (Cr)'!$C:$FB,79)</f>
        <v>6983</v>
      </c>
      <c r="O92" s="92">
        <f>VLOOKUP($A92,'Data Vlaue (Cr)'!$C:$FB,82)</f>
        <v>20.6419</v>
      </c>
    </row>
    <row r="93" spans="1:15" x14ac:dyDescent="0.25">
      <c r="A93" s="97" t="str">
        <f>'Data Vlaue (Cr)'!C88</f>
        <v>IDFCFIRSTB</v>
      </c>
      <c r="B93" s="142">
        <f>VLOOKUP(A93,'Data Vlaue (Cr)'!C88:CW300,99,0)</f>
        <v>3667</v>
      </c>
      <c r="C93" s="90">
        <f>VLOOKUP(A93,'Data Vlaue (Cr)'!C88:CY300,101,0)</f>
        <v>286</v>
      </c>
      <c r="D93" s="139">
        <f>VLOOKUP(A93,'Data Vlaue (Cr)'!C88:CZ300,102,0)</f>
        <v>8.4500000000000006E-2</v>
      </c>
      <c r="E93" s="91">
        <f>VLOOKUP($A93,'Data Vlaue (Cr)'!$C:$FB,75)</f>
        <v>2416</v>
      </c>
      <c r="F93" s="91">
        <f>VLOOKUP($A93,'Data Vlaue (Cr)'!$C:$FB,77)</f>
        <v>25</v>
      </c>
      <c r="G93" s="92">
        <f>VLOOKUP(A93,'Data Vlaue (Cr)'!C88:CB300,78,0)</f>
        <v>1.0500000000000001E-2</v>
      </c>
      <c r="H93" s="91">
        <f>VLOOKUP($A93,'Data Vlaue (Cr)'!$C:$FB,91)</f>
        <v>669</v>
      </c>
      <c r="I93" s="91">
        <f>VLOOKUP($A93,'Data Vlaue (Cr)'!$C:$FB,93)</f>
        <v>104</v>
      </c>
      <c r="J93" s="92">
        <f>VLOOKUP($A93,'Data Vlaue (Cr)'!$C:$FB,94)</f>
        <v>0.1842</v>
      </c>
      <c r="K93" s="91">
        <f>VLOOKUP($A93,'Data Vlaue (Cr)'!$C:$FB,95)</f>
        <v>582</v>
      </c>
      <c r="L93" s="91">
        <f>VLOOKUP($A93,'Data Vlaue (Cr)'!$C:$FB,97)</f>
        <v>157</v>
      </c>
      <c r="M93" s="92">
        <f>VLOOKUP($A93,'Data Vlaue (Cr)'!$C:$FB,98)</f>
        <v>0.36840000000000001</v>
      </c>
      <c r="N93" s="91">
        <f>VLOOKUP($A93,'Data Vlaue (Cr)'!$C:$FB,79)</f>
        <v>2302</v>
      </c>
      <c r="O93" s="92">
        <f>VLOOKUP($A93,'Data Vlaue (Cr)'!$C:$FB,82)</f>
        <v>25.481300000000001</v>
      </c>
    </row>
    <row r="94" spans="1:15" x14ac:dyDescent="0.25">
      <c r="A94" s="97" t="str">
        <f>'Data Vlaue (Cr)'!C89</f>
        <v>IEX</v>
      </c>
      <c r="B94" s="142">
        <f>VLOOKUP(A94,'Data Vlaue (Cr)'!C89:CW301,99,0)</f>
        <v>1750</v>
      </c>
      <c r="C94" s="90">
        <f>VLOOKUP(A94,'Data Vlaue (Cr)'!C89:CY301,101,0)</f>
        <v>96</v>
      </c>
      <c r="D94" s="139">
        <f>VLOOKUP(A94,'Data Vlaue (Cr)'!C89:CZ301,102,0)</f>
        <v>5.8200000000000002E-2</v>
      </c>
      <c r="E94" s="91">
        <f>VLOOKUP($A94,'Data Vlaue (Cr)'!$C:$FB,75)</f>
        <v>931</v>
      </c>
      <c r="F94" s="91">
        <f>VLOOKUP($A94,'Data Vlaue (Cr)'!$C:$FB,77)</f>
        <v>5</v>
      </c>
      <c r="G94" s="92">
        <f>VLOOKUP(A94,'Data Vlaue (Cr)'!C89:CB301,78,0)</f>
        <v>5.4999999999999997E-3</v>
      </c>
      <c r="H94" s="91">
        <f>VLOOKUP($A94,'Data Vlaue (Cr)'!$C:$FB,91)</f>
        <v>424</v>
      </c>
      <c r="I94" s="91">
        <f>VLOOKUP($A94,'Data Vlaue (Cr)'!$C:$FB,93)</f>
        <v>65</v>
      </c>
      <c r="J94" s="92">
        <f>VLOOKUP($A94,'Data Vlaue (Cr)'!$C:$FB,94)</f>
        <v>0.18160000000000001</v>
      </c>
      <c r="K94" s="91">
        <f>VLOOKUP($A94,'Data Vlaue (Cr)'!$C:$FB,95)</f>
        <v>395</v>
      </c>
      <c r="L94" s="91">
        <f>VLOOKUP($A94,'Data Vlaue (Cr)'!$C:$FB,97)</f>
        <v>26</v>
      </c>
      <c r="M94" s="92">
        <f>VLOOKUP($A94,'Data Vlaue (Cr)'!$C:$FB,98)</f>
        <v>7.0599999999999996E-2</v>
      </c>
      <c r="N94" s="91">
        <f>VLOOKUP($A94,'Data Vlaue (Cr)'!$C:$FB,79)</f>
        <v>892</v>
      </c>
      <c r="O94" s="92">
        <f>VLOOKUP($A94,'Data Vlaue (Cr)'!$C:$FB,82)</f>
        <v>5.1111000000000004</v>
      </c>
    </row>
    <row r="95" spans="1:15" x14ac:dyDescent="0.25">
      <c r="A95" s="97" t="str">
        <f>'Data Vlaue (Cr)'!C90</f>
        <v>INDHOTEL</v>
      </c>
      <c r="B95" s="142">
        <f>VLOOKUP(A95,'Data Vlaue (Cr)'!C90:CW302,99,0)</f>
        <v>2565</v>
      </c>
      <c r="C95" s="90">
        <f>VLOOKUP(A95,'Data Vlaue (Cr)'!C90:CY302,101,0)</f>
        <v>48</v>
      </c>
      <c r="D95" s="139">
        <f>VLOOKUP(A95,'Data Vlaue (Cr)'!C90:CZ302,102,0)</f>
        <v>1.9300000000000001E-2</v>
      </c>
      <c r="E95" s="91">
        <f>VLOOKUP($A95,'Data Vlaue (Cr)'!$C:$FB,75)</f>
        <v>1800</v>
      </c>
      <c r="F95" s="91">
        <f>VLOOKUP($A95,'Data Vlaue (Cr)'!$C:$FB,77)</f>
        <v>-3</v>
      </c>
      <c r="G95" s="92">
        <f>VLOOKUP(A95,'Data Vlaue (Cr)'!C90:CB302,78,0)</f>
        <v>-1.8E-3</v>
      </c>
      <c r="H95" s="91">
        <f>VLOOKUP($A95,'Data Vlaue (Cr)'!$C:$FB,91)</f>
        <v>373</v>
      </c>
      <c r="I95" s="91">
        <f>VLOOKUP($A95,'Data Vlaue (Cr)'!$C:$FB,93)</f>
        <v>33</v>
      </c>
      <c r="J95" s="92">
        <f>VLOOKUP($A95,'Data Vlaue (Cr)'!$C:$FB,94)</f>
        <v>9.7699999999999995E-2</v>
      </c>
      <c r="K95" s="91">
        <f>VLOOKUP($A95,'Data Vlaue (Cr)'!$C:$FB,95)</f>
        <v>391</v>
      </c>
      <c r="L95" s="91">
        <f>VLOOKUP($A95,'Data Vlaue (Cr)'!$C:$FB,97)</f>
        <v>18</v>
      </c>
      <c r="M95" s="92">
        <f>VLOOKUP($A95,'Data Vlaue (Cr)'!$C:$FB,98)</f>
        <v>4.9500000000000002E-2</v>
      </c>
      <c r="N95" s="91">
        <f>VLOOKUP($A95,'Data Vlaue (Cr)'!$C:$FB,79)</f>
        <v>1758</v>
      </c>
      <c r="O95" s="92">
        <f>VLOOKUP($A95,'Data Vlaue (Cr)'!$C:$FB,82)</f>
        <v>12.062200000000001</v>
      </c>
    </row>
    <row r="96" spans="1:15" x14ac:dyDescent="0.25">
      <c r="A96" s="97" t="str">
        <f>'Data Vlaue (Cr)'!C91</f>
        <v>INDIANB</v>
      </c>
      <c r="B96" s="142">
        <f>VLOOKUP(A96,'Data Vlaue (Cr)'!C91:CW303,99,0)</f>
        <v>1264</v>
      </c>
      <c r="C96" s="90">
        <f>VLOOKUP(A96,'Data Vlaue (Cr)'!C91:CY303,101,0)</f>
        <v>78</v>
      </c>
      <c r="D96" s="139">
        <f>VLOOKUP(A96,'Data Vlaue (Cr)'!C91:CZ303,102,0)</f>
        <v>6.5500000000000003E-2</v>
      </c>
      <c r="E96" s="91">
        <f>VLOOKUP($A96,'Data Vlaue (Cr)'!$C:$FB,75)</f>
        <v>883</v>
      </c>
      <c r="F96" s="91">
        <f>VLOOKUP($A96,'Data Vlaue (Cr)'!$C:$FB,77)</f>
        <v>20</v>
      </c>
      <c r="G96" s="92">
        <f>VLOOKUP(A96,'Data Vlaue (Cr)'!C91:CB303,78,0)</f>
        <v>2.3400000000000001E-2</v>
      </c>
      <c r="H96" s="91">
        <f>VLOOKUP($A96,'Data Vlaue (Cr)'!$C:$FB,91)</f>
        <v>230</v>
      </c>
      <c r="I96" s="91">
        <f>VLOOKUP($A96,'Data Vlaue (Cr)'!$C:$FB,93)</f>
        <v>30</v>
      </c>
      <c r="J96" s="92">
        <f>VLOOKUP($A96,'Data Vlaue (Cr)'!$C:$FB,94)</f>
        <v>0.1525</v>
      </c>
      <c r="K96" s="91">
        <f>VLOOKUP($A96,'Data Vlaue (Cr)'!$C:$FB,95)</f>
        <v>151</v>
      </c>
      <c r="L96" s="91">
        <f>VLOOKUP($A96,'Data Vlaue (Cr)'!$C:$FB,97)</f>
        <v>27</v>
      </c>
      <c r="M96" s="92">
        <f>VLOOKUP($A96,'Data Vlaue (Cr)'!$C:$FB,98)</f>
        <v>0.21920000000000001</v>
      </c>
      <c r="N96" s="91">
        <f>VLOOKUP($A96,'Data Vlaue (Cr)'!$C:$FB,79)</f>
        <v>871</v>
      </c>
      <c r="O96" s="92">
        <f>VLOOKUP($A96,'Data Vlaue (Cr)'!$C:$FB,82)</f>
        <v>15.3209</v>
      </c>
    </row>
    <row r="97" spans="1:15" x14ac:dyDescent="0.25">
      <c r="A97" s="97" t="str">
        <f>'Data Vlaue (Cr)'!C92</f>
        <v>INDIAVIX</v>
      </c>
      <c r="B97" s="142">
        <f>VLOOKUP(A97,'Data Vlaue (Cr)'!C92:CW304,99,0)</f>
        <v>0</v>
      </c>
      <c r="C97" s="90">
        <f>VLOOKUP(A97,'Data Vlaue (Cr)'!C92:CY304,101,0)</f>
        <v>0</v>
      </c>
      <c r="D97" s="139">
        <f>VLOOKUP(A97,'Data Vlaue (Cr)'!C92:CZ304,102,0)</f>
        <v>0</v>
      </c>
      <c r="E97" s="91">
        <f>VLOOKUP($A97,'Data Vlaue (Cr)'!$C:$FB,75)</f>
        <v>0</v>
      </c>
      <c r="F97" s="91">
        <f>VLOOKUP($A97,'Data Vlaue (Cr)'!$C:$FB,77)</f>
        <v>0</v>
      </c>
      <c r="G97" s="92">
        <f>VLOOKUP(A97,'Data Vlaue (Cr)'!C92:CB304,78,0)</f>
        <v>0</v>
      </c>
      <c r="H97" s="91">
        <f>VLOOKUP($A97,'Data Vlaue (Cr)'!$C:$FB,91)</f>
        <v>0</v>
      </c>
      <c r="I97" s="91">
        <f>VLOOKUP($A97,'Data Vlaue (Cr)'!$C:$FB,93)</f>
        <v>0</v>
      </c>
      <c r="J97" s="92">
        <f>VLOOKUP($A97,'Data Vlaue (Cr)'!$C:$FB,94)</f>
        <v>0</v>
      </c>
      <c r="K97" s="91">
        <f>VLOOKUP($A97,'Data Vlaue (Cr)'!$C:$FB,95)</f>
        <v>0</v>
      </c>
      <c r="L97" s="91">
        <f>VLOOKUP($A97,'Data Vlaue (Cr)'!$C:$FB,97)</f>
        <v>0</v>
      </c>
      <c r="M97" s="92">
        <f>VLOOKUP($A97,'Data Vlaue (Cr)'!$C:$FB,98)</f>
        <v>0</v>
      </c>
      <c r="N97" s="91">
        <f>VLOOKUP($A97,'Data Vlaue (Cr)'!$C:$FB,79)</f>
        <v>0</v>
      </c>
      <c r="O97" s="92">
        <f>VLOOKUP($A97,'Data Vlaue (Cr)'!$C:$FB,82)</f>
        <v>0</v>
      </c>
    </row>
    <row r="98" spans="1:15" x14ac:dyDescent="0.25">
      <c r="A98" s="97" t="str">
        <f>'Data Vlaue (Cr)'!C93</f>
        <v>INDIGO</v>
      </c>
      <c r="B98" s="142">
        <f>VLOOKUP(A98,'Data Vlaue (Cr)'!C93:CW305,99,0)</f>
        <v>5963</v>
      </c>
      <c r="C98" s="90">
        <f>VLOOKUP(A98,'Data Vlaue (Cr)'!C93:CY305,101,0)</f>
        <v>436</v>
      </c>
      <c r="D98" s="139">
        <f>VLOOKUP(A98,'Data Vlaue (Cr)'!C93:CZ305,102,0)</f>
        <v>7.8899999999999998E-2</v>
      </c>
      <c r="E98" s="91">
        <f>VLOOKUP($A98,'Data Vlaue (Cr)'!$C:$FB,75)</f>
        <v>4088</v>
      </c>
      <c r="F98" s="91">
        <f>VLOOKUP($A98,'Data Vlaue (Cr)'!$C:$FB,77)</f>
        <v>207</v>
      </c>
      <c r="G98" s="92">
        <f>VLOOKUP(A98,'Data Vlaue (Cr)'!C93:CB305,78,0)</f>
        <v>5.3499999999999999E-2</v>
      </c>
      <c r="H98" s="91">
        <f>VLOOKUP($A98,'Data Vlaue (Cr)'!$C:$FB,91)</f>
        <v>988</v>
      </c>
      <c r="I98" s="91">
        <f>VLOOKUP($A98,'Data Vlaue (Cr)'!$C:$FB,93)</f>
        <v>117</v>
      </c>
      <c r="J98" s="92">
        <f>VLOOKUP($A98,'Data Vlaue (Cr)'!$C:$FB,94)</f>
        <v>0.1343</v>
      </c>
      <c r="K98" s="91">
        <f>VLOOKUP($A98,'Data Vlaue (Cr)'!$C:$FB,95)</f>
        <v>887</v>
      </c>
      <c r="L98" s="91">
        <f>VLOOKUP($A98,'Data Vlaue (Cr)'!$C:$FB,97)</f>
        <v>111</v>
      </c>
      <c r="M98" s="92">
        <f>VLOOKUP($A98,'Data Vlaue (Cr)'!$C:$FB,98)</f>
        <v>0.14380000000000001</v>
      </c>
      <c r="N98" s="91">
        <f>VLOOKUP($A98,'Data Vlaue (Cr)'!$C:$FB,79)</f>
        <v>4015</v>
      </c>
      <c r="O98" s="92">
        <f>VLOOKUP($A98,'Data Vlaue (Cr)'!$C:$FB,82)</f>
        <v>10.7057</v>
      </c>
    </row>
    <row r="99" spans="1:15" x14ac:dyDescent="0.25">
      <c r="A99" s="97" t="str">
        <f>'Data Vlaue (Cr)'!C94</f>
        <v>INDUSINDBK</v>
      </c>
      <c r="B99" s="142">
        <f>VLOOKUP(A99,'Data Vlaue (Cr)'!C94:CW306,99,0)</f>
        <v>4261</v>
      </c>
      <c r="C99" s="90">
        <f>VLOOKUP(A99,'Data Vlaue (Cr)'!C94:CY306,101,0)</f>
        <v>112</v>
      </c>
      <c r="D99" s="139">
        <f>VLOOKUP(A99,'Data Vlaue (Cr)'!C94:CZ306,102,0)</f>
        <v>2.7E-2</v>
      </c>
      <c r="E99" s="91">
        <f>VLOOKUP($A99,'Data Vlaue (Cr)'!$C:$FB,75)</f>
        <v>3281</v>
      </c>
      <c r="F99" s="91">
        <f>VLOOKUP($A99,'Data Vlaue (Cr)'!$C:$FB,77)</f>
        <v>25</v>
      </c>
      <c r="G99" s="92">
        <f>VLOOKUP(A99,'Data Vlaue (Cr)'!C94:CB306,78,0)</f>
        <v>7.7999999999999996E-3</v>
      </c>
      <c r="H99" s="91">
        <f>VLOOKUP($A99,'Data Vlaue (Cr)'!$C:$FB,91)</f>
        <v>535</v>
      </c>
      <c r="I99" s="91">
        <f>VLOOKUP($A99,'Data Vlaue (Cr)'!$C:$FB,93)</f>
        <v>58</v>
      </c>
      <c r="J99" s="92">
        <f>VLOOKUP($A99,'Data Vlaue (Cr)'!$C:$FB,94)</f>
        <v>0.12189999999999999</v>
      </c>
      <c r="K99" s="91">
        <f>VLOOKUP($A99,'Data Vlaue (Cr)'!$C:$FB,95)</f>
        <v>446</v>
      </c>
      <c r="L99" s="91">
        <f>VLOOKUP($A99,'Data Vlaue (Cr)'!$C:$FB,97)</f>
        <v>29</v>
      </c>
      <c r="M99" s="92">
        <f>VLOOKUP($A99,'Data Vlaue (Cr)'!$C:$FB,98)</f>
        <v>6.8599999999999994E-2</v>
      </c>
      <c r="N99" s="91">
        <f>VLOOKUP($A99,'Data Vlaue (Cr)'!$C:$FB,79)</f>
        <v>3223</v>
      </c>
      <c r="O99" s="92">
        <f>VLOOKUP($A99,'Data Vlaue (Cr)'!$C:$FB,82)</f>
        <v>9.7941000000000003</v>
      </c>
    </row>
    <row r="100" spans="1:15" x14ac:dyDescent="0.25">
      <c r="A100" s="97" t="str">
        <f>'Data Vlaue (Cr)'!C95</f>
        <v>INDUSTOWER</v>
      </c>
      <c r="B100" s="142">
        <f>VLOOKUP(A100,'Data Vlaue (Cr)'!C95:CW307,99,0)</f>
        <v>4686</v>
      </c>
      <c r="C100" s="90">
        <f>VLOOKUP(A100,'Data Vlaue (Cr)'!C95:CY307,101,0)</f>
        <v>65</v>
      </c>
      <c r="D100" s="139">
        <f>VLOOKUP(A100,'Data Vlaue (Cr)'!C95:CZ307,102,0)</f>
        <v>1.4E-2</v>
      </c>
      <c r="E100" s="91">
        <f>VLOOKUP($A100,'Data Vlaue (Cr)'!$C:$FB,75)</f>
        <v>4108</v>
      </c>
      <c r="F100" s="91">
        <f>VLOOKUP($A100,'Data Vlaue (Cr)'!$C:$FB,77)</f>
        <v>21</v>
      </c>
      <c r="G100" s="92">
        <f>VLOOKUP(A100,'Data Vlaue (Cr)'!C95:CB307,78,0)</f>
        <v>5.1999999999999998E-3</v>
      </c>
      <c r="H100" s="91">
        <f>VLOOKUP($A100,'Data Vlaue (Cr)'!$C:$FB,91)</f>
        <v>340</v>
      </c>
      <c r="I100" s="91">
        <f>VLOOKUP($A100,'Data Vlaue (Cr)'!$C:$FB,93)</f>
        <v>34</v>
      </c>
      <c r="J100" s="92">
        <f>VLOOKUP($A100,'Data Vlaue (Cr)'!$C:$FB,94)</f>
        <v>0.1125</v>
      </c>
      <c r="K100" s="91">
        <f>VLOOKUP($A100,'Data Vlaue (Cr)'!$C:$FB,95)</f>
        <v>238</v>
      </c>
      <c r="L100" s="91">
        <f>VLOOKUP($A100,'Data Vlaue (Cr)'!$C:$FB,97)</f>
        <v>9</v>
      </c>
      <c r="M100" s="92">
        <f>VLOOKUP($A100,'Data Vlaue (Cr)'!$C:$FB,98)</f>
        <v>3.8899999999999997E-2</v>
      </c>
      <c r="N100" s="91">
        <f>VLOOKUP($A100,'Data Vlaue (Cr)'!$C:$FB,79)</f>
        <v>4086</v>
      </c>
      <c r="O100" s="92">
        <f>VLOOKUP($A100,'Data Vlaue (Cr)'!$C:$FB,82)</f>
        <v>32.252200000000002</v>
      </c>
    </row>
    <row r="101" spans="1:15" x14ac:dyDescent="0.25">
      <c r="A101" s="97" t="str">
        <f>'Data Vlaue (Cr)'!C96</f>
        <v>INFY</v>
      </c>
      <c r="B101" s="142">
        <f>VLOOKUP(A101,'Data Vlaue (Cr)'!C96:CW308,99,0)</f>
        <v>13087</v>
      </c>
      <c r="C101" s="90">
        <f>VLOOKUP(A101,'Data Vlaue (Cr)'!C96:CY308,101,0)</f>
        <v>355</v>
      </c>
      <c r="D101" s="139">
        <f>VLOOKUP(A101,'Data Vlaue (Cr)'!C96:CZ308,102,0)</f>
        <v>2.7900000000000001E-2</v>
      </c>
      <c r="E101" s="91">
        <f>VLOOKUP($A101,'Data Vlaue (Cr)'!$C:$FB,75)</f>
        <v>11030</v>
      </c>
      <c r="F101" s="91">
        <f>VLOOKUP($A101,'Data Vlaue (Cr)'!$C:$FB,77)</f>
        <v>-148</v>
      </c>
      <c r="G101" s="92">
        <f>VLOOKUP(A101,'Data Vlaue (Cr)'!C96:CB308,78,0)</f>
        <v>-1.32E-2</v>
      </c>
      <c r="H101" s="91">
        <f>VLOOKUP($A101,'Data Vlaue (Cr)'!$C:$FB,91)</f>
        <v>1170</v>
      </c>
      <c r="I101" s="91">
        <f>VLOOKUP($A101,'Data Vlaue (Cr)'!$C:$FB,93)</f>
        <v>327</v>
      </c>
      <c r="J101" s="92">
        <f>VLOOKUP($A101,'Data Vlaue (Cr)'!$C:$FB,94)</f>
        <v>0.38800000000000001</v>
      </c>
      <c r="K101" s="91">
        <f>VLOOKUP($A101,'Data Vlaue (Cr)'!$C:$FB,95)</f>
        <v>887</v>
      </c>
      <c r="L101" s="91">
        <f>VLOOKUP($A101,'Data Vlaue (Cr)'!$C:$FB,97)</f>
        <v>176</v>
      </c>
      <c r="M101" s="92">
        <f>VLOOKUP($A101,'Data Vlaue (Cr)'!$C:$FB,98)</f>
        <v>0.2467</v>
      </c>
      <c r="N101" s="91">
        <f>VLOOKUP($A101,'Data Vlaue (Cr)'!$C:$FB,79)</f>
        <v>10861</v>
      </c>
      <c r="O101" s="92">
        <f>VLOOKUP($A101,'Data Vlaue (Cr)'!$C:$FB,82)</f>
        <v>7.1795</v>
      </c>
    </row>
    <row r="102" spans="1:15" x14ac:dyDescent="0.25">
      <c r="A102" s="97" t="str">
        <f>'Data Vlaue (Cr)'!C97</f>
        <v>INOXWIND</v>
      </c>
      <c r="B102" s="142">
        <f>VLOOKUP(A102,'Data Vlaue (Cr)'!C97:CW309,99,0)</f>
        <v>1311</v>
      </c>
      <c r="C102" s="90">
        <f>VLOOKUP(A102,'Data Vlaue (Cr)'!C97:CY309,101,0)</f>
        <v>69</v>
      </c>
      <c r="D102" s="139">
        <f>VLOOKUP(A102,'Data Vlaue (Cr)'!C97:CZ309,102,0)</f>
        <v>5.5300000000000002E-2</v>
      </c>
      <c r="E102" s="91">
        <f>VLOOKUP($A102,'Data Vlaue (Cr)'!$C:$FB,75)</f>
        <v>1013</v>
      </c>
      <c r="F102" s="91">
        <f>VLOOKUP($A102,'Data Vlaue (Cr)'!$C:$FB,77)</f>
        <v>1</v>
      </c>
      <c r="G102" s="92">
        <f>VLOOKUP(A102,'Data Vlaue (Cr)'!C97:CB309,78,0)</f>
        <v>1.5E-3</v>
      </c>
      <c r="H102" s="91">
        <f>VLOOKUP($A102,'Data Vlaue (Cr)'!$C:$FB,91)</f>
        <v>140</v>
      </c>
      <c r="I102" s="91">
        <f>VLOOKUP($A102,'Data Vlaue (Cr)'!$C:$FB,93)</f>
        <v>34</v>
      </c>
      <c r="J102" s="92">
        <f>VLOOKUP($A102,'Data Vlaue (Cr)'!$C:$FB,94)</f>
        <v>0.31730000000000003</v>
      </c>
      <c r="K102" s="91">
        <f>VLOOKUP($A102,'Data Vlaue (Cr)'!$C:$FB,95)</f>
        <v>157</v>
      </c>
      <c r="L102" s="91">
        <f>VLOOKUP($A102,'Data Vlaue (Cr)'!$C:$FB,97)</f>
        <v>33</v>
      </c>
      <c r="M102" s="92">
        <f>VLOOKUP($A102,'Data Vlaue (Cr)'!$C:$FB,98)</f>
        <v>0.27010000000000001</v>
      </c>
      <c r="N102" s="91">
        <f>VLOOKUP($A102,'Data Vlaue (Cr)'!$C:$FB,79)</f>
        <v>989</v>
      </c>
      <c r="O102" s="92">
        <f>VLOOKUP($A102,'Data Vlaue (Cr)'!$C:$FB,82)</f>
        <v>21.242699999999999</v>
      </c>
    </row>
    <row r="103" spans="1:15" x14ac:dyDescent="0.25">
      <c r="A103" s="97" t="str">
        <f>'Data Vlaue (Cr)'!C98</f>
        <v>IOC</v>
      </c>
      <c r="B103" s="142">
        <f>VLOOKUP(A103,'Data Vlaue (Cr)'!C98:CW310,99,0)</f>
        <v>2156</v>
      </c>
      <c r="C103" s="90">
        <f>VLOOKUP(A103,'Data Vlaue (Cr)'!C98:CY310,101,0)</f>
        <v>198</v>
      </c>
      <c r="D103" s="139">
        <f>VLOOKUP(A103,'Data Vlaue (Cr)'!C98:CZ310,102,0)</f>
        <v>0.1012</v>
      </c>
      <c r="E103" s="91">
        <f>VLOOKUP($A103,'Data Vlaue (Cr)'!$C:$FB,75)</f>
        <v>1422</v>
      </c>
      <c r="F103" s="91">
        <f>VLOOKUP($A103,'Data Vlaue (Cr)'!$C:$FB,77)</f>
        <v>32</v>
      </c>
      <c r="G103" s="92">
        <f>VLOOKUP(A103,'Data Vlaue (Cr)'!C98:CB310,78,0)</f>
        <v>2.3199999999999998E-2</v>
      </c>
      <c r="H103" s="91">
        <f>VLOOKUP($A103,'Data Vlaue (Cr)'!$C:$FB,91)</f>
        <v>402</v>
      </c>
      <c r="I103" s="91">
        <f>VLOOKUP($A103,'Data Vlaue (Cr)'!$C:$FB,93)</f>
        <v>116</v>
      </c>
      <c r="J103" s="92">
        <f>VLOOKUP($A103,'Data Vlaue (Cr)'!$C:$FB,94)</f>
        <v>0.40570000000000001</v>
      </c>
      <c r="K103" s="91">
        <f>VLOOKUP($A103,'Data Vlaue (Cr)'!$C:$FB,95)</f>
        <v>332</v>
      </c>
      <c r="L103" s="91">
        <f>VLOOKUP($A103,'Data Vlaue (Cr)'!$C:$FB,97)</f>
        <v>50</v>
      </c>
      <c r="M103" s="92">
        <f>VLOOKUP($A103,'Data Vlaue (Cr)'!$C:$FB,98)</f>
        <v>0.17730000000000001</v>
      </c>
      <c r="N103" s="91">
        <f>VLOOKUP($A103,'Data Vlaue (Cr)'!$C:$FB,79)</f>
        <v>1388</v>
      </c>
      <c r="O103" s="92">
        <f>VLOOKUP($A103,'Data Vlaue (Cr)'!$C:$FB,82)</f>
        <v>6.5948000000000002</v>
      </c>
    </row>
    <row r="104" spans="1:15" x14ac:dyDescent="0.25">
      <c r="A104" s="97" t="str">
        <f>'Data Vlaue (Cr)'!C99</f>
        <v>IRCTC</v>
      </c>
      <c r="B104" s="142">
        <f>VLOOKUP(A104,'Data Vlaue (Cr)'!C99:CW311,99,0)</f>
        <v>2242</v>
      </c>
      <c r="C104" s="90">
        <f>VLOOKUP(A104,'Data Vlaue (Cr)'!C99:CY311,101,0)</f>
        <v>94</v>
      </c>
      <c r="D104" s="139">
        <f>VLOOKUP(A104,'Data Vlaue (Cr)'!C99:CZ311,102,0)</f>
        <v>4.3799999999999999E-2</v>
      </c>
      <c r="E104" s="91">
        <f>VLOOKUP($A104,'Data Vlaue (Cr)'!$C:$FB,75)</f>
        <v>1233</v>
      </c>
      <c r="F104" s="91">
        <f>VLOOKUP($A104,'Data Vlaue (Cr)'!$C:$FB,77)</f>
        <v>-5</v>
      </c>
      <c r="G104" s="92">
        <f>VLOOKUP(A104,'Data Vlaue (Cr)'!C99:CB311,78,0)</f>
        <v>-4.4000000000000003E-3</v>
      </c>
      <c r="H104" s="91">
        <f>VLOOKUP($A104,'Data Vlaue (Cr)'!$C:$FB,91)</f>
        <v>566</v>
      </c>
      <c r="I104" s="91">
        <f>VLOOKUP($A104,'Data Vlaue (Cr)'!$C:$FB,93)</f>
        <v>76</v>
      </c>
      <c r="J104" s="92">
        <f>VLOOKUP($A104,'Data Vlaue (Cr)'!$C:$FB,94)</f>
        <v>0.15459999999999999</v>
      </c>
      <c r="K104" s="91">
        <f>VLOOKUP($A104,'Data Vlaue (Cr)'!$C:$FB,95)</f>
        <v>443</v>
      </c>
      <c r="L104" s="91">
        <f>VLOOKUP($A104,'Data Vlaue (Cr)'!$C:$FB,97)</f>
        <v>24</v>
      </c>
      <c r="M104" s="92">
        <f>VLOOKUP($A104,'Data Vlaue (Cr)'!$C:$FB,98)</f>
        <v>5.6599999999999998E-2</v>
      </c>
      <c r="N104" s="91">
        <f>VLOOKUP($A104,'Data Vlaue (Cr)'!$C:$FB,79)</f>
        <v>1233</v>
      </c>
      <c r="O104" s="92">
        <f>VLOOKUP($A104,'Data Vlaue (Cr)'!$C:$FB,82)</f>
        <v>6.7500999999999998</v>
      </c>
    </row>
    <row r="105" spans="1:15" x14ac:dyDescent="0.25">
      <c r="A105" s="97" t="str">
        <f>'Data Vlaue (Cr)'!C100</f>
        <v>IREDA</v>
      </c>
      <c r="B105" s="142">
        <f>VLOOKUP(A105,'Data Vlaue (Cr)'!C100:CW312,99,0)</f>
        <v>1303</v>
      </c>
      <c r="C105" s="90">
        <f>VLOOKUP(A105,'Data Vlaue (Cr)'!C100:CY312,101,0)</f>
        <v>121</v>
      </c>
      <c r="D105" s="139">
        <f>VLOOKUP(A105,'Data Vlaue (Cr)'!C100:CZ312,102,0)</f>
        <v>0.1022</v>
      </c>
      <c r="E105" s="91">
        <f>VLOOKUP($A105,'Data Vlaue (Cr)'!$C:$FB,75)</f>
        <v>807</v>
      </c>
      <c r="F105" s="91">
        <f>VLOOKUP($A105,'Data Vlaue (Cr)'!$C:$FB,77)</f>
        <v>28</v>
      </c>
      <c r="G105" s="92">
        <f>VLOOKUP(A105,'Data Vlaue (Cr)'!C100:CB312,78,0)</f>
        <v>3.5299999999999998E-2</v>
      </c>
      <c r="H105" s="91">
        <f>VLOOKUP($A105,'Data Vlaue (Cr)'!$C:$FB,91)</f>
        <v>283</v>
      </c>
      <c r="I105" s="91">
        <f>VLOOKUP($A105,'Data Vlaue (Cr)'!$C:$FB,93)</f>
        <v>56</v>
      </c>
      <c r="J105" s="92">
        <f>VLOOKUP($A105,'Data Vlaue (Cr)'!$C:$FB,94)</f>
        <v>0.2475</v>
      </c>
      <c r="K105" s="91">
        <f>VLOOKUP($A105,'Data Vlaue (Cr)'!$C:$FB,95)</f>
        <v>213</v>
      </c>
      <c r="L105" s="91">
        <f>VLOOKUP($A105,'Data Vlaue (Cr)'!$C:$FB,97)</f>
        <v>37</v>
      </c>
      <c r="M105" s="92">
        <f>VLOOKUP($A105,'Data Vlaue (Cr)'!$C:$FB,98)</f>
        <v>0.21210000000000001</v>
      </c>
      <c r="N105" s="91">
        <f>VLOOKUP($A105,'Data Vlaue (Cr)'!$C:$FB,79)</f>
        <v>729</v>
      </c>
      <c r="O105" s="92">
        <f>VLOOKUP($A105,'Data Vlaue (Cr)'!$C:$FB,82)</f>
        <v>12.744</v>
      </c>
    </row>
    <row r="106" spans="1:15" x14ac:dyDescent="0.25">
      <c r="A106" s="97" t="str">
        <f>'Data Vlaue (Cr)'!C101</f>
        <v>IRFC</v>
      </c>
      <c r="B106" s="142">
        <f>VLOOKUP(A106,'Data Vlaue (Cr)'!C101:CW313,99,0)</f>
        <v>1609</v>
      </c>
      <c r="C106" s="90">
        <f>VLOOKUP(A106,'Data Vlaue (Cr)'!C101:CY313,101,0)</f>
        <v>186</v>
      </c>
      <c r="D106" s="139">
        <f>VLOOKUP(A106,'Data Vlaue (Cr)'!C101:CZ313,102,0)</f>
        <v>0.13070000000000001</v>
      </c>
      <c r="E106" s="91">
        <f>VLOOKUP($A106,'Data Vlaue (Cr)'!$C:$FB,75)</f>
        <v>737</v>
      </c>
      <c r="F106" s="91">
        <f>VLOOKUP($A106,'Data Vlaue (Cr)'!$C:$FB,77)</f>
        <v>51</v>
      </c>
      <c r="G106" s="92">
        <f>VLOOKUP(A106,'Data Vlaue (Cr)'!C101:CB313,78,0)</f>
        <v>7.4499999999999997E-2</v>
      </c>
      <c r="H106" s="91">
        <f>VLOOKUP($A106,'Data Vlaue (Cr)'!$C:$FB,91)</f>
        <v>538</v>
      </c>
      <c r="I106" s="91">
        <f>VLOOKUP($A106,'Data Vlaue (Cr)'!$C:$FB,93)</f>
        <v>88</v>
      </c>
      <c r="J106" s="92">
        <f>VLOOKUP($A106,'Data Vlaue (Cr)'!$C:$FB,94)</f>
        <v>0.19620000000000001</v>
      </c>
      <c r="K106" s="91">
        <f>VLOOKUP($A106,'Data Vlaue (Cr)'!$C:$FB,95)</f>
        <v>333</v>
      </c>
      <c r="L106" s="91">
        <f>VLOOKUP($A106,'Data Vlaue (Cr)'!$C:$FB,97)</f>
        <v>47</v>
      </c>
      <c r="M106" s="92">
        <f>VLOOKUP($A106,'Data Vlaue (Cr)'!$C:$FB,98)</f>
        <v>0.16239999999999999</v>
      </c>
      <c r="N106" s="91">
        <f>VLOOKUP($A106,'Data Vlaue (Cr)'!$C:$FB,79)</f>
        <v>690</v>
      </c>
      <c r="O106" s="92">
        <f>VLOOKUP($A106,'Data Vlaue (Cr)'!$C:$FB,82)</f>
        <v>5.7328999999999999</v>
      </c>
    </row>
    <row r="107" spans="1:15" x14ac:dyDescent="0.25">
      <c r="A107" s="97" t="str">
        <f>'Data Vlaue (Cr)'!C102</f>
        <v>ITC</v>
      </c>
      <c r="B107" s="142">
        <f>VLOOKUP(A107,'Data Vlaue (Cr)'!C102:CW314,99,0)</f>
        <v>10885</v>
      </c>
      <c r="C107" s="90">
        <f>VLOOKUP(A107,'Data Vlaue (Cr)'!C102:CY314,101,0)</f>
        <v>622</v>
      </c>
      <c r="D107" s="139">
        <f>VLOOKUP(A107,'Data Vlaue (Cr)'!C102:CZ314,102,0)</f>
        <v>6.0600000000000001E-2</v>
      </c>
      <c r="E107" s="91">
        <f>VLOOKUP($A107,'Data Vlaue (Cr)'!$C:$FB,75)</f>
        <v>6152</v>
      </c>
      <c r="F107" s="91">
        <f>VLOOKUP($A107,'Data Vlaue (Cr)'!$C:$FB,77)</f>
        <v>51</v>
      </c>
      <c r="G107" s="92">
        <f>VLOOKUP(A107,'Data Vlaue (Cr)'!C102:CB314,78,0)</f>
        <v>8.3999999999999995E-3</v>
      </c>
      <c r="H107" s="91">
        <f>VLOOKUP($A107,'Data Vlaue (Cr)'!$C:$FB,91)</f>
        <v>2698</v>
      </c>
      <c r="I107" s="91">
        <f>VLOOKUP($A107,'Data Vlaue (Cr)'!$C:$FB,93)</f>
        <v>418</v>
      </c>
      <c r="J107" s="92">
        <f>VLOOKUP($A107,'Data Vlaue (Cr)'!$C:$FB,94)</f>
        <v>0.18310000000000001</v>
      </c>
      <c r="K107" s="91">
        <f>VLOOKUP($A107,'Data Vlaue (Cr)'!$C:$FB,95)</f>
        <v>2035</v>
      </c>
      <c r="L107" s="91">
        <f>VLOOKUP($A107,'Data Vlaue (Cr)'!$C:$FB,97)</f>
        <v>153</v>
      </c>
      <c r="M107" s="92">
        <f>VLOOKUP($A107,'Data Vlaue (Cr)'!$C:$FB,98)</f>
        <v>8.1199999999999994E-2</v>
      </c>
      <c r="N107" s="91">
        <f>VLOOKUP($A107,'Data Vlaue (Cr)'!$C:$FB,79)</f>
        <v>5755</v>
      </c>
      <c r="O107" s="92">
        <f>VLOOKUP($A107,'Data Vlaue (Cr)'!$C:$FB,82)</f>
        <v>2.3306</v>
      </c>
    </row>
    <row r="108" spans="1:15" x14ac:dyDescent="0.25">
      <c r="A108" s="97" t="str">
        <f>'Data Vlaue (Cr)'!C103</f>
        <v>JINDALSTEL</v>
      </c>
      <c r="B108" s="142">
        <f>VLOOKUP(A108,'Data Vlaue (Cr)'!C103:CW315,99,0)</f>
        <v>1683</v>
      </c>
      <c r="C108" s="90">
        <f>VLOOKUP(A108,'Data Vlaue (Cr)'!C103:CY315,101,0)</f>
        <v>137</v>
      </c>
      <c r="D108" s="139">
        <f>VLOOKUP(A108,'Data Vlaue (Cr)'!C103:CZ315,102,0)</f>
        <v>8.8900000000000007E-2</v>
      </c>
      <c r="E108" s="91">
        <f>VLOOKUP($A108,'Data Vlaue (Cr)'!$C:$FB,75)</f>
        <v>1160</v>
      </c>
      <c r="F108" s="91">
        <f>VLOOKUP($A108,'Data Vlaue (Cr)'!$C:$FB,77)</f>
        <v>4</v>
      </c>
      <c r="G108" s="92">
        <f>VLOOKUP(A108,'Data Vlaue (Cr)'!C103:CB315,78,0)</f>
        <v>3.3E-3</v>
      </c>
      <c r="H108" s="91">
        <f>VLOOKUP($A108,'Data Vlaue (Cr)'!$C:$FB,91)</f>
        <v>289</v>
      </c>
      <c r="I108" s="91">
        <f>VLOOKUP($A108,'Data Vlaue (Cr)'!$C:$FB,93)</f>
        <v>61</v>
      </c>
      <c r="J108" s="92">
        <f>VLOOKUP($A108,'Data Vlaue (Cr)'!$C:$FB,94)</f>
        <v>0.26879999999999998</v>
      </c>
      <c r="K108" s="91">
        <f>VLOOKUP($A108,'Data Vlaue (Cr)'!$C:$FB,95)</f>
        <v>234</v>
      </c>
      <c r="L108" s="91">
        <f>VLOOKUP($A108,'Data Vlaue (Cr)'!$C:$FB,97)</f>
        <v>72</v>
      </c>
      <c r="M108" s="92">
        <f>VLOOKUP($A108,'Data Vlaue (Cr)'!$C:$FB,98)</f>
        <v>0.44819999999999999</v>
      </c>
      <c r="N108" s="91">
        <f>VLOOKUP($A108,'Data Vlaue (Cr)'!$C:$FB,79)</f>
        <v>1146</v>
      </c>
      <c r="O108" s="92">
        <f>VLOOKUP($A108,'Data Vlaue (Cr)'!$C:$FB,82)</f>
        <v>23.177800000000001</v>
      </c>
    </row>
    <row r="109" spans="1:15" x14ac:dyDescent="0.25">
      <c r="A109" s="97" t="str">
        <f>'Data Vlaue (Cr)'!C104</f>
        <v>JIOFIN</v>
      </c>
      <c r="B109" s="142">
        <f>VLOOKUP(A109,'Data Vlaue (Cr)'!C104:CW316,99,0)</f>
        <v>6696</v>
      </c>
      <c r="C109" s="90">
        <f>VLOOKUP(A109,'Data Vlaue (Cr)'!C104:CY316,101,0)</f>
        <v>459</v>
      </c>
      <c r="D109" s="139">
        <f>VLOOKUP(A109,'Data Vlaue (Cr)'!C104:CZ316,102,0)</f>
        <v>7.3499999999999996E-2</v>
      </c>
      <c r="E109" s="91">
        <f>VLOOKUP($A109,'Data Vlaue (Cr)'!$C:$FB,75)</f>
        <v>4301</v>
      </c>
      <c r="F109" s="91">
        <f>VLOOKUP($A109,'Data Vlaue (Cr)'!$C:$FB,77)</f>
        <v>61</v>
      </c>
      <c r="G109" s="92">
        <f>VLOOKUP(A109,'Data Vlaue (Cr)'!C104:CB316,78,0)</f>
        <v>1.44E-2</v>
      </c>
      <c r="H109" s="91">
        <f>VLOOKUP($A109,'Data Vlaue (Cr)'!$C:$FB,91)</f>
        <v>1397</v>
      </c>
      <c r="I109" s="91">
        <f>VLOOKUP($A109,'Data Vlaue (Cr)'!$C:$FB,93)</f>
        <v>311</v>
      </c>
      <c r="J109" s="92">
        <f>VLOOKUP($A109,'Data Vlaue (Cr)'!$C:$FB,94)</f>
        <v>0.28649999999999998</v>
      </c>
      <c r="K109" s="91">
        <f>VLOOKUP($A109,'Data Vlaue (Cr)'!$C:$FB,95)</f>
        <v>999</v>
      </c>
      <c r="L109" s="91">
        <f>VLOOKUP($A109,'Data Vlaue (Cr)'!$C:$FB,97)</f>
        <v>87</v>
      </c>
      <c r="M109" s="92">
        <f>VLOOKUP($A109,'Data Vlaue (Cr)'!$C:$FB,98)</f>
        <v>9.5000000000000001E-2</v>
      </c>
      <c r="N109" s="91">
        <f>VLOOKUP($A109,'Data Vlaue (Cr)'!$C:$FB,79)</f>
        <v>4087</v>
      </c>
      <c r="O109" s="92">
        <f>VLOOKUP($A109,'Data Vlaue (Cr)'!$C:$FB,82)</f>
        <v>7.5381999999999998</v>
      </c>
    </row>
    <row r="110" spans="1:15" x14ac:dyDescent="0.25">
      <c r="A110" s="97" t="str">
        <f>'Data Vlaue (Cr)'!C105</f>
        <v>JSWENERGY</v>
      </c>
      <c r="B110" s="142">
        <f>VLOOKUP(A110,'Data Vlaue (Cr)'!C105:CW317,99,0)</f>
        <v>2143</v>
      </c>
      <c r="C110" s="90">
        <f>VLOOKUP(A110,'Data Vlaue (Cr)'!C105:CY317,101,0)</f>
        <v>41</v>
      </c>
      <c r="D110" s="139">
        <f>VLOOKUP(A110,'Data Vlaue (Cr)'!C105:CZ317,102,0)</f>
        <v>1.9300000000000001E-2</v>
      </c>
      <c r="E110" s="91">
        <f>VLOOKUP($A110,'Data Vlaue (Cr)'!$C:$FB,75)</f>
        <v>1568</v>
      </c>
      <c r="F110" s="91">
        <f>VLOOKUP($A110,'Data Vlaue (Cr)'!$C:$FB,77)</f>
        <v>44</v>
      </c>
      <c r="G110" s="92">
        <f>VLOOKUP(A110,'Data Vlaue (Cr)'!C105:CB317,78,0)</f>
        <v>2.87E-2</v>
      </c>
      <c r="H110" s="91">
        <f>VLOOKUP($A110,'Data Vlaue (Cr)'!$C:$FB,91)</f>
        <v>291</v>
      </c>
      <c r="I110" s="91">
        <f>VLOOKUP($A110,'Data Vlaue (Cr)'!$C:$FB,93)</f>
        <v>8</v>
      </c>
      <c r="J110" s="92">
        <f>VLOOKUP($A110,'Data Vlaue (Cr)'!$C:$FB,94)</f>
        <v>2.9899999999999999E-2</v>
      </c>
      <c r="K110" s="91">
        <f>VLOOKUP($A110,'Data Vlaue (Cr)'!$C:$FB,95)</f>
        <v>284</v>
      </c>
      <c r="L110" s="91">
        <f>VLOOKUP($A110,'Data Vlaue (Cr)'!$C:$FB,97)</f>
        <v>-12</v>
      </c>
      <c r="M110" s="92">
        <f>VLOOKUP($A110,'Data Vlaue (Cr)'!$C:$FB,98)</f>
        <v>-3.95E-2</v>
      </c>
      <c r="N110" s="91">
        <f>VLOOKUP($A110,'Data Vlaue (Cr)'!$C:$FB,79)</f>
        <v>1558</v>
      </c>
      <c r="O110" s="92">
        <f>VLOOKUP($A110,'Data Vlaue (Cr)'!$C:$FB,82)</f>
        <v>4.7239000000000004</v>
      </c>
    </row>
    <row r="111" spans="1:15" x14ac:dyDescent="0.25">
      <c r="A111" s="97" t="str">
        <f>'Data Vlaue (Cr)'!C106</f>
        <v>JSWSTEEL</v>
      </c>
      <c r="B111" s="142">
        <f>VLOOKUP(A111,'Data Vlaue (Cr)'!C106:CW318,99,0)</f>
        <v>7062</v>
      </c>
      <c r="C111" s="90">
        <f>VLOOKUP(A111,'Data Vlaue (Cr)'!C106:CY318,101,0)</f>
        <v>163</v>
      </c>
      <c r="D111" s="139">
        <f>VLOOKUP(A111,'Data Vlaue (Cr)'!C106:CZ318,102,0)</f>
        <v>2.3699999999999999E-2</v>
      </c>
      <c r="E111" s="91">
        <f>VLOOKUP($A111,'Data Vlaue (Cr)'!$C:$FB,75)</f>
        <v>6180</v>
      </c>
      <c r="F111" s="91">
        <f>VLOOKUP($A111,'Data Vlaue (Cr)'!$C:$FB,77)</f>
        <v>-32</v>
      </c>
      <c r="G111" s="92">
        <f>VLOOKUP(A111,'Data Vlaue (Cr)'!C106:CB318,78,0)</f>
        <v>-5.1999999999999998E-3</v>
      </c>
      <c r="H111" s="91">
        <f>VLOOKUP($A111,'Data Vlaue (Cr)'!$C:$FB,91)</f>
        <v>526</v>
      </c>
      <c r="I111" s="91">
        <f>VLOOKUP($A111,'Data Vlaue (Cr)'!$C:$FB,93)</f>
        <v>131</v>
      </c>
      <c r="J111" s="92">
        <f>VLOOKUP($A111,'Data Vlaue (Cr)'!$C:$FB,94)</f>
        <v>0.33050000000000002</v>
      </c>
      <c r="K111" s="91">
        <f>VLOOKUP($A111,'Data Vlaue (Cr)'!$C:$FB,95)</f>
        <v>355</v>
      </c>
      <c r="L111" s="91">
        <f>VLOOKUP($A111,'Data Vlaue (Cr)'!$C:$FB,97)</f>
        <v>65</v>
      </c>
      <c r="M111" s="92">
        <f>VLOOKUP($A111,'Data Vlaue (Cr)'!$C:$FB,98)</f>
        <v>0.22270000000000001</v>
      </c>
      <c r="N111" s="91">
        <f>VLOOKUP($A111,'Data Vlaue (Cr)'!$C:$FB,79)</f>
        <v>6142</v>
      </c>
      <c r="O111" s="92">
        <f>VLOOKUP($A111,'Data Vlaue (Cr)'!$C:$FB,82)</f>
        <v>33.443300000000001</v>
      </c>
    </row>
    <row r="112" spans="1:15" x14ac:dyDescent="0.25">
      <c r="A112" s="97" t="str">
        <f>'Data Vlaue (Cr)'!C107</f>
        <v>JUBLFOOD</v>
      </c>
      <c r="B112" s="142">
        <f>VLOOKUP(A112,'Data Vlaue (Cr)'!C107:CW319,99,0)</f>
        <v>1540</v>
      </c>
      <c r="C112" s="90">
        <f>VLOOKUP(A112,'Data Vlaue (Cr)'!C107:CY319,101,0)</f>
        <v>71</v>
      </c>
      <c r="D112" s="139">
        <f>VLOOKUP(A112,'Data Vlaue (Cr)'!C107:CZ319,102,0)</f>
        <v>4.8500000000000001E-2</v>
      </c>
      <c r="E112" s="91">
        <f>VLOOKUP($A112,'Data Vlaue (Cr)'!$C:$FB,75)</f>
        <v>1171</v>
      </c>
      <c r="F112" s="91">
        <f>VLOOKUP($A112,'Data Vlaue (Cr)'!$C:$FB,77)</f>
        <v>10</v>
      </c>
      <c r="G112" s="92">
        <f>VLOOKUP(A112,'Data Vlaue (Cr)'!C107:CB319,78,0)</f>
        <v>8.6999999999999994E-3</v>
      </c>
      <c r="H112" s="91">
        <f>VLOOKUP($A112,'Data Vlaue (Cr)'!$C:$FB,91)</f>
        <v>219</v>
      </c>
      <c r="I112" s="91">
        <f>VLOOKUP($A112,'Data Vlaue (Cr)'!$C:$FB,93)</f>
        <v>44</v>
      </c>
      <c r="J112" s="92">
        <f>VLOOKUP($A112,'Data Vlaue (Cr)'!$C:$FB,94)</f>
        <v>0.2525</v>
      </c>
      <c r="K112" s="91">
        <f>VLOOKUP($A112,'Data Vlaue (Cr)'!$C:$FB,95)</f>
        <v>150</v>
      </c>
      <c r="L112" s="91">
        <f>VLOOKUP($A112,'Data Vlaue (Cr)'!$C:$FB,97)</f>
        <v>17</v>
      </c>
      <c r="M112" s="92">
        <f>VLOOKUP($A112,'Data Vlaue (Cr)'!$C:$FB,98)</f>
        <v>0.1283</v>
      </c>
      <c r="N112" s="91">
        <f>VLOOKUP($A112,'Data Vlaue (Cr)'!$C:$FB,79)</f>
        <v>1122</v>
      </c>
      <c r="O112" s="92">
        <f>VLOOKUP($A112,'Data Vlaue (Cr)'!$C:$FB,82)</f>
        <v>14.8309</v>
      </c>
    </row>
    <row r="113" spans="1:15" x14ac:dyDescent="0.25">
      <c r="A113" s="97" t="str">
        <f>'Data Vlaue (Cr)'!C108</f>
        <v>KALYANKJIL</v>
      </c>
      <c r="B113" s="142">
        <f>VLOOKUP(A113,'Data Vlaue (Cr)'!C108:CW320,99,0)</f>
        <v>2054</v>
      </c>
      <c r="C113" s="90">
        <f>VLOOKUP(A113,'Data Vlaue (Cr)'!C108:CY320,101,0)</f>
        <v>81</v>
      </c>
      <c r="D113" s="139">
        <f>VLOOKUP(A113,'Data Vlaue (Cr)'!C108:CZ320,102,0)</f>
        <v>4.1000000000000002E-2</v>
      </c>
      <c r="E113" s="91">
        <f>VLOOKUP($A113,'Data Vlaue (Cr)'!$C:$FB,75)</f>
        <v>1125</v>
      </c>
      <c r="F113" s="91">
        <f>VLOOKUP($A113,'Data Vlaue (Cr)'!$C:$FB,77)</f>
        <v>19</v>
      </c>
      <c r="G113" s="92">
        <f>VLOOKUP(A113,'Data Vlaue (Cr)'!C108:CB320,78,0)</f>
        <v>1.7399999999999999E-2</v>
      </c>
      <c r="H113" s="91">
        <f>VLOOKUP($A113,'Data Vlaue (Cr)'!$C:$FB,91)</f>
        <v>535</v>
      </c>
      <c r="I113" s="91">
        <f>VLOOKUP($A113,'Data Vlaue (Cr)'!$C:$FB,93)</f>
        <v>57</v>
      </c>
      <c r="J113" s="92">
        <f>VLOOKUP($A113,'Data Vlaue (Cr)'!$C:$FB,94)</f>
        <v>0.11840000000000001</v>
      </c>
      <c r="K113" s="91">
        <f>VLOOKUP($A113,'Data Vlaue (Cr)'!$C:$FB,95)</f>
        <v>394</v>
      </c>
      <c r="L113" s="91">
        <f>VLOOKUP($A113,'Data Vlaue (Cr)'!$C:$FB,97)</f>
        <v>5</v>
      </c>
      <c r="M113" s="92">
        <f>VLOOKUP($A113,'Data Vlaue (Cr)'!$C:$FB,98)</f>
        <v>1.2999999999999999E-2</v>
      </c>
      <c r="N113" s="91">
        <f>VLOOKUP($A113,'Data Vlaue (Cr)'!$C:$FB,79)</f>
        <v>1090</v>
      </c>
      <c r="O113" s="92">
        <f>VLOOKUP($A113,'Data Vlaue (Cr)'!$C:$FB,82)</f>
        <v>17.2196</v>
      </c>
    </row>
    <row r="114" spans="1:15" x14ac:dyDescent="0.25">
      <c r="A114" s="97" t="str">
        <f>'Data Vlaue (Cr)'!C109</f>
        <v>KAYNES</v>
      </c>
      <c r="B114" s="142">
        <f>VLOOKUP(A114,'Data Vlaue (Cr)'!C109:CW321,99,0)</f>
        <v>1736</v>
      </c>
      <c r="C114" s="90">
        <f>VLOOKUP(A114,'Data Vlaue (Cr)'!C109:CY321,101,0)</f>
        <v>88</v>
      </c>
      <c r="D114" s="139">
        <f>VLOOKUP(A114,'Data Vlaue (Cr)'!C109:CZ321,102,0)</f>
        <v>5.3600000000000002E-2</v>
      </c>
      <c r="E114" s="91">
        <f>VLOOKUP($A114,'Data Vlaue (Cr)'!$C:$FB,75)</f>
        <v>1200</v>
      </c>
      <c r="F114" s="91">
        <f>VLOOKUP($A114,'Data Vlaue (Cr)'!$C:$FB,77)</f>
        <v>16</v>
      </c>
      <c r="G114" s="92">
        <f>VLOOKUP(A114,'Data Vlaue (Cr)'!C109:CB321,78,0)</f>
        <v>1.3299999999999999E-2</v>
      </c>
      <c r="H114" s="91">
        <f>VLOOKUP($A114,'Data Vlaue (Cr)'!$C:$FB,91)</f>
        <v>283</v>
      </c>
      <c r="I114" s="91">
        <f>VLOOKUP($A114,'Data Vlaue (Cr)'!$C:$FB,93)</f>
        <v>38</v>
      </c>
      <c r="J114" s="92">
        <f>VLOOKUP($A114,'Data Vlaue (Cr)'!$C:$FB,94)</f>
        <v>0.1565</v>
      </c>
      <c r="K114" s="91">
        <f>VLOOKUP($A114,'Data Vlaue (Cr)'!$C:$FB,95)</f>
        <v>252</v>
      </c>
      <c r="L114" s="91">
        <f>VLOOKUP($A114,'Data Vlaue (Cr)'!$C:$FB,97)</f>
        <v>34</v>
      </c>
      <c r="M114" s="92">
        <f>VLOOKUP($A114,'Data Vlaue (Cr)'!$C:$FB,98)</f>
        <v>0.15659999999999999</v>
      </c>
      <c r="N114" s="91">
        <f>VLOOKUP($A114,'Data Vlaue (Cr)'!$C:$FB,79)</f>
        <v>1136</v>
      </c>
      <c r="O114" s="92">
        <f>VLOOKUP($A114,'Data Vlaue (Cr)'!$C:$FB,82)</f>
        <v>7.6835000000000004</v>
      </c>
    </row>
    <row r="115" spans="1:15" x14ac:dyDescent="0.25">
      <c r="A115" s="97" t="str">
        <f>'Data Vlaue (Cr)'!C110</f>
        <v>KEI</v>
      </c>
      <c r="B115" s="142">
        <f>VLOOKUP(A115,'Data Vlaue (Cr)'!C110:CW322,99,0)</f>
        <v>600</v>
      </c>
      <c r="C115" s="90">
        <f>VLOOKUP(A115,'Data Vlaue (Cr)'!C110:CY322,101,0)</f>
        <v>23</v>
      </c>
      <c r="D115" s="139">
        <f>VLOOKUP(A115,'Data Vlaue (Cr)'!C110:CZ322,102,0)</f>
        <v>3.9399999999999998E-2</v>
      </c>
      <c r="E115" s="91">
        <f>VLOOKUP($A115,'Data Vlaue (Cr)'!$C:$FB,75)</f>
        <v>437</v>
      </c>
      <c r="F115" s="91">
        <f>VLOOKUP($A115,'Data Vlaue (Cr)'!$C:$FB,77)</f>
        <v>9</v>
      </c>
      <c r="G115" s="92">
        <f>VLOOKUP(A115,'Data Vlaue (Cr)'!C110:CB322,78,0)</f>
        <v>2.12E-2</v>
      </c>
      <c r="H115" s="91">
        <f>VLOOKUP($A115,'Data Vlaue (Cr)'!$C:$FB,91)</f>
        <v>87</v>
      </c>
      <c r="I115" s="91">
        <f>VLOOKUP($A115,'Data Vlaue (Cr)'!$C:$FB,93)</f>
        <v>2</v>
      </c>
      <c r="J115" s="92">
        <f>VLOOKUP($A115,'Data Vlaue (Cr)'!$C:$FB,94)</f>
        <v>2.1600000000000001E-2</v>
      </c>
      <c r="K115" s="91">
        <f>VLOOKUP($A115,'Data Vlaue (Cr)'!$C:$FB,95)</f>
        <v>77</v>
      </c>
      <c r="L115" s="91">
        <f>VLOOKUP($A115,'Data Vlaue (Cr)'!$C:$FB,97)</f>
        <v>12</v>
      </c>
      <c r="M115" s="92">
        <f>VLOOKUP($A115,'Data Vlaue (Cr)'!$C:$FB,98)</f>
        <v>0.18290000000000001</v>
      </c>
      <c r="N115" s="91">
        <f>VLOOKUP($A115,'Data Vlaue (Cr)'!$C:$FB,79)</f>
        <v>431</v>
      </c>
      <c r="O115" s="92">
        <f>VLOOKUP($A115,'Data Vlaue (Cr)'!$C:$FB,82)</f>
        <v>5.3220999999999998</v>
      </c>
    </row>
    <row r="116" spans="1:15" x14ac:dyDescent="0.25">
      <c r="A116" s="97" t="str">
        <f>'Data Vlaue (Cr)'!C111</f>
        <v>KFINTECH</v>
      </c>
      <c r="B116" s="142">
        <f>VLOOKUP(A116,'Data Vlaue (Cr)'!C111:CW323,99,0)</f>
        <v>669</v>
      </c>
      <c r="C116" s="90">
        <f>VLOOKUP(A116,'Data Vlaue (Cr)'!C111:CY323,101,0)</f>
        <v>11</v>
      </c>
      <c r="D116" s="139">
        <f>VLOOKUP(A116,'Data Vlaue (Cr)'!C111:CZ323,102,0)</f>
        <v>1.66E-2</v>
      </c>
      <c r="E116" s="91">
        <f>VLOOKUP($A116,'Data Vlaue (Cr)'!$C:$FB,75)</f>
        <v>555</v>
      </c>
      <c r="F116" s="91">
        <f>VLOOKUP($A116,'Data Vlaue (Cr)'!$C:$FB,77)</f>
        <v>-3</v>
      </c>
      <c r="G116" s="92">
        <f>VLOOKUP(A116,'Data Vlaue (Cr)'!C111:CB323,78,0)</f>
        <v>-5.3E-3</v>
      </c>
      <c r="H116" s="91">
        <f>VLOOKUP($A116,'Data Vlaue (Cr)'!$C:$FB,91)</f>
        <v>57</v>
      </c>
      <c r="I116" s="91">
        <f>VLOOKUP($A116,'Data Vlaue (Cr)'!$C:$FB,93)</f>
        <v>9</v>
      </c>
      <c r="J116" s="92">
        <f>VLOOKUP($A116,'Data Vlaue (Cr)'!$C:$FB,94)</f>
        <v>0.19500000000000001</v>
      </c>
      <c r="K116" s="91">
        <f>VLOOKUP($A116,'Data Vlaue (Cr)'!$C:$FB,95)</f>
        <v>57</v>
      </c>
      <c r="L116" s="91">
        <f>VLOOKUP($A116,'Data Vlaue (Cr)'!$C:$FB,97)</f>
        <v>5</v>
      </c>
      <c r="M116" s="92">
        <f>VLOOKUP($A116,'Data Vlaue (Cr)'!$C:$FB,98)</f>
        <v>8.6599999999999996E-2</v>
      </c>
      <c r="N116" s="91">
        <f>VLOOKUP($A116,'Data Vlaue (Cr)'!$C:$FB,79)</f>
        <v>528</v>
      </c>
      <c r="O116" s="92">
        <f>VLOOKUP($A116,'Data Vlaue (Cr)'!$C:$FB,82)</f>
        <v>27.994499999999999</v>
      </c>
    </row>
    <row r="117" spans="1:15" x14ac:dyDescent="0.25">
      <c r="A117" s="97" t="str">
        <f>'Data Vlaue (Cr)'!C112</f>
        <v>KOTAKBANK</v>
      </c>
      <c r="B117" s="142">
        <f>VLOOKUP(A117,'Data Vlaue (Cr)'!C112:CW324,99,0)</f>
        <v>9766</v>
      </c>
      <c r="C117" s="90">
        <f>VLOOKUP(A117,'Data Vlaue (Cr)'!C112:CY324,101,0)</f>
        <v>261</v>
      </c>
      <c r="D117" s="139">
        <f>VLOOKUP(A117,'Data Vlaue (Cr)'!C112:CZ324,102,0)</f>
        <v>2.7400000000000001E-2</v>
      </c>
      <c r="E117" s="91">
        <f>VLOOKUP($A117,'Data Vlaue (Cr)'!$C:$FB,75)</f>
        <v>8167</v>
      </c>
      <c r="F117" s="91">
        <f>VLOOKUP($A117,'Data Vlaue (Cr)'!$C:$FB,77)</f>
        <v>-56</v>
      </c>
      <c r="G117" s="92">
        <f>VLOOKUP(A117,'Data Vlaue (Cr)'!C112:CB324,78,0)</f>
        <v>-6.7999999999999996E-3</v>
      </c>
      <c r="H117" s="91">
        <f>VLOOKUP($A117,'Data Vlaue (Cr)'!$C:$FB,91)</f>
        <v>827</v>
      </c>
      <c r="I117" s="91">
        <f>VLOOKUP($A117,'Data Vlaue (Cr)'!$C:$FB,93)</f>
        <v>215</v>
      </c>
      <c r="J117" s="92">
        <f>VLOOKUP($A117,'Data Vlaue (Cr)'!$C:$FB,94)</f>
        <v>0.35210000000000002</v>
      </c>
      <c r="K117" s="91">
        <f>VLOOKUP($A117,'Data Vlaue (Cr)'!$C:$FB,95)</f>
        <v>773</v>
      </c>
      <c r="L117" s="91">
        <f>VLOOKUP($A117,'Data Vlaue (Cr)'!$C:$FB,97)</f>
        <v>101</v>
      </c>
      <c r="M117" s="92">
        <f>VLOOKUP($A117,'Data Vlaue (Cr)'!$C:$FB,98)</f>
        <v>0.15029999999999999</v>
      </c>
      <c r="N117" s="91">
        <f>VLOOKUP($A117,'Data Vlaue (Cr)'!$C:$FB,79)</f>
        <v>7685</v>
      </c>
      <c r="O117" s="92">
        <f>VLOOKUP($A117,'Data Vlaue (Cr)'!$C:$FB,82)</f>
        <v>17.233699999999999</v>
      </c>
    </row>
    <row r="118" spans="1:15" x14ac:dyDescent="0.25">
      <c r="A118" s="97" t="str">
        <f>'Data Vlaue (Cr)'!C113</f>
        <v>KPITTECH</v>
      </c>
      <c r="B118" s="142">
        <f>VLOOKUP(A118,'Data Vlaue (Cr)'!C113:CW325,99,0)</f>
        <v>607</v>
      </c>
      <c r="C118" s="90">
        <f>VLOOKUP(A118,'Data Vlaue (Cr)'!C113:CY325,101,0)</f>
        <v>56</v>
      </c>
      <c r="D118" s="139">
        <f>VLOOKUP(A118,'Data Vlaue (Cr)'!C113:CZ325,102,0)</f>
        <v>0.1017</v>
      </c>
      <c r="E118" s="91">
        <f>VLOOKUP($A118,'Data Vlaue (Cr)'!$C:$FB,75)</f>
        <v>428</v>
      </c>
      <c r="F118" s="91">
        <f>VLOOKUP($A118,'Data Vlaue (Cr)'!$C:$FB,77)</f>
        <v>7</v>
      </c>
      <c r="G118" s="92">
        <f>VLOOKUP(A118,'Data Vlaue (Cr)'!C113:CB325,78,0)</f>
        <v>1.6299999999999999E-2</v>
      </c>
      <c r="H118" s="91">
        <f>VLOOKUP($A118,'Data Vlaue (Cr)'!$C:$FB,91)</f>
        <v>94</v>
      </c>
      <c r="I118" s="91">
        <f>VLOOKUP($A118,'Data Vlaue (Cr)'!$C:$FB,93)</f>
        <v>33</v>
      </c>
      <c r="J118" s="92">
        <f>VLOOKUP($A118,'Data Vlaue (Cr)'!$C:$FB,94)</f>
        <v>0.53659999999999997</v>
      </c>
      <c r="K118" s="91">
        <f>VLOOKUP($A118,'Data Vlaue (Cr)'!$C:$FB,95)</f>
        <v>85</v>
      </c>
      <c r="L118" s="91">
        <f>VLOOKUP($A118,'Data Vlaue (Cr)'!$C:$FB,97)</f>
        <v>16</v>
      </c>
      <c r="M118" s="92">
        <f>VLOOKUP($A118,'Data Vlaue (Cr)'!$C:$FB,98)</f>
        <v>0.23910000000000001</v>
      </c>
      <c r="N118" s="91">
        <f>VLOOKUP($A118,'Data Vlaue (Cr)'!$C:$FB,79)</f>
        <v>413</v>
      </c>
      <c r="O118" s="92">
        <f>VLOOKUP($A118,'Data Vlaue (Cr)'!$C:$FB,82)</f>
        <v>10.323</v>
      </c>
    </row>
    <row r="119" spans="1:15" x14ac:dyDescent="0.25">
      <c r="A119" s="97" t="str">
        <f>'Data Vlaue (Cr)'!C114</f>
        <v>LAURUSLABS</v>
      </c>
      <c r="B119" s="142">
        <f>VLOOKUP(A119,'Data Vlaue (Cr)'!C114:CW326,99,0)</f>
        <v>3089</v>
      </c>
      <c r="C119" s="90">
        <f>VLOOKUP(A119,'Data Vlaue (Cr)'!C114:CY326,101,0)</f>
        <v>233</v>
      </c>
      <c r="D119" s="139">
        <f>VLOOKUP(A119,'Data Vlaue (Cr)'!C114:CZ326,102,0)</f>
        <v>8.1600000000000006E-2</v>
      </c>
      <c r="E119" s="91">
        <f>VLOOKUP($A119,'Data Vlaue (Cr)'!$C:$FB,75)</f>
        <v>1958</v>
      </c>
      <c r="F119" s="91">
        <f>VLOOKUP($A119,'Data Vlaue (Cr)'!$C:$FB,77)</f>
        <v>54</v>
      </c>
      <c r="G119" s="92">
        <f>VLOOKUP(A119,'Data Vlaue (Cr)'!C114:CB326,78,0)</f>
        <v>2.8400000000000002E-2</v>
      </c>
      <c r="H119" s="91">
        <f>VLOOKUP($A119,'Data Vlaue (Cr)'!$C:$FB,91)</f>
        <v>702</v>
      </c>
      <c r="I119" s="91">
        <f>VLOOKUP($A119,'Data Vlaue (Cr)'!$C:$FB,93)</f>
        <v>112</v>
      </c>
      <c r="J119" s="92">
        <f>VLOOKUP($A119,'Data Vlaue (Cr)'!$C:$FB,94)</f>
        <v>0.1895</v>
      </c>
      <c r="K119" s="91">
        <f>VLOOKUP($A119,'Data Vlaue (Cr)'!$C:$FB,95)</f>
        <v>429</v>
      </c>
      <c r="L119" s="91">
        <f>VLOOKUP($A119,'Data Vlaue (Cr)'!$C:$FB,97)</f>
        <v>67</v>
      </c>
      <c r="M119" s="92">
        <f>VLOOKUP($A119,'Data Vlaue (Cr)'!$C:$FB,98)</f>
        <v>0.185</v>
      </c>
      <c r="N119" s="91">
        <f>VLOOKUP($A119,'Data Vlaue (Cr)'!$C:$FB,79)</f>
        <v>1928</v>
      </c>
      <c r="O119" s="92">
        <f>VLOOKUP($A119,'Data Vlaue (Cr)'!$C:$FB,82)</f>
        <v>12.167</v>
      </c>
    </row>
    <row r="120" spans="1:15" x14ac:dyDescent="0.25">
      <c r="A120" s="97" t="str">
        <f>'Data Vlaue (Cr)'!C115</f>
        <v>LICHSGFIN</v>
      </c>
      <c r="B120" s="142">
        <f>VLOOKUP(A120,'Data Vlaue (Cr)'!C115:CW327,99,0)</f>
        <v>2211</v>
      </c>
      <c r="C120" s="90">
        <f>VLOOKUP(A120,'Data Vlaue (Cr)'!C115:CY327,101,0)</f>
        <v>69</v>
      </c>
      <c r="D120" s="139">
        <f>VLOOKUP(A120,'Data Vlaue (Cr)'!C115:CZ327,102,0)</f>
        <v>3.2199999999999999E-2</v>
      </c>
      <c r="E120" s="91">
        <f>VLOOKUP($A120,'Data Vlaue (Cr)'!$C:$FB,75)</f>
        <v>1582</v>
      </c>
      <c r="F120" s="91">
        <f>VLOOKUP($A120,'Data Vlaue (Cr)'!$C:$FB,77)</f>
        <v>8</v>
      </c>
      <c r="G120" s="92">
        <f>VLOOKUP(A120,'Data Vlaue (Cr)'!C115:CB327,78,0)</f>
        <v>5.1999999999999998E-3</v>
      </c>
      <c r="H120" s="91">
        <f>VLOOKUP($A120,'Data Vlaue (Cr)'!$C:$FB,91)</f>
        <v>306</v>
      </c>
      <c r="I120" s="91">
        <f>VLOOKUP($A120,'Data Vlaue (Cr)'!$C:$FB,93)</f>
        <v>37</v>
      </c>
      <c r="J120" s="92">
        <f>VLOOKUP($A120,'Data Vlaue (Cr)'!$C:$FB,94)</f>
        <v>0.13730000000000001</v>
      </c>
      <c r="K120" s="91">
        <f>VLOOKUP($A120,'Data Vlaue (Cr)'!$C:$FB,95)</f>
        <v>324</v>
      </c>
      <c r="L120" s="91">
        <f>VLOOKUP($A120,'Data Vlaue (Cr)'!$C:$FB,97)</f>
        <v>24</v>
      </c>
      <c r="M120" s="92">
        <f>VLOOKUP($A120,'Data Vlaue (Cr)'!$C:$FB,98)</f>
        <v>8.0100000000000005E-2</v>
      </c>
      <c r="N120" s="91">
        <f>VLOOKUP($A120,'Data Vlaue (Cr)'!$C:$FB,79)</f>
        <v>1556</v>
      </c>
      <c r="O120" s="92">
        <f>VLOOKUP($A120,'Data Vlaue (Cr)'!$C:$FB,82)</f>
        <v>9.7794000000000008</v>
      </c>
    </row>
    <row r="121" spans="1:15" x14ac:dyDescent="0.25">
      <c r="A121" s="97" t="str">
        <f>'Data Vlaue (Cr)'!C116</f>
        <v>LICI</v>
      </c>
      <c r="B121" s="142">
        <f>VLOOKUP(A121,'Data Vlaue (Cr)'!C116:CW328,99,0)</f>
        <v>1260</v>
      </c>
      <c r="C121" s="90">
        <f>VLOOKUP(A121,'Data Vlaue (Cr)'!C116:CY328,101,0)</f>
        <v>72</v>
      </c>
      <c r="D121" s="139">
        <f>VLOOKUP(A121,'Data Vlaue (Cr)'!C116:CZ328,102,0)</f>
        <v>6.0499999999999998E-2</v>
      </c>
      <c r="E121" s="91">
        <f>VLOOKUP($A121,'Data Vlaue (Cr)'!$C:$FB,75)</f>
        <v>847</v>
      </c>
      <c r="F121" s="91">
        <f>VLOOKUP($A121,'Data Vlaue (Cr)'!$C:$FB,77)</f>
        <v>5</v>
      </c>
      <c r="G121" s="92">
        <f>VLOOKUP(A121,'Data Vlaue (Cr)'!C116:CB328,78,0)</f>
        <v>5.7000000000000002E-3</v>
      </c>
      <c r="H121" s="91">
        <f>VLOOKUP($A121,'Data Vlaue (Cr)'!$C:$FB,91)</f>
        <v>219</v>
      </c>
      <c r="I121" s="91">
        <f>VLOOKUP($A121,'Data Vlaue (Cr)'!$C:$FB,93)</f>
        <v>40</v>
      </c>
      <c r="J121" s="92">
        <f>VLOOKUP($A121,'Data Vlaue (Cr)'!$C:$FB,94)</f>
        <v>0.2208</v>
      </c>
      <c r="K121" s="91">
        <f>VLOOKUP($A121,'Data Vlaue (Cr)'!$C:$FB,95)</f>
        <v>194</v>
      </c>
      <c r="L121" s="91">
        <f>VLOOKUP($A121,'Data Vlaue (Cr)'!$C:$FB,97)</f>
        <v>27</v>
      </c>
      <c r="M121" s="92">
        <f>VLOOKUP($A121,'Data Vlaue (Cr)'!$C:$FB,98)</f>
        <v>0.16470000000000001</v>
      </c>
      <c r="N121" s="91">
        <f>VLOOKUP($A121,'Data Vlaue (Cr)'!$C:$FB,79)</f>
        <v>817</v>
      </c>
      <c r="O121" s="92">
        <f>VLOOKUP($A121,'Data Vlaue (Cr)'!$C:$FB,82)</f>
        <v>7.4596</v>
      </c>
    </row>
    <row r="122" spans="1:15" x14ac:dyDescent="0.25">
      <c r="A122" s="97" t="str">
        <f>'Data Vlaue (Cr)'!C117</f>
        <v>LODHA</v>
      </c>
      <c r="B122" s="142">
        <f>VLOOKUP(A122,'Data Vlaue (Cr)'!C117:CW329,99,0)</f>
        <v>1525</v>
      </c>
      <c r="C122" s="90">
        <f>VLOOKUP(A122,'Data Vlaue (Cr)'!C117:CY329,101,0)</f>
        <v>144</v>
      </c>
      <c r="D122" s="139">
        <f>VLOOKUP(A122,'Data Vlaue (Cr)'!C117:CZ329,102,0)</f>
        <v>0.1041</v>
      </c>
      <c r="E122" s="91">
        <f>VLOOKUP($A122,'Data Vlaue (Cr)'!$C:$FB,75)</f>
        <v>1145</v>
      </c>
      <c r="F122" s="91">
        <f>VLOOKUP($A122,'Data Vlaue (Cr)'!$C:$FB,77)</f>
        <v>-2</v>
      </c>
      <c r="G122" s="92">
        <f>VLOOKUP(A122,'Data Vlaue (Cr)'!C117:CB329,78,0)</f>
        <v>-1.8E-3</v>
      </c>
      <c r="H122" s="91">
        <f>VLOOKUP($A122,'Data Vlaue (Cr)'!$C:$FB,91)</f>
        <v>192</v>
      </c>
      <c r="I122" s="91">
        <f>VLOOKUP($A122,'Data Vlaue (Cr)'!$C:$FB,93)</f>
        <v>78</v>
      </c>
      <c r="J122" s="92">
        <f>VLOOKUP($A122,'Data Vlaue (Cr)'!$C:$FB,94)</f>
        <v>0.68030000000000002</v>
      </c>
      <c r="K122" s="91">
        <f>VLOOKUP($A122,'Data Vlaue (Cr)'!$C:$FB,95)</f>
        <v>189</v>
      </c>
      <c r="L122" s="91">
        <f>VLOOKUP($A122,'Data Vlaue (Cr)'!$C:$FB,97)</f>
        <v>68</v>
      </c>
      <c r="M122" s="92">
        <f>VLOOKUP($A122,'Data Vlaue (Cr)'!$C:$FB,98)</f>
        <v>0.56479999999999997</v>
      </c>
      <c r="N122" s="91">
        <f>VLOOKUP($A122,'Data Vlaue (Cr)'!$C:$FB,79)</f>
        <v>1122</v>
      </c>
      <c r="O122" s="92">
        <f>VLOOKUP($A122,'Data Vlaue (Cr)'!$C:$FB,82)</f>
        <v>29.390899999999998</v>
      </c>
    </row>
    <row r="123" spans="1:15" x14ac:dyDescent="0.25">
      <c r="A123" s="97" t="str">
        <f>'Data Vlaue (Cr)'!C118</f>
        <v>LT</v>
      </c>
      <c r="B123" s="142">
        <f>VLOOKUP(A123,'Data Vlaue (Cr)'!C118:CW330,99,0)</f>
        <v>8733</v>
      </c>
      <c r="C123" s="90">
        <f>VLOOKUP(A123,'Data Vlaue (Cr)'!C118:CY330,101,0)</f>
        <v>1371</v>
      </c>
      <c r="D123" s="139">
        <f>VLOOKUP(A123,'Data Vlaue (Cr)'!C118:CZ330,102,0)</f>
        <v>0.18629999999999999</v>
      </c>
      <c r="E123" s="91">
        <f>VLOOKUP($A123,'Data Vlaue (Cr)'!$C:$FB,75)</f>
        <v>6097</v>
      </c>
      <c r="F123" s="91">
        <f>VLOOKUP($A123,'Data Vlaue (Cr)'!$C:$FB,77)</f>
        <v>244</v>
      </c>
      <c r="G123" s="92">
        <f>VLOOKUP(A123,'Data Vlaue (Cr)'!C118:CB330,78,0)</f>
        <v>4.1700000000000001E-2</v>
      </c>
      <c r="H123" s="91">
        <f>VLOOKUP($A123,'Data Vlaue (Cr)'!$C:$FB,91)</f>
        <v>1516</v>
      </c>
      <c r="I123" s="91">
        <f>VLOOKUP($A123,'Data Vlaue (Cr)'!$C:$FB,93)</f>
        <v>734</v>
      </c>
      <c r="J123" s="92">
        <f>VLOOKUP($A123,'Data Vlaue (Cr)'!$C:$FB,94)</f>
        <v>0.93930000000000002</v>
      </c>
      <c r="K123" s="91">
        <f>VLOOKUP($A123,'Data Vlaue (Cr)'!$C:$FB,95)</f>
        <v>1120</v>
      </c>
      <c r="L123" s="91">
        <f>VLOOKUP($A123,'Data Vlaue (Cr)'!$C:$FB,97)</f>
        <v>392</v>
      </c>
      <c r="M123" s="92">
        <f>VLOOKUP($A123,'Data Vlaue (Cr)'!$C:$FB,98)</f>
        <v>0.53969999999999996</v>
      </c>
      <c r="N123" s="91">
        <f>VLOOKUP($A123,'Data Vlaue (Cr)'!$C:$FB,79)</f>
        <v>5659</v>
      </c>
      <c r="O123" s="92">
        <f>VLOOKUP($A123,'Data Vlaue (Cr)'!$C:$FB,82)</f>
        <v>12.891500000000001</v>
      </c>
    </row>
    <row r="124" spans="1:15" x14ac:dyDescent="0.25">
      <c r="A124" s="97" t="str">
        <f>'Data Vlaue (Cr)'!C119</f>
        <v>LTF</v>
      </c>
      <c r="B124" s="142">
        <f>VLOOKUP(A124,'Data Vlaue (Cr)'!C119:CW331,99,0)</f>
        <v>2212</v>
      </c>
      <c r="C124" s="90">
        <f>VLOOKUP(A124,'Data Vlaue (Cr)'!C119:CY331,101,0)</f>
        <v>88</v>
      </c>
      <c r="D124" s="139">
        <f>VLOOKUP(A124,'Data Vlaue (Cr)'!C119:CZ331,102,0)</f>
        <v>4.1500000000000002E-2</v>
      </c>
      <c r="E124" s="91">
        <f>VLOOKUP($A124,'Data Vlaue (Cr)'!$C:$FB,75)</f>
        <v>1318</v>
      </c>
      <c r="F124" s="91">
        <f>VLOOKUP($A124,'Data Vlaue (Cr)'!$C:$FB,77)</f>
        <v>4</v>
      </c>
      <c r="G124" s="92">
        <f>VLOOKUP(A124,'Data Vlaue (Cr)'!C119:CB331,78,0)</f>
        <v>3.0999999999999999E-3</v>
      </c>
      <c r="H124" s="91">
        <f>VLOOKUP($A124,'Data Vlaue (Cr)'!$C:$FB,91)</f>
        <v>516</v>
      </c>
      <c r="I124" s="91">
        <f>VLOOKUP($A124,'Data Vlaue (Cr)'!$C:$FB,93)</f>
        <v>54</v>
      </c>
      <c r="J124" s="92">
        <f>VLOOKUP($A124,'Data Vlaue (Cr)'!$C:$FB,94)</f>
        <v>0.11609999999999999</v>
      </c>
      <c r="K124" s="91">
        <f>VLOOKUP($A124,'Data Vlaue (Cr)'!$C:$FB,95)</f>
        <v>377</v>
      </c>
      <c r="L124" s="91">
        <f>VLOOKUP($A124,'Data Vlaue (Cr)'!$C:$FB,97)</f>
        <v>30</v>
      </c>
      <c r="M124" s="92">
        <f>VLOOKUP($A124,'Data Vlaue (Cr)'!$C:$FB,98)</f>
        <v>8.77E-2</v>
      </c>
      <c r="N124" s="91">
        <f>VLOOKUP($A124,'Data Vlaue (Cr)'!$C:$FB,79)</f>
        <v>1279</v>
      </c>
      <c r="O124" s="92">
        <f>VLOOKUP($A124,'Data Vlaue (Cr)'!$C:$FB,82)</f>
        <v>7.4305000000000003</v>
      </c>
    </row>
    <row r="125" spans="1:15" x14ac:dyDescent="0.25">
      <c r="A125" s="97" t="str">
        <f>'Data Vlaue (Cr)'!C120</f>
        <v>LTIM</v>
      </c>
      <c r="B125" s="142">
        <f>VLOOKUP(A125,'Data Vlaue (Cr)'!C120:CW332,99,0)</f>
        <v>1896</v>
      </c>
      <c r="C125" s="90">
        <f>VLOOKUP(A125,'Data Vlaue (Cr)'!C120:CY332,101,0)</f>
        <v>61</v>
      </c>
      <c r="D125" s="139">
        <f>VLOOKUP(A125,'Data Vlaue (Cr)'!C120:CZ332,102,0)</f>
        <v>3.3500000000000002E-2</v>
      </c>
      <c r="E125" s="91">
        <f>VLOOKUP($A125,'Data Vlaue (Cr)'!$C:$FB,75)</f>
        <v>1475</v>
      </c>
      <c r="F125" s="91">
        <f>VLOOKUP($A125,'Data Vlaue (Cr)'!$C:$FB,77)</f>
        <v>5</v>
      </c>
      <c r="G125" s="92">
        <f>VLOOKUP(A125,'Data Vlaue (Cr)'!C120:CB332,78,0)</f>
        <v>3.3E-3</v>
      </c>
      <c r="H125" s="91">
        <f>VLOOKUP($A125,'Data Vlaue (Cr)'!$C:$FB,91)</f>
        <v>242</v>
      </c>
      <c r="I125" s="91">
        <f>VLOOKUP($A125,'Data Vlaue (Cr)'!$C:$FB,93)</f>
        <v>27</v>
      </c>
      <c r="J125" s="92">
        <f>VLOOKUP($A125,'Data Vlaue (Cr)'!$C:$FB,94)</f>
        <v>0.12509999999999999</v>
      </c>
      <c r="K125" s="91">
        <f>VLOOKUP($A125,'Data Vlaue (Cr)'!$C:$FB,95)</f>
        <v>179</v>
      </c>
      <c r="L125" s="91">
        <f>VLOOKUP($A125,'Data Vlaue (Cr)'!$C:$FB,97)</f>
        <v>30</v>
      </c>
      <c r="M125" s="92">
        <f>VLOOKUP($A125,'Data Vlaue (Cr)'!$C:$FB,98)</f>
        <v>0.19869999999999999</v>
      </c>
      <c r="N125" s="91">
        <f>VLOOKUP($A125,'Data Vlaue (Cr)'!$C:$FB,79)</f>
        <v>1466</v>
      </c>
      <c r="O125" s="92">
        <f>VLOOKUP($A125,'Data Vlaue (Cr)'!$C:$FB,82)</f>
        <v>12.394399999999999</v>
      </c>
    </row>
    <row r="126" spans="1:15" x14ac:dyDescent="0.25">
      <c r="A126" s="97" t="str">
        <f>'Data Vlaue (Cr)'!C121</f>
        <v>LUPIN</v>
      </c>
      <c r="B126" s="142">
        <f>VLOOKUP(A126,'Data Vlaue (Cr)'!C121:CW333,99,0)</f>
        <v>1751</v>
      </c>
      <c r="C126" s="90">
        <f>VLOOKUP(A126,'Data Vlaue (Cr)'!C121:CY333,101,0)</f>
        <v>120</v>
      </c>
      <c r="D126" s="139">
        <f>VLOOKUP(A126,'Data Vlaue (Cr)'!C121:CZ333,102,0)</f>
        <v>7.3499999999999996E-2</v>
      </c>
      <c r="E126" s="91">
        <f>VLOOKUP($A126,'Data Vlaue (Cr)'!$C:$FB,75)</f>
        <v>1365</v>
      </c>
      <c r="F126" s="91">
        <f>VLOOKUP($A126,'Data Vlaue (Cr)'!$C:$FB,77)</f>
        <v>-19</v>
      </c>
      <c r="G126" s="92">
        <f>VLOOKUP(A126,'Data Vlaue (Cr)'!C121:CB333,78,0)</f>
        <v>-1.4E-2</v>
      </c>
      <c r="H126" s="91">
        <f>VLOOKUP($A126,'Data Vlaue (Cr)'!$C:$FB,91)</f>
        <v>237</v>
      </c>
      <c r="I126" s="91">
        <f>VLOOKUP($A126,'Data Vlaue (Cr)'!$C:$FB,93)</f>
        <v>89</v>
      </c>
      <c r="J126" s="92">
        <f>VLOOKUP($A126,'Data Vlaue (Cr)'!$C:$FB,94)</f>
        <v>0.60360000000000003</v>
      </c>
      <c r="K126" s="91">
        <f>VLOOKUP($A126,'Data Vlaue (Cr)'!$C:$FB,95)</f>
        <v>149</v>
      </c>
      <c r="L126" s="91">
        <f>VLOOKUP($A126,'Data Vlaue (Cr)'!$C:$FB,97)</f>
        <v>50</v>
      </c>
      <c r="M126" s="92">
        <f>VLOOKUP($A126,'Data Vlaue (Cr)'!$C:$FB,98)</f>
        <v>0.50739999999999996</v>
      </c>
      <c r="N126" s="91">
        <f>VLOOKUP($A126,'Data Vlaue (Cr)'!$C:$FB,79)</f>
        <v>1353</v>
      </c>
      <c r="O126" s="92">
        <f>VLOOKUP($A126,'Data Vlaue (Cr)'!$C:$FB,82)</f>
        <v>20.792400000000001</v>
      </c>
    </row>
    <row r="127" spans="1:15" x14ac:dyDescent="0.25">
      <c r="A127" s="97" t="str">
        <f>'Data Vlaue (Cr)'!C122</f>
        <v>M&amp;M</v>
      </c>
      <c r="B127" s="142">
        <f>VLOOKUP(A127,'Data Vlaue (Cr)'!C122:CW334,99,0)</f>
        <v>7977</v>
      </c>
      <c r="C127" s="90">
        <f>VLOOKUP(A127,'Data Vlaue (Cr)'!C122:CY334,101,0)</f>
        <v>412</v>
      </c>
      <c r="D127" s="139">
        <f>VLOOKUP(A127,'Data Vlaue (Cr)'!C122:CZ334,102,0)</f>
        <v>5.45E-2</v>
      </c>
      <c r="E127" s="91">
        <f>VLOOKUP($A127,'Data Vlaue (Cr)'!$C:$FB,75)</f>
        <v>6451</v>
      </c>
      <c r="F127" s="91">
        <f>VLOOKUP($A127,'Data Vlaue (Cr)'!$C:$FB,77)</f>
        <v>145</v>
      </c>
      <c r="G127" s="92">
        <f>VLOOKUP(A127,'Data Vlaue (Cr)'!C122:CB334,78,0)</f>
        <v>2.3E-2</v>
      </c>
      <c r="H127" s="91">
        <f>VLOOKUP($A127,'Data Vlaue (Cr)'!$C:$FB,91)</f>
        <v>713</v>
      </c>
      <c r="I127" s="91">
        <f>VLOOKUP($A127,'Data Vlaue (Cr)'!$C:$FB,93)</f>
        <v>120</v>
      </c>
      <c r="J127" s="92">
        <f>VLOOKUP($A127,'Data Vlaue (Cr)'!$C:$FB,94)</f>
        <v>0.2031</v>
      </c>
      <c r="K127" s="91">
        <f>VLOOKUP($A127,'Data Vlaue (Cr)'!$C:$FB,95)</f>
        <v>813</v>
      </c>
      <c r="L127" s="91">
        <f>VLOOKUP($A127,'Data Vlaue (Cr)'!$C:$FB,97)</f>
        <v>146</v>
      </c>
      <c r="M127" s="92">
        <f>VLOOKUP($A127,'Data Vlaue (Cr)'!$C:$FB,98)</f>
        <v>0.21970000000000001</v>
      </c>
      <c r="N127" s="91">
        <f>VLOOKUP($A127,'Data Vlaue (Cr)'!$C:$FB,79)</f>
        <v>5884</v>
      </c>
      <c r="O127" s="92">
        <f>VLOOKUP($A127,'Data Vlaue (Cr)'!$C:$FB,82)</f>
        <v>27.9222</v>
      </c>
    </row>
    <row r="128" spans="1:15" x14ac:dyDescent="0.25">
      <c r="A128" s="97" t="str">
        <f>'Data Vlaue (Cr)'!C123</f>
        <v>MANAPPURAM</v>
      </c>
      <c r="B128" s="142">
        <f>VLOOKUP(A128,'Data Vlaue (Cr)'!C123:CW335,99,0)</f>
        <v>1841</v>
      </c>
      <c r="C128" s="90">
        <f>VLOOKUP(A128,'Data Vlaue (Cr)'!C123:CY335,101,0)</f>
        <v>166</v>
      </c>
      <c r="D128" s="139">
        <f>VLOOKUP(A128,'Data Vlaue (Cr)'!C123:CZ335,102,0)</f>
        <v>9.8900000000000002E-2</v>
      </c>
      <c r="E128" s="91">
        <f>VLOOKUP($A128,'Data Vlaue (Cr)'!$C:$FB,75)</f>
        <v>1220</v>
      </c>
      <c r="F128" s="91">
        <f>VLOOKUP($A128,'Data Vlaue (Cr)'!$C:$FB,77)</f>
        <v>-11</v>
      </c>
      <c r="G128" s="92">
        <f>VLOOKUP(A128,'Data Vlaue (Cr)'!C123:CB335,78,0)</f>
        <v>-8.6E-3</v>
      </c>
      <c r="H128" s="91">
        <f>VLOOKUP($A128,'Data Vlaue (Cr)'!$C:$FB,91)</f>
        <v>336</v>
      </c>
      <c r="I128" s="91">
        <f>VLOOKUP($A128,'Data Vlaue (Cr)'!$C:$FB,93)</f>
        <v>93</v>
      </c>
      <c r="J128" s="92">
        <f>VLOOKUP($A128,'Data Vlaue (Cr)'!$C:$FB,94)</f>
        <v>0.38379999999999997</v>
      </c>
      <c r="K128" s="91">
        <f>VLOOKUP($A128,'Data Vlaue (Cr)'!$C:$FB,95)</f>
        <v>285</v>
      </c>
      <c r="L128" s="91">
        <f>VLOOKUP($A128,'Data Vlaue (Cr)'!$C:$FB,97)</f>
        <v>83</v>
      </c>
      <c r="M128" s="92">
        <f>VLOOKUP($A128,'Data Vlaue (Cr)'!$C:$FB,98)</f>
        <v>0.41170000000000001</v>
      </c>
      <c r="N128" s="91">
        <f>VLOOKUP($A128,'Data Vlaue (Cr)'!$C:$FB,79)</f>
        <v>1211</v>
      </c>
      <c r="O128" s="92">
        <f>VLOOKUP($A128,'Data Vlaue (Cr)'!$C:$FB,82)</f>
        <v>14.7332</v>
      </c>
    </row>
    <row r="129" spans="1:15" x14ac:dyDescent="0.25">
      <c r="A129" s="97" t="str">
        <f>'Data Vlaue (Cr)'!C124</f>
        <v>MANKIND</v>
      </c>
      <c r="B129" s="142">
        <f>VLOOKUP(A129,'Data Vlaue (Cr)'!C124:CW336,99,0)</f>
        <v>537</v>
      </c>
      <c r="C129" s="90">
        <f>VLOOKUP(A129,'Data Vlaue (Cr)'!C124:CY336,101,0)</f>
        <v>57</v>
      </c>
      <c r="D129" s="139">
        <f>VLOOKUP(A129,'Data Vlaue (Cr)'!C124:CZ336,102,0)</f>
        <v>0.1198</v>
      </c>
      <c r="E129" s="91">
        <f>VLOOKUP($A129,'Data Vlaue (Cr)'!$C:$FB,75)</f>
        <v>435</v>
      </c>
      <c r="F129" s="91">
        <f>VLOOKUP($A129,'Data Vlaue (Cr)'!$C:$FB,77)</f>
        <v>12</v>
      </c>
      <c r="G129" s="92">
        <f>VLOOKUP(A129,'Data Vlaue (Cr)'!C124:CB336,78,0)</f>
        <v>2.8000000000000001E-2</v>
      </c>
      <c r="H129" s="91">
        <f>VLOOKUP($A129,'Data Vlaue (Cr)'!$C:$FB,91)</f>
        <v>48</v>
      </c>
      <c r="I129" s="91">
        <f>VLOOKUP($A129,'Data Vlaue (Cr)'!$C:$FB,93)</f>
        <v>26</v>
      </c>
      <c r="J129" s="92">
        <f>VLOOKUP($A129,'Data Vlaue (Cr)'!$C:$FB,94)</f>
        <v>1.2239</v>
      </c>
      <c r="K129" s="91">
        <f>VLOOKUP($A129,'Data Vlaue (Cr)'!$C:$FB,95)</f>
        <v>54</v>
      </c>
      <c r="L129" s="91">
        <f>VLOOKUP($A129,'Data Vlaue (Cr)'!$C:$FB,97)</f>
        <v>19</v>
      </c>
      <c r="M129" s="92">
        <f>VLOOKUP($A129,'Data Vlaue (Cr)'!$C:$FB,98)</f>
        <v>0.54890000000000005</v>
      </c>
      <c r="N129" s="91">
        <f>VLOOKUP($A129,'Data Vlaue (Cr)'!$C:$FB,79)</f>
        <v>429</v>
      </c>
      <c r="O129" s="92">
        <f>VLOOKUP($A129,'Data Vlaue (Cr)'!$C:$FB,82)</f>
        <v>19.786999999999999</v>
      </c>
    </row>
    <row r="130" spans="1:15" x14ac:dyDescent="0.25">
      <c r="A130" s="97" t="str">
        <f>'Data Vlaue (Cr)'!C125</f>
        <v>MARICO</v>
      </c>
      <c r="B130" s="142">
        <f>VLOOKUP(A130,'Data Vlaue (Cr)'!C125:CW337,99,0)</f>
        <v>2627</v>
      </c>
      <c r="C130" s="90">
        <f>VLOOKUP(A130,'Data Vlaue (Cr)'!C125:CY337,101,0)</f>
        <v>165</v>
      </c>
      <c r="D130" s="139">
        <f>VLOOKUP(A130,'Data Vlaue (Cr)'!C125:CZ337,102,0)</f>
        <v>6.7100000000000007E-2</v>
      </c>
      <c r="E130" s="91">
        <f>VLOOKUP($A130,'Data Vlaue (Cr)'!$C:$FB,75)</f>
        <v>2210</v>
      </c>
      <c r="F130" s="91">
        <f>VLOOKUP($A130,'Data Vlaue (Cr)'!$C:$FB,77)</f>
        <v>44</v>
      </c>
      <c r="G130" s="92">
        <f>VLOOKUP(A130,'Data Vlaue (Cr)'!C125:CB337,78,0)</f>
        <v>2.0299999999999999E-2</v>
      </c>
      <c r="H130" s="91">
        <f>VLOOKUP($A130,'Data Vlaue (Cr)'!$C:$FB,91)</f>
        <v>236</v>
      </c>
      <c r="I130" s="91">
        <f>VLOOKUP($A130,'Data Vlaue (Cr)'!$C:$FB,93)</f>
        <v>81</v>
      </c>
      <c r="J130" s="92">
        <f>VLOOKUP($A130,'Data Vlaue (Cr)'!$C:$FB,94)</f>
        <v>0.52070000000000005</v>
      </c>
      <c r="K130" s="91">
        <f>VLOOKUP($A130,'Data Vlaue (Cr)'!$C:$FB,95)</f>
        <v>181</v>
      </c>
      <c r="L130" s="91">
        <f>VLOOKUP($A130,'Data Vlaue (Cr)'!$C:$FB,97)</f>
        <v>41</v>
      </c>
      <c r="M130" s="92">
        <f>VLOOKUP($A130,'Data Vlaue (Cr)'!$C:$FB,98)</f>
        <v>0.28960000000000002</v>
      </c>
      <c r="N130" s="91">
        <f>VLOOKUP($A130,'Data Vlaue (Cr)'!$C:$FB,79)</f>
        <v>2203</v>
      </c>
      <c r="O130" s="92">
        <f>VLOOKUP($A130,'Data Vlaue (Cr)'!$C:$FB,82)</f>
        <v>49.204900000000002</v>
      </c>
    </row>
    <row r="131" spans="1:15" x14ac:dyDescent="0.25">
      <c r="A131" s="97" t="str">
        <f>'Data Vlaue (Cr)'!C126</f>
        <v>MARUTI</v>
      </c>
      <c r="B131" s="142">
        <f>VLOOKUP(A131,'Data Vlaue (Cr)'!C126:CW338,99,0)</f>
        <v>9187</v>
      </c>
      <c r="C131" s="90">
        <f>VLOOKUP(A131,'Data Vlaue (Cr)'!C126:CY338,101,0)</f>
        <v>3081</v>
      </c>
      <c r="D131" s="139">
        <f>VLOOKUP(A131,'Data Vlaue (Cr)'!C126:CZ338,102,0)</f>
        <v>0.50460000000000005</v>
      </c>
      <c r="E131" s="91">
        <f>VLOOKUP($A131,'Data Vlaue (Cr)'!$C:$FB,75)</f>
        <v>4887</v>
      </c>
      <c r="F131" s="91">
        <f>VLOOKUP($A131,'Data Vlaue (Cr)'!$C:$FB,77)</f>
        <v>279</v>
      </c>
      <c r="G131" s="92">
        <f>VLOOKUP(A131,'Data Vlaue (Cr)'!C126:CB338,78,0)</f>
        <v>6.0400000000000002E-2</v>
      </c>
      <c r="H131" s="91">
        <f>VLOOKUP($A131,'Data Vlaue (Cr)'!$C:$FB,91)</f>
        <v>2711</v>
      </c>
      <c r="I131" s="91">
        <f>VLOOKUP($A131,'Data Vlaue (Cr)'!$C:$FB,93)</f>
        <v>1861</v>
      </c>
      <c r="J131" s="92">
        <f>VLOOKUP($A131,'Data Vlaue (Cr)'!$C:$FB,94)</f>
        <v>2.1878000000000002</v>
      </c>
      <c r="K131" s="91">
        <f>VLOOKUP($A131,'Data Vlaue (Cr)'!$C:$FB,95)</f>
        <v>1588</v>
      </c>
      <c r="L131" s="91">
        <f>VLOOKUP($A131,'Data Vlaue (Cr)'!$C:$FB,97)</f>
        <v>942</v>
      </c>
      <c r="M131" s="92">
        <f>VLOOKUP($A131,'Data Vlaue (Cr)'!$C:$FB,98)</f>
        <v>1.4572000000000001</v>
      </c>
      <c r="N131" s="91">
        <f>VLOOKUP($A131,'Data Vlaue (Cr)'!$C:$FB,79)</f>
        <v>4636</v>
      </c>
      <c r="O131" s="92">
        <f>VLOOKUP($A131,'Data Vlaue (Cr)'!$C:$FB,82)</f>
        <v>18.647099999999998</v>
      </c>
    </row>
    <row r="132" spans="1:15" x14ac:dyDescent="0.25">
      <c r="A132" s="97" t="str">
        <f>'Data Vlaue (Cr)'!C127</f>
        <v>MAXHEALTH</v>
      </c>
      <c r="B132" s="142">
        <f>VLOOKUP(A132,'Data Vlaue (Cr)'!C127:CW339,99,0)</f>
        <v>2027</v>
      </c>
      <c r="C132" s="90">
        <f>VLOOKUP(A132,'Data Vlaue (Cr)'!C127:CY339,101,0)</f>
        <v>101</v>
      </c>
      <c r="D132" s="139">
        <f>VLOOKUP(A132,'Data Vlaue (Cr)'!C127:CZ339,102,0)</f>
        <v>5.2299999999999999E-2</v>
      </c>
      <c r="E132" s="91">
        <f>VLOOKUP($A132,'Data Vlaue (Cr)'!$C:$FB,75)</f>
        <v>1764</v>
      </c>
      <c r="F132" s="91">
        <f>VLOOKUP($A132,'Data Vlaue (Cr)'!$C:$FB,77)</f>
        <v>36</v>
      </c>
      <c r="G132" s="92">
        <f>VLOOKUP(A132,'Data Vlaue (Cr)'!C127:CB339,78,0)</f>
        <v>2.07E-2</v>
      </c>
      <c r="H132" s="91">
        <f>VLOOKUP($A132,'Data Vlaue (Cr)'!$C:$FB,91)</f>
        <v>133</v>
      </c>
      <c r="I132" s="91">
        <f>VLOOKUP($A132,'Data Vlaue (Cr)'!$C:$FB,93)</f>
        <v>38</v>
      </c>
      <c r="J132" s="92">
        <f>VLOOKUP($A132,'Data Vlaue (Cr)'!$C:$FB,94)</f>
        <v>0.40239999999999998</v>
      </c>
      <c r="K132" s="91">
        <f>VLOOKUP($A132,'Data Vlaue (Cr)'!$C:$FB,95)</f>
        <v>130</v>
      </c>
      <c r="L132" s="91">
        <f>VLOOKUP($A132,'Data Vlaue (Cr)'!$C:$FB,97)</f>
        <v>27</v>
      </c>
      <c r="M132" s="92">
        <f>VLOOKUP($A132,'Data Vlaue (Cr)'!$C:$FB,98)</f>
        <v>0.25969999999999999</v>
      </c>
      <c r="N132" s="91">
        <f>VLOOKUP($A132,'Data Vlaue (Cr)'!$C:$FB,79)</f>
        <v>1702</v>
      </c>
      <c r="O132" s="92">
        <f>VLOOKUP($A132,'Data Vlaue (Cr)'!$C:$FB,82)</f>
        <v>9.4785000000000004</v>
      </c>
    </row>
    <row r="133" spans="1:15" x14ac:dyDescent="0.25">
      <c r="A133" s="97" t="str">
        <f>'Data Vlaue (Cr)'!C128</f>
        <v>MAZDOCK</v>
      </c>
      <c r="B133" s="142">
        <f>VLOOKUP(A133,'Data Vlaue (Cr)'!C128:CW340,99,0)</f>
        <v>1818</v>
      </c>
      <c r="C133" s="90">
        <f>VLOOKUP(A133,'Data Vlaue (Cr)'!C128:CY340,101,0)</f>
        <v>218</v>
      </c>
      <c r="D133" s="139">
        <f>VLOOKUP(A133,'Data Vlaue (Cr)'!C128:CZ340,102,0)</f>
        <v>0.13639999999999999</v>
      </c>
      <c r="E133" s="91">
        <f>VLOOKUP($A133,'Data Vlaue (Cr)'!$C:$FB,75)</f>
        <v>1138</v>
      </c>
      <c r="F133" s="91">
        <f>VLOOKUP($A133,'Data Vlaue (Cr)'!$C:$FB,77)</f>
        <v>35</v>
      </c>
      <c r="G133" s="92">
        <f>VLOOKUP(A133,'Data Vlaue (Cr)'!C128:CB340,78,0)</f>
        <v>3.1899999999999998E-2</v>
      </c>
      <c r="H133" s="91">
        <f>VLOOKUP($A133,'Data Vlaue (Cr)'!$C:$FB,91)</f>
        <v>388</v>
      </c>
      <c r="I133" s="91">
        <f>VLOOKUP($A133,'Data Vlaue (Cr)'!$C:$FB,93)</f>
        <v>133</v>
      </c>
      <c r="J133" s="92">
        <f>VLOOKUP($A133,'Data Vlaue (Cr)'!$C:$FB,94)</f>
        <v>0.51949999999999996</v>
      </c>
      <c r="K133" s="91">
        <f>VLOOKUP($A133,'Data Vlaue (Cr)'!$C:$FB,95)</f>
        <v>291</v>
      </c>
      <c r="L133" s="91">
        <f>VLOOKUP($A133,'Data Vlaue (Cr)'!$C:$FB,97)</f>
        <v>50</v>
      </c>
      <c r="M133" s="92">
        <f>VLOOKUP($A133,'Data Vlaue (Cr)'!$C:$FB,98)</f>
        <v>0.20860000000000001</v>
      </c>
      <c r="N133" s="91">
        <f>VLOOKUP($A133,'Data Vlaue (Cr)'!$C:$FB,79)</f>
        <v>1097</v>
      </c>
      <c r="O133" s="92">
        <f>VLOOKUP($A133,'Data Vlaue (Cr)'!$C:$FB,82)</f>
        <v>8.8462999999999994</v>
      </c>
    </row>
    <row r="134" spans="1:15" x14ac:dyDescent="0.25">
      <c r="A134" s="97" t="str">
        <f>'Data Vlaue (Cr)'!C129</f>
        <v>MCX</v>
      </c>
      <c r="B134" s="142">
        <f>VLOOKUP(A134,'Data Vlaue (Cr)'!C129:CW341,99,0)</f>
        <v>6485</v>
      </c>
      <c r="C134" s="90">
        <f>VLOOKUP(A134,'Data Vlaue (Cr)'!C129:CY341,101,0)</f>
        <v>543</v>
      </c>
      <c r="D134" s="139">
        <f>VLOOKUP(A134,'Data Vlaue (Cr)'!C129:CZ341,102,0)</f>
        <v>9.1499999999999998E-2</v>
      </c>
      <c r="E134" s="91">
        <f>VLOOKUP($A134,'Data Vlaue (Cr)'!$C:$FB,75)</f>
        <v>3635</v>
      </c>
      <c r="F134" s="91">
        <f>VLOOKUP($A134,'Data Vlaue (Cr)'!$C:$FB,77)</f>
        <v>-197</v>
      </c>
      <c r="G134" s="92">
        <f>VLOOKUP(A134,'Data Vlaue (Cr)'!C129:CB341,78,0)</f>
        <v>-5.1499999999999997E-2</v>
      </c>
      <c r="H134" s="91">
        <f>VLOOKUP($A134,'Data Vlaue (Cr)'!$C:$FB,91)</f>
        <v>1517</v>
      </c>
      <c r="I134" s="91">
        <f>VLOOKUP($A134,'Data Vlaue (Cr)'!$C:$FB,93)</f>
        <v>252</v>
      </c>
      <c r="J134" s="92">
        <f>VLOOKUP($A134,'Data Vlaue (Cr)'!$C:$FB,94)</f>
        <v>0.19950000000000001</v>
      </c>
      <c r="K134" s="91">
        <f>VLOOKUP($A134,'Data Vlaue (Cr)'!$C:$FB,95)</f>
        <v>1333</v>
      </c>
      <c r="L134" s="91">
        <f>VLOOKUP($A134,'Data Vlaue (Cr)'!$C:$FB,97)</f>
        <v>488</v>
      </c>
      <c r="M134" s="92">
        <f>VLOOKUP($A134,'Data Vlaue (Cr)'!$C:$FB,98)</f>
        <v>0.57809999999999995</v>
      </c>
      <c r="N134" s="91">
        <f>VLOOKUP($A134,'Data Vlaue (Cr)'!$C:$FB,79)</f>
        <v>3529</v>
      </c>
      <c r="O134" s="92">
        <f>VLOOKUP($A134,'Data Vlaue (Cr)'!$C:$FB,82)</f>
        <v>14.661099999999999</v>
      </c>
    </row>
    <row r="135" spans="1:15" x14ac:dyDescent="0.25">
      <c r="A135" s="97" t="str">
        <f>'Data Vlaue (Cr)'!C130</f>
        <v>MFSL</v>
      </c>
      <c r="B135" s="142">
        <f>VLOOKUP(A135,'Data Vlaue (Cr)'!C130:CW342,99,0)</f>
        <v>1592</v>
      </c>
      <c r="C135" s="90">
        <f>VLOOKUP(A135,'Data Vlaue (Cr)'!C130:CY342,101,0)</f>
        <v>64</v>
      </c>
      <c r="D135" s="139">
        <f>VLOOKUP(A135,'Data Vlaue (Cr)'!C130:CZ342,102,0)</f>
        <v>4.19E-2</v>
      </c>
      <c r="E135" s="91">
        <f>VLOOKUP($A135,'Data Vlaue (Cr)'!$C:$FB,75)</f>
        <v>1409</v>
      </c>
      <c r="F135" s="91">
        <f>VLOOKUP($A135,'Data Vlaue (Cr)'!$C:$FB,77)</f>
        <v>-45</v>
      </c>
      <c r="G135" s="92">
        <f>VLOOKUP(A135,'Data Vlaue (Cr)'!C130:CB342,78,0)</f>
        <v>-3.0700000000000002E-2</v>
      </c>
      <c r="H135" s="91">
        <f>VLOOKUP($A135,'Data Vlaue (Cr)'!$C:$FB,91)</f>
        <v>101</v>
      </c>
      <c r="I135" s="91">
        <f>VLOOKUP($A135,'Data Vlaue (Cr)'!$C:$FB,93)</f>
        <v>64</v>
      </c>
      <c r="J135" s="92">
        <f>VLOOKUP($A135,'Data Vlaue (Cr)'!$C:$FB,94)</f>
        <v>1.7133</v>
      </c>
      <c r="K135" s="91">
        <f>VLOOKUP($A135,'Data Vlaue (Cr)'!$C:$FB,95)</f>
        <v>82</v>
      </c>
      <c r="L135" s="91">
        <f>VLOOKUP($A135,'Data Vlaue (Cr)'!$C:$FB,97)</f>
        <v>45</v>
      </c>
      <c r="M135" s="92">
        <f>VLOOKUP($A135,'Data Vlaue (Cr)'!$C:$FB,98)</f>
        <v>1.2095</v>
      </c>
      <c r="N135" s="91">
        <f>VLOOKUP($A135,'Data Vlaue (Cr)'!$C:$FB,79)</f>
        <v>1406</v>
      </c>
      <c r="O135" s="92">
        <f>VLOOKUP($A135,'Data Vlaue (Cr)'!$C:$FB,82)</f>
        <v>19.645900000000001</v>
      </c>
    </row>
    <row r="136" spans="1:15" x14ac:dyDescent="0.25">
      <c r="A136" s="97" t="str">
        <f>'Data Vlaue (Cr)'!C131</f>
        <v>MIDCPNIFTY</v>
      </c>
      <c r="B136" s="142">
        <f>VLOOKUP(A136,'Data Vlaue (Cr)'!C131:CW343,99,0)</f>
        <v>13625</v>
      </c>
      <c r="C136" s="90">
        <f>VLOOKUP(A136,'Data Vlaue (Cr)'!C131:CY343,101,0)</f>
        <v>4861</v>
      </c>
      <c r="D136" s="139">
        <f>VLOOKUP(A136,'Data Vlaue (Cr)'!C131:CZ343,102,0)</f>
        <v>0.55469999999999997</v>
      </c>
      <c r="E136" s="91">
        <f>VLOOKUP($A136,'Data Vlaue (Cr)'!$C:$FB,75)</f>
        <v>3447</v>
      </c>
      <c r="F136" s="91">
        <f>VLOOKUP($A136,'Data Vlaue (Cr)'!$C:$FB,77)</f>
        <v>-51</v>
      </c>
      <c r="G136" s="92">
        <f>VLOOKUP(A136,'Data Vlaue (Cr)'!C131:CB343,78,0)</f>
        <v>-1.46E-2</v>
      </c>
      <c r="H136" s="91">
        <f>VLOOKUP($A136,'Data Vlaue (Cr)'!$C:$FB,91)</f>
        <v>4763</v>
      </c>
      <c r="I136" s="91">
        <f>VLOOKUP($A136,'Data Vlaue (Cr)'!$C:$FB,93)</f>
        <v>2212</v>
      </c>
      <c r="J136" s="92">
        <f>VLOOKUP($A136,'Data Vlaue (Cr)'!$C:$FB,94)</f>
        <v>0.8669</v>
      </c>
      <c r="K136" s="91">
        <f>VLOOKUP($A136,'Data Vlaue (Cr)'!$C:$FB,95)</f>
        <v>5415</v>
      </c>
      <c r="L136" s="91">
        <f>VLOOKUP($A136,'Data Vlaue (Cr)'!$C:$FB,97)</f>
        <v>2701</v>
      </c>
      <c r="M136" s="92">
        <f>VLOOKUP($A136,'Data Vlaue (Cr)'!$C:$FB,98)</f>
        <v>0.99470000000000003</v>
      </c>
      <c r="N136" s="91">
        <f>VLOOKUP($A136,'Data Vlaue (Cr)'!$C:$FB,79)</f>
        <v>3357</v>
      </c>
      <c r="O136" s="92">
        <f>VLOOKUP($A136,'Data Vlaue (Cr)'!$C:$FB,82)</f>
        <v>5.0366999999999997</v>
      </c>
    </row>
    <row r="137" spans="1:15" x14ac:dyDescent="0.25">
      <c r="A137" s="97" t="str">
        <f>'Data Vlaue (Cr)'!C132</f>
        <v>MOTHERSON</v>
      </c>
      <c r="B137" s="142">
        <f>VLOOKUP(A137,'Data Vlaue (Cr)'!C132:CW344,99,0)</f>
        <v>2398</v>
      </c>
      <c r="C137" s="90">
        <f>VLOOKUP(A137,'Data Vlaue (Cr)'!C132:CY344,101,0)</f>
        <v>46</v>
      </c>
      <c r="D137" s="139">
        <f>VLOOKUP(A137,'Data Vlaue (Cr)'!C132:CZ344,102,0)</f>
        <v>1.9599999999999999E-2</v>
      </c>
      <c r="E137" s="91">
        <f>VLOOKUP($A137,'Data Vlaue (Cr)'!$C:$FB,75)</f>
        <v>1939</v>
      </c>
      <c r="F137" s="91">
        <f>VLOOKUP($A137,'Data Vlaue (Cr)'!$C:$FB,77)</f>
        <v>13</v>
      </c>
      <c r="G137" s="92">
        <f>VLOOKUP(A137,'Data Vlaue (Cr)'!C132:CB344,78,0)</f>
        <v>7.0000000000000001E-3</v>
      </c>
      <c r="H137" s="91">
        <f>VLOOKUP($A137,'Data Vlaue (Cr)'!$C:$FB,91)</f>
        <v>253</v>
      </c>
      <c r="I137" s="91">
        <f>VLOOKUP($A137,'Data Vlaue (Cr)'!$C:$FB,93)</f>
        <v>16</v>
      </c>
      <c r="J137" s="92">
        <f>VLOOKUP($A137,'Data Vlaue (Cr)'!$C:$FB,94)</f>
        <v>6.5799999999999997E-2</v>
      </c>
      <c r="K137" s="91">
        <f>VLOOKUP($A137,'Data Vlaue (Cr)'!$C:$FB,95)</f>
        <v>206</v>
      </c>
      <c r="L137" s="91">
        <f>VLOOKUP($A137,'Data Vlaue (Cr)'!$C:$FB,97)</f>
        <v>17</v>
      </c>
      <c r="M137" s="92">
        <f>VLOOKUP($A137,'Data Vlaue (Cr)'!$C:$FB,98)</f>
        <v>9.0300000000000005E-2</v>
      </c>
      <c r="N137" s="91">
        <f>VLOOKUP($A137,'Data Vlaue (Cr)'!$C:$FB,79)</f>
        <v>1907</v>
      </c>
      <c r="O137" s="92">
        <f>VLOOKUP($A137,'Data Vlaue (Cr)'!$C:$FB,82)</f>
        <v>25.494299999999999</v>
      </c>
    </row>
    <row r="138" spans="1:15" x14ac:dyDescent="0.25">
      <c r="A138" s="97" t="str">
        <f>'Data Vlaue (Cr)'!C133</f>
        <v>MPHASIS</v>
      </c>
      <c r="B138" s="142">
        <f>VLOOKUP(A138,'Data Vlaue (Cr)'!C133:CW345,99,0)</f>
        <v>1529</v>
      </c>
      <c r="C138" s="90">
        <f>VLOOKUP(A138,'Data Vlaue (Cr)'!C133:CY345,101,0)</f>
        <v>31</v>
      </c>
      <c r="D138" s="139">
        <f>VLOOKUP(A138,'Data Vlaue (Cr)'!C133:CZ345,102,0)</f>
        <v>2.0500000000000001E-2</v>
      </c>
      <c r="E138" s="91">
        <f>VLOOKUP($A138,'Data Vlaue (Cr)'!$C:$FB,75)</f>
        <v>1319</v>
      </c>
      <c r="F138" s="91">
        <f>VLOOKUP($A138,'Data Vlaue (Cr)'!$C:$FB,77)</f>
        <v>11</v>
      </c>
      <c r="G138" s="92">
        <f>VLOOKUP(A138,'Data Vlaue (Cr)'!C133:CB345,78,0)</f>
        <v>8.0999999999999996E-3</v>
      </c>
      <c r="H138" s="91">
        <f>VLOOKUP($A138,'Data Vlaue (Cr)'!$C:$FB,91)</f>
        <v>120</v>
      </c>
      <c r="I138" s="91">
        <f>VLOOKUP($A138,'Data Vlaue (Cr)'!$C:$FB,93)</f>
        <v>9</v>
      </c>
      <c r="J138" s="92">
        <f>VLOOKUP($A138,'Data Vlaue (Cr)'!$C:$FB,94)</f>
        <v>8.5300000000000001E-2</v>
      </c>
      <c r="K138" s="91">
        <f>VLOOKUP($A138,'Data Vlaue (Cr)'!$C:$FB,95)</f>
        <v>89</v>
      </c>
      <c r="L138" s="91">
        <f>VLOOKUP($A138,'Data Vlaue (Cr)'!$C:$FB,97)</f>
        <v>11</v>
      </c>
      <c r="M138" s="92">
        <f>VLOOKUP($A138,'Data Vlaue (Cr)'!$C:$FB,98)</f>
        <v>0.13550000000000001</v>
      </c>
      <c r="N138" s="91">
        <f>VLOOKUP($A138,'Data Vlaue (Cr)'!$C:$FB,79)</f>
        <v>1311</v>
      </c>
      <c r="O138" s="92">
        <f>VLOOKUP($A138,'Data Vlaue (Cr)'!$C:$FB,82)</f>
        <v>22.822399999999998</v>
      </c>
    </row>
    <row r="139" spans="1:15" x14ac:dyDescent="0.25">
      <c r="A139" s="97" t="str">
        <f>'Data Vlaue (Cr)'!C134</f>
        <v>MUTHOOTFIN</v>
      </c>
      <c r="B139" s="142">
        <f>VLOOKUP(A139,'Data Vlaue (Cr)'!C134:CW346,99,0)</f>
        <v>2218</v>
      </c>
      <c r="C139" s="90">
        <f>VLOOKUP(A139,'Data Vlaue (Cr)'!C134:CY346,101,0)</f>
        <v>206</v>
      </c>
      <c r="D139" s="139">
        <f>VLOOKUP(A139,'Data Vlaue (Cr)'!C134:CZ346,102,0)</f>
        <v>0.1024</v>
      </c>
      <c r="E139" s="91">
        <f>VLOOKUP($A139,'Data Vlaue (Cr)'!$C:$FB,75)</f>
        <v>1563</v>
      </c>
      <c r="F139" s="91">
        <f>VLOOKUP($A139,'Data Vlaue (Cr)'!$C:$FB,77)</f>
        <v>71</v>
      </c>
      <c r="G139" s="92">
        <f>VLOOKUP(A139,'Data Vlaue (Cr)'!C134:CB346,78,0)</f>
        <v>4.7300000000000002E-2</v>
      </c>
      <c r="H139" s="91">
        <f>VLOOKUP($A139,'Data Vlaue (Cr)'!$C:$FB,91)</f>
        <v>387</v>
      </c>
      <c r="I139" s="91">
        <f>VLOOKUP($A139,'Data Vlaue (Cr)'!$C:$FB,93)</f>
        <v>86</v>
      </c>
      <c r="J139" s="92">
        <f>VLOOKUP($A139,'Data Vlaue (Cr)'!$C:$FB,94)</f>
        <v>0.28570000000000001</v>
      </c>
      <c r="K139" s="91">
        <f>VLOOKUP($A139,'Data Vlaue (Cr)'!$C:$FB,95)</f>
        <v>267</v>
      </c>
      <c r="L139" s="91">
        <f>VLOOKUP($A139,'Data Vlaue (Cr)'!$C:$FB,97)</f>
        <v>49</v>
      </c>
      <c r="M139" s="92">
        <f>VLOOKUP($A139,'Data Vlaue (Cr)'!$C:$FB,98)</f>
        <v>0.2261</v>
      </c>
      <c r="N139" s="91">
        <f>VLOOKUP($A139,'Data Vlaue (Cr)'!$C:$FB,79)</f>
        <v>1537</v>
      </c>
      <c r="O139" s="92">
        <f>VLOOKUP($A139,'Data Vlaue (Cr)'!$C:$FB,82)</f>
        <v>26.325500000000002</v>
      </c>
    </row>
    <row r="140" spans="1:15" x14ac:dyDescent="0.25">
      <c r="A140" s="97" t="str">
        <f>'Data Vlaue (Cr)'!C135</f>
        <v>NATIONALUM</v>
      </c>
      <c r="B140" s="142">
        <f>VLOOKUP(A140,'Data Vlaue (Cr)'!C135:CW347,99,0)</f>
        <v>3606</v>
      </c>
      <c r="C140" s="90">
        <f>VLOOKUP(A140,'Data Vlaue (Cr)'!C135:CY347,101,0)</f>
        <v>285</v>
      </c>
      <c r="D140" s="139">
        <f>VLOOKUP(A140,'Data Vlaue (Cr)'!C135:CZ347,102,0)</f>
        <v>8.5900000000000004E-2</v>
      </c>
      <c r="E140" s="91">
        <f>VLOOKUP($A140,'Data Vlaue (Cr)'!$C:$FB,75)</f>
        <v>1993</v>
      </c>
      <c r="F140" s="91">
        <f>VLOOKUP($A140,'Data Vlaue (Cr)'!$C:$FB,77)</f>
        <v>53</v>
      </c>
      <c r="G140" s="92">
        <f>VLOOKUP(A140,'Data Vlaue (Cr)'!C135:CB347,78,0)</f>
        <v>2.7400000000000001E-2</v>
      </c>
      <c r="H140" s="91">
        <f>VLOOKUP($A140,'Data Vlaue (Cr)'!$C:$FB,91)</f>
        <v>865</v>
      </c>
      <c r="I140" s="91">
        <f>VLOOKUP($A140,'Data Vlaue (Cr)'!$C:$FB,93)</f>
        <v>87</v>
      </c>
      <c r="J140" s="92">
        <f>VLOOKUP($A140,'Data Vlaue (Cr)'!$C:$FB,94)</f>
        <v>0.112</v>
      </c>
      <c r="K140" s="91">
        <f>VLOOKUP($A140,'Data Vlaue (Cr)'!$C:$FB,95)</f>
        <v>748</v>
      </c>
      <c r="L140" s="91">
        <f>VLOOKUP($A140,'Data Vlaue (Cr)'!$C:$FB,97)</f>
        <v>145</v>
      </c>
      <c r="M140" s="92">
        <f>VLOOKUP($A140,'Data Vlaue (Cr)'!$C:$FB,98)</f>
        <v>0.24030000000000001</v>
      </c>
      <c r="N140" s="91">
        <f>VLOOKUP($A140,'Data Vlaue (Cr)'!$C:$FB,79)</f>
        <v>1917</v>
      </c>
      <c r="O140" s="92">
        <f>VLOOKUP($A140,'Data Vlaue (Cr)'!$C:$FB,82)</f>
        <v>9.49</v>
      </c>
    </row>
    <row r="141" spans="1:15" x14ac:dyDescent="0.25">
      <c r="A141" s="97" t="str">
        <f>'Data Vlaue (Cr)'!C136</f>
        <v>NAUKRI</v>
      </c>
      <c r="B141" s="142">
        <f>VLOOKUP(A141,'Data Vlaue (Cr)'!C136:CW348,99,0)</f>
        <v>1328</v>
      </c>
      <c r="C141" s="90">
        <f>VLOOKUP(A141,'Data Vlaue (Cr)'!C136:CY348,101,0)</f>
        <v>76</v>
      </c>
      <c r="D141" s="139">
        <f>VLOOKUP(A141,'Data Vlaue (Cr)'!C136:CZ348,102,0)</f>
        <v>6.0400000000000002E-2</v>
      </c>
      <c r="E141" s="91">
        <f>VLOOKUP($A141,'Data Vlaue (Cr)'!$C:$FB,75)</f>
        <v>1061</v>
      </c>
      <c r="F141" s="91">
        <f>VLOOKUP($A141,'Data Vlaue (Cr)'!$C:$FB,77)</f>
        <v>21</v>
      </c>
      <c r="G141" s="92">
        <f>VLOOKUP(A141,'Data Vlaue (Cr)'!C136:CB348,78,0)</f>
        <v>1.9900000000000001E-2</v>
      </c>
      <c r="H141" s="91">
        <f>VLOOKUP($A141,'Data Vlaue (Cr)'!$C:$FB,91)</f>
        <v>141</v>
      </c>
      <c r="I141" s="91">
        <f>VLOOKUP($A141,'Data Vlaue (Cr)'!$C:$FB,93)</f>
        <v>33</v>
      </c>
      <c r="J141" s="92">
        <f>VLOOKUP($A141,'Data Vlaue (Cr)'!$C:$FB,94)</f>
        <v>0.30990000000000001</v>
      </c>
      <c r="K141" s="91">
        <f>VLOOKUP($A141,'Data Vlaue (Cr)'!$C:$FB,95)</f>
        <v>125</v>
      </c>
      <c r="L141" s="91">
        <f>VLOOKUP($A141,'Data Vlaue (Cr)'!$C:$FB,97)</f>
        <v>22</v>
      </c>
      <c r="M141" s="92">
        <f>VLOOKUP($A141,'Data Vlaue (Cr)'!$C:$FB,98)</f>
        <v>0.2079</v>
      </c>
      <c r="N141" s="91">
        <f>VLOOKUP($A141,'Data Vlaue (Cr)'!$C:$FB,79)</f>
        <v>1051</v>
      </c>
      <c r="O141" s="92">
        <f>VLOOKUP($A141,'Data Vlaue (Cr)'!$C:$FB,82)</f>
        <v>29.525600000000001</v>
      </c>
    </row>
    <row r="142" spans="1:15" x14ac:dyDescent="0.25">
      <c r="A142" s="97" t="str">
        <f>'Data Vlaue (Cr)'!C137</f>
        <v>NBCC</v>
      </c>
      <c r="B142" s="142">
        <f>VLOOKUP(A142,'Data Vlaue (Cr)'!C137:CW349,99,0)</f>
        <v>1230</v>
      </c>
      <c r="C142" s="90">
        <f>VLOOKUP(A142,'Data Vlaue (Cr)'!C137:CY349,101,0)</f>
        <v>48</v>
      </c>
      <c r="D142" s="139">
        <f>VLOOKUP(A142,'Data Vlaue (Cr)'!C137:CZ349,102,0)</f>
        <v>4.0899999999999999E-2</v>
      </c>
      <c r="E142" s="91">
        <f>VLOOKUP($A142,'Data Vlaue (Cr)'!$C:$FB,75)</f>
        <v>855</v>
      </c>
      <c r="F142" s="91">
        <f>VLOOKUP($A142,'Data Vlaue (Cr)'!$C:$FB,77)</f>
        <v>-7</v>
      </c>
      <c r="G142" s="92">
        <f>VLOOKUP(A142,'Data Vlaue (Cr)'!C137:CB349,78,0)</f>
        <v>-8.0999999999999996E-3</v>
      </c>
      <c r="H142" s="91">
        <f>VLOOKUP($A142,'Data Vlaue (Cr)'!$C:$FB,91)</f>
        <v>206</v>
      </c>
      <c r="I142" s="91">
        <f>VLOOKUP($A142,'Data Vlaue (Cr)'!$C:$FB,93)</f>
        <v>38</v>
      </c>
      <c r="J142" s="92">
        <f>VLOOKUP($A142,'Data Vlaue (Cr)'!$C:$FB,94)</f>
        <v>0.22520000000000001</v>
      </c>
      <c r="K142" s="91">
        <f>VLOOKUP($A142,'Data Vlaue (Cr)'!$C:$FB,95)</f>
        <v>169</v>
      </c>
      <c r="L142" s="91">
        <f>VLOOKUP($A142,'Data Vlaue (Cr)'!$C:$FB,97)</f>
        <v>17</v>
      </c>
      <c r="M142" s="92">
        <f>VLOOKUP($A142,'Data Vlaue (Cr)'!$C:$FB,98)</f>
        <v>0.1152</v>
      </c>
      <c r="N142" s="91">
        <f>VLOOKUP($A142,'Data Vlaue (Cr)'!$C:$FB,79)</f>
        <v>824</v>
      </c>
      <c r="O142" s="92">
        <f>VLOOKUP($A142,'Data Vlaue (Cr)'!$C:$FB,82)</f>
        <v>8.9560999999999993</v>
      </c>
    </row>
    <row r="143" spans="1:15" x14ac:dyDescent="0.25">
      <c r="A143" s="97" t="str">
        <f>'Data Vlaue (Cr)'!C138</f>
        <v>NESTLEIND</v>
      </c>
      <c r="B143" s="142">
        <f>VLOOKUP(A143,'Data Vlaue (Cr)'!C138:CW350,99,0)</f>
        <v>2624</v>
      </c>
      <c r="C143" s="90">
        <f>VLOOKUP(A143,'Data Vlaue (Cr)'!C138:CY350,101,0)</f>
        <v>150</v>
      </c>
      <c r="D143" s="139">
        <f>VLOOKUP(A143,'Data Vlaue (Cr)'!C138:CZ350,102,0)</f>
        <v>6.0600000000000001E-2</v>
      </c>
      <c r="E143" s="91">
        <f>VLOOKUP($A143,'Data Vlaue (Cr)'!$C:$FB,75)</f>
        <v>2284</v>
      </c>
      <c r="F143" s="91">
        <f>VLOOKUP($A143,'Data Vlaue (Cr)'!$C:$FB,77)</f>
        <v>1</v>
      </c>
      <c r="G143" s="92">
        <f>VLOOKUP(A143,'Data Vlaue (Cr)'!C138:CB350,78,0)</f>
        <v>5.0000000000000001E-4</v>
      </c>
      <c r="H143" s="91">
        <f>VLOOKUP($A143,'Data Vlaue (Cr)'!$C:$FB,91)</f>
        <v>198</v>
      </c>
      <c r="I143" s="91">
        <f>VLOOKUP($A143,'Data Vlaue (Cr)'!$C:$FB,93)</f>
        <v>95</v>
      </c>
      <c r="J143" s="92">
        <f>VLOOKUP($A143,'Data Vlaue (Cr)'!$C:$FB,94)</f>
        <v>0.91900000000000004</v>
      </c>
      <c r="K143" s="91">
        <f>VLOOKUP($A143,'Data Vlaue (Cr)'!$C:$FB,95)</f>
        <v>142</v>
      </c>
      <c r="L143" s="91">
        <f>VLOOKUP($A143,'Data Vlaue (Cr)'!$C:$FB,97)</f>
        <v>54</v>
      </c>
      <c r="M143" s="92">
        <f>VLOOKUP($A143,'Data Vlaue (Cr)'!$C:$FB,98)</f>
        <v>0.61119999999999997</v>
      </c>
      <c r="N143" s="91">
        <f>VLOOKUP($A143,'Data Vlaue (Cr)'!$C:$FB,79)</f>
        <v>2248</v>
      </c>
      <c r="O143" s="92">
        <f>VLOOKUP($A143,'Data Vlaue (Cr)'!$C:$FB,82)</f>
        <v>44.913200000000003</v>
      </c>
    </row>
    <row r="144" spans="1:15" x14ac:dyDescent="0.25">
      <c r="A144" s="97" t="str">
        <f>'Data Vlaue (Cr)'!C139</f>
        <v>NHPC</v>
      </c>
      <c r="B144" s="142">
        <f>VLOOKUP(A144,'Data Vlaue (Cr)'!C139:CW351,99,0)</f>
        <v>762</v>
      </c>
      <c r="C144" s="90">
        <f>VLOOKUP(A144,'Data Vlaue (Cr)'!C139:CY351,101,0)</f>
        <v>30</v>
      </c>
      <c r="D144" s="139">
        <f>VLOOKUP(A144,'Data Vlaue (Cr)'!C139:CZ351,102,0)</f>
        <v>4.1000000000000002E-2</v>
      </c>
      <c r="E144" s="91">
        <f>VLOOKUP($A144,'Data Vlaue (Cr)'!$C:$FB,75)</f>
        <v>560</v>
      </c>
      <c r="F144" s="91">
        <f>VLOOKUP($A144,'Data Vlaue (Cr)'!$C:$FB,77)</f>
        <v>2</v>
      </c>
      <c r="G144" s="92">
        <f>VLOOKUP(A144,'Data Vlaue (Cr)'!C139:CB351,78,0)</f>
        <v>2.8E-3</v>
      </c>
      <c r="H144" s="91">
        <f>VLOOKUP($A144,'Data Vlaue (Cr)'!$C:$FB,91)</f>
        <v>107</v>
      </c>
      <c r="I144" s="91">
        <f>VLOOKUP($A144,'Data Vlaue (Cr)'!$C:$FB,93)</f>
        <v>17</v>
      </c>
      <c r="J144" s="92">
        <f>VLOOKUP($A144,'Data Vlaue (Cr)'!$C:$FB,94)</f>
        <v>0.185</v>
      </c>
      <c r="K144" s="91">
        <f>VLOOKUP($A144,'Data Vlaue (Cr)'!$C:$FB,95)</f>
        <v>95</v>
      </c>
      <c r="L144" s="91">
        <f>VLOOKUP($A144,'Data Vlaue (Cr)'!$C:$FB,97)</f>
        <v>12</v>
      </c>
      <c r="M144" s="92">
        <f>VLOOKUP($A144,'Data Vlaue (Cr)'!$C:$FB,98)</f>
        <v>0.14180000000000001</v>
      </c>
      <c r="N144" s="91">
        <f>VLOOKUP($A144,'Data Vlaue (Cr)'!$C:$FB,79)</f>
        <v>548</v>
      </c>
      <c r="O144" s="92">
        <f>VLOOKUP($A144,'Data Vlaue (Cr)'!$C:$FB,82)</f>
        <v>2.2561</v>
      </c>
    </row>
    <row r="145" spans="1:15" x14ac:dyDescent="0.25">
      <c r="A145" s="97" t="str">
        <f>'Data Vlaue (Cr)'!C140</f>
        <v>NIFTY</v>
      </c>
      <c r="B145" s="142">
        <f>VLOOKUP(A145,'Data Vlaue (Cr)'!C140:CW352,99,0)</f>
        <v>878381</v>
      </c>
      <c r="C145" s="90">
        <f>VLOOKUP(A145,'Data Vlaue (Cr)'!C140:CY352,101,0)</f>
        <v>225004</v>
      </c>
      <c r="D145" s="139">
        <f>VLOOKUP(A145,'Data Vlaue (Cr)'!C140:CZ352,102,0)</f>
        <v>0.34439999999999998</v>
      </c>
      <c r="E145" s="91">
        <f>VLOOKUP($A145,'Data Vlaue (Cr)'!$C:$FB,75)</f>
        <v>45505</v>
      </c>
      <c r="F145" s="91">
        <f>VLOOKUP($A145,'Data Vlaue (Cr)'!$C:$FB,77)</f>
        <v>1154</v>
      </c>
      <c r="G145" s="92">
        <f>VLOOKUP(A145,'Data Vlaue (Cr)'!C140:CB352,78,0)</f>
        <v>2.5999999999999999E-2</v>
      </c>
      <c r="H145" s="91">
        <f>VLOOKUP($A145,'Data Vlaue (Cr)'!$C:$FB,91)</f>
        <v>422601</v>
      </c>
      <c r="I145" s="91">
        <f>VLOOKUP($A145,'Data Vlaue (Cr)'!$C:$FB,93)</f>
        <v>120690</v>
      </c>
      <c r="J145" s="92">
        <f>VLOOKUP($A145,'Data Vlaue (Cr)'!$C:$FB,94)</f>
        <v>0.39979999999999999</v>
      </c>
      <c r="K145" s="91">
        <f>VLOOKUP($A145,'Data Vlaue (Cr)'!$C:$FB,95)</f>
        <v>410276</v>
      </c>
      <c r="L145" s="91">
        <f>VLOOKUP($A145,'Data Vlaue (Cr)'!$C:$FB,97)</f>
        <v>103160</v>
      </c>
      <c r="M145" s="92">
        <f>VLOOKUP($A145,'Data Vlaue (Cr)'!$C:$FB,98)</f>
        <v>0.33589999999999998</v>
      </c>
      <c r="N145" s="91">
        <f>VLOOKUP($A145,'Data Vlaue (Cr)'!$C:$FB,79)</f>
        <v>42216</v>
      </c>
      <c r="O145" s="92">
        <f>VLOOKUP($A145,'Data Vlaue (Cr)'!$C:$FB,82)</f>
        <v>1.3019000000000001</v>
      </c>
    </row>
    <row r="146" spans="1:15" x14ac:dyDescent="0.25">
      <c r="A146" s="97" t="str">
        <f>'Data Vlaue (Cr)'!C141</f>
        <v>NIFTYNXT50</v>
      </c>
      <c r="B146" s="142">
        <f>VLOOKUP(A146,'Data Vlaue (Cr)'!C141:CW353,99,0)</f>
        <v>173</v>
      </c>
      <c r="C146" s="90">
        <f>VLOOKUP(A146,'Data Vlaue (Cr)'!C141:CY353,101,0)</f>
        <v>33</v>
      </c>
      <c r="D146" s="139">
        <f>VLOOKUP(A146,'Data Vlaue (Cr)'!C141:CZ353,102,0)</f>
        <v>0.2369</v>
      </c>
      <c r="E146" s="91">
        <f>VLOOKUP($A146,'Data Vlaue (Cr)'!$C:$FB,75)</f>
        <v>150</v>
      </c>
      <c r="F146" s="91">
        <f>VLOOKUP($A146,'Data Vlaue (Cr)'!$C:$FB,77)</f>
        <v>14</v>
      </c>
      <c r="G146" s="92">
        <f>VLOOKUP(A146,'Data Vlaue (Cr)'!C141:CB353,78,0)</f>
        <v>0.1055</v>
      </c>
      <c r="H146" s="91">
        <f>VLOOKUP($A146,'Data Vlaue (Cr)'!$C:$FB,91)</f>
        <v>13</v>
      </c>
      <c r="I146" s="91">
        <f>VLOOKUP($A146,'Data Vlaue (Cr)'!$C:$FB,93)</f>
        <v>13</v>
      </c>
      <c r="J146" s="92">
        <f>VLOOKUP($A146,'Data Vlaue (Cr)'!$C:$FB,94)</f>
        <v>75</v>
      </c>
      <c r="K146" s="91">
        <f>VLOOKUP($A146,'Data Vlaue (Cr)'!$C:$FB,95)</f>
        <v>10</v>
      </c>
      <c r="L146" s="91">
        <f>VLOOKUP($A146,'Data Vlaue (Cr)'!$C:$FB,97)</f>
        <v>6</v>
      </c>
      <c r="M146" s="92">
        <f>VLOOKUP($A146,'Data Vlaue (Cr)'!$C:$FB,98)</f>
        <v>1.5909</v>
      </c>
      <c r="N146" s="91">
        <f>VLOOKUP($A146,'Data Vlaue (Cr)'!$C:$FB,79)</f>
        <v>148</v>
      </c>
      <c r="O146" s="92">
        <f>VLOOKUP($A146,'Data Vlaue (Cr)'!$C:$FB,82)</f>
        <v>7.2980999999999998</v>
      </c>
    </row>
    <row r="147" spans="1:15" x14ac:dyDescent="0.25">
      <c r="A147" s="97" t="str">
        <f>'Data Vlaue (Cr)'!C142</f>
        <v>NMDC</v>
      </c>
      <c r="B147" s="142">
        <f>VLOOKUP(A147,'Data Vlaue (Cr)'!C142:CW354,99,0)</f>
        <v>3503</v>
      </c>
      <c r="C147" s="90">
        <f>VLOOKUP(A147,'Data Vlaue (Cr)'!C142:CY354,101,0)</f>
        <v>96</v>
      </c>
      <c r="D147" s="139">
        <f>VLOOKUP(A147,'Data Vlaue (Cr)'!C142:CZ354,102,0)</f>
        <v>2.8299999999999999E-2</v>
      </c>
      <c r="E147" s="91">
        <f>VLOOKUP($A147,'Data Vlaue (Cr)'!$C:$FB,75)</f>
        <v>2756</v>
      </c>
      <c r="F147" s="91">
        <f>VLOOKUP($A147,'Data Vlaue (Cr)'!$C:$FB,77)</f>
        <v>-4</v>
      </c>
      <c r="G147" s="92">
        <f>VLOOKUP(A147,'Data Vlaue (Cr)'!C142:CB354,78,0)</f>
        <v>-1.4E-3</v>
      </c>
      <c r="H147" s="91">
        <f>VLOOKUP($A147,'Data Vlaue (Cr)'!$C:$FB,91)</f>
        <v>468</v>
      </c>
      <c r="I147" s="91">
        <f>VLOOKUP($A147,'Data Vlaue (Cr)'!$C:$FB,93)</f>
        <v>84</v>
      </c>
      <c r="J147" s="92">
        <f>VLOOKUP($A147,'Data Vlaue (Cr)'!$C:$FB,94)</f>
        <v>0.22</v>
      </c>
      <c r="K147" s="91">
        <f>VLOOKUP($A147,'Data Vlaue (Cr)'!$C:$FB,95)</f>
        <v>279</v>
      </c>
      <c r="L147" s="91">
        <f>VLOOKUP($A147,'Data Vlaue (Cr)'!$C:$FB,97)</f>
        <v>16</v>
      </c>
      <c r="M147" s="92">
        <f>VLOOKUP($A147,'Data Vlaue (Cr)'!$C:$FB,98)</f>
        <v>5.9700000000000003E-2</v>
      </c>
      <c r="N147" s="91">
        <f>VLOOKUP($A147,'Data Vlaue (Cr)'!$C:$FB,79)</f>
        <v>2716</v>
      </c>
      <c r="O147" s="92">
        <f>VLOOKUP($A147,'Data Vlaue (Cr)'!$C:$FB,82)</f>
        <v>22.747299999999999</v>
      </c>
    </row>
    <row r="148" spans="1:15" x14ac:dyDescent="0.25">
      <c r="A148" s="97" t="str">
        <f>'Data Vlaue (Cr)'!C143</f>
        <v>NTPC</v>
      </c>
      <c r="B148" s="142">
        <f>VLOOKUP(A148,'Data Vlaue (Cr)'!C143:CW355,99,0)</f>
        <v>4008</v>
      </c>
      <c r="C148" s="90">
        <f>VLOOKUP(A148,'Data Vlaue (Cr)'!C143:CY355,101,0)</f>
        <v>282</v>
      </c>
      <c r="D148" s="139">
        <f>VLOOKUP(A148,'Data Vlaue (Cr)'!C143:CZ355,102,0)</f>
        <v>7.5600000000000001E-2</v>
      </c>
      <c r="E148" s="91">
        <f>VLOOKUP($A148,'Data Vlaue (Cr)'!$C:$FB,75)</f>
        <v>2953</v>
      </c>
      <c r="F148" s="91">
        <f>VLOOKUP($A148,'Data Vlaue (Cr)'!$C:$FB,77)</f>
        <v>19</v>
      </c>
      <c r="G148" s="92">
        <f>VLOOKUP(A148,'Data Vlaue (Cr)'!C143:CB355,78,0)</f>
        <v>6.4999999999999997E-3</v>
      </c>
      <c r="H148" s="91">
        <f>VLOOKUP($A148,'Data Vlaue (Cr)'!$C:$FB,91)</f>
        <v>584</v>
      </c>
      <c r="I148" s="91">
        <f>VLOOKUP($A148,'Data Vlaue (Cr)'!$C:$FB,93)</f>
        <v>159</v>
      </c>
      <c r="J148" s="92">
        <f>VLOOKUP($A148,'Data Vlaue (Cr)'!$C:$FB,94)</f>
        <v>0.37330000000000002</v>
      </c>
      <c r="K148" s="91">
        <f>VLOOKUP($A148,'Data Vlaue (Cr)'!$C:$FB,95)</f>
        <v>471</v>
      </c>
      <c r="L148" s="91">
        <f>VLOOKUP($A148,'Data Vlaue (Cr)'!$C:$FB,97)</f>
        <v>103</v>
      </c>
      <c r="M148" s="92">
        <f>VLOOKUP($A148,'Data Vlaue (Cr)'!$C:$FB,98)</f>
        <v>0.28189999999999998</v>
      </c>
      <c r="N148" s="91">
        <f>VLOOKUP($A148,'Data Vlaue (Cr)'!$C:$FB,79)</f>
        <v>2895</v>
      </c>
      <c r="O148" s="92">
        <f>VLOOKUP($A148,'Data Vlaue (Cr)'!$C:$FB,82)</f>
        <v>7.4858000000000002</v>
      </c>
    </row>
    <row r="149" spans="1:15" x14ac:dyDescent="0.25">
      <c r="A149" s="97" t="str">
        <f>'Data Vlaue (Cr)'!C144</f>
        <v>NUVAMA</v>
      </c>
      <c r="B149" s="142">
        <f>VLOOKUP(A149,'Data Vlaue (Cr)'!C144:CW356,99,0)</f>
        <v>512</v>
      </c>
      <c r="C149" s="90">
        <f>VLOOKUP(A149,'Data Vlaue (Cr)'!C144:CY356,101,0)</f>
        <v>42</v>
      </c>
      <c r="D149" s="139">
        <f>VLOOKUP(A149,'Data Vlaue (Cr)'!C144:CZ356,102,0)</f>
        <v>8.9300000000000004E-2</v>
      </c>
      <c r="E149" s="91">
        <f>VLOOKUP($A149,'Data Vlaue (Cr)'!$C:$FB,75)</f>
        <v>364</v>
      </c>
      <c r="F149" s="91">
        <f>VLOOKUP($A149,'Data Vlaue (Cr)'!$C:$FB,77)</f>
        <v>5</v>
      </c>
      <c r="G149" s="92">
        <f>VLOOKUP(A149,'Data Vlaue (Cr)'!C144:CB356,78,0)</f>
        <v>1.49E-2</v>
      </c>
      <c r="H149" s="91">
        <f>VLOOKUP($A149,'Data Vlaue (Cr)'!$C:$FB,91)</f>
        <v>79</v>
      </c>
      <c r="I149" s="91">
        <f>VLOOKUP($A149,'Data Vlaue (Cr)'!$C:$FB,93)</f>
        <v>21</v>
      </c>
      <c r="J149" s="92">
        <f>VLOOKUP($A149,'Data Vlaue (Cr)'!$C:$FB,94)</f>
        <v>0.3579</v>
      </c>
      <c r="K149" s="91">
        <f>VLOOKUP($A149,'Data Vlaue (Cr)'!$C:$FB,95)</f>
        <v>69</v>
      </c>
      <c r="L149" s="91">
        <f>VLOOKUP($A149,'Data Vlaue (Cr)'!$C:$FB,97)</f>
        <v>16</v>
      </c>
      <c r="M149" s="92">
        <f>VLOOKUP($A149,'Data Vlaue (Cr)'!$C:$FB,98)</f>
        <v>0.2984</v>
      </c>
      <c r="N149" s="91">
        <f>VLOOKUP($A149,'Data Vlaue (Cr)'!$C:$FB,79)</f>
        <v>360</v>
      </c>
      <c r="O149" s="92">
        <f>VLOOKUP($A149,'Data Vlaue (Cr)'!$C:$FB,82)</f>
        <v>17.961400000000001</v>
      </c>
    </row>
    <row r="150" spans="1:15" x14ac:dyDescent="0.25">
      <c r="A150" s="97" t="str">
        <f>'Data Vlaue (Cr)'!C145</f>
        <v>NYKAA</v>
      </c>
      <c r="B150" s="142">
        <f>VLOOKUP(A150,'Data Vlaue (Cr)'!C145:CW357,99,0)</f>
        <v>1184</v>
      </c>
      <c r="C150" s="90">
        <f>VLOOKUP(A150,'Data Vlaue (Cr)'!C145:CY357,101,0)</f>
        <v>64</v>
      </c>
      <c r="D150" s="139">
        <f>VLOOKUP(A150,'Data Vlaue (Cr)'!C145:CZ357,102,0)</f>
        <v>5.6899999999999999E-2</v>
      </c>
      <c r="E150" s="91">
        <f>VLOOKUP($A150,'Data Vlaue (Cr)'!$C:$FB,75)</f>
        <v>899</v>
      </c>
      <c r="F150" s="91">
        <f>VLOOKUP($A150,'Data Vlaue (Cr)'!$C:$FB,77)</f>
        <v>24</v>
      </c>
      <c r="G150" s="92">
        <f>VLOOKUP(A150,'Data Vlaue (Cr)'!C145:CB357,78,0)</f>
        <v>2.75E-2</v>
      </c>
      <c r="H150" s="91">
        <f>VLOOKUP($A150,'Data Vlaue (Cr)'!$C:$FB,91)</f>
        <v>129</v>
      </c>
      <c r="I150" s="91">
        <f>VLOOKUP($A150,'Data Vlaue (Cr)'!$C:$FB,93)</f>
        <v>19</v>
      </c>
      <c r="J150" s="92">
        <f>VLOOKUP($A150,'Data Vlaue (Cr)'!$C:$FB,94)</f>
        <v>0.16819999999999999</v>
      </c>
      <c r="K150" s="91">
        <f>VLOOKUP($A150,'Data Vlaue (Cr)'!$C:$FB,95)</f>
        <v>156</v>
      </c>
      <c r="L150" s="91">
        <f>VLOOKUP($A150,'Data Vlaue (Cr)'!$C:$FB,97)</f>
        <v>21</v>
      </c>
      <c r="M150" s="92">
        <f>VLOOKUP($A150,'Data Vlaue (Cr)'!$C:$FB,98)</f>
        <v>0.15659999999999999</v>
      </c>
      <c r="N150" s="91">
        <f>VLOOKUP($A150,'Data Vlaue (Cr)'!$C:$FB,79)</f>
        <v>891</v>
      </c>
      <c r="O150" s="92">
        <f>VLOOKUP($A150,'Data Vlaue (Cr)'!$C:$FB,82)</f>
        <v>5.8525</v>
      </c>
    </row>
    <row r="151" spans="1:15" x14ac:dyDescent="0.25">
      <c r="A151" s="97" t="str">
        <f>'Data Vlaue (Cr)'!C146</f>
        <v>OBEROIRLTY</v>
      </c>
      <c r="B151" s="142">
        <f>VLOOKUP(A151,'Data Vlaue (Cr)'!C146:CW358,99,0)</f>
        <v>1074</v>
      </c>
      <c r="C151" s="90">
        <f>VLOOKUP(A151,'Data Vlaue (Cr)'!C146:CY358,101,0)</f>
        <v>76</v>
      </c>
      <c r="D151" s="139">
        <f>VLOOKUP(A151,'Data Vlaue (Cr)'!C146:CZ358,102,0)</f>
        <v>7.6100000000000001E-2</v>
      </c>
      <c r="E151" s="91">
        <f>VLOOKUP($A151,'Data Vlaue (Cr)'!$C:$FB,75)</f>
        <v>817</v>
      </c>
      <c r="F151" s="91">
        <f>VLOOKUP($A151,'Data Vlaue (Cr)'!$C:$FB,77)</f>
        <v>18</v>
      </c>
      <c r="G151" s="92">
        <f>VLOOKUP(A151,'Data Vlaue (Cr)'!C146:CB358,78,0)</f>
        <v>2.1999999999999999E-2</v>
      </c>
      <c r="H151" s="91">
        <f>VLOOKUP($A151,'Data Vlaue (Cr)'!$C:$FB,91)</f>
        <v>108</v>
      </c>
      <c r="I151" s="91">
        <f>VLOOKUP($A151,'Data Vlaue (Cr)'!$C:$FB,93)</f>
        <v>21</v>
      </c>
      <c r="J151" s="92">
        <f>VLOOKUP($A151,'Data Vlaue (Cr)'!$C:$FB,94)</f>
        <v>0.23949999999999999</v>
      </c>
      <c r="K151" s="91">
        <f>VLOOKUP($A151,'Data Vlaue (Cr)'!$C:$FB,95)</f>
        <v>150</v>
      </c>
      <c r="L151" s="91">
        <f>VLOOKUP($A151,'Data Vlaue (Cr)'!$C:$FB,97)</f>
        <v>38</v>
      </c>
      <c r="M151" s="92">
        <f>VLOOKUP($A151,'Data Vlaue (Cr)'!$C:$FB,98)</f>
        <v>0.33529999999999999</v>
      </c>
      <c r="N151" s="91">
        <f>VLOOKUP($A151,'Data Vlaue (Cr)'!$C:$FB,79)</f>
        <v>808</v>
      </c>
      <c r="O151" s="92">
        <f>VLOOKUP($A151,'Data Vlaue (Cr)'!$C:$FB,82)</f>
        <v>8.0878999999999994</v>
      </c>
    </row>
    <row r="152" spans="1:15" x14ac:dyDescent="0.25">
      <c r="A152" s="97" t="str">
        <f>'Data Vlaue (Cr)'!C147</f>
        <v>OFSS</v>
      </c>
      <c r="B152" s="142">
        <f>VLOOKUP(A152,'Data Vlaue (Cr)'!C147:CW359,99,0)</f>
        <v>1234</v>
      </c>
      <c r="C152" s="90">
        <f>VLOOKUP(A152,'Data Vlaue (Cr)'!C147:CY359,101,0)</f>
        <v>54</v>
      </c>
      <c r="D152" s="139">
        <f>VLOOKUP(A152,'Data Vlaue (Cr)'!C147:CZ359,102,0)</f>
        <v>4.5600000000000002E-2</v>
      </c>
      <c r="E152" s="91">
        <f>VLOOKUP($A152,'Data Vlaue (Cr)'!$C:$FB,75)</f>
        <v>927</v>
      </c>
      <c r="F152" s="91">
        <f>VLOOKUP($A152,'Data Vlaue (Cr)'!$C:$FB,77)</f>
        <v>20</v>
      </c>
      <c r="G152" s="92">
        <f>VLOOKUP(A152,'Data Vlaue (Cr)'!C147:CB359,78,0)</f>
        <v>2.1899999999999999E-2</v>
      </c>
      <c r="H152" s="91">
        <f>VLOOKUP($A152,'Data Vlaue (Cr)'!$C:$FB,91)</f>
        <v>168</v>
      </c>
      <c r="I152" s="91">
        <f>VLOOKUP($A152,'Data Vlaue (Cr)'!$C:$FB,93)</f>
        <v>18</v>
      </c>
      <c r="J152" s="92">
        <f>VLOOKUP($A152,'Data Vlaue (Cr)'!$C:$FB,94)</f>
        <v>0.12089999999999999</v>
      </c>
      <c r="K152" s="91">
        <f>VLOOKUP($A152,'Data Vlaue (Cr)'!$C:$FB,95)</f>
        <v>139</v>
      </c>
      <c r="L152" s="91">
        <f>VLOOKUP($A152,'Data Vlaue (Cr)'!$C:$FB,97)</f>
        <v>16</v>
      </c>
      <c r="M152" s="92">
        <f>VLOOKUP($A152,'Data Vlaue (Cr)'!$C:$FB,98)</f>
        <v>0.12839999999999999</v>
      </c>
      <c r="N152" s="91">
        <f>VLOOKUP($A152,'Data Vlaue (Cr)'!$C:$FB,79)</f>
        <v>913</v>
      </c>
      <c r="O152" s="92">
        <f>VLOOKUP($A152,'Data Vlaue (Cr)'!$C:$FB,82)</f>
        <v>25.269600000000001</v>
      </c>
    </row>
    <row r="153" spans="1:15" x14ac:dyDescent="0.25">
      <c r="A153" s="97" t="str">
        <f>'Data Vlaue (Cr)'!C148</f>
        <v>OIL</v>
      </c>
      <c r="B153" s="142">
        <f>VLOOKUP(A153,'Data Vlaue (Cr)'!C148:CW360,99,0)</f>
        <v>1141</v>
      </c>
      <c r="C153" s="90">
        <f>VLOOKUP(A153,'Data Vlaue (Cr)'!C148:CY360,101,0)</f>
        <v>306</v>
      </c>
      <c r="D153" s="139">
        <f>VLOOKUP(A153,'Data Vlaue (Cr)'!C148:CZ360,102,0)</f>
        <v>0.36609999999999998</v>
      </c>
      <c r="E153" s="91">
        <f>VLOOKUP($A153,'Data Vlaue (Cr)'!$C:$FB,75)</f>
        <v>709</v>
      </c>
      <c r="F153" s="91">
        <f>VLOOKUP($A153,'Data Vlaue (Cr)'!$C:$FB,77)</f>
        <v>85</v>
      </c>
      <c r="G153" s="92">
        <f>VLOOKUP(A153,'Data Vlaue (Cr)'!C148:CB360,78,0)</f>
        <v>0.1371</v>
      </c>
      <c r="H153" s="91">
        <f>VLOOKUP($A153,'Data Vlaue (Cr)'!$C:$FB,91)</f>
        <v>234</v>
      </c>
      <c r="I153" s="91">
        <f>VLOOKUP($A153,'Data Vlaue (Cr)'!$C:$FB,93)</f>
        <v>102</v>
      </c>
      <c r="J153" s="92">
        <f>VLOOKUP($A153,'Data Vlaue (Cr)'!$C:$FB,94)</f>
        <v>0.77059999999999995</v>
      </c>
      <c r="K153" s="91">
        <f>VLOOKUP($A153,'Data Vlaue (Cr)'!$C:$FB,95)</f>
        <v>198</v>
      </c>
      <c r="L153" s="91">
        <f>VLOOKUP($A153,'Data Vlaue (Cr)'!$C:$FB,97)</f>
        <v>118</v>
      </c>
      <c r="M153" s="92">
        <f>VLOOKUP($A153,'Data Vlaue (Cr)'!$C:$FB,98)</f>
        <v>1.4904999999999999</v>
      </c>
      <c r="N153" s="91">
        <f>VLOOKUP($A153,'Data Vlaue (Cr)'!$C:$FB,79)</f>
        <v>694</v>
      </c>
      <c r="O153" s="92">
        <f>VLOOKUP($A153,'Data Vlaue (Cr)'!$C:$FB,82)</f>
        <v>14.858700000000001</v>
      </c>
    </row>
    <row r="154" spans="1:15" x14ac:dyDescent="0.25">
      <c r="A154" s="97" t="str">
        <f>'Data Vlaue (Cr)'!C149</f>
        <v>ONGC</v>
      </c>
      <c r="B154" s="142">
        <f>VLOOKUP(A154,'Data Vlaue (Cr)'!C149:CW361,99,0)</f>
        <v>3861</v>
      </c>
      <c r="C154" s="90">
        <f>VLOOKUP(A154,'Data Vlaue (Cr)'!C149:CY361,101,0)</f>
        <v>854</v>
      </c>
      <c r="D154" s="139">
        <f>VLOOKUP(A154,'Data Vlaue (Cr)'!C149:CZ361,102,0)</f>
        <v>0.28389999999999999</v>
      </c>
      <c r="E154" s="91">
        <f>VLOOKUP($A154,'Data Vlaue (Cr)'!$C:$FB,75)</f>
        <v>2468</v>
      </c>
      <c r="F154" s="91">
        <f>VLOOKUP($A154,'Data Vlaue (Cr)'!$C:$FB,77)</f>
        <v>192</v>
      </c>
      <c r="G154" s="92">
        <f>VLOOKUP(A154,'Data Vlaue (Cr)'!C149:CB361,78,0)</f>
        <v>8.43E-2</v>
      </c>
      <c r="H154" s="91">
        <f>VLOOKUP($A154,'Data Vlaue (Cr)'!$C:$FB,91)</f>
        <v>739</v>
      </c>
      <c r="I154" s="91">
        <f>VLOOKUP($A154,'Data Vlaue (Cr)'!$C:$FB,93)</f>
        <v>337</v>
      </c>
      <c r="J154" s="92">
        <f>VLOOKUP($A154,'Data Vlaue (Cr)'!$C:$FB,94)</f>
        <v>0.83740000000000003</v>
      </c>
      <c r="K154" s="91">
        <f>VLOOKUP($A154,'Data Vlaue (Cr)'!$C:$FB,95)</f>
        <v>654</v>
      </c>
      <c r="L154" s="91">
        <f>VLOOKUP($A154,'Data Vlaue (Cr)'!$C:$FB,97)</f>
        <v>325</v>
      </c>
      <c r="M154" s="92">
        <f>VLOOKUP($A154,'Data Vlaue (Cr)'!$C:$FB,98)</f>
        <v>0.98860000000000003</v>
      </c>
      <c r="N154" s="91">
        <f>VLOOKUP($A154,'Data Vlaue (Cr)'!$C:$FB,79)</f>
        <v>2411</v>
      </c>
      <c r="O154" s="92">
        <f>VLOOKUP($A154,'Data Vlaue (Cr)'!$C:$FB,82)</f>
        <v>1.3023</v>
      </c>
    </row>
    <row r="155" spans="1:15" x14ac:dyDescent="0.25">
      <c r="A155" s="97" t="str">
        <f>'Data Vlaue (Cr)'!C150</f>
        <v>PAGEIND</v>
      </c>
      <c r="B155" s="142">
        <f>VLOOKUP(A155,'Data Vlaue (Cr)'!C150:CW362,99,0)</f>
        <v>1126</v>
      </c>
      <c r="C155" s="90">
        <f>VLOOKUP(A155,'Data Vlaue (Cr)'!C150:CY362,101,0)</f>
        <v>58</v>
      </c>
      <c r="D155" s="139">
        <f>VLOOKUP(A155,'Data Vlaue (Cr)'!C150:CZ362,102,0)</f>
        <v>5.4300000000000001E-2</v>
      </c>
      <c r="E155" s="91">
        <f>VLOOKUP($A155,'Data Vlaue (Cr)'!$C:$FB,75)</f>
        <v>915</v>
      </c>
      <c r="F155" s="91">
        <f>VLOOKUP($A155,'Data Vlaue (Cr)'!$C:$FB,77)</f>
        <v>10</v>
      </c>
      <c r="G155" s="92">
        <f>VLOOKUP(A155,'Data Vlaue (Cr)'!C150:CB362,78,0)</f>
        <v>1.0800000000000001E-2</v>
      </c>
      <c r="H155" s="91">
        <f>VLOOKUP($A155,'Data Vlaue (Cr)'!$C:$FB,91)</f>
        <v>126</v>
      </c>
      <c r="I155" s="91">
        <f>VLOOKUP($A155,'Data Vlaue (Cr)'!$C:$FB,93)</f>
        <v>28</v>
      </c>
      <c r="J155" s="92">
        <f>VLOOKUP($A155,'Data Vlaue (Cr)'!$C:$FB,94)</f>
        <v>0.28100000000000003</v>
      </c>
      <c r="K155" s="91">
        <f>VLOOKUP($A155,'Data Vlaue (Cr)'!$C:$FB,95)</f>
        <v>85</v>
      </c>
      <c r="L155" s="91">
        <f>VLOOKUP($A155,'Data Vlaue (Cr)'!$C:$FB,97)</f>
        <v>21</v>
      </c>
      <c r="M155" s="92">
        <f>VLOOKUP($A155,'Data Vlaue (Cr)'!$C:$FB,98)</f>
        <v>0.31869999999999998</v>
      </c>
      <c r="N155" s="91">
        <f>VLOOKUP($A155,'Data Vlaue (Cr)'!$C:$FB,79)</f>
        <v>878</v>
      </c>
      <c r="O155" s="92">
        <f>VLOOKUP($A155,'Data Vlaue (Cr)'!$C:$FB,82)</f>
        <v>22.0822</v>
      </c>
    </row>
    <row r="156" spans="1:15" x14ac:dyDescent="0.25">
      <c r="A156" s="97" t="str">
        <f>'Data Vlaue (Cr)'!C151</f>
        <v>PATANJALI</v>
      </c>
      <c r="B156" s="142">
        <f>VLOOKUP(A156,'Data Vlaue (Cr)'!C151:CW363,99,0)</f>
        <v>2006</v>
      </c>
      <c r="C156" s="90">
        <f>VLOOKUP(A156,'Data Vlaue (Cr)'!C151:CY363,101,0)</f>
        <v>34</v>
      </c>
      <c r="D156" s="139">
        <f>VLOOKUP(A156,'Data Vlaue (Cr)'!C151:CZ363,102,0)</f>
        <v>1.7399999999999999E-2</v>
      </c>
      <c r="E156" s="91">
        <f>VLOOKUP($A156,'Data Vlaue (Cr)'!$C:$FB,75)</f>
        <v>1890</v>
      </c>
      <c r="F156" s="91">
        <f>VLOOKUP($A156,'Data Vlaue (Cr)'!$C:$FB,77)</f>
        <v>-2</v>
      </c>
      <c r="G156" s="92">
        <f>VLOOKUP(A156,'Data Vlaue (Cr)'!C151:CB363,78,0)</f>
        <v>-1E-3</v>
      </c>
      <c r="H156" s="91">
        <f>VLOOKUP($A156,'Data Vlaue (Cr)'!$C:$FB,91)</f>
        <v>57</v>
      </c>
      <c r="I156" s="91">
        <f>VLOOKUP($A156,'Data Vlaue (Cr)'!$C:$FB,93)</f>
        <v>18</v>
      </c>
      <c r="J156" s="92">
        <f>VLOOKUP($A156,'Data Vlaue (Cr)'!$C:$FB,94)</f>
        <v>0.47360000000000002</v>
      </c>
      <c r="K156" s="91">
        <f>VLOOKUP($A156,'Data Vlaue (Cr)'!$C:$FB,95)</f>
        <v>59</v>
      </c>
      <c r="L156" s="91">
        <f>VLOOKUP($A156,'Data Vlaue (Cr)'!$C:$FB,97)</f>
        <v>18</v>
      </c>
      <c r="M156" s="92">
        <f>VLOOKUP($A156,'Data Vlaue (Cr)'!$C:$FB,98)</f>
        <v>0.43830000000000002</v>
      </c>
      <c r="N156" s="91">
        <f>VLOOKUP($A156,'Data Vlaue (Cr)'!$C:$FB,79)</f>
        <v>1884</v>
      </c>
      <c r="O156" s="92">
        <f>VLOOKUP($A156,'Data Vlaue (Cr)'!$C:$FB,82)</f>
        <v>68.332800000000006</v>
      </c>
    </row>
    <row r="157" spans="1:15" x14ac:dyDescent="0.25">
      <c r="A157" s="97" t="str">
        <f>'Data Vlaue (Cr)'!C152</f>
        <v>PAYTM</v>
      </c>
      <c r="B157" s="142">
        <f>VLOOKUP(A157,'Data Vlaue (Cr)'!C152:CW364,99,0)</f>
        <v>3202</v>
      </c>
      <c r="C157" s="90">
        <f>VLOOKUP(A157,'Data Vlaue (Cr)'!C152:CY364,101,0)</f>
        <v>126</v>
      </c>
      <c r="D157" s="139">
        <f>VLOOKUP(A157,'Data Vlaue (Cr)'!C152:CZ364,102,0)</f>
        <v>4.1000000000000002E-2</v>
      </c>
      <c r="E157" s="91">
        <f>VLOOKUP($A157,'Data Vlaue (Cr)'!$C:$FB,75)</f>
        <v>2108</v>
      </c>
      <c r="F157" s="91">
        <f>VLOOKUP($A157,'Data Vlaue (Cr)'!$C:$FB,77)</f>
        <v>45</v>
      </c>
      <c r="G157" s="92">
        <f>VLOOKUP(A157,'Data Vlaue (Cr)'!C152:CB364,78,0)</f>
        <v>2.1700000000000001E-2</v>
      </c>
      <c r="H157" s="91">
        <f>VLOOKUP($A157,'Data Vlaue (Cr)'!$C:$FB,91)</f>
        <v>646</v>
      </c>
      <c r="I157" s="91">
        <f>VLOOKUP($A157,'Data Vlaue (Cr)'!$C:$FB,93)</f>
        <v>74</v>
      </c>
      <c r="J157" s="92">
        <f>VLOOKUP($A157,'Data Vlaue (Cr)'!$C:$FB,94)</f>
        <v>0.1295</v>
      </c>
      <c r="K157" s="91">
        <f>VLOOKUP($A157,'Data Vlaue (Cr)'!$C:$FB,95)</f>
        <v>447</v>
      </c>
      <c r="L157" s="91">
        <f>VLOOKUP($A157,'Data Vlaue (Cr)'!$C:$FB,97)</f>
        <v>7</v>
      </c>
      <c r="M157" s="92">
        <f>VLOOKUP($A157,'Data Vlaue (Cr)'!$C:$FB,98)</f>
        <v>1.66E-2</v>
      </c>
      <c r="N157" s="91">
        <f>VLOOKUP($A157,'Data Vlaue (Cr)'!$C:$FB,79)</f>
        <v>2080</v>
      </c>
      <c r="O157" s="92">
        <f>VLOOKUP($A157,'Data Vlaue (Cr)'!$C:$FB,82)</f>
        <v>42.546799999999998</v>
      </c>
    </row>
    <row r="158" spans="1:15" x14ac:dyDescent="0.25">
      <c r="A158" s="97" t="str">
        <f>'Data Vlaue (Cr)'!C153</f>
        <v>PERSISTENT</v>
      </c>
      <c r="B158" s="142">
        <f>VLOOKUP(A158,'Data Vlaue (Cr)'!C153:CW365,99,0)</f>
        <v>1785</v>
      </c>
      <c r="C158" s="90">
        <f>VLOOKUP(A158,'Data Vlaue (Cr)'!C153:CY365,101,0)</f>
        <v>175</v>
      </c>
      <c r="D158" s="139">
        <f>VLOOKUP(A158,'Data Vlaue (Cr)'!C153:CZ365,102,0)</f>
        <v>0.1084</v>
      </c>
      <c r="E158" s="91">
        <f>VLOOKUP($A158,'Data Vlaue (Cr)'!$C:$FB,75)</f>
        <v>1355</v>
      </c>
      <c r="F158" s="91">
        <f>VLOOKUP($A158,'Data Vlaue (Cr)'!$C:$FB,77)</f>
        <v>54</v>
      </c>
      <c r="G158" s="92">
        <f>VLOOKUP(A158,'Data Vlaue (Cr)'!C153:CB365,78,0)</f>
        <v>4.1399999999999999E-2</v>
      </c>
      <c r="H158" s="91">
        <f>VLOOKUP($A158,'Data Vlaue (Cr)'!$C:$FB,91)</f>
        <v>246</v>
      </c>
      <c r="I158" s="91">
        <f>VLOOKUP($A158,'Data Vlaue (Cr)'!$C:$FB,93)</f>
        <v>88</v>
      </c>
      <c r="J158" s="92">
        <f>VLOOKUP($A158,'Data Vlaue (Cr)'!$C:$FB,94)</f>
        <v>0.55600000000000005</v>
      </c>
      <c r="K158" s="91">
        <f>VLOOKUP($A158,'Data Vlaue (Cr)'!$C:$FB,95)</f>
        <v>184</v>
      </c>
      <c r="L158" s="91">
        <f>VLOOKUP($A158,'Data Vlaue (Cr)'!$C:$FB,97)</f>
        <v>33</v>
      </c>
      <c r="M158" s="92">
        <f>VLOOKUP($A158,'Data Vlaue (Cr)'!$C:$FB,98)</f>
        <v>0.21729999999999999</v>
      </c>
      <c r="N158" s="91">
        <f>VLOOKUP($A158,'Data Vlaue (Cr)'!$C:$FB,79)</f>
        <v>1342</v>
      </c>
      <c r="O158" s="92">
        <f>VLOOKUP($A158,'Data Vlaue (Cr)'!$C:$FB,82)</f>
        <v>3.8258000000000001</v>
      </c>
    </row>
    <row r="159" spans="1:15" x14ac:dyDescent="0.25">
      <c r="A159" s="97" t="str">
        <f>'Data Vlaue (Cr)'!C154</f>
        <v>PETRONET</v>
      </c>
      <c r="B159" s="142">
        <f>VLOOKUP(A159,'Data Vlaue (Cr)'!C154:CW366,99,0)</f>
        <v>1770</v>
      </c>
      <c r="C159" s="90">
        <f>VLOOKUP(A159,'Data Vlaue (Cr)'!C154:CY366,101,0)</f>
        <v>148</v>
      </c>
      <c r="D159" s="139">
        <f>VLOOKUP(A159,'Data Vlaue (Cr)'!C154:CZ366,102,0)</f>
        <v>9.11E-2</v>
      </c>
      <c r="E159" s="91">
        <f>VLOOKUP($A159,'Data Vlaue (Cr)'!$C:$FB,75)</f>
        <v>1184</v>
      </c>
      <c r="F159" s="91">
        <f>VLOOKUP($A159,'Data Vlaue (Cr)'!$C:$FB,77)</f>
        <v>12</v>
      </c>
      <c r="G159" s="92">
        <f>VLOOKUP(A159,'Data Vlaue (Cr)'!C154:CB366,78,0)</f>
        <v>1.0500000000000001E-2</v>
      </c>
      <c r="H159" s="91">
        <f>VLOOKUP($A159,'Data Vlaue (Cr)'!$C:$FB,91)</f>
        <v>291</v>
      </c>
      <c r="I159" s="91">
        <f>VLOOKUP($A159,'Data Vlaue (Cr)'!$C:$FB,93)</f>
        <v>103</v>
      </c>
      <c r="J159" s="92">
        <f>VLOOKUP($A159,'Data Vlaue (Cr)'!$C:$FB,94)</f>
        <v>0.54949999999999999</v>
      </c>
      <c r="K159" s="91">
        <f>VLOOKUP($A159,'Data Vlaue (Cr)'!$C:$FB,95)</f>
        <v>295</v>
      </c>
      <c r="L159" s="91">
        <f>VLOOKUP($A159,'Data Vlaue (Cr)'!$C:$FB,97)</f>
        <v>32</v>
      </c>
      <c r="M159" s="92">
        <f>VLOOKUP($A159,'Data Vlaue (Cr)'!$C:$FB,98)</f>
        <v>0.1226</v>
      </c>
      <c r="N159" s="91">
        <f>VLOOKUP($A159,'Data Vlaue (Cr)'!$C:$FB,79)</f>
        <v>1175</v>
      </c>
      <c r="O159" s="92">
        <f>VLOOKUP($A159,'Data Vlaue (Cr)'!$C:$FB,82)</f>
        <v>23.925699999999999</v>
      </c>
    </row>
    <row r="160" spans="1:15" x14ac:dyDescent="0.25">
      <c r="A160" s="97" t="str">
        <f>'Data Vlaue (Cr)'!C155</f>
        <v>PFC</v>
      </c>
      <c r="B160" s="142">
        <f>VLOOKUP(A160,'Data Vlaue (Cr)'!C155:CW367,99,0)</f>
        <v>3669</v>
      </c>
      <c r="C160" s="90">
        <f>VLOOKUP(A160,'Data Vlaue (Cr)'!C155:CY367,101,0)</f>
        <v>150</v>
      </c>
      <c r="D160" s="139">
        <f>VLOOKUP(A160,'Data Vlaue (Cr)'!C155:CZ367,102,0)</f>
        <v>4.2599999999999999E-2</v>
      </c>
      <c r="E160" s="91">
        <f>VLOOKUP($A160,'Data Vlaue (Cr)'!$C:$FB,75)</f>
        <v>2402</v>
      </c>
      <c r="F160" s="91">
        <f>VLOOKUP($A160,'Data Vlaue (Cr)'!$C:$FB,77)</f>
        <v>-30</v>
      </c>
      <c r="G160" s="92">
        <f>VLOOKUP(A160,'Data Vlaue (Cr)'!C155:CB367,78,0)</f>
        <v>-1.23E-2</v>
      </c>
      <c r="H160" s="91">
        <f>VLOOKUP($A160,'Data Vlaue (Cr)'!$C:$FB,91)</f>
        <v>636</v>
      </c>
      <c r="I160" s="91">
        <f>VLOOKUP($A160,'Data Vlaue (Cr)'!$C:$FB,93)</f>
        <v>109</v>
      </c>
      <c r="J160" s="92">
        <f>VLOOKUP($A160,'Data Vlaue (Cr)'!$C:$FB,94)</f>
        <v>0.2074</v>
      </c>
      <c r="K160" s="91">
        <f>VLOOKUP($A160,'Data Vlaue (Cr)'!$C:$FB,95)</f>
        <v>631</v>
      </c>
      <c r="L160" s="91">
        <f>VLOOKUP($A160,'Data Vlaue (Cr)'!$C:$FB,97)</f>
        <v>70</v>
      </c>
      <c r="M160" s="92">
        <f>VLOOKUP($A160,'Data Vlaue (Cr)'!$C:$FB,98)</f>
        <v>0.12540000000000001</v>
      </c>
      <c r="N160" s="91">
        <f>VLOOKUP($A160,'Data Vlaue (Cr)'!$C:$FB,79)</f>
        <v>2282</v>
      </c>
      <c r="O160" s="92">
        <f>VLOOKUP($A160,'Data Vlaue (Cr)'!$C:$FB,82)</f>
        <v>3.1107999999999998</v>
      </c>
    </row>
    <row r="161" spans="1:15" x14ac:dyDescent="0.25">
      <c r="A161" s="97" t="str">
        <f>'Data Vlaue (Cr)'!C156</f>
        <v>PGEL</v>
      </c>
      <c r="B161" s="142">
        <f>VLOOKUP(A161,'Data Vlaue (Cr)'!C156:CW368,99,0)</f>
        <v>921</v>
      </c>
      <c r="C161" s="90">
        <f>VLOOKUP(A161,'Data Vlaue (Cr)'!C156:CY368,101,0)</f>
        <v>52</v>
      </c>
      <c r="D161" s="139">
        <f>VLOOKUP(A161,'Data Vlaue (Cr)'!C156:CZ368,102,0)</f>
        <v>6.0299999999999999E-2</v>
      </c>
      <c r="E161" s="91">
        <f>VLOOKUP($A161,'Data Vlaue (Cr)'!$C:$FB,75)</f>
        <v>747</v>
      </c>
      <c r="F161" s="91">
        <f>VLOOKUP($A161,'Data Vlaue (Cr)'!$C:$FB,77)</f>
        <v>33</v>
      </c>
      <c r="G161" s="92">
        <f>VLOOKUP(A161,'Data Vlaue (Cr)'!C156:CB368,78,0)</f>
        <v>4.5699999999999998E-2</v>
      </c>
      <c r="H161" s="91">
        <f>VLOOKUP($A161,'Data Vlaue (Cr)'!$C:$FB,91)</f>
        <v>94</v>
      </c>
      <c r="I161" s="91">
        <f>VLOOKUP($A161,'Data Vlaue (Cr)'!$C:$FB,93)</f>
        <v>8</v>
      </c>
      <c r="J161" s="92">
        <f>VLOOKUP($A161,'Data Vlaue (Cr)'!$C:$FB,94)</f>
        <v>8.9599999999999999E-2</v>
      </c>
      <c r="K161" s="91">
        <f>VLOOKUP($A161,'Data Vlaue (Cr)'!$C:$FB,95)</f>
        <v>81</v>
      </c>
      <c r="L161" s="91">
        <f>VLOOKUP($A161,'Data Vlaue (Cr)'!$C:$FB,97)</f>
        <v>12</v>
      </c>
      <c r="M161" s="92">
        <f>VLOOKUP($A161,'Data Vlaue (Cr)'!$C:$FB,98)</f>
        <v>0.17399999999999999</v>
      </c>
      <c r="N161" s="91">
        <f>VLOOKUP($A161,'Data Vlaue (Cr)'!$C:$FB,79)</f>
        <v>733</v>
      </c>
      <c r="O161" s="92">
        <f>VLOOKUP($A161,'Data Vlaue (Cr)'!$C:$FB,82)</f>
        <v>22.1387</v>
      </c>
    </row>
    <row r="162" spans="1:15" x14ac:dyDescent="0.25">
      <c r="A162" s="97" t="str">
        <f>'Data Vlaue (Cr)'!C157</f>
        <v>PHOENIXLTD</v>
      </c>
      <c r="B162" s="142">
        <f>VLOOKUP(A162,'Data Vlaue (Cr)'!C157:CW369,99,0)</f>
        <v>869</v>
      </c>
      <c r="C162" s="90">
        <f>VLOOKUP(A162,'Data Vlaue (Cr)'!C157:CY369,101,0)</f>
        <v>90</v>
      </c>
      <c r="D162" s="139">
        <f>VLOOKUP(A162,'Data Vlaue (Cr)'!C157:CZ369,102,0)</f>
        <v>0.11559999999999999</v>
      </c>
      <c r="E162" s="91">
        <f>VLOOKUP($A162,'Data Vlaue (Cr)'!$C:$FB,75)</f>
        <v>717</v>
      </c>
      <c r="F162" s="91">
        <f>VLOOKUP($A162,'Data Vlaue (Cr)'!$C:$FB,77)</f>
        <v>37</v>
      </c>
      <c r="G162" s="92">
        <f>VLOOKUP(A162,'Data Vlaue (Cr)'!C157:CB369,78,0)</f>
        <v>5.4199999999999998E-2</v>
      </c>
      <c r="H162" s="91">
        <f>VLOOKUP($A162,'Data Vlaue (Cr)'!$C:$FB,91)</f>
        <v>95</v>
      </c>
      <c r="I162" s="91">
        <f>VLOOKUP($A162,'Data Vlaue (Cr)'!$C:$FB,93)</f>
        <v>31</v>
      </c>
      <c r="J162" s="92">
        <f>VLOOKUP($A162,'Data Vlaue (Cr)'!$C:$FB,94)</f>
        <v>0.47539999999999999</v>
      </c>
      <c r="K162" s="91">
        <f>VLOOKUP($A162,'Data Vlaue (Cr)'!$C:$FB,95)</f>
        <v>57</v>
      </c>
      <c r="L162" s="91">
        <f>VLOOKUP($A162,'Data Vlaue (Cr)'!$C:$FB,97)</f>
        <v>23</v>
      </c>
      <c r="M162" s="92">
        <f>VLOOKUP($A162,'Data Vlaue (Cr)'!$C:$FB,98)</f>
        <v>0.65610000000000002</v>
      </c>
      <c r="N162" s="91">
        <f>VLOOKUP($A162,'Data Vlaue (Cr)'!$C:$FB,79)</f>
        <v>715</v>
      </c>
      <c r="O162" s="92">
        <f>VLOOKUP($A162,'Data Vlaue (Cr)'!$C:$FB,82)</f>
        <v>34.8902</v>
      </c>
    </row>
    <row r="163" spans="1:15" x14ac:dyDescent="0.25">
      <c r="A163" s="97" t="str">
        <f>'Data Vlaue (Cr)'!C158</f>
        <v>PIDILITIND</v>
      </c>
      <c r="B163" s="142">
        <f>VLOOKUP(A163,'Data Vlaue (Cr)'!C158:CW370,99,0)</f>
        <v>1472</v>
      </c>
      <c r="C163" s="90">
        <f>VLOOKUP(A163,'Data Vlaue (Cr)'!C158:CY370,101,0)</f>
        <v>119</v>
      </c>
      <c r="D163" s="139">
        <f>VLOOKUP(A163,'Data Vlaue (Cr)'!C158:CZ370,102,0)</f>
        <v>8.8099999999999998E-2</v>
      </c>
      <c r="E163" s="91">
        <f>VLOOKUP($A163,'Data Vlaue (Cr)'!$C:$FB,75)</f>
        <v>1281</v>
      </c>
      <c r="F163" s="91">
        <f>VLOOKUP($A163,'Data Vlaue (Cr)'!$C:$FB,77)</f>
        <v>61</v>
      </c>
      <c r="G163" s="92">
        <f>VLOOKUP(A163,'Data Vlaue (Cr)'!C158:CB370,78,0)</f>
        <v>4.99E-2</v>
      </c>
      <c r="H163" s="91">
        <f>VLOOKUP($A163,'Data Vlaue (Cr)'!$C:$FB,91)</f>
        <v>103</v>
      </c>
      <c r="I163" s="91">
        <f>VLOOKUP($A163,'Data Vlaue (Cr)'!$C:$FB,93)</f>
        <v>42</v>
      </c>
      <c r="J163" s="92">
        <f>VLOOKUP($A163,'Data Vlaue (Cr)'!$C:$FB,94)</f>
        <v>0.69520000000000004</v>
      </c>
      <c r="K163" s="91">
        <f>VLOOKUP($A163,'Data Vlaue (Cr)'!$C:$FB,95)</f>
        <v>88</v>
      </c>
      <c r="L163" s="91">
        <f>VLOOKUP($A163,'Data Vlaue (Cr)'!$C:$FB,97)</f>
        <v>16</v>
      </c>
      <c r="M163" s="92">
        <f>VLOOKUP($A163,'Data Vlaue (Cr)'!$C:$FB,98)</f>
        <v>0.2208</v>
      </c>
      <c r="N163" s="91">
        <f>VLOOKUP($A163,'Data Vlaue (Cr)'!$C:$FB,79)</f>
        <v>1274</v>
      </c>
      <c r="O163" s="92">
        <f>VLOOKUP($A163,'Data Vlaue (Cr)'!$C:$FB,82)</f>
        <v>57.581099999999999</v>
      </c>
    </row>
    <row r="164" spans="1:15" x14ac:dyDescent="0.25">
      <c r="A164" s="97" t="str">
        <f>'Data Vlaue (Cr)'!C159</f>
        <v>PIIND</v>
      </c>
      <c r="B164" s="142">
        <f>VLOOKUP(A164,'Data Vlaue (Cr)'!C159:CW371,99,0)</f>
        <v>1044</v>
      </c>
      <c r="C164" s="90">
        <f>VLOOKUP(A164,'Data Vlaue (Cr)'!C159:CY371,101,0)</f>
        <v>77</v>
      </c>
      <c r="D164" s="139">
        <f>VLOOKUP(A164,'Data Vlaue (Cr)'!C159:CZ371,102,0)</f>
        <v>7.9299999999999995E-2</v>
      </c>
      <c r="E164" s="91">
        <f>VLOOKUP($A164,'Data Vlaue (Cr)'!$C:$FB,75)</f>
        <v>887</v>
      </c>
      <c r="F164" s="91">
        <f>VLOOKUP($A164,'Data Vlaue (Cr)'!$C:$FB,77)</f>
        <v>16</v>
      </c>
      <c r="G164" s="92">
        <f>VLOOKUP(A164,'Data Vlaue (Cr)'!C159:CB371,78,0)</f>
        <v>1.8700000000000001E-2</v>
      </c>
      <c r="H164" s="91">
        <f>VLOOKUP($A164,'Data Vlaue (Cr)'!$C:$FB,91)</f>
        <v>83</v>
      </c>
      <c r="I164" s="91">
        <f>VLOOKUP($A164,'Data Vlaue (Cr)'!$C:$FB,93)</f>
        <v>37</v>
      </c>
      <c r="J164" s="92">
        <f>VLOOKUP($A164,'Data Vlaue (Cr)'!$C:$FB,94)</f>
        <v>0.81620000000000004</v>
      </c>
      <c r="K164" s="91">
        <f>VLOOKUP($A164,'Data Vlaue (Cr)'!$C:$FB,95)</f>
        <v>74</v>
      </c>
      <c r="L164" s="91">
        <f>VLOOKUP($A164,'Data Vlaue (Cr)'!$C:$FB,97)</f>
        <v>23</v>
      </c>
      <c r="M164" s="92">
        <f>VLOOKUP($A164,'Data Vlaue (Cr)'!$C:$FB,98)</f>
        <v>0.45079999999999998</v>
      </c>
      <c r="N164" s="91">
        <f>VLOOKUP($A164,'Data Vlaue (Cr)'!$C:$FB,79)</f>
        <v>851</v>
      </c>
      <c r="O164" s="92">
        <f>VLOOKUP($A164,'Data Vlaue (Cr)'!$C:$FB,82)</f>
        <v>23.5227</v>
      </c>
    </row>
    <row r="165" spans="1:15" x14ac:dyDescent="0.25">
      <c r="A165" s="97" t="str">
        <f>'Data Vlaue (Cr)'!C160</f>
        <v>PNB</v>
      </c>
      <c r="B165" s="142">
        <f>VLOOKUP(A165,'Data Vlaue (Cr)'!C160:CW372,99,0)</f>
        <v>4429</v>
      </c>
      <c r="C165" s="90">
        <f>VLOOKUP(A165,'Data Vlaue (Cr)'!C160:CY372,101,0)</f>
        <v>149</v>
      </c>
      <c r="D165" s="139">
        <f>VLOOKUP(A165,'Data Vlaue (Cr)'!C160:CZ372,102,0)</f>
        <v>3.49E-2</v>
      </c>
      <c r="E165" s="91">
        <f>VLOOKUP($A165,'Data Vlaue (Cr)'!$C:$FB,75)</f>
        <v>2931</v>
      </c>
      <c r="F165" s="91">
        <f>VLOOKUP($A165,'Data Vlaue (Cr)'!$C:$FB,77)</f>
        <v>17</v>
      </c>
      <c r="G165" s="92">
        <f>VLOOKUP(A165,'Data Vlaue (Cr)'!C160:CB372,78,0)</f>
        <v>5.7000000000000002E-3</v>
      </c>
      <c r="H165" s="91">
        <f>VLOOKUP($A165,'Data Vlaue (Cr)'!$C:$FB,91)</f>
        <v>906</v>
      </c>
      <c r="I165" s="91">
        <f>VLOOKUP($A165,'Data Vlaue (Cr)'!$C:$FB,93)</f>
        <v>51</v>
      </c>
      <c r="J165" s="92">
        <f>VLOOKUP($A165,'Data Vlaue (Cr)'!$C:$FB,94)</f>
        <v>5.9900000000000002E-2</v>
      </c>
      <c r="K165" s="91">
        <f>VLOOKUP($A165,'Data Vlaue (Cr)'!$C:$FB,95)</f>
        <v>591</v>
      </c>
      <c r="L165" s="91">
        <f>VLOOKUP($A165,'Data Vlaue (Cr)'!$C:$FB,97)</f>
        <v>81</v>
      </c>
      <c r="M165" s="92">
        <f>VLOOKUP($A165,'Data Vlaue (Cr)'!$C:$FB,98)</f>
        <v>0.1595</v>
      </c>
      <c r="N165" s="91">
        <f>VLOOKUP($A165,'Data Vlaue (Cr)'!$C:$FB,79)</f>
        <v>2844</v>
      </c>
      <c r="O165" s="92">
        <f>VLOOKUP($A165,'Data Vlaue (Cr)'!$C:$FB,82)</f>
        <v>25.844799999999999</v>
      </c>
    </row>
    <row r="166" spans="1:15" x14ac:dyDescent="0.25">
      <c r="A166" s="97" t="str">
        <f>'Data Vlaue (Cr)'!C161</f>
        <v>PNBHOUSING</v>
      </c>
      <c r="B166" s="142">
        <f>VLOOKUP(A166,'Data Vlaue (Cr)'!C161:CW373,99,0)</f>
        <v>1701</v>
      </c>
      <c r="C166" s="90">
        <f>VLOOKUP(A166,'Data Vlaue (Cr)'!C161:CY373,101,0)</f>
        <v>48</v>
      </c>
      <c r="D166" s="139">
        <f>VLOOKUP(A166,'Data Vlaue (Cr)'!C161:CZ373,102,0)</f>
        <v>2.93E-2</v>
      </c>
      <c r="E166" s="91">
        <f>VLOOKUP($A166,'Data Vlaue (Cr)'!$C:$FB,75)</f>
        <v>1302</v>
      </c>
      <c r="F166" s="91">
        <f>VLOOKUP($A166,'Data Vlaue (Cr)'!$C:$FB,77)</f>
        <v>4</v>
      </c>
      <c r="G166" s="92">
        <f>VLOOKUP(A166,'Data Vlaue (Cr)'!C161:CB373,78,0)</f>
        <v>2.8E-3</v>
      </c>
      <c r="H166" s="91">
        <f>VLOOKUP($A166,'Data Vlaue (Cr)'!$C:$FB,91)</f>
        <v>218</v>
      </c>
      <c r="I166" s="91">
        <f>VLOOKUP($A166,'Data Vlaue (Cr)'!$C:$FB,93)</f>
        <v>35</v>
      </c>
      <c r="J166" s="92">
        <f>VLOOKUP($A166,'Data Vlaue (Cr)'!$C:$FB,94)</f>
        <v>0.1893</v>
      </c>
      <c r="K166" s="91">
        <f>VLOOKUP($A166,'Data Vlaue (Cr)'!$C:$FB,95)</f>
        <v>181</v>
      </c>
      <c r="L166" s="91">
        <f>VLOOKUP($A166,'Data Vlaue (Cr)'!$C:$FB,97)</f>
        <v>10</v>
      </c>
      <c r="M166" s="92">
        <f>VLOOKUP($A166,'Data Vlaue (Cr)'!$C:$FB,98)</f>
        <v>5.8900000000000001E-2</v>
      </c>
      <c r="N166" s="91">
        <f>VLOOKUP($A166,'Data Vlaue (Cr)'!$C:$FB,79)</f>
        <v>1290</v>
      </c>
      <c r="O166" s="92">
        <f>VLOOKUP($A166,'Data Vlaue (Cr)'!$C:$FB,82)</f>
        <v>34.482500000000002</v>
      </c>
    </row>
    <row r="167" spans="1:15" x14ac:dyDescent="0.25">
      <c r="A167" s="97" t="str">
        <f>'Data Vlaue (Cr)'!C162</f>
        <v>POLICYBZR</v>
      </c>
      <c r="B167" s="142">
        <f>VLOOKUP(A167,'Data Vlaue (Cr)'!C162:CW374,99,0)</f>
        <v>1355</v>
      </c>
      <c r="C167" s="90">
        <f>VLOOKUP(A167,'Data Vlaue (Cr)'!C162:CY374,101,0)</f>
        <v>31</v>
      </c>
      <c r="D167" s="139">
        <f>VLOOKUP(A167,'Data Vlaue (Cr)'!C162:CZ374,102,0)</f>
        <v>2.3E-2</v>
      </c>
      <c r="E167" s="91">
        <f>VLOOKUP($A167,'Data Vlaue (Cr)'!$C:$FB,75)</f>
        <v>1123</v>
      </c>
      <c r="F167" s="91">
        <f>VLOOKUP($A167,'Data Vlaue (Cr)'!$C:$FB,77)</f>
        <v>-2</v>
      </c>
      <c r="G167" s="92">
        <f>VLOOKUP(A167,'Data Vlaue (Cr)'!C162:CB374,78,0)</f>
        <v>-1.4E-3</v>
      </c>
      <c r="H167" s="91">
        <f>VLOOKUP($A167,'Data Vlaue (Cr)'!$C:$FB,91)</f>
        <v>115</v>
      </c>
      <c r="I167" s="91">
        <f>VLOOKUP($A167,'Data Vlaue (Cr)'!$C:$FB,93)</f>
        <v>22</v>
      </c>
      <c r="J167" s="92">
        <f>VLOOKUP($A167,'Data Vlaue (Cr)'!$C:$FB,94)</f>
        <v>0.24229999999999999</v>
      </c>
      <c r="K167" s="91">
        <f>VLOOKUP($A167,'Data Vlaue (Cr)'!$C:$FB,95)</f>
        <v>117</v>
      </c>
      <c r="L167" s="91">
        <f>VLOOKUP($A167,'Data Vlaue (Cr)'!$C:$FB,97)</f>
        <v>10</v>
      </c>
      <c r="M167" s="92">
        <f>VLOOKUP($A167,'Data Vlaue (Cr)'!$C:$FB,98)</f>
        <v>9.0200000000000002E-2</v>
      </c>
      <c r="N167" s="91">
        <f>VLOOKUP($A167,'Data Vlaue (Cr)'!$C:$FB,79)</f>
        <v>1114</v>
      </c>
      <c r="O167" s="92">
        <f>VLOOKUP($A167,'Data Vlaue (Cr)'!$C:$FB,82)</f>
        <v>16.495899999999999</v>
      </c>
    </row>
    <row r="168" spans="1:15" x14ac:dyDescent="0.25">
      <c r="A168" s="97" t="str">
        <f>'Data Vlaue (Cr)'!C163</f>
        <v>POLYCAB</v>
      </c>
      <c r="B168" s="142">
        <f>VLOOKUP(A168,'Data Vlaue (Cr)'!C163:CW375,99,0)</f>
        <v>3252</v>
      </c>
      <c r="C168" s="90">
        <f>VLOOKUP(A168,'Data Vlaue (Cr)'!C163:CY375,101,0)</f>
        <v>17</v>
      </c>
      <c r="D168" s="139">
        <f>VLOOKUP(A168,'Data Vlaue (Cr)'!C163:CZ375,102,0)</f>
        <v>5.1000000000000004E-3</v>
      </c>
      <c r="E168" s="91">
        <f>VLOOKUP($A168,'Data Vlaue (Cr)'!$C:$FB,75)</f>
        <v>2372</v>
      </c>
      <c r="F168" s="91">
        <f>VLOOKUP($A168,'Data Vlaue (Cr)'!$C:$FB,77)</f>
        <v>-65</v>
      </c>
      <c r="G168" s="92">
        <f>VLOOKUP(A168,'Data Vlaue (Cr)'!C163:CB375,78,0)</f>
        <v>-2.6700000000000002E-2</v>
      </c>
      <c r="H168" s="91">
        <f>VLOOKUP($A168,'Data Vlaue (Cr)'!$C:$FB,91)</f>
        <v>571</v>
      </c>
      <c r="I168" s="91">
        <f>VLOOKUP($A168,'Data Vlaue (Cr)'!$C:$FB,93)</f>
        <v>64</v>
      </c>
      <c r="J168" s="92">
        <f>VLOOKUP($A168,'Data Vlaue (Cr)'!$C:$FB,94)</f>
        <v>0.126</v>
      </c>
      <c r="K168" s="91">
        <f>VLOOKUP($A168,'Data Vlaue (Cr)'!$C:$FB,95)</f>
        <v>308</v>
      </c>
      <c r="L168" s="91">
        <f>VLOOKUP($A168,'Data Vlaue (Cr)'!$C:$FB,97)</f>
        <v>18</v>
      </c>
      <c r="M168" s="92">
        <f>VLOOKUP($A168,'Data Vlaue (Cr)'!$C:$FB,98)</f>
        <v>6.0999999999999999E-2</v>
      </c>
      <c r="N168" s="91">
        <f>VLOOKUP($A168,'Data Vlaue (Cr)'!$C:$FB,79)</f>
        <v>2339</v>
      </c>
      <c r="O168" s="92">
        <f>VLOOKUP($A168,'Data Vlaue (Cr)'!$C:$FB,82)</f>
        <v>10.0008</v>
      </c>
    </row>
    <row r="169" spans="1:15" x14ac:dyDescent="0.25">
      <c r="A169" s="97" t="str">
        <f>'Data Vlaue (Cr)'!C164</f>
        <v>POWERGRID</v>
      </c>
      <c r="B169" s="142">
        <f>VLOOKUP(A169,'Data Vlaue (Cr)'!C164:CW376,99,0)</f>
        <v>3441</v>
      </c>
      <c r="C169" s="90">
        <f>VLOOKUP(A169,'Data Vlaue (Cr)'!C164:CY376,101,0)</f>
        <v>212</v>
      </c>
      <c r="D169" s="139">
        <f>VLOOKUP(A169,'Data Vlaue (Cr)'!C164:CZ376,102,0)</f>
        <v>6.5699999999999995E-2</v>
      </c>
      <c r="E169" s="91">
        <f>VLOOKUP($A169,'Data Vlaue (Cr)'!$C:$FB,75)</f>
        <v>2555</v>
      </c>
      <c r="F169" s="91">
        <f>VLOOKUP($A169,'Data Vlaue (Cr)'!$C:$FB,77)</f>
        <v>65</v>
      </c>
      <c r="G169" s="92">
        <f>VLOOKUP(A169,'Data Vlaue (Cr)'!C164:CB376,78,0)</f>
        <v>2.5999999999999999E-2</v>
      </c>
      <c r="H169" s="91">
        <f>VLOOKUP($A169,'Data Vlaue (Cr)'!$C:$FB,91)</f>
        <v>420</v>
      </c>
      <c r="I169" s="91">
        <f>VLOOKUP($A169,'Data Vlaue (Cr)'!$C:$FB,93)</f>
        <v>102</v>
      </c>
      <c r="J169" s="92">
        <f>VLOOKUP($A169,'Data Vlaue (Cr)'!$C:$FB,94)</f>
        <v>0.32269999999999999</v>
      </c>
      <c r="K169" s="91">
        <f>VLOOKUP($A169,'Data Vlaue (Cr)'!$C:$FB,95)</f>
        <v>466</v>
      </c>
      <c r="L169" s="91">
        <f>VLOOKUP($A169,'Data Vlaue (Cr)'!$C:$FB,97)</f>
        <v>45</v>
      </c>
      <c r="M169" s="92">
        <f>VLOOKUP($A169,'Data Vlaue (Cr)'!$C:$FB,98)</f>
        <v>0.1065</v>
      </c>
      <c r="N169" s="91">
        <f>VLOOKUP($A169,'Data Vlaue (Cr)'!$C:$FB,79)</f>
        <v>2501</v>
      </c>
      <c r="O169" s="92">
        <f>VLOOKUP($A169,'Data Vlaue (Cr)'!$C:$FB,82)</f>
        <v>10.0138</v>
      </c>
    </row>
    <row r="170" spans="1:15" x14ac:dyDescent="0.25">
      <c r="A170" s="97" t="str">
        <f>'Data Vlaue (Cr)'!C165</f>
        <v>POWERINDIA</v>
      </c>
      <c r="B170" s="142">
        <f>VLOOKUP(A170,'Data Vlaue (Cr)'!C165:CW377,99,0)</f>
        <v>696</v>
      </c>
      <c r="C170" s="90">
        <f>VLOOKUP(A170,'Data Vlaue (Cr)'!C165:CY377,101,0)</f>
        <v>96</v>
      </c>
      <c r="D170" s="139">
        <f>VLOOKUP(A170,'Data Vlaue (Cr)'!C165:CZ377,102,0)</f>
        <v>0.15989999999999999</v>
      </c>
      <c r="E170" s="91">
        <f>VLOOKUP($A170,'Data Vlaue (Cr)'!$C:$FB,75)</f>
        <v>525</v>
      </c>
      <c r="F170" s="91">
        <f>VLOOKUP($A170,'Data Vlaue (Cr)'!$C:$FB,77)</f>
        <v>45</v>
      </c>
      <c r="G170" s="92">
        <f>VLOOKUP(A170,'Data Vlaue (Cr)'!C165:CB377,78,0)</f>
        <v>9.4600000000000004E-2</v>
      </c>
      <c r="H170" s="91">
        <f>VLOOKUP($A170,'Data Vlaue (Cr)'!$C:$FB,91)</f>
        <v>107</v>
      </c>
      <c r="I170" s="91">
        <f>VLOOKUP($A170,'Data Vlaue (Cr)'!$C:$FB,93)</f>
        <v>34</v>
      </c>
      <c r="J170" s="92">
        <f>VLOOKUP($A170,'Data Vlaue (Cr)'!$C:$FB,94)</f>
        <v>0.46289999999999998</v>
      </c>
      <c r="K170" s="91">
        <f>VLOOKUP($A170,'Data Vlaue (Cr)'!$C:$FB,95)</f>
        <v>63</v>
      </c>
      <c r="L170" s="91">
        <f>VLOOKUP($A170,'Data Vlaue (Cr)'!$C:$FB,97)</f>
        <v>17</v>
      </c>
      <c r="M170" s="92">
        <f>VLOOKUP($A170,'Data Vlaue (Cr)'!$C:$FB,98)</f>
        <v>0.35630000000000001</v>
      </c>
      <c r="N170" s="91">
        <f>VLOOKUP($A170,'Data Vlaue (Cr)'!$C:$FB,79)</f>
        <v>514</v>
      </c>
      <c r="O170" s="92">
        <f>VLOOKUP($A170,'Data Vlaue (Cr)'!$C:$FB,82)</f>
        <v>6.2096999999999998</v>
      </c>
    </row>
    <row r="171" spans="1:15" x14ac:dyDescent="0.25">
      <c r="A171" s="97" t="str">
        <f>'Data Vlaue (Cr)'!C166</f>
        <v>PPLPHARMA</v>
      </c>
      <c r="B171" s="142">
        <f>VLOOKUP(A171,'Data Vlaue (Cr)'!C166:CW378,99,0)</f>
        <v>568</v>
      </c>
      <c r="C171" s="90">
        <f>VLOOKUP(A171,'Data Vlaue (Cr)'!C166:CY378,101,0)</f>
        <v>138</v>
      </c>
      <c r="D171" s="139">
        <f>VLOOKUP(A171,'Data Vlaue (Cr)'!C166:CZ378,102,0)</f>
        <v>0.32040000000000002</v>
      </c>
      <c r="E171" s="91">
        <f>VLOOKUP($A171,'Data Vlaue (Cr)'!$C:$FB,75)</f>
        <v>359</v>
      </c>
      <c r="F171" s="91">
        <f>VLOOKUP($A171,'Data Vlaue (Cr)'!$C:$FB,77)</f>
        <v>14</v>
      </c>
      <c r="G171" s="92">
        <f>VLOOKUP(A171,'Data Vlaue (Cr)'!C166:CB378,78,0)</f>
        <v>4.07E-2</v>
      </c>
      <c r="H171" s="91">
        <f>VLOOKUP($A171,'Data Vlaue (Cr)'!$C:$FB,91)</f>
        <v>101</v>
      </c>
      <c r="I171" s="91">
        <f>VLOOKUP($A171,'Data Vlaue (Cr)'!$C:$FB,93)</f>
        <v>62</v>
      </c>
      <c r="J171" s="92">
        <f>VLOOKUP($A171,'Data Vlaue (Cr)'!$C:$FB,94)</f>
        <v>1.59</v>
      </c>
      <c r="K171" s="91">
        <f>VLOOKUP($A171,'Data Vlaue (Cr)'!$C:$FB,95)</f>
        <v>108</v>
      </c>
      <c r="L171" s="91">
        <f>VLOOKUP($A171,'Data Vlaue (Cr)'!$C:$FB,97)</f>
        <v>62</v>
      </c>
      <c r="M171" s="92">
        <f>VLOOKUP($A171,'Data Vlaue (Cr)'!$C:$FB,98)</f>
        <v>1.3383</v>
      </c>
      <c r="N171" s="91">
        <f>VLOOKUP($A171,'Data Vlaue (Cr)'!$C:$FB,79)</f>
        <v>337</v>
      </c>
      <c r="O171" s="92">
        <f>VLOOKUP($A171,'Data Vlaue (Cr)'!$C:$FB,82)</f>
        <v>14.5655</v>
      </c>
    </row>
    <row r="172" spans="1:15" x14ac:dyDescent="0.25">
      <c r="A172" s="97" t="str">
        <f>'Data Vlaue (Cr)'!C167</f>
        <v>PREMIERENE</v>
      </c>
      <c r="B172" s="142">
        <f>VLOOKUP(A172,'Data Vlaue (Cr)'!C167:CW379,99,0)</f>
        <v>540</v>
      </c>
      <c r="C172" s="90">
        <f>VLOOKUP(A172,'Data Vlaue (Cr)'!C167:CY379,101,0)</f>
        <v>9</v>
      </c>
      <c r="D172" s="139">
        <f>VLOOKUP(A172,'Data Vlaue (Cr)'!C167:CZ379,102,0)</f>
        <v>1.72E-2</v>
      </c>
      <c r="E172" s="91">
        <f>VLOOKUP($A172,'Data Vlaue (Cr)'!$C:$FB,75)</f>
        <v>392</v>
      </c>
      <c r="F172" s="91">
        <f>VLOOKUP($A172,'Data Vlaue (Cr)'!$C:$FB,77)</f>
        <v>-1</v>
      </c>
      <c r="G172" s="92">
        <f>VLOOKUP(A172,'Data Vlaue (Cr)'!C167:CB379,78,0)</f>
        <v>-3.5000000000000001E-3</v>
      </c>
      <c r="H172" s="91">
        <f>VLOOKUP($A172,'Data Vlaue (Cr)'!$C:$FB,91)</f>
        <v>93</v>
      </c>
      <c r="I172" s="91">
        <f>VLOOKUP($A172,'Data Vlaue (Cr)'!$C:$FB,93)</f>
        <v>5</v>
      </c>
      <c r="J172" s="92">
        <f>VLOOKUP($A172,'Data Vlaue (Cr)'!$C:$FB,94)</f>
        <v>5.4399999999999997E-2</v>
      </c>
      <c r="K172" s="91">
        <f>VLOOKUP($A172,'Data Vlaue (Cr)'!$C:$FB,95)</f>
        <v>56</v>
      </c>
      <c r="L172" s="91">
        <f>VLOOKUP($A172,'Data Vlaue (Cr)'!$C:$FB,97)</f>
        <v>6</v>
      </c>
      <c r="M172" s="92">
        <f>VLOOKUP($A172,'Data Vlaue (Cr)'!$C:$FB,98)</f>
        <v>0.114</v>
      </c>
      <c r="N172" s="91">
        <f>VLOOKUP($A172,'Data Vlaue (Cr)'!$C:$FB,79)</f>
        <v>378</v>
      </c>
      <c r="O172" s="92">
        <f>VLOOKUP($A172,'Data Vlaue (Cr)'!$C:$FB,82)</f>
        <v>21.5457</v>
      </c>
    </row>
    <row r="173" spans="1:15" x14ac:dyDescent="0.25">
      <c r="A173" s="97" t="str">
        <f>'Data Vlaue (Cr)'!C168</f>
        <v>PRESTIGE</v>
      </c>
      <c r="B173" s="142">
        <f>VLOOKUP(A173,'Data Vlaue (Cr)'!C168:CW380,99,0)</f>
        <v>712</v>
      </c>
      <c r="C173" s="90">
        <f>VLOOKUP(A173,'Data Vlaue (Cr)'!C168:CY380,101,0)</f>
        <v>22</v>
      </c>
      <c r="D173" s="139">
        <f>VLOOKUP(A173,'Data Vlaue (Cr)'!C168:CZ380,102,0)</f>
        <v>3.2099999999999997E-2</v>
      </c>
      <c r="E173" s="91">
        <f>VLOOKUP($A173,'Data Vlaue (Cr)'!$C:$FB,75)</f>
        <v>596</v>
      </c>
      <c r="F173" s="91">
        <f>VLOOKUP($A173,'Data Vlaue (Cr)'!$C:$FB,77)</f>
        <v>-7</v>
      </c>
      <c r="G173" s="92">
        <f>VLOOKUP(A173,'Data Vlaue (Cr)'!C168:CB380,78,0)</f>
        <v>-1.18E-2</v>
      </c>
      <c r="H173" s="91">
        <f>VLOOKUP($A173,'Data Vlaue (Cr)'!$C:$FB,91)</f>
        <v>65</v>
      </c>
      <c r="I173" s="91">
        <f>VLOOKUP($A173,'Data Vlaue (Cr)'!$C:$FB,93)</f>
        <v>24</v>
      </c>
      <c r="J173" s="92">
        <f>VLOOKUP($A173,'Data Vlaue (Cr)'!$C:$FB,94)</f>
        <v>0.58430000000000004</v>
      </c>
      <c r="K173" s="91">
        <f>VLOOKUP($A173,'Data Vlaue (Cr)'!$C:$FB,95)</f>
        <v>51</v>
      </c>
      <c r="L173" s="91">
        <f>VLOOKUP($A173,'Data Vlaue (Cr)'!$C:$FB,97)</f>
        <v>5</v>
      </c>
      <c r="M173" s="92">
        <f>VLOOKUP($A173,'Data Vlaue (Cr)'!$C:$FB,98)</f>
        <v>0.11799999999999999</v>
      </c>
      <c r="N173" s="91">
        <f>VLOOKUP($A173,'Data Vlaue (Cr)'!$C:$FB,79)</f>
        <v>591</v>
      </c>
      <c r="O173" s="92">
        <f>VLOOKUP($A173,'Data Vlaue (Cr)'!$C:$FB,82)</f>
        <v>25.523099999999999</v>
      </c>
    </row>
    <row r="174" spans="1:15" x14ac:dyDescent="0.25">
      <c r="A174" s="97" t="str">
        <f>'Data Vlaue (Cr)'!C169</f>
        <v>RBLBANK</v>
      </c>
      <c r="B174" s="142">
        <f>VLOOKUP(A174,'Data Vlaue (Cr)'!C169:CW381,99,0)</f>
        <v>3344</v>
      </c>
      <c r="C174" s="90">
        <f>VLOOKUP(A174,'Data Vlaue (Cr)'!C169:CY381,101,0)</f>
        <v>125</v>
      </c>
      <c r="D174" s="139">
        <f>VLOOKUP(A174,'Data Vlaue (Cr)'!C169:CZ381,102,0)</f>
        <v>3.8899999999999997E-2</v>
      </c>
      <c r="E174" s="91">
        <f>VLOOKUP($A174,'Data Vlaue (Cr)'!$C:$FB,75)</f>
        <v>2327</v>
      </c>
      <c r="F174" s="91">
        <f>VLOOKUP($A174,'Data Vlaue (Cr)'!$C:$FB,77)</f>
        <v>-15</v>
      </c>
      <c r="G174" s="92">
        <f>VLOOKUP(A174,'Data Vlaue (Cr)'!C169:CB381,78,0)</f>
        <v>-6.1999999999999998E-3</v>
      </c>
      <c r="H174" s="91">
        <f>VLOOKUP($A174,'Data Vlaue (Cr)'!$C:$FB,91)</f>
        <v>611</v>
      </c>
      <c r="I174" s="91">
        <f>VLOOKUP($A174,'Data Vlaue (Cr)'!$C:$FB,93)</f>
        <v>108</v>
      </c>
      <c r="J174" s="92">
        <f>VLOOKUP($A174,'Data Vlaue (Cr)'!$C:$FB,94)</f>
        <v>0.21360000000000001</v>
      </c>
      <c r="K174" s="91">
        <f>VLOOKUP($A174,'Data Vlaue (Cr)'!$C:$FB,95)</f>
        <v>405</v>
      </c>
      <c r="L174" s="91">
        <f>VLOOKUP($A174,'Data Vlaue (Cr)'!$C:$FB,97)</f>
        <v>32</v>
      </c>
      <c r="M174" s="92">
        <f>VLOOKUP($A174,'Data Vlaue (Cr)'!$C:$FB,98)</f>
        <v>8.5900000000000004E-2</v>
      </c>
      <c r="N174" s="91">
        <f>VLOOKUP($A174,'Data Vlaue (Cr)'!$C:$FB,79)</f>
        <v>2314</v>
      </c>
      <c r="O174" s="92">
        <f>VLOOKUP($A174,'Data Vlaue (Cr)'!$C:$FB,82)</f>
        <v>21.165500000000002</v>
      </c>
    </row>
    <row r="175" spans="1:15" x14ac:dyDescent="0.25">
      <c r="A175" s="97" t="str">
        <f>'Data Vlaue (Cr)'!C170</f>
        <v>RECLTD</v>
      </c>
      <c r="B175" s="142">
        <f>VLOOKUP(A175,'Data Vlaue (Cr)'!C170:CW382,99,0)</f>
        <v>4445</v>
      </c>
      <c r="C175" s="90">
        <f>VLOOKUP(A175,'Data Vlaue (Cr)'!C170:CY382,101,0)</f>
        <v>158</v>
      </c>
      <c r="D175" s="139">
        <f>VLOOKUP(A175,'Data Vlaue (Cr)'!C170:CZ382,102,0)</f>
        <v>3.6900000000000002E-2</v>
      </c>
      <c r="E175" s="91">
        <f>VLOOKUP($A175,'Data Vlaue (Cr)'!$C:$FB,75)</f>
        <v>2928</v>
      </c>
      <c r="F175" s="91">
        <f>VLOOKUP($A175,'Data Vlaue (Cr)'!$C:$FB,77)</f>
        <v>23</v>
      </c>
      <c r="G175" s="92">
        <f>VLOOKUP(A175,'Data Vlaue (Cr)'!C170:CB382,78,0)</f>
        <v>7.7999999999999996E-3</v>
      </c>
      <c r="H175" s="91">
        <f>VLOOKUP($A175,'Data Vlaue (Cr)'!$C:$FB,91)</f>
        <v>814</v>
      </c>
      <c r="I175" s="91">
        <f>VLOOKUP($A175,'Data Vlaue (Cr)'!$C:$FB,93)</f>
        <v>123</v>
      </c>
      <c r="J175" s="92">
        <f>VLOOKUP($A175,'Data Vlaue (Cr)'!$C:$FB,94)</f>
        <v>0.1777</v>
      </c>
      <c r="K175" s="91">
        <f>VLOOKUP($A175,'Data Vlaue (Cr)'!$C:$FB,95)</f>
        <v>702</v>
      </c>
      <c r="L175" s="91">
        <f>VLOOKUP($A175,'Data Vlaue (Cr)'!$C:$FB,97)</f>
        <v>12</v>
      </c>
      <c r="M175" s="92">
        <f>VLOOKUP($A175,'Data Vlaue (Cr)'!$C:$FB,98)</f>
        <v>1.8100000000000002E-2</v>
      </c>
      <c r="N175" s="91">
        <f>VLOOKUP($A175,'Data Vlaue (Cr)'!$C:$FB,79)</f>
        <v>2789</v>
      </c>
      <c r="O175" s="92">
        <f>VLOOKUP($A175,'Data Vlaue (Cr)'!$C:$FB,82)</f>
        <v>11.8231</v>
      </c>
    </row>
    <row r="176" spans="1:15" x14ac:dyDescent="0.25">
      <c r="A176" s="97" t="str">
        <f>'Data Vlaue (Cr)'!C171</f>
        <v>RELIANCE</v>
      </c>
      <c r="B176" s="142">
        <f>VLOOKUP(A176,'Data Vlaue (Cr)'!C171:CW383,99,0)</f>
        <v>26045</v>
      </c>
      <c r="C176" s="90">
        <f>VLOOKUP(A176,'Data Vlaue (Cr)'!C171:CY383,101,0)</f>
        <v>637</v>
      </c>
      <c r="D176" s="139">
        <f>VLOOKUP(A176,'Data Vlaue (Cr)'!C171:CZ383,102,0)</f>
        <v>2.5100000000000001E-2</v>
      </c>
      <c r="E176" s="91">
        <f>VLOOKUP($A176,'Data Vlaue (Cr)'!$C:$FB,75)</f>
        <v>16534</v>
      </c>
      <c r="F176" s="91">
        <f>VLOOKUP($A176,'Data Vlaue (Cr)'!$C:$FB,77)</f>
        <v>-297</v>
      </c>
      <c r="G176" s="92">
        <f>VLOOKUP(A176,'Data Vlaue (Cr)'!C171:CB383,78,0)</f>
        <v>-1.77E-2</v>
      </c>
      <c r="H176" s="91">
        <f>VLOOKUP($A176,'Data Vlaue (Cr)'!$C:$FB,91)</f>
        <v>5769</v>
      </c>
      <c r="I176" s="91">
        <f>VLOOKUP($A176,'Data Vlaue (Cr)'!$C:$FB,93)</f>
        <v>669</v>
      </c>
      <c r="J176" s="92">
        <f>VLOOKUP($A176,'Data Vlaue (Cr)'!$C:$FB,94)</f>
        <v>0.1313</v>
      </c>
      <c r="K176" s="91">
        <f>VLOOKUP($A176,'Data Vlaue (Cr)'!$C:$FB,95)</f>
        <v>3741</v>
      </c>
      <c r="L176" s="91">
        <f>VLOOKUP($A176,'Data Vlaue (Cr)'!$C:$FB,97)</f>
        <v>265</v>
      </c>
      <c r="M176" s="92">
        <f>VLOOKUP($A176,'Data Vlaue (Cr)'!$C:$FB,98)</f>
        <v>7.6200000000000004E-2</v>
      </c>
      <c r="N176" s="91">
        <f>VLOOKUP($A176,'Data Vlaue (Cr)'!$C:$FB,79)</f>
        <v>14941</v>
      </c>
      <c r="O176" s="92">
        <f>VLOOKUP($A176,'Data Vlaue (Cr)'!$C:$FB,82)</f>
        <v>6.4912999999999998</v>
      </c>
    </row>
    <row r="177" spans="1:15" x14ac:dyDescent="0.25">
      <c r="A177" s="97" t="str">
        <f>'Data Vlaue (Cr)'!C172</f>
        <v>RVNL</v>
      </c>
      <c r="B177" s="142">
        <f>VLOOKUP(A177,'Data Vlaue (Cr)'!C172:CW384,99,0)</f>
        <v>2655</v>
      </c>
      <c r="C177" s="90">
        <f>VLOOKUP(A177,'Data Vlaue (Cr)'!C172:CY384,101,0)</f>
        <v>304</v>
      </c>
      <c r="D177" s="139">
        <f>VLOOKUP(A177,'Data Vlaue (Cr)'!C172:CZ384,102,0)</f>
        <v>0.1293</v>
      </c>
      <c r="E177" s="91">
        <f>VLOOKUP($A177,'Data Vlaue (Cr)'!$C:$FB,75)</f>
        <v>1603</v>
      </c>
      <c r="F177" s="91">
        <f>VLOOKUP($A177,'Data Vlaue (Cr)'!$C:$FB,77)</f>
        <v>40</v>
      </c>
      <c r="G177" s="92">
        <f>VLOOKUP(A177,'Data Vlaue (Cr)'!C172:CB384,78,0)</f>
        <v>2.53E-2</v>
      </c>
      <c r="H177" s="91">
        <f>VLOOKUP($A177,'Data Vlaue (Cr)'!$C:$FB,91)</f>
        <v>677</v>
      </c>
      <c r="I177" s="91">
        <f>VLOOKUP($A177,'Data Vlaue (Cr)'!$C:$FB,93)</f>
        <v>145</v>
      </c>
      <c r="J177" s="92">
        <f>VLOOKUP($A177,'Data Vlaue (Cr)'!$C:$FB,94)</f>
        <v>0.27350000000000002</v>
      </c>
      <c r="K177" s="91">
        <f>VLOOKUP($A177,'Data Vlaue (Cr)'!$C:$FB,95)</f>
        <v>375</v>
      </c>
      <c r="L177" s="91">
        <f>VLOOKUP($A177,'Data Vlaue (Cr)'!$C:$FB,97)</f>
        <v>119</v>
      </c>
      <c r="M177" s="92">
        <f>VLOOKUP($A177,'Data Vlaue (Cr)'!$C:$FB,98)</f>
        <v>0.46439999999999998</v>
      </c>
      <c r="N177" s="91">
        <f>VLOOKUP($A177,'Data Vlaue (Cr)'!$C:$FB,79)</f>
        <v>1501</v>
      </c>
      <c r="O177" s="92">
        <f>VLOOKUP($A177,'Data Vlaue (Cr)'!$C:$FB,82)</f>
        <v>13.9306</v>
      </c>
    </row>
    <row r="178" spans="1:15" x14ac:dyDescent="0.25">
      <c r="A178" s="97" t="str">
        <f>'Data Vlaue (Cr)'!C173</f>
        <v>SAIL</v>
      </c>
      <c r="B178" s="142">
        <f>VLOOKUP(A178,'Data Vlaue (Cr)'!C173:CW385,99,0)</f>
        <v>3753</v>
      </c>
      <c r="C178" s="90">
        <f>VLOOKUP(A178,'Data Vlaue (Cr)'!C173:CY385,101,0)</f>
        <v>227</v>
      </c>
      <c r="D178" s="139">
        <f>VLOOKUP(A178,'Data Vlaue (Cr)'!C173:CZ385,102,0)</f>
        <v>6.4299999999999996E-2</v>
      </c>
      <c r="E178" s="91">
        <f>VLOOKUP($A178,'Data Vlaue (Cr)'!$C:$FB,75)</f>
        <v>3098</v>
      </c>
      <c r="F178" s="91">
        <f>VLOOKUP($A178,'Data Vlaue (Cr)'!$C:$FB,77)</f>
        <v>83</v>
      </c>
      <c r="G178" s="92">
        <f>VLOOKUP(A178,'Data Vlaue (Cr)'!C173:CB385,78,0)</f>
        <v>2.76E-2</v>
      </c>
      <c r="H178" s="91">
        <f>VLOOKUP($A178,'Data Vlaue (Cr)'!$C:$FB,91)</f>
        <v>401</v>
      </c>
      <c r="I178" s="91">
        <f>VLOOKUP($A178,'Data Vlaue (Cr)'!$C:$FB,93)</f>
        <v>92</v>
      </c>
      <c r="J178" s="92">
        <f>VLOOKUP($A178,'Data Vlaue (Cr)'!$C:$FB,94)</f>
        <v>0.29670000000000002</v>
      </c>
      <c r="K178" s="91">
        <f>VLOOKUP($A178,'Data Vlaue (Cr)'!$C:$FB,95)</f>
        <v>254</v>
      </c>
      <c r="L178" s="91">
        <f>VLOOKUP($A178,'Data Vlaue (Cr)'!$C:$FB,97)</f>
        <v>52</v>
      </c>
      <c r="M178" s="92">
        <f>VLOOKUP($A178,'Data Vlaue (Cr)'!$C:$FB,98)</f>
        <v>0.25600000000000001</v>
      </c>
      <c r="N178" s="91">
        <f>VLOOKUP($A178,'Data Vlaue (Cr)'!$C:$FB,79)</f>
        <v>3050</v>
      </c>
      <c r="O178" s="92">
        <f>VLOOKUP($A178,'Data Vlaue (Cr)'!$C:$FB,82)</f>
        <v>12.117000000000001</v>
      </c>
    </row>
    <row r="179" spans="1:15" x14ac:dyDescent="0.25">
      <c r="A179" s="97" t="str">
        <f>'Data Vlaue (Cr)'!C174</f>
        <v>SAMMAANCAP</v>
      </c>
      <c r="B179" s="142">
        <f>VLOOKUP(A179,'Data Vlaue (Cr)'!C174:CW386,99,0)</f>
        <v>1860</v>
      </c>
      <c r="C179" s="90">
        <f>VLOOKUP(A179,'Data Vlaue (Cr)'!C174:CY386,101,0)</f>
        <v>704</v>
      </c>
      <c r="D179" s="139">
        <f>VLOOKUP(A179,'Data Vlaue (Cr)'!C174:CZ386,102,0)</f>
        <v>0.60899999999999999</v>
      </c>
      <c r="E179" s="91">
        <f>VLOOKUP($A179,'Data Vlaue (Cr)'!$C:$FB,75)</f>
        <v>1375</v>
      </c>
      <c r="F179" s="91">
        <f>VLOOKUP($A179,'Data Vlaue (Cr)'!$C:$FB,77)</f>
        <v>226</v>
      </c>
      <c r="G179" s="92">
        <f>VLOOKUP(A179,'Data Vlaue (Cr)'!C174:CB386,78,0)</f>
        <v>0.19670000000000001</v>
      </c>
      <c r="H179" s="91">
        <f>VLOOKUP($A179,'Data Vlaue (Cr)'!$C:$FB,91)</f>
        <v>273</v>
      </c>
      <c r="I179" s="91">
        <f>VLOOKUP($A179,'Data Vlaue (Cr)'!$C:$FB,93)</f>
        <v>267</v>
      </c>
      <c r="J179" s="92">
        <f>VLOOKUP($A179,'Data Vlaue (Cr)'!$C:$FB,94)</f>
        <v>40.222200000000001</v>
      </c>
      <c r="K179" s="91">
        <f>VLOOKUP($A179,'Data Vlaue (Cr)'!$C:$FB,95)</f>
        <v>212</v>
      </c>
      <c r="L179" s="91">
        <f>VLOOKUP($A179,'Data Vlaue (Cr)'!$C:$FB,97)</f>
        <v>211</v>
      </c>
      <c r="M179" s="92">
        <f>VLOOKUP($A179,'Data Vlaue (Cr)'!$C:$FB,98)</f>
        <v>245.78569999999999</v>
      </c>
      <c r="N179" s="91">
        <f>VLOOKUP($A179,'Data Vlaue (Cr)'!$C:$FB,79)</f>
        <v>1321</v>
      </c>
      <c r="O179" s="92">
        <f>VLOOKUP($A179,'Data Vlaue (Cr)'!$C:$FB,82)</f>
        <v>6.3914999999999997</v>
      </c>
    </row>
    <row r="180" spans="1:15" x14ac:dyDescent="0.25">
      <c r="A180" s="97" t="str">
        <f>'Data Vlaue (Cr)'!C175</f>
        <v>SBICARD</v>
      </c>
      <c r="B180" s="142">
        <f>VLOOKUP(A180,'Data Vlaue (Cr)'!C175:CW387,99,0)</f>
        <v>1912</v>
      </c>
      <c r="C180" s="90">
        <f>VLOOKUP(A180,'Data Vlaue (Cr)'!C175:CY387,101,0)</f>
        <v>325</v>
      </c>
      <c r="D180" s="139">
        <f>VLOOKUP(A180,'Data Vlaue (Cr)'!C175:CZ387,102,0)</f>
        <v>0.2049</v>
      </c>
      <c r="E180" s="91">
        <f>VLOOKUP($A180,'Data Vlaue (Cr)'!$C:$FB,75)</f>
        <v>1277</v>
      </c>
      <c r="F180" s="91">
        <f>VLOOKUP($A180,'Data Vlaue (Cr)'!$C:$FB,77)</f>
        <v>46</v>
      </c>
      <c r="G180" s="92">
        <f>VLOOKUP(A180,'Data Vlaue (Cr)'!C175:CB387,78,0)</f>
        <v>3.78E-2</v>
      </c>
      <c r="H180" s="91">
        <f>VLOOKUP($A180,'Data Vlaue (Cr)'!$C:$FB,91)</f>
        <v>386</v>
      </c>
      <c r="I180" s="91">
        <f>VLOOKUP($A180,'Data Vlaue (Cr)'!$C:$FB,93)</f>
        <v>184</v>
      </c>
      <c r="J180" s="92">
        <f>VLOOKUP($A180,'Data Vlaue (Cr)'!$C:$FB,94)</f>
        <v>0.90769999999999995</v>
      </c>
      <c r="K180" s="91">
        <f>VLOOKUP($A180,'Data Vlaue (Cr)'!$C:$FB,95)</f>
        <v>249</v>
      </c>
      <c r="L180" s="91">
        <f>VLOOKUP($A180,'Data Vlaue (Cr)'!$C:$FB,97)</f>
        <v>95</v>
      </c>
      <c r="M180" s="92">
        <f>VLOOKUP($A180,'Data Vlaue (Cr)'!$C:$FB,98)</f>
        <v>0.61699999999999999</v>
      </c>
      <c r="N180" s="91">
        <f>VLOOKUP($A180,'Data Vlaue (Cr)'!$C:$FB,79)</f>
        <v>1243</v>
      </c>
      <c r="O180" s="92">
        <f>VLOOKUP($A180,'Data Vlaue (Cr)'!$C:$FB,82)</f>
        <v>11.0663</v>
      </c>
    </row>
    <row r="181" spans="1:15" x14ac:dyDescent="0.25">
      <c r="A181" s="97" t="str">
        <f>'Data Vlaue (Cr)'!C176</f>
        <v>SBILIFE</v>
      </c>
      <c r="B181" s="142">
        <f>VLOOKUP(A181,'Data Vlaue (Cr)'!C176:CW388,99,0)</f>
        <v>2690</v>
      </c>
      <c r="C181" s="90">
        <f>VLOOKUP(A181,'Data Vlaue (Cr)'!C176:CY388,101,0)</f>
        <v>440</v>
      </c>
      <c r="D181" s="139">
        <f>VLOOKUP(A181,'Data Vlaue (Cr)'!C176:CZ388,102,0)</f>
        <v>0.1956</v>
      </c>
      <c r="E181" s="91">
        <f>VLOOKUP($A181,'Data Vlaue (Cr)'!$C:$FB,75)</f>
        <v>2039</v>
      </c>
      <c r="F181" s="91">
        <f>VLOOKUP($A181,'Data Vlaue (Cr)'!$C:$FB,77)</f>
        <v>31</v>
      </c>
      <c r="G181" s="92">
        <f>VLOOKUP(A181,'Data Vlaue (Cr)'!C176:CB388,78,0)</f>
        <v>1.5599999999999999E-2</v>
      </c>
      <c r="H181" s="91">
        <f>VLOOKUP($A181,'Data Vlaue (Cr)'!$C:$FB,91)</f>
        <v>348</v>
      </c>
      <c r="I181" s="91">
        <f>VLOOKUP($A181,'Data Vlaue (Cr)'!$C:$FB,93)</f>
        <v>220</v>
      </c>
      <c r="J181" s="92">
        <f>VLOOKUP($A181,'Data Vlaue (Cr)'!$C:$FB,94)</f>
        <v>1.7112000000000001</v>
      </c>
      <c r="K181" s="91">
        <f>VLOOKUP($A181,'Data Vlaue (Cr)'!$C:$FB,95)</f>
        <v>303</v>
      </c>
      <c r="L181" s="91">
        <f>VLOOKUP($A181,'Data Vlaue (Cr)'!$C:$FB,97)</f>
        <v>189</v>
      </c>
      <c r="M181" s="92">
        <f>VLOOKUP($A181,'Data Vlaue (Cr)'!$C:$FB,98)</f>
        <v>1.6617</v>
      </c>
      <c r="N181" s="91">
        <f>VLOOKUP($A181,'Data Vlaue (Cr)'!$C:$FB,79)</f>
        <v>2008</v>
      </c>
      <c r="O181" s="92">
        <f>VLOOKUP($A181,'Data Vlaue (Cr)'!$C:$FB,82)</f>
        <v>6.5606999999999998</v>
      </c>
    </row>
    <row r="182" spans="1:15" x14ac:dyDescent="0.25">
      <c r="A182" s="97" t="str">
        <f>'Data Vlaue (Cr)'!C177</f>
        <v>SBIN</v>
      </c>
      <c r="B182" s="142">
        <f>VLOOKUP(A182,'Data Vlaue (Cr)'!C177:CW389,99,0)</f>
        <v>11273</v>
      </c>
      <c r="C182" s="90">
        <f>VLOOKUP(A182,'Data Vlaue (Cr)'!C177:CY389,101,0)</f>
        <v>636</v>
      </c>
      <c r="D182" s="139">
        <f>VLOOKUP(A182,'Data Vlaue (Cr)'!C177:CZ389,102,0)</f>
        <v>5.9799999999999999E-2</v>
      </c>
      <c r="E182" s="91">
        <f>VLOOKUP($A182,'Data Vlaue (Cr)'!$C:$FB,75)</f>
        <v>7464</v>
      </c>
      <c r="F182" s="91">
        <f>VLOOKUP($A182,'Data Vlaue (Cr)'!$C:$FB,77)</f>
        <v>-109</v>
      </c>
      <c r="G182" s="92">
        <f>VLOOKUP(A182,'Data Vlaue (Cr)'!C177:CB389,78,0)</f>
        <v>-1.44E-2</v>
      </c>
      <c r="H182" s="91">
        <f>VLOOKUP($A182,'Data Vlaue (Cr)'!$C:$FB,91)</f>
        <v>1776</v>
      </c>
      <c r="I182" s="91">
        <f>VLOOKUP($A182,'Data Vlaue (Cr)'!$C:$FB,93)</f>
        <v>392</v>
      </c>
      <c r="J182" s="92">
        <f>VLOOKUP($A182,'Data Vlaue (Cr)'!$C:$FB,94)</f>
        <v>0.28339999999999999</v>
      </c>
      <c r="K182" s="91">
        <f>VLOOKUP($A182,'Data Vlaue (Cr)'!$C:$FB,95)</f>
        <v>2034</v>
      </c>
      <c r="L182" s="91">
        <f>VLOOKUP($A182,'Data Vlaue (Cr)'!$C:$FB,97)</f>
        <v>353</v>
      </c>
      <c r="M182" s="92">
        <f>VLOOKUP($A182,'Data Vlaue (Cr)'!$C:$FB,98)</f>
        <v>0.21</v>
      </c>
      <c r="N182" s="91">
        <f>VLOOKUP($A182,'Data Vlaue (Cr)'!$C:$FB,79)</f>
        <v>7174</v>
      </c>
      <c r="O182" s="92">
        <f>VLOOKUP($A182,'Data Vlaue (Cr)'!$C:$FB,82)</f>
        <v>4.1060999999999996</v>
      </c>
    </row>
    <row r="183" spans="1:15" x14ac:dyDescent="0.25">
      <c r="A183" s="97" t="str">
        <f>'Data Vlaue (Cr)'!C178</f>
        <v>SHREECEM</v>
      </c>
      <c r="B183" s="142">
        <f>VLOOKUP(A183,'Data Vlaue (Cr)'!C178:CW390,99,0)</f>
        <v>826</v>
      </c>
      <c r="C183" s="90">
        <f>VLOOKUP(A183,'Data Vlaue (Cr)'!C178:CY390,101,0)</f>
        <v>68</v>
      </c>
      <c r="D183" s="139">
        <f>VLOOKUP(A183,'Data Vlaue (Cr)'!C178:CZ390,102,0)</f>
        <v>8.9300000000000004E-2</v>
      </c>
      <c r="E183" s="91">
        <f>VLOOKUP($A183,'Data Vlaue (Cr)'!$C:$FB,75)</f>
        <v>742</v>
      </c>
      <c r="F183" s="91">
        <f>VLOOKUP($A183,'Data Vlaue (Cr)'!$C:$FB,77)</f>
        <v>51</v>
      </c>
      <c r="G183" s="92">
        <f>VLOOKUP(A183,'Data Vlaue (Cr)'!C178:CB390,78,0)</f>
        <v>7.4300000000000005E-2</v>
      </c>
      <c r="H183" s="91">
        <f>VLOOKUP($A183,'Data Vlaue (Cr)'!$C:$FB,91)</f>
        <v>44</v>
      </c>
      <c r="I183" s="91">
        <f>VLOOKUP($A183,'Data Vlaue (Cr)'!$C:$FB,93)</f>
        <v>10</v>
      </c>
      <c r="J183" s="92">
        <f>VLOOKUP($A183,'Data Vlaue (Cr)'!$C:$FB,94)</f>
        <v>0.27579999999999999</v>
      </c>
      <c r="K183" s="91">
        <f>VLOOKUP($A183,'Data Vlaue (Cr)'!$C:$FB,95)</f>
        <v>40</v>
      </c>
      <c r="L183" s="91">
        <f>VLOOKUP($A183,'Data Vlaue (Cr)'!$C:$FB,97)</f>
        <v>7</v>
      </c>
      <c r="M183" s="92">
        <f>VLOOKUP($A183,'Data Vlaue (Cr)'!$C:$FB,98)</f>
        <v>0.2079</v>
      </c>
      <c r="N183" s="91">
        <f>VLOOKUP($A183,'Data Vlaue (Cr)'!$C:$FB,79)</f>
        <v>737</v>
      </c>
      <c r="O183" s="92">
        <f>VLOOKUP($A183,'Data Vlaue (Cr)'!$C:$FB,82)</f>
        <v>20.066800000000001</v>
      </c>
    </row>
    <row r="184" spans="1:15" x14ac:dyDescent="0.25">
      <c r="A184" s="97" t="str">
        <f>'Data Vlaue (Cr)'!C179</f>
        <v>SHRIRAMFIN</v>
      </c>
      <c r="B184" s="142">
        <f>VLOOKUP(A184,'Data Vlaue (Cr)'!C179:CW391,99,0)</f>
        <v>5748</v>
      </c>
      <c r="C184" s="90">
        <f>VLOOKUP(A184,'Data Vlaue (Cr)'!C179:CY391,101,0)</f>
        <v>145</v>
      </c>
      <c r="D184" s="139">
        <f>VLOOKUP(A184,'Data Vlaue (Cr)'!C179:CZ391,102,0)</f>
        <v>2.5899999999999999E-2</v>
      </c>
      <c r="E184" s="91">
        <f>VLOOKUP($A184,'Data Vlaue (Cr)'!$C:$FB,75)</f>
        <v>4466</v>
      </c>
      <c r="F184" s="91">
        <f>VLOOKUP($A184,'Data Vlaue (Cr)'!$C:$FB,77)</f>
        <v>-87</v>
      </c>
      <c r="G184" s="92">
        <f>VLOOKUP(A184,'Data Vlaue (Cr)'!C179:CB391,78,0)</f>
        <v>-1.9199999999999998E-2</v>
      </c>
      <c r="H184" s="91">
        <f>VLOOKUP($A184,'Data Vlaue (Cr)'!$C:$FB,91)</f>
        <v>802</v>
      </c>
      <c r="I184" s="91">
        <f>VLOOKUP($A184,'Data Vlaue (Cr)'!$C:$FB,93)</f>
        <v>151</v>
      </c>
      <c r="J184" s="92">
        <f>VLOOKUP($A184,'Data Vlaue (Cr)'!$C:$FB,94)</f>
        <v>0.23130000000000001</v>
      </c>
      <c r="K184" s="91">
        <f>VLOOKUP($A184,'Data Vlaue (Cr)'!$C:$FB,95)</f>
        <v>480</v>
      </c>
      <c r="L184" s="91">
        <f>VLOOKUP($A184,'Data Vlaue (Cr)'!$C:$FB,97)</f>
        <v>82</v>
      </c>
      <c r="M184" s="92">
        <f>VLOOKUP($A184,'Data Vlaue (Cr)'!$C:$FB,98)</f>
        <v>0.20569999999999999</v>
      </c>
      <c r="N184" s="91">
        <f>VLOOKUP($A184,'Data Vlaue (Cr)'!$C:$FB,79)</f>
        <v>4400</v>
      </c>
      <c r="O184" s="92">
        <f>VLOOKUP($A184,'Data Vlaue (Cr)'!$C:$FB,82)</f>
        <v>46.8093</v>
      </c>
    </row>
    <row r="185" spans="1:15" x14ac:dyDescent="0.25">
      <c r="A185" s="97" t="str">
        <f>'Data Vlaue (Cr)'!C180</f>
        <v>SIEMENS</v>
      </c>
      <c r="B185" s="142">
        <f>VLOOKUP(A185,'Data Vlaue (Cr)'!C180:CW392,99,0)</f>
        <v>910</v>
      </c>
      <c r="C185" s="90">
        <f>VLOOKUP(A185,'Data Vlaue (Cr)'!C180:CY392,101,0)</f>
        <v>56</v>
      </c>
      <c r="D185" s="139">
        <f>VLOOKUP(A185,'Data Vlaue (Cr)'!C180:CZ392,102,0)</f>
        <v>6.54E-2</v>
      </c>
      <c r="E185" s="91">
        <f>VLOOKUP($A185,'Data Vlaue (Cr)'!$C:$FB,75)</f>
        <v>713</v>
      </c>
      <c r="F185" s="91">
        <f>VLOOKUP($A185,'Data Vlaue (Cr)'!$C:$FB,77)</f>
        <v>-3</v>
      </c>
      <c r="G185" s="92">
        <f>VLOOKUP(A185,'Data Vlaue (Cr)'!C180:CB392,78,0)</f>
        <v>-3.5999999999999999E-3</v>
      </c>
      <c r="H185" s="91">
        <f>VLOOKUP($A185,'Data Vlaue (Cr)'!$C:$FB,91)</f>
        <v>118</v>
      </c>
      <c r="I185" s="91">
        <f>VLOOKUP($A185,'Data Vlaue (Cr)'!$C:$FB,93)</f>
        <v>36</v>
      </c>
      <c r="J185" s="92">
        <f>VLOOKUP($A185,'Data Vlaue (Cr)'!$C:$FB,94)</f>
        <v>0.43790000000000001</v>
      </c>
      <c r="K185" s="91">
        <f>VLOOKUP($A185,'Data Vlaue (Cr)'!$C:$FB,95)</f>
        <v>79</v>
      </c>
      <c r="L185" s="91">
        <f>VLOOKUP($A185,'Data Vlaue (Cr)'!$C:$FB,97)</f>
        <v>23</v>
      </c>
      <c r="M185" s="92">
        <f>VLOOKUP($A185,'Data Vlaue (Cr)'!$C:$FB,98)</f>
        <v>0.39910000000000001</v>
      </c>
      <c r="N185" s="91">
        <f>VLOOKUP($A185,'Data Vlaue (Cr)'!$C:$FB,79)</f>
        <v>699</v>
      </c>
      <c r="O185" s="92">
        <f>VLOOKUP($A185,'Data Vlaue (Cr)'!$C:$FB,82)</f>
        <v>10.2447</v>
      </c>
    </row>
    <row r="186" spans="1:15" x14ac:dyDescent="0.25">
      <c r="A186" s="97" t="str">
        <f>'Data Vlaue (Cr)'!C181</f>
        <v>SOLARINDS</v>
      </c>
      <c r="B186" s="142">
        <f>VLOOKUP(A186,'Data Vlaue (Cr)'!C181:CW393,99,0)</f>
        <v>1729</v>
      </c>
      <c r="C186" s="90">
        <f>VLOOKUP(A186,'Data Vlaue (Cr)'!C181:CY393,101,0)</f>
        <v>247</v>
      </c>
      <c r="D186" s="139">
        <f>VLOOKUP(A186,'Data Vlaue (Cr)'!C181:CZ393,102,0)</f>
        <v>0.16700000000000001</v>
      </c>
      <c r="E186" s="91">
        <f>VLOOKUP($A186,'Data Vlaue (Cr)'!$C:$FB,75)</f>
        <v>1277</v>
      </c>
      <c r="F186" s="91">
        <f>VLOOKUP($A186,'Data Vlaue (Cr)'!$C:$FB,77)</f>
        <v>4</v>
      </c>
      <c r="G186" s="92">
        <f>VLOOKUP(A186,'Data Vlaue (Cr)'!C181:CB393,78,0)</f>
        <v>3.3E-3</v>
      </c>
      <c r="H186" s="91">
        <f>VLOOKUP($A186,'Data Vlaue (Cr)'!$C:$FB,91)</f>
        <v>260</v>
      </c>
      <c r="I186" s="91">
        <f>VLOOKUP($A186,'Data Vlaue (Cr)'!$C:$FB,93)</f>
        <v>166</v>
      </c>
      <c r="J186" s="92">
        <f>VLOOKUP($A186,'Data Vlaue (Cr)'!$C:$FB,94)</f>
        <v>1.7588999999999999</v>
      </c>
      <c r="K186" s="91">
        <f>VLOOKUP($A186,'Data Vlaue (Cr)'!$C:$FB,95)</f>
        <v>193</v>
      </c>
      <c r="L186" s="91">
        <f>VLOOKUP($A186,'Data Vlaue (Cr)'!$C:$FB,97)</f>
        <v>78</v>
      </c>
      <c r="M186" s="92">
        <f>VLOOKUP($A186,'Data Vlaue (Cr)'!$C:$FB,98)</f>
        <v>0.67420000000000002</v>
      </c>
      <c r="N186" s="91">
        <f>VLOOKUP($A186,'Data Vlaue (Cr)'!$C:$FB,79)</f>
        <v>1202</v>
      </c>
      <c r="O186" s="92">
        <f>VLOOKUP($A186,'Data Vlaue (Cr)'!$C:$FB,82)</f>
        <v>7.7591999999999999</v>
      </c>
    </row>
    <row r="187" spans="1:15" x14ac:dyDescent="0.25">
      <c r="A187" s="97" t="str">
        <f>'Data Vlaue (Cr)'!C182</f>
        <v>SONACOMS</v>
      </c>
      <c r="B187" s="142">
        <f>VLOOKUP(A187,'Data Vlaue (Cr)'!C182:CW394,99,0)</f>
        <v>892</v>
      </c>
      <c r="C187" s="90">
        <f>VLOOKUP(A187,'Data Vlaue (Cr)'!C182:CY394,101,0)</f>
        <v>-7</v>
      </c>
      <c r="D187" s="139">
        <f>VLOOKUP(A187,'Data Vlaue (Cr)'!C182:CZ394,102,0)</f>
        <v>-8.0999999999999996E-3</v>
      </c>
      <c r="E187" s="91">
        <f>VLOOKUP($A187,'Data Vlaue (Cr)'!$C:$FB,75)</f>
        <v>717</v>
      </c>
      <c r="F187" s="91">
        <f>VLOOKUP($A187,'Data Vlaue (Cr)'!$C:$FB,77)</f>
        <v>-28</v>
      </c>
      <c r="G187" s="92">
        <f>VLOOKUP(A187,'Data Vlaue (Cr)'!C182:CB394,78,0)</f>
        <v>-3.7600000000000001E-2</v>
      </c>
      <c r="H187" s="91">
        <f>VLOOKUP($A187,'Data Vlaue (Cr)'!$C:$FB,91)</f>
        <v>96</v>
      </c>
      <c r="I187" s="91">
        <f>VLOOKUP($A187,'Data Vlaue (Cr)'!$C:$FB,93)</f>
        <v>8</v>
      </c>
      <c r="J187" s="92">
        <f>VLOOKUP($A187,'Data Vlaue (Cr)'!$C:$FB,94)</f>
        <v>8.4699999999999998E-2</v>
      </c>
      <c r="K187" s="91">
        <f>VLOOKUP($A187,'Data Vlaue (Cr)'!$C:$FB,95)</f>
        <v>80</v>
      </c>
      <c r="L187" s="91">
        <f>VLOOKUP($A187,'Data Vlaue (Cr)'!$C:$FB,97)</f>
        <v>13</v>
      </c>
      <c r="M187" s="92">
        <f>VLOOKUP($A187,'Data Vlaue (Cr)'!$C:$FB,98)</f>
        <v>0.1973</v>
      </c>
      <c r="N187" s="91">
        <f>VLOOKUP($A187,'Data Vlaue (Cr)'!$C:$FB,79)</f>
        <v>710</v>
      </c>
      <c r="O187" s="92">
        <f>VLOOKUP($A187,'Data Vlaue (Cr)'!$C:$FB,82)</f>
        <v>21.778600000000001</v>
      </c>
    </row>
    <row r="188" spans="1:15" x14ac:dyDescent="0.25">
      <c r="A188" s="97" t="str">
        <f>'Data Vlaue (Cr)'!C183</f>
        <v>SRF</v>
      </c>
      <c r="B188" s="142">
        <f>VLOOKUP(A188,'Data Vlaue (Cr)'!C183:CW395,99,0)</f>
        <v>1307</v>
      </c>
      <c r="C188" s="90">
        <f>VLOOKUP(A188,'Data Vlaue (Cr)'!C183:CY395,101,0)</f>
        <v>55</v>
      </c>
      <c r="D188" s="139">
        <f>VLOOKUP(A188,'Data Vlaue (Cr)'!C183:CZ395,102,0)</f>
        <v>4.4200000000000003E-2</v>
      </c>
      <c r="E188" s="91">
        <f>VLOOKUP($A188,'Data Vlaue (Cr)'!$C:$FB,75)</f>
        <v>943</v>
      </c>
      <c r="F188" s="91">
        <f>VLOOKUP($A188,'Data Vlaue (Cr)'!$C:$FB,77)</f>
        <v>-3</v>
      </c>
      <c r="G188" s="92">
        <f>VLOOKUP(A188,'Data Vlaue (Cr)'!C183:CB395,78,0)</f>
        <v>-3.0999999999999999E-3</v>
      </c>
      <c r="H188" s="91">
        <f>VLOOKUP($A188,'Data Vlaue (Cr)'!$C:$FB,91)</f>
        <v>208</v>
      </c>
      <c r="I188" s="91">
        <f>VLOOKUP($A188,'Data Vlaue (Cr)'!$C:$FB,93)</f>
        <v>22</v>
      </c>
      <c r="J188" s="92">
        <f>VLOOKUP($A188,'Data Vlaue (Cr)'!$C:$FB,94)</f>
        <v>0.1198</v>
      </c>
      <c r="K188" s="91">
        <f>VLOOKUP($A188,'Data Vlaue (Cr)'!$C:$FB,95)</f>
        <v>157</v>
      </c>
      <c r="L188" s="91">
        <f>VLOOKUP($A188,'Data Vlaue (Cr)'!$C:$FB,97)</f>
        <v>36</v>
      </c>
      <c r="M188" s="92">
        <f>VLOOKUP($A188,'Data Vlaue (Cr)'!$C:$FB,98)</f>
        <v>0.2999</v>
      </c>
      <c r="N188" s="91">
        <f>VLOOKUP($A188,'Data Vlaue (Cr)'!$C:$FB,79)</f>
        <v>930</v>
      </c>
      <c r="O188" s="92">
        <f>VLOOKUP($A188,'Data Vlaue (Cr)'!$C:$FB,82)</f>
        <v>14.1496</v>
      </c>
    </row>
    <row r="189" spans="1:15" x14ac:dyDescent="0.25">
      <c r="A189" s="97" t="str">
        <f>'Data Vlaue (Cr)'!C184</f>
        <v>SUNPHARMA</v>
      </c>
      <c r="B189" s="142">
        <f>VLOOKUP(A189,'Data Vlaue (Cr)'!C184:CW396,99,0)</f>
        <v>4085</v>
      </c>
      <c r="C189" s="90">
        <f>VLOOKUP(A189,'Data Vlaue (Cr)'!C184:CY396,101,0)</f>
        <v>346</v>
      </c>
      <c r="D189" s="139">
        <f>VLOOKUP(A189,'Data Vlaue (Cr)'!C184:CZ396,102,0)</f>
        <v>9.2499999999999999E-2</v>
      </c>
      <c r="E189" s="91">
        <f>VLOOKUP($A189,'Data Vlaue (Cr)'!$C:$FB,75)</f>
        <v>3268</v>
      </c>
      <c r="F189" s="91">
        <f>VLOOKUP($A189,'Data Vlaue (Cr)'!$C:$FB,77)</f>
        <v>38</v>
      </c>
      <c r="G189" s="92">
        <f>VLOOKUP(A189,'Data Vlaue (Cr)'!C184:CB396,78,0)</f>
        <v>1.17E-2</v>
      </c>
      <c r="H189" s="91">
        <f>VLOOKUP($A189,'Data Vlaue (Cr)'!$C:$FB,91)</f>
        <v>478</v>
      </c>
      <c r="I189" s="91">
        <f>VLOOKUP($A189,'Data Vlaue (Cr)'!$C:$FB,93)</f>
        <v>219</v>
      </c>
      <c r="J189" s="92">
        <f>VLOOKUP($A189,'Data Vlaue (Cr)'!$C:$FB,94)</f>
        <v>0.84240000000000004</v>
      </c>
      <c r="K189" s="91">
        <f>VLOOKUP($A189,'Data Vlaue (Cr)'!$C:$FB,95)</f>
        <v>338</v>
      </c>
      <c r="L189" s="91">
        <f>VLOOKUP($A189,'Data Vlaue (Cr)'!$C:$FB,97)</f>
        <v>90</v>
      </c>
      <c r="M189" s="92">
        <f>VLOOKUP($A189,'Data Vlaue (Cr)'!$C:$FB,98)</f>
        <v>0.36080000000000001</v>
      </c>
      <c r="N189" s="91">
        <f>VLOOKUP($A189,'Data Vlaue (Cr)'!$C:$FB,79)</f>
        <v>3230</v>
      </c>
      <c r="O189" s="92">
        <f>VLOOKUP($A189,'Data Vlaue (Cr)'!$C:$FB,82)</f>
        <v>10.8935</v>
      </c>
    </row>
    <row r="190" spans="1:15" x14ac:dyDescent="0.25">
      <c r="A190" s="97" t="str">
        <f>'Data Vlaue (Cr)'!C185</f>
        <v>SUPREMEIND</v>
      </c>
      <c r="B190" s="142">
        <f>VLOOKUP(A190,'Data Vlaue (Cr)'!C185:CW397,99,0)</f>
        <v>805</v>
      </c>
      <c r="C190" s="90">
        <f>VLOOKUP(A190,'Data Vlaue (Cr)'!C185:CY397,101,0)</f>
        <v>51</v>
      </c>
      <c r="D190" s="139">
        <f>VLOOKUP(A190,'Data Vlaue (Cr)'!C185:CZ397,102,0)</f>
        <v>6.7900000000000002E-2</v>
      </c>
      <c r="E190" s="91">
        <f>VLOOKUP($A190,'Data Vlaue (Cr)'!$C:$FB,75)</f>
        <v>661</v>
      </c>
      <c r="F190" s="91">
        <f>VLOOKUP($A190,'Data Vlaue (Cr)'!$C:$FB,77)</f>
        <v>23</v>
      </c>
      <c r="G190" s="92">
        <f>VLOOKUP(A190,'Data Vlaue (Cr)'!C185:CB397,78,0)</f>
        <v>3.5299999999999998E-2</v>
      </c>
      <c r="H190" s="91">
        <f>VLOOKUP($A190,'Data Vlaue (Cr)'!$C:$FB,91)</f>
        <v>81</v>
      </c>
      <c r="I190" s="91">
        <f>VLOOKUP($A190,'Data Vlaue (Cr)'!$C:$FB,93)</f>
        <v>24</v>
      </c>
      <c r="J190" s="92">
        <f>VLOOKUP($A190,'Data Vlaue (Cr)'!$C:$FB,94)</f>
        <v>0.41980000000000001</v>
      </c>
      <c r="K190" s="91">
        <f>VLOOKUP($A190,'Data Vlaue (Cr)'!$C:$FB,95)</f>
        <v>63</v>
      </c>
      <c r="L190" s="91">
        <f>VLOOKUP($A190,'Data Vlaue (Cr)'!$C:$FB,97)</f>
        <v>5</v>
      </c>
      <c r="M190" s="92">
        <f>VLOOKUP($A190,'Data Vlaue (Cr)'!$C:$FB,98)</f>
        <v>8.2699999999999996E-2</v>
      </c>
      <c r="N190" s="91">
        <f>VLOOKUP($A190,'Data Vlaue (Cr)'!$C:$FB,79)</f>
        <v>656</v>
      </c>
      <c r="O190" s="92">
        <f>VLOOKUP($A190,'Data Vlaue (Cr)'!$C:$FB,82)</f>
        <v>3.9358</v>
      </c>
    </row>
    <row r="191" spans="1:15" x14ac:dyDescent="0.25">
      <c r="A191" s="97" t="str">
        <f>'Data Vlaue (Cr)'!C186</f>
        <v>SUZLON</v>
      </c>
      <c r="B191" s="142">
        <f>VLOOKUP(A191,'Data Vlaue (Cr)'!C186:CW398,99,0)</f>
        <v>2040</v>
      </c>
      <c r="C191" s="90">
        <f>VLOOKUP(A191,'Data Vlaue (Cr)'!C186:CY398,101,0)</f>
        <v>56</v>
      </c>
      <c r="D191" s="139">
        <f>VLOOKUP(A191,'Data Vlaue (Cr)'!C186:CZ398,102,0)</f>
        <v>2.8000000000000001E-2</v>
      </c>
      <c r="E191" s="91">
        <f>VLOOKUP($A191,'Data Vlaue (Cr)'!$C:$FB,75)</f>
        <v>1483</v>
      </c>
      <c r="F191" s="91">
        <f>VLOOKUP($A191,'Data Vlaue (Cr)'!$C:$FB,77)</f>
        <v>0</v>
      </c>
      <c r="G191" s="92">
        <f>VLOOKUP(A191,'Data Vlaue (Cr)'!C186:CB398,78,0)</f>
        <v>2.0000000000000001E-4</v>
      </c>
      <c r="H191" s="91">
        <f>VLOOKUP($A191,'Data Vlaue (Cr)'!$C:$FB,91)</f>
        <v>323</v>
      </c>
      <c r="I191" s="91">
        <f>VLOOKUP($A191,'Data Vlaue (Cr)'!$C:$FB,93)</f>
        <v>37</v>
      </c>
      <c r="J191" s="92">
        <f>VLOOKUP($A191,'Data Vlaue (Cr)'!$C:$FB,94)</f>
        <v>0.12920000000000001</v>
      </c>
      <c r="K191" s="91">
        <f>VLOOKUP($A191,'Data Vlaue (Cr)'!$C:$FB,95)</f>
        <v>234</v>
      </c>
      <c r="L191" s="91">
        <f>VLOOKUP($A191,'Data Vlaue (Cr)'!$C:$FB,97)</f>
        <v>18</v>
      </c>
      <c r="M191" s="92">
        <f>VLOOKUP($A191,'Data Vlaue (Cr)'!$C:$FB,98)</f>
        <v>8.48E-2</v>
      </c>
      <c r="N191" s="91">
        <f>VLOOKUP($A191,'Data Vlaue (Cr)'!$C:$FB,79)</f>
        <v>1422</v>
      </c>
      <c r="O191" s="92">
        <f>VLOOKUP($A191,'Data Vlaue (Cr)'!$C:$FB,82)</f>
        <v>13.688000000000001</v>
      </c>
    </row>
    <row r="192" spans="1:15" x14ac:dyDescent="0.25">
      <c r="A192" s="97" t="str">
        <f>'Data Vlaue (Cr)'!C187</f>
        <v>SWIGGY</v>
      </c>
      <c r="B192" s="142">
        <f>VLOOKUP(A192,'Data Vlaue (Cr)'!C187:CW399,99,0)</f>
        <v>1029</v>
      </c>
      <c r="C192" s="90">
        <f>VLOOKUP(A192,'Data Vlaue (Cr)'!C187:CY399,101,0)</f>
        <v>24</v>
      </c>
      <c r="D192" s="139">
        <f>VLOOKUP(A192,'Data Vlaue (Cr)'!C187:CZ399,102,0)</f>
        <v>2.4E-2</v>
      </c>
      <c r="E192" s="91">
        <f>VLOOKUP($A192,'Data Vlaue (Cr)'!$C:$FB,75)</f>
        <v>833</v>
      </c>
      <c r="F192" s="91">
        <f>VLOOKUP($A192,'Data Vlaue (Cr)'!$C:$FB,77)</f>
        <v>-29</v>
      </c>
      <c r="G192" s="92">
        <f>VLOOKUP(A192,'Data Vlaue (Cr)'!C187:CB399,78,0)</f>
        <v>-3.3500000000000002E-2</v>
      </c>
      <c r="H192" s="91">
        <f>VLOOKUP($A192,'Data Vlaue (Cr)'!$C:$FB,91)</f>
        <v>90</v>
      </c>
      <c r="I192" s="91">
        <f>VLOOKUP($A192,'Data Vlaue (Cr)'!$C:$FB,93)</f>
        <v>25</v>
      </c>
      <c r="J192" s="92">
        <f>VLOOKUP($A192,'Data Vlaue (Cr)'!$C:$FB,94)</f>
        <v>0.37819999999999998</v>
      </c>
      <c r="K192" s="91">
        <f>VLOOKUP($A192,'Data Vlaue (Cr)'!$C:$FB,95)</f>
        <v>107</v>
      </c>
      <c r="L192" s="91">
        <f>VLOOKUP($A192,'Data Vlaue (Cr)'!$C:$FB,97)</f>
        <v>28</v>
      </c>
      <c r="M192" s="92">
        <f>VLOOKUP($A192,'Data Vlaue (Cr)'!$C:$FB,98)</f>
        <v>0.3619</v>
      </c>
      <c r="N192" s="91">
        <f>VLOOKUP($A192,'Data Vlaue (Cr)'!$C:$FB,79)</f>
        <v>817</v>
      </c>
      <c r="O192" s="92">
        <f>VLOOKUP($A192,'Data Vlaue (Cr)'!$C:$FB,82)</f>
        <v>5.1661999999999999</v>
      </c>
    </row>
    <row r="193" spans="1:15" x14ac:dyDescent="0.25">
      <c r="A193" s="97" t="str">
        <f>'Data Vlaue (Cr)'!C188</f>
        <v>SYNGENE</v>
      </c>
      <c r="B193" s="142">
        <f>VLOOKUP(A193,'Data Vlaue (Cr)'!C188:CW400,99,0)</f>
        <v>905</v>
      </c>
      <c r="C193" s="90">
        <f>VLOOKUP(A193,'Data Vlaue (Cr)'!C188:CY400,101,0)</f>
        <v>111</v>
      </c>
      <c r="D193" s="139">
        <f>VLOOKUP(A193,'Data Vlaue (Cr)'!C188:CZ400,102,0)</f>
        <v>0.1399</v>
      </c>
      <c r="E193" s="91">
        <f>VLOOKUP($A193,'Data Vlaue (Cr)'!$C:$FB,75)</f>
        <v>385</v>
      </c>
      <c r="F193" s="91">
        <f>VLOOKUP($A193,'Data Vlaue (Cr)'!$C:$FB,77)</f>
        <v>16</v>
      </c>
      <c r="G193" s="92">
        <f>VLOOKUP(A193,'Data Vlaue (Cr)'!C188:CB400,78,0)</f>
        <v>4.3200000000000002E-2</v>
      </c>
      <c r="H193" s="91">
        <f>VLOOKUP($A193,'Data Vlaue (Cr)'!$C:$FB,91)</f>
        <v>312</v>
      </c>
      <c r="I193" s="91">
        <f>VLOOKUP($A193,'Data Vlaue (Cr)'!$C:$FB,93)</f>
        <v>55</v>
      </c>
      <c r="J193" s="92">
        <f>VLOOKUP($A193,'Data Vlaue (Cr)'!$C:$FB,94)</f>
        <v>0.2127</v>
      </c>
      <c r="K193" s="91">
        <f>VLOOKUP($A193,'Data Vlaue (Cr)'!$C:$FB,95)</f>
        <v>208</v>
      </c>
      <c r="L193" s="91">
        <f>VLOOKUP($A193,'Data Vlaue (Cr)'!$C:$FB,97)</f>
        <v>40</v>
      </c>
      <c r="M193" s="92">
        <f>VLOOKUP($A193,'Data Vlaue (Cr)'!$C:$FB,98)</f>
        <v>0.24079999999999999</v>
      </c>
      <c r="N193" s="91">
        <f>VLOOKUP($A193,'Data Vlaue (Cr)'!$C:$FB,79)</f>
        <v>360</v>
      </c>
      <c r="O193" s="92">
        <f>VLOOKUP($A193,'Data Vlaue (Cr)'!$C:$FB,82)</f>
        <v>8.3798999999999992</v>
      </c>
    </row>
    <row r="194" spans="1:15" x14ac:dyDescent="0.25">
      <c r="A194" s="97" t="str">
        <f>'Data Vlaue (Cr)'!C189</f>
        <v>TATACONSUM</v>
      </c>
      <c r="B194" s="142">
        <f>VLOOKUP(A194,'Data Vlaue (Cr)'!C189:CW401,99,0)</f>
        <v>2169</v>
      </c>
      <c r="C194" s="90">
        <f>VLOOKUP(A194,'Data Vlaue (Cr)'!C189:CY401,101,0)</f>
        <v>480</v>
      </c>
      <c r="D194" s="139">
        <f>VLOOKUP(A194,'Data Vlaue (Cr)'!C189:CZ401,102,0)</f>
        <v>0.28420000000000001</v>
      </c>
      <c r="E194" s="91">
        <f>VLOOKUP($A194,'Data Vlaue (Cr)'!$C:$FB,75)</f>
        <v>1275</v>
      </c>
      <c r="F194" s="91">
        <f>VLOOKUP($A194,'Data Vlaue (Cr)'!$C:$FB,77)</f>
        <v>-42</v>
      </c>
      <c r="G194" s="92">
        <f>VLOOKUP(A194,'Data Vlaue (Cr)'!C189:CB401,78,0)</f>
        <v>-3.2199999999999999E-2</v>
      </c>
      <c r="H194" s="91">
        <f>VLOOKUP($A194,'Data Vlaue (Cr)'!$C:$FB,91)</f>
        <v>503</v>
      </c>
      <c r="I194" s="91">
        <f>VLOOKUP($A194,'Data Vlaue (Cr)'!$C:$FB,93)</f>
        <v>290</v>
      </c>
      <c r="J194" s="92">
        <f>VLOOKUP($A194,'Data Vlaue (Cr)'!$C:$FB,94)</f>
        <v>1.3666</v>
      </c>
      <c r="K194" s="91">
        <f>VLOOKUP($A194,'Data Vlaue (Cr)'!$C:$FB,95)</f>
        <v>392</v>
      </c>
      <c r="L194" s="91">
        <f>VLOOKUP($A194,'Data Vlaue (Cr)'!$C:$FB,97)</f>
        <v>232</v>
      </c>
      <c r="M194" s="92">
        <f>VLOOKUP($A194,'Data Vlaue (Cr)'!$C:$FB,98)</f>
        <v>1.4585999999999999</v>
      </c>
      <c r="N194" s="91">
        <f>VLOOKUP($A194,'Data Vlaue (Cr)'!$C:$FB,79)</f>
        <v>1246</v>
      </c>
      <c r="O194" s="92">
        <f>VLOOKUP($A194,'Data Vlaue (Cr)'!$C:$FB,82)</f>
        <v>42.343499999999999</v>
      </c>
    </row>
    <row r="195" spans="1:15" x14ac:dyDescent="0.25">
      <c r="A195" s="97" t="str">
        <f>'Data Vlaue (Cr)'!C190</f>
        <v>TATAELXSI</v>
      </c>
      <c r="B195" s="142">
        <f>VLOOKUP(A195,'Data Vlaue (Cr)'!C190:CW402,99,0)</f>
        <v>1096</v>
      </c>
      <c r="C195" s="90">
        <f>VLOOKUP(A195,'Data Vlaue (Cr)'!C190:CY402,101,0)</f>
        <v>105</v>
      </c>
      <c r="D195" s="139">
        <f>VLOOKUP(A195,'Data Vlaue (Cr)'!C190:CZ402,102,0)</f>
        <v>0.1062</v>
      </c>
      <c r="E195" s="91">
        <f>VLOOKUP($A195,'Data Vlaue (Cr)'!$C:$FB,75)</f>
        <v>651</v>
      </c>
      <c r="F195" s="91">
        <f>VLOOKUP($A195,'Data Vlaue (Cr)'!$C:$FB,77)</f>
        <v>-1</v>
      </c>
      <c r="G195" s="92">
        <f>VLOOKUP(A195,'Data Vlaue (Cr)'!C190:CB402,78,0)</f>
        <v>-8.0000000000000004E-4</v>
      </c>
      <c r="H195" s="91">
        <f>VLOOKUP($A195,'Data Vlaue (Cr)'!$C:$FB,91)</f>
        <v>323</v>
      </c>
      <c r="I195" s="91">
        <f>VLOOKUP($A195,'Data Vlaue (Cr)'!$C:$FB,93)</f>
        <v>77</v>
      </c>
      <c r="J195" s="92">
        <f>VLOOKUP($A195,'Data Vlaue (Cr)'!$C:$FB,94)</f>
        <v>0.31169999999999998</v>
      </c>
      <c r="K195" s="91">
        <f>VLOOKUP($A195,'Data Vlaue (Cr)'!$C:$FB,95)</f>
        <v>122</v>
      </c>
      <c r="L195" s="91">
        <f>VLOOKUP($A195,'Data Vlaue (Cr)'!$C:$FB,97)</f>
        <v>29</v>
      </c>
      <c r="M195" s="92">
        <f>VLOOKUP($A195,'Data Vlaue (Cr)'!$C:$FB,98)</f>
        <v>0.31280000000000002</v>
      </c>
      <c r="N195" s="91">
        <f>VLOOKUP($A195,'Data Vlaue (Cr)'!$C:$FB,79)</f>
        <v>638</v>
      </c>
      <c r="O195" s="92">
        <f>VLOOKUP($A195,'Data Vlaue (Cr)'!$C:$FB,82)</f>
        <v>8.3430999999999997</v>
      </c>
    </row>
    <row r="196" spans="1:15" x14ac:dyDescent="0.25">
      <c r="A196" s="97" t="str">
        <f>'Data Vlaue (Cr)'!C191</f>
        <v>TATAPOWER</v>
      </c>
      <c r="B196" s="142">
        <f>VLOOKUP(A196,'Data Vlaue (Cr)'!C191:CW403,99,0)</f>
        <v>3344</v>
      </c>
      <c r="C196" s="90">
        <f>VLOOKUP(A196,'Data Vlaue (Cr)'!C191:CY403,101,0)</f>
        <v>110</v>
      </c>
      <c r="D196" s="139">
        <f>VLOOKUP(A196,'Data Vlaue (Cr)'!C191:CZ403,102,0)</f>
        <v>3.4099999999999998E-2</v>
      </c>
      <c r="E196" s="91">
        <f>VLOOKUP($A196,'Data Vlaue (Cr)'!$C:$FB,75)</f>
        <v>1986</v>
      </c>
      <c r="F196" s="91">
        <f>VLOOKUP($A196,'Data Vlaue (Cr)'!$C:$FB,77)</f>
        <v>-25</v>
      </c>
      <c r="G196" s="92">
        <f>VLOOKUP(A196,'Data Vlaue (Cr)'!C191:CB403,78,0)</f>
        <v>-1.23E-2</v>
      </c>
      <c r="H196" s="91">
        <f>VLOOKUP($A196,'Data Vlaue (Cr)'!$C:$FB,91)</f>
        <v>634</v>
      </c>
      <c r="I196" s="91">
        <f>VLOOKUP($A196,'Data Vlaue (Cr)'!$C:$FB,93)</f>
        <v>94</v>
      </c>
      <c r="J196" s="92">
        <f>VLOOKUP($A196,'Data Vlaue (Cr)'!$C:$FB,94)</f>
        <v>0.17319999999999999</v>
      </c>
      <c r="K196" s="91">
        <f>VLOOKUP($A196,'Data Vlaue (Cr)'!$C:$FB,95)</f>
        <v>724</v>
      </c>
      <c r="L196" s="91">
        <f>VLOOKUP($A196,'Data Vlaue (Cr)'!$C:$FB,97)</f>
        <v>41</v>
      </c>
      <c r="M196" s="92">
        <f>VLOOKUP($A196,'Data Vlaue (Cr)'!$C:$FB,98)</f>
        <v>6.0600000000000001E-2</v>
      </c>
      <c r="N196" s="91">
        <f>VLOOKUP($A196,'Data Vlaue (Cr)'!$C:$FB,79)</f>
        <v>1921</v>
      </c>
      <c r="O196" s="92">
        <f>VLOOKUP($A196,'Data Vlaue (Cr)'!$C:$FB,82)</f>
        <v>7.3692000000000002</v>
      </c>
    </row>
    <row r="197" spans="1:15" x14ac:dyDescent="0.25">
      <c r="A197" s="97" t="str">
        <f>'Data Vlaue (Cr)'!C192</f>
        <v>TATASTEEL</v>
      </c>
      <c r="B197" s="142">
        <f>VLOOKUP(A197,'Data Vlaue (Cr)'!C192:CW404,99,0)</f>
        <v>7403</v>
      </c>
      <c r="C197" s="90">
        <f>VLOOKUP(A197,'Data Vlaue (Cr)'!C192:CY404,101,0)</f>
        <v>236</v>
      </c>
      <c r="D197" s="139">
        <f>VLOOKUP(A197,'Data Vlaue (Cr)'!C192:CZ404,102,0)</f>
        <v>3.3000000000000002E-2</v>
      </c>
      <c r="E197" s="91">
        <f>VLOOKUP($A197,'Data Vlaue (Cr)'!$C:$FB,75)</f>
        <v>5107</v>
      </c>
      <c r="F197" s="91">
        <f>VLOOKUP($A197,'Data Vlaue (Cr)'!$C:$FB,77)</f>
        <v>-32</v>
      </c>
      <c r="G197" s="92">
        <f>VLOOKUP(A197,'Data Vlaue (Cr)'!C192:CB404,78,0)</f>
        <v>-6.3E-3</v>
      </c>
      <c r="H197" s="91">
        <f>VLOOKUP($A197,'Data Vlaue (Cr)'!$C:$FB,91)</f>
        <v>1238</v>
      </c>
      <c r="I197" s="91">
        <f>VLOOKUP($A197,'Data Vlaue (Cr)'!$C:$FB,93)</f>
        <v>141</v>
      </c>
      <c r="J197" s="92">
        <f>VLOOKUP($A197,'Data Vlaue (Cr)'!$C:$FB,94)</f>
        <v>0.12859999999999999</v>
      </c>
      <c r="K197" s="91">
        <f>VLOOKUP($A197,'Data Vlaue (Cr)'!$C:$FB,95)</f>
        <v>1058</v>
      </c>
      <c r="L197" s="91">
        <f>VLOOKUP($A197,'Data Vlaue (Cr)'!$C:$FB,97)</f>
        <v>128</v>
      </c>
      <c r="M197" s="92">
        <f>VLOOKUP($A197,'Data Vlaue (Cr)'!$C:$FB,98)</f>
        <v>0.13719999999999999</v>
      </c>
      <c r="N197" s="91">
        <f>VLOOKUP($A197,'Data Vlaue (Cr)'!$C:$FB,79)</f>
        <v>4776</v>
      </c>
      <c r="O197" s="92">
        <f>VLOOKUP($A197,'Data Vlaue (Cr)'!$C:$FB,82)</f>
        <v>19.700099999999999</v>
      </c>
    </row>
    <row r="198" spans="1:15" x14ac:dyDescent="0.25">
      <c r="A198" s="97" t="str">
        <f>'Data Vlaue (Cr)'!C193</f>
        <v>TATATECH</v>
      </c>
      <c r="B198" s="142">
        <f>VLOOKUP(A198,'Data Vlaue (Cr)'!C193:CW405,99,0)</f>
        <v>903</v>
      </c>
      <c r="C198" s="90">
        <f>VLOOKUP(A198,'Data Vlaue (Cr)'!C193:CY405,101,0)</f>
        <v>19</v>
      </c>
      <c r="D198" s="139">
        <f>VLOOKUP(A198,'Data Vlaue (Cr)'!C193:CZ405,102,0)</f>
        <v>2.1000000000000001E-2</v>
      </c>
      <c r="E198" s="91">
        <f>VLOOKUP($A198,'Data Vlaue (Cr)'!$C:$FB,75)</f>
        <v>635</v>
      </c>
      <c r="F198" s="91">
        <f>VLOOKUP($A198,'Data Vlaue (Cr)'!$C:$FB,77)</f>
        <v>-5</v>
      </c>
      <c r="G198" s="92">
        <f>VLOOKUP(A198,'Data Vlaue (Cr)'!C193:CB405,78,0)</f>
        <v>-7.9000000000000008E-3</v>
      </c>
      <c r="H198" s="91">
        <f>VLOOKUP($A198,'Data Vlaue (Cr)'!$C:$FB,91)</f>
        <v>149</v>
      </c>
      <c r="I198" s="91">
        <f>VLOOKUP($A198,'Data Vlaue (Cr)'!$C:$FB,93)</f>
        <v>13</v>
      </c>
      <c r="J198" s="92">
        <f>VLOOKUP($A198,'Data Vlaue (Cr)'!$C:$FB,94)</f>
        <v>9.69E-2</v>
      </c>
      <c r="K198" s="91">
        <f>VLOOKUP($A198,'Data Vlaue (Cr)'!$C:$FB,95)</f>
        <v>119</v>
      </c>
      <c r="L198" s="91">
        <f>VLOOKUP($A198,'Data Vlaue (Cr)'!$C:$FB,97)</f>
        <v>10</v>
      </c>
      <c r="M198" s="92">
        <f>VLOOKUP($A198,'Data Vlaue (Cr)'!$C:$FB,98)</f>
        <v>9.6699999999999994E-2</v>
      </c>
      <c r="N198" s="91">
        <f>VLOOKUP($A198,'Data Vlaue (Cr)'!$C:$FB,79)</f>
        <v>611</v>
      </c>
      <c r="O198" s="92">
        <f>VLOOKUP($A198,'Data Vlaue (Cr)'!$C:$FB,82)</f>
        <v>16.398499999999999</v>
      </c>
    </row>
    <row r="199" spans="1:15" x14ac:dyDescent="0.25">
      <c r="A199" s="97" t="str">
        <f>'Data Vlaue (Cr)'!C194</f>
        <v>TCS</v>
      </c>
      <c r="B199" s="142">
        <f>VLOOKUP(A199,'Data Vlaue (Cr)'!C194:CW406,99,0)</f>
        <v>8957</v>
      </c>
      <c r="C199" s="90">
        <f>VLOOKUP(A199,'Data Vlaue (Cr)'!C194:CY406,101,0)</f>
        <v>159</v>
      </c>
      <c r="D199" s="139">
        <f>VLOOKUP(A199,'Data Vlaue (Cr)'!C194:CZ406,102,0)</f>
        <v>1.8100000000000002E-2</v>
      </c>
      <c r="E199" s="91">
        <f>VLOOKUP($A199,'Data Vlaue (Cr)'!$C:$FB,75)</f>
        <v>6284</v>
      </c>
      <c r="F199" s="91">
        <f>VLOOKUP($A199,'Data Vlaue (Cr)'!$C:$FB,77)</f>
        <v>-145</v>
      </c>
      <c r="G199" s="92">
        <f>VLOOKUP(A199,'Data Vlaue (Cr)'!C194:CB406,78,0)</f>
        <v>-2.2499999999999999E-2</v>
      </c>
      <c r="H199" s="91">
        <f>VLOOKUP($A199,'Data Vlaue (Cr)'!$C:$FB,91)</f>
        <v>1287</v>
      </c>
      <c r="I199" s="91">
        <f>VLOOKUP($A199,'Data Vlaue (Cr)'!$C:$FB,93)</f>
        <v>190</v>
      </c>
      <c r="J199" s="92">
        <f>VLOOKUP($A199,'Data Vlaue (Cr)'!$C:$FB,94)</f>
        <v>0.17319999999999999</v>
      </c>
      <c r="K199" s="91">
        <f>VLOOKUP($A199,'Data Vlaue (Cr)'!$C:$FB,95)</f>
        <v>1386</v>
      </c>
      <c r="L199" s="91">
        <f>VLOOKUP($A199,'Data Vlaue (Cr)'!$C:$FB,97)</f>
        <v>114</v>
      </c>
      <c r="M199" s="92">
        <f>VLOOKUP($A199,'Data Vlaue (Cr)'!$C:$FB,98)</f>
        <v>8.9300000000000004E-2</v>
      </c>
      <c r="N199" s="91">
        <f>VLOOKUP($A199,'Data Vlaue (Cr)'!$C:$FB,79)</f>
        <v>6008</v>
      </c>
      <c r="O199" s="92">
        <f>VLOOKUP($A199,'Data Vlaue (Cr)'!$C:$FB,82)</f>
        <v>23.584800000000001</v>
      </c>
    </row>
    <row r="200" spans="1:15" x14ac:dyDescent="0.25">
      <c r="A200" s="97" t="str">
        <f>'Data Vlaue (Cr)'!C195</f>
        <v>TECHM</v>
      </c>
      <c r="B200" s="142">
        <f>VLOOKUP(A200,'Data Vlaue (Cr)'!C195:CW407,99,0)</f>
        <v>4176</v>
      </c>
      <c r="C200" s="90">
        <f>VLOOKUP(A200,'Data Vlaue (Cr)'!C195:CY407,101,0)</f>
        <v>78</v>
      </c>
      <c r="D200" s="139">
        <f>VLOOKUP(A200,'Data Vlaue (Cr)'!C195:CZ407,102,0)</f>
        <v>1.9099999999999999E-2</v>
      </c>
      <c r="E200" s="91">
        <f>VLOOKUP($A200,'Data Vlaue (Cr)'!$C:$FB,75)</f>
        <v>3250</v>
      </c>
      <c r="F200" s="91">
        <f>VLOOKUP($A200,'Data Vlaue (Cr)'!$C:$FB,77)</f>
        <v>-135</v>
      </c>
      <c r="G200" s="92">
        <f>VLOOKUP(A200,'Data Vlaue (Cr)'!C195:CB407,78,0)</f>
        <v>-3.9899999999999998E-2</v>
      </c>
      <c r="H200" s="91">
        <f>VLOOKUP($A200,'Data Vlaue (Cr)'!$C:$FB,91)</f>
        <v>518</v>
      </c>
      <c r="I200" s="91">
        <f>VLOOKUP($A200,'Data Vlaue (Cr)'!$C:$FB,93)</f>
        <v>145</v>
      </c>
      <c r="J200" s="92">
        <f>VLOOKUP($A200,'Data Vlaue (Cr)'!$C:$FB,94)</f>
        <v>0.38940000000000002</v>
      </c>
      <c r="K200" s="91">
        <f>VLOOKUP($A200,'Data Vlaue (Cr)'!$C:$FB,95)</f>
        <v>408</v>
      </c>
      <c r="L200" s="91">
        <f>VLOOKUP($A200,'Data Vlaue (Cr)'!$C:$FB,97)</f>
        <v>68</v>
      </c>
      <c r="M200" s="92">
        <f>VLOOKUP($A200,'Data Vlaue (Cr)'!$C:$FB,98)</f>
        <v>0.20100000000000001</v>
      </c>
      <c r="N200" s="91">
        <f>VLOOKUP($A200,'Data Vlaue (Cr)'!$C:$FB,79)</f>
        <v>3209</v>
      </c>
      <c r="O200" s="92">
        <f>VLOOKUP($A200,'Data Vlaue (Cr)'!$C:$FB,82)</f>
        <v>9.8016000000000005</v>
      </c>
    </row>
    <row r="201" spans="1:15" x14ac:dyDescent="0.25">
      <c r="A201" s="97" t="str">
        <f>'Data Vlaue (Cr)'!C196</f>
        <v>TIINDIA</v>
      </c>
      <c r="B201" s="142">
        <f>VLOOKUP(A201,'Data Vlaue (Cr)'!C196:CW408,99,0)</f>
        <v>1091</v>
      </c>
      <c r="C201" s="90">
        <f>VLOOKUP(A201,'Data Vlaue (Cr)'!C196:CY408,101,0)</f>
        <v>190</v>
      </c>
      <c r="D201" s="139">
        <f>VLOOKUP(A201,'Data Vlaue (Cr)'!C196:CZ408,102,0)</f>
        <v>0.21129999999999999</v>
      </c>
      <c r="E201" s="91">
        <f>VLOOKUP($A201,'Data Vlaue (Cr)'!$C:$FB,75)</f>
        <v>874</v>
      </c>
      <c r="F201" s="91">
        <f>VLOOKUP($A201,'Data Vlaue (Cr)'!$C:$FB,77)</f>
        <v>77</v>
      </c>
      <c r="G201" s="92">
        <f>VLOOKUP(A201,'Data Vlaue (Cr)'!C196:CB408,78,0)</f>
        <v>9.6100000000000005E-2</v>
      </c>
      <c r="H201" s="91">
        <f>VLOOKUP($A201,'Data Vlaue (Cr)'!$C:$FB,91)</f>
        <v>136</v>
      </c>
      <c r="I201" s="91">
        <f>VLOOKUP($A201,'Data Vlaue (Cr)'!$C:$FB,93)</f>
        <v>86</v>
      </c>
      <c r="J201" s="92">
        <f>VLOOKUP($A201,'Data Vlaue (Cr)'!$C:$FB,94)</f>
        <v>1.7064999999999999</v>
      </c>
      <c r="K201" s="91">
        <f>VLOOKUP($A201,'Data Vlaue (Cr)'!$C:$FB,95)</f>
        <v>81</v>
      </c>
      <c r="L201" s="91">
        <f>VLOOKUP($A201,'Data Vlaue (Cr)'!$C:$FB,97)</f>
        <v>28</v>
      </c>
      <c r="M201" s="92">
        <f>VLOOKUP($A201,'Data Vlaue (Cr)'!$C:$FB,98)</f>
        <v>0.52110000000000001</v>
      </c>
      <c r="N201" s="91">
        <f>VLOOKUP($A201,'Data Vlaue (Cr)'!$C:$FB,79)</f>
        <v>863</v>
      </c>
      <c r="O201" s="92">
        <f>VLOOKUP($A201,'Data Vlaue (Cr)'!$C:$FB,82)</f>
        <v>15.3728</v>
      </c>
    </row>
    <row r="202" spans="1:15" x14ac:dyDescent="0.25">
      <c r="A202" s="97" t="str">
        <f>'Data Vlaue (Cr)'!C197</f>
        <v>TITAN</v>
      </c>
      <c r="B202" s="142">
        <f>VLOOKUP(A202,'Data Vlaue (Cr)'!C197:CW409,99,0)</f>
        <v>4486</v>
      </c>
      <c r="C202" s="90">
        <f>VLOOKUP(A202,'Data Vlaue (Cr)'!C197:CY409,101,0)</f>
        <v>176</v>
      </c>
      <c r="D202" s="139">
        <f>VLOOKUP(A202,'Data Vlaue (Cr)'!C197:CZ409,102,0)</f>
        <v>4.0800000000000003E-2</v>
      </c>
      <c r="E202" s="91">
        <f>VLOOKUP($A202,'Data Vlaue (Cr)'!$C:$FB,75)</f>
        <v>3374</v>
      </c>
      <c r="F202" s="91">
        <f>VLOOKUP($A202,'Data Vlaue (Cr)'!$C:$FB,77)</f>
        <v>-8</v>
      </c>
      <c r="G202" s="92">
        <f>VLOOKUP(A202,'Data Vlaue (Cr)'!C197:CB409,78,0)</f>
        <v>-2.3999999999999998E-3</v>
      </c>
      <c r="H202" s="91">
        <f>VLOOKUP($A202,'Data Vlaue (Cr)'!$C:$FB,91)</f>
        <v>590</v>
      </c>
      <c r="I202" s="91">
        <f>VLOOKUP($A202,'Data Vlaue (Cr)'!$C:$FB,93)</f>
        <v>47</v>
      </c>
      <c r="J202" s="92">
        <f>VLOOKUP($A202,'Data Vlaue (Cr)'!$C:$FB,94)</f>
        <v>8.7099999999999997E-2</v>
      </c>
      <c r="K202" s="91">
        <f>VLOOKUP($A202,'Data Vlaue (Cr)'!$C:$FB,95)</f>
        <v>522</v>
      </c>
      <c r="L202" s="91">
        <f>VLOOKUP($A202,'Data Vlaue (Cr)'!$C:$FB,97)</f>
        <v>137</v>
      </c>
      <c r="M202" s="92">
        <f>VLOOKUP($A202,'Data Vlaue (Cr)'!$C:$FB,98)</f>
        <v>0.35499999999999998</v>
      </c>
      <c r="N202" s="91">
        <f>VLOOKUP($A202,'Data Vlaue (Cr)'!$C:$FB,79)</f>
        <v>3230</v>
      </c>
      <c r="O202" s="92">
        <f>VLOOKUP($A202,'Data Vlaue (Cr)'!$C:$FB,82)</f>
        <v>11.318</v>
      </c>
    </row>
    <row r="203" spans="1:15" x14ac:dyDescent="0.25">
      <c r="A203" s="97" t="str">
        <f>'Data Vlaue (Cr)'!C198</f>
        <v>TMPV</v>
      </c>
      <c r="B203" s="142">
        <f>VLOOKUP(A203,'Data Vlaue (Cr)'!C198:CW410,99,0)</f>
        <v>4104</v>
      </c>
      <c r="C203" s="90">
        <f>VLOOKUP(A203,'Data Vlaue (Cr)'!C198:CY410,101,0)</f>
        <v>204</v>
      </c>
      <c r="D203" s="139">
        <f>VLOOKUP(A203,'Data Vlaue (Cr)'!C198:CZ410,102,0)</f>
        <v>5.2400000000000002E-2</v>
      </c>
      <c r="E203" s="91">
        <f>VLOOKUP($A203,'Data Vlaue (Cr)'!$C:$FB,75)</f>
        <v>2827</v>
      </c>
      <c r="F203" s="91">
        <f>VLOOKUP($A203,'Data Vlaue (Cr)'!$C:$FB,77)</f>
        <v>-23</v>
      </c>
      <c r="G203" s="92">
        <f>VLOOKUP(A203,'Data Vlaue (Cr)'!C198:CB410,78,0)</f>
        <v>-8.2000000000000007E-3</v>
      </c>
      <c r="H203" s="91">
        <f>VLOOKUP($A203,'Data Vlaue (Cr)'!$C:$FB,91)</f>
        <v>628</v>
      </c>
      <c r="I203" s="91">
        <f>VLOOKUP($A203,'Data Vlaue (Cr)'!$C:$FB,93)</f>
        <v>90</v>
      </c>
      <c r="J203" s="92">
        <f>VLOOKUP($A203,'Data Vlaue (Cr)'!$C:$FB,94)</f>
        <v>0.1668</v>
      </c>
      <c r="K203" s="91">
        <f>VLOOKUP($A203,'Data Vlaue (Cr)'!$C:$FB,95)</f>
        <v>650</v>
      </c>
      <c r="L203" s="91">
        <f>VLOOKUP($A203,'Data Vlaue (Cr)'!$C:$FB,97)</f>
        <v>138</v>
      </c>
      <c r="M203" s="92">
        <f>VLOOKUP($A203,'Data Vlaue (Cr)'!$C:$FB,98)</f>
        <v>0.26979999999999998</v>
      </c>
      <c r="N203" s="91">
        <f>VLOOKUP($A203,'Data Vlaue (Cr)'!$C:$FB,79)</f>
        <v>2687</v>
      </c>
      <c r="O203" s="92">
        <f>VLOOKUP($A203,'Data Vlaue (Cr)'!$C:$FB,82)</f>
        <v>8.0311000000000003</v>
      </c>
    </row>
    <row r="204" spans="1:15" x14ac:dyDescent="0.25">
      <c r="A204" s="97" t="str">
        <f>'Data Vlaue (Cr)'!C199</f>
        <v>TORNTPHARM</v>
      </c>
      <c r="B204" s="142">
        <f>VLOOKUP(A204,'Data Vlaue (Cr)'!C199:CW411,99,0)</f>
        <v>1095</v>
      </c>
      <c r="C204" s="90">
        <f>VLOOKUP(A204,'Data Vlaue (Cr)'!C199:CY411,101,0)</f>
        <v>39</v>
      </c>
      <c r="D204" s="139">
        <f>VLOOKUP(A204,'Data Vlaue (Cr)'!C199:CZ411,102,0)</f>
        <v>3.6700000000000003E-2</v>
      </c>
      <c r="E204" s="91">
        <f>VLOOKUP($A204,'Data Vlaue (Cr)'!$C:$FB,75)</f>
        <v>973</v>
      </c>
      <c r="F204" s="91">
        <f>VLOOKUP($A204,'Data Vlaue (Cr)'!$C:$FB,77)</f>
        <v>16</v>
      </c>
      <c r="G204" s="92">
        <f>VLOOKUP(A204,'Data Vlaue (Cr)'!C199:CB411,78,0)</f>
        <v>1.7000000000000001E-2</v>
      </c>
      <c r="H204" s="91">
        <f>VLOOKUP($A204,'Data Vlaue (Cr)'!$C:$FB,91)</f>
        <v>74</v>
      </c>
      <c r="I204" s="91">
        <f>VLOOKUP($A204,'Data Vlaue (Cr)'!$C:$FB,93)</f>
        <v>14</v>
      </c>
      <c r="J204" s="92">
        <f>VLOOKUP($A204,'Data Vlaue (Cr)'!$C:$FB,94)</f>
        <v>0.2266</v>
      </c>
      <c r="K204" s="91">
        <f>VLOOKUP($A204,'Data Vlaue (Cr)'!$C:$FB,95)</f>
        <v>48</v>
      </c>
      <c r="L204" s="91">
        <f>VLOOKUP($A204,'Data Vlaue (Cr)'!$C:$FB,97)</f>
        <v>9</v>
      </c>
      <c r="M204" s="92">
        <f>VLOOKUP($A204,'Data Vlaue (Cr)'!$C:$FB,98)</f>
        <v>0.22750000000000001</v>
      </c>
      <c r="N204" s="91">
        <f>VLOOKUP($A204,'Data Vlaue (Cr)'!$C:$FB,79)</f>
        <v>969</v>
      </c>
      <c r="O204" s="92">
        <f>VLOOKUP($A204,'Data Vlaue (Cr)'!$C:$FB,82)</f>
        <v>26.7437</v>
      </c>
    </row>
    <row r="205" spans="1:15" x14ac:dyDescent="0.25">
      <c r="A205" s="97" t="str">
        <f>'Data Vlaue (Cr)'!C200</f>
        <v>TORNTPOWER</v>
      </c>
      <c r="B205" s="142">
        <f>VLOOKUP(A205,'Data Vlaue (Cr)'!C200:CW412,99,0)</f>
        <v>483</v>
      </c>
      <c r="C205" s="90">
        <f>VLOOKUP(A205,'Data Vlaue (Cr)'!C200:CY412,101,0)</f>
        <v>19</v>
      </c>
      <c r="D205" s="139">
        <f>VLOOKUP(A205,'Data Vlaue (Cr)'!C200:CZ412,102,0)</f>
        <v>4.1799999999999997E-2</v>
      </c>
      <c r="E205" s="91">
        <f>VLOOKUP($A205,'Data Vlaue (Cr)'!$C:$FB,75)</f>
        <v>380</v>
      </c>
      <c r="F205" s="91">
        <f>VLOOKUP($A205,'Data Vlaue (Cr)'!$C:$FB,77)</f>
        <v>-4</v>
      </c>
      <c r="G205" s="92">
        <f>VLOOKUP(A205,'Data Vlaue (Cr)'!C200:CB412,78,0)</f>
        <v>-1.1599999999999999E-2</v>
      </c>
      <c r="H205" s="91">
        <f>VLOOKUP($A205,'Data Vlaue (Cr)'!$C:$FB,91)</f>
        <v>47</v>
      </c>
      <c r="I205" s="91">
        <f>VLOOKUP($A205,'Data Vlaue (Cr)'!$C:$FB,93)</f>
        <v>12</v>
      </c>
      <c r="J205" s="92">
        <f>VLOOKUP($A205,'Data Vlaue (Cr)'!$C:$FB,94)</f>
        <v>0.34029999999999999</v>
      </c>
      <c r="K205" s="91">
        <f>VLOOKUP($A205,'Data Vlaue (Cr)'!$C:$FB,95)</f>
        <v>56</v>
      </c>
      <c r="L205" s="91">
        <f>VLOOKUP($A205,'Data Vlaue (Cr)'!$C:$FB,97)</f>
        <v>12</v>
      </c>
      <c r="M205" s="92">
        <f>VLOOKUP($A205,'Data Vlaue (Cr)'!$C:$FB,98)</f>
        <v>0.2656</v>
      </c>
      <c r="N205" s="91">
        <f>VLOOKUP($A205,'Data Vlaue (Cr)'!$C:$FB,79)</f>
        <v>375</v>
      </c>
      <c r="O205" s="92">
        <f>VLOOKUP($A205,'Data Vlaue (Cr)'!$C:$FB,82)</f>
        <v>6.7954999999999997</v>
      </c>
    </row>
    <row r="206" spans="1:15" x14ac:dyDescent="0.25">
      <c r="A206" s="97" t="str">
        <f>'Data Vlaue (Cr)'!C201</f>
        <v>TRENT</v>
      </c>
      <c r="B206" s="142">
        <f>VLOOKUP(A206,'Data Vlaue (Cr)'!C201:CW413,99,0)</f>
        <v>4321</v>
      </c>
      <c r="C206" s="90">
        <f>VLOOKUP(A206,'Data Vlaue (Cr)'!C201:CY413,101,0)</f>
        <v>113</v>
      </c>
      <c r="D206" s="139">
        <f>VLOOKUP(A206,'Data Vlaue (Cr)'!C201:CZ413,102,0)</f>
        <v>2.6800000000000001E-2</v>
      </c>
      <c r="E206" s="91">
        <f>VLOOKUP($A206,'Data Vlaue (Cr)'!$C:$FB,75)</f>
        <v>3057</v>
      </c>
      <c r="F206" s="91">
        <f>VLOOKUP($A206,'Data Vlaue (Cr)'!$C:$FB,77)</f>
        <v>-26</v>
      </c>
      <c r="G206" s="92">
        <f>VLOOKUP(A206,'Data Vlaue (Cr)'!C201:CB413,78,0)</f>
        <v>-8.5000000000000006E-3</v>
      </c>
      <c r="H206" s="91">
        <f>VLOOKUP($A206,'Data Vlaue (Cr)'!$C:$FB,91)</f>
        <v>638</v>
      </c>
      <c r="I206" s="91">
        <f>VLOOKUP($A206,'Data Vlaue (Cr)'!$C:$FB,93)</f>
        <v>126</v>
      </c>
      <c r="J206" s="92">
        <f>VLOOKUP($A206,'Data Vlaue (Cr)'!$C:$FB,94)</f>
        <v>0.24640000000000001</v>
      </c>
      <c r="K206" s="91">
        <f>VLOOKUP($A206,'Data Vlaue (Cr)'!$C:$FB,95)</f>
        <v>627</v>
      </c>
      <c r="L206" s="91">
        <f>VLOOKUP($A206,'Data Vlaue (Cr)'!$C:$FB,97)</f>
        <v>13</v>
      </c>
      <c r="M206" s="92">
        <f>VLOOKUP($A206,'Data Vlaue (Cr)'!$C:$FB,98)</f>
        <v>2.06E-2</v>
      </c>
      <c r="N206" s="91">
        <f>VLOOKUP($A206,'Data Vlaue (Cr)'!$C:$FB,79)</f>
        <v>2921</v>
      </c>
      <c r="O206" s="92">
        <f>VLOOKUP($A206,'Data Vlaue (Cr)'!$C:$FB,82)</f>
        <v>8.2294999999999998</v>
      </c>
    </row>
    <row r="207" spans="1:15" x14ac:dyDescent="0.25">
      <c r="A207" s="97" t="str">
        <f>'Data Vlaue (Cr)'!C202</f>
        <v>TVSMOTOR</v>
      </c>
      <c r="B207" s="142">
        <f>VLOOKUP(A207,'Data Vlaue (Cr)'!C202:CW414,99,0)</f>
        <v>4280</v>
      </c>
      <c r="C207" s="90">
        <f>VLOOKUP(A207,'Data Vlaue (Cr)'!C202:CY414,101,0)</f>
        <v>714</v>
      </c>
      <c r="D207" s="139">
        <f>VLOOKUP(A207,'Data Vlaue (Cr)'!C202:CZ414,102,0)</f>
        <v>0.20030000000000001</v>
      </c>
      <c r="E207" s="91">
        <f>VLOOKUP($A207,'Data Vlaue (Cr)'!$C:$FB,75)</f>
        <v>3160</v>
      </c>
      <c r="F207" s="91">
        <f>VLOOKUP($A207,'Data Vlaue (Cr)'!$C:$FB,77)</f>
        <v>117</v>
      </c>
      <c r="G207" s="92">
        <f>VLOOKUP(A207,'Data Vlaue (Cr)'!C202:CB414,78,0)</f>
        <v>3.8600000000000002E-2</v>
      </c>
      <c r="H207" s="91">
        <f>VLOOKUP($A207,'Data Vlaue (Cr)'!$C:$FB,91)</f>
        <v>632</v>
      </c>
      <c r="I207" s="91">
        <f>VLOOKUP($A207,'Data Vlaue (Cr)'!$C:$FB,93)</f>
        <v>339</v>
      </c>
      <c r="J207" s="92">
        <f>VLOOKUP($A207,'Data Vlaue (Cr)'!$C:$FB,94)</f>
        <v>1.1595</v>
      </c>
      <c r="K207" s="91">
        <f>VLOOKUP($A207,'Data Vlaue (Cr)'!$C:$FB,95)</f>
        <v>488</v>
      </c>
      <c r="L207" s="91">
        <f>VLOOKUP($A207,'Data Vlaue (Cr)'!$C:$FB,97)</f>
        <v>257</v>
      </c>
      <c r="M207" s="92">
        <f>VLOOKUP($A207,'Data Vlaue (Cr)'!$C:$FB,98)</f>
        <v>1.1136999999999999</v>
      </c>
      <c r="N207" s="91">
        <f>VLOOKUP($A207,'Data Vlaue (Cr)'!$C:$FB,79)</f>
        <v>3138</v>
      </c>
      <c r="O207" s="92">
        <f>VLOOKUP($A207,'Data Vlaue (Cr)'!$C:$FB,82)</f>
        <v>30.259799999999998</v>
      </c>
    </row>
    <row r="208" spans="1:15" x14ac:dyDescent="0.25">
      <c r="A208" s="97" t="str">
        <f>'Data Vlaue (Cr)'!C203</f>
        <v>ULTRACEMCO</v>
      </c>
      <c r="B208" s="142">
        <f>VLOOKUP(A208,'Data Vlaue (Cr)'!C203:CW415,99,0)</f>
        <v>4220</v>
      </c>
      <c r="C208" s="90">
        <f>VLOOKUP(A208,'Data Vlaue (Cr)'!C203:CY415,101,0)</f>
        <v>22</v>
      </c>
      <c r="D208" s="139">
        <f>VLOOKUP(A208,'Data Vlaue (Cr)'!C203:CZ415,102,0)</f>
        <v>5.4000000000000003E-3</v>
      </c>
      <c r="E208" s="91">
        <f>VLOOKUP($A208,'Data Vlaue (Cr)'!$C:$FB,75)</f>
        <v>3454</v>
      </c>
      <c r="F208" s="91">
        <f>VLOOKUP($A208,'Data Vlaue (Cr)'!$C:$FB,77)</f>
        <v>-126</v>
      </c>
      <c r="G208" s="92">
        <f>VLOOKUP(A208,'Data Vlaue (Cr)'!C203:CB415,78,0)</f>
        <v>-3.5200000000000002E-2</v>
      </c>
      <c r="H208" s="91">
        <f>VLOOKUP($A208,'Data Vlaue (Cr)'!$C:$FB,91)</f>
        <v>448</v>
      </c>
      <c r="I208" s="91">
        <f>VLOOKUP($A208,'Data Vlaue (Cr)'!$C:$FB,93)</f>
        <v>66</v>
      </c>
      <c r="J208" s="92">
        <f>VLOOKUP($A208,'Data Vlaue (Cr)'!$C:$FB,94)</f>
        <v>0.1731</v>
      </c>
      <c r="K208" s="91">
        <f>VLOOKUP($A208,'Data Vlaue (Cr)'!$C:$FB,95)</f>
        <v>318</v>
      </c>
      <c r="L208" s="91">
        <f>VLOOKUP($A208,'Data Vlaue (Cr)'!$C:$FB,97)</f>
        <v>82</v>
      </c>
      <c r="M208" s="92">
        <f>VLOOKUP($A208,'Data Vlaue (Cr)'!$C:$FB,98)</f>
        <v>0.34939999999999999</v>
      </c>
      <c r="N208" s="91">
        <f>VLOOKUP($A208,'Data Vlaue (Cr)'!$C:$FB,79)</f>
        <v>3244</v>
      </c>
      <c r="O208" s="92">
        <f>VLOOKUP($A208,'Data Vlaue (Cr)'!$C:$FB,82)</f>
        <v>11.139699999999999</v>
      </c>
    </row>
    <row r="209" spans="1:15" x14ac:dyDescent="0.25">
      <c r="A209" s="97" t="str">
        <f>'Data Vlaue (Cr)'!C204</f>
        <v>UNIONBANK</v>
      </c>
      <c r="B209" s="142">
        <f>VLOOKUP(A209,'Data Vlaue (Cr)'!C204:CW416,99,0)</f>
        <v>2190</v>
      </c>
      <c r="C209" s="90">
        <f>VLOOKUP(A209,'Data Vlaue (Cr)'!C204:CY416,101,0)</f>
        <v>266</v>
      </c>
      <c r="D209" s="139">
        <f>VLOOKUP(A209,'Data Vlaue (Cr)'!C204:CZ416,102,0)</f>
        <v>0.1384</v>
      </c>
      <c r="E209" s="91">
        <f>VLOOKUP($A209,'Data Vlaue (Cr)'!$C:$FB,75)</f>
        <v>1443</v>
      </c>
      <c r="F209" s="91">
        <f>VLOOKUP($A209,'Data Vlaue (Cr)'!$C:$FB,77)</f>
        <v>19</v>
      </c>
      <c r="G209" s="92">
        <f>VLOOKUP(A209,'Data Vlaue (Cr)'!C204:CB416,78,0)</f>
        <v>1.32E-2</v>
      </c>
      <c r="H209" s="91">
        <f>VLOOKUP($A209,'Data Vlaue (Cr)'!$C:$FB,91)</f>
        <v>438</v>
      </c>
      <c r="I209" s="91">
        <f>VLOOKUP($A209,'Data Vlaue (Cr)'!$C:$FB,93)</f>
        <v>137</v>
      </c>
      <c r="J209" s="92">
        <f>VLOOKUP($A209,'Data Vlaue (Cr)'!$C:$FB,94)</f>
        <v>0.4556</v>
      </c>
      <c r="K209" s="91">
        <f>VLOOKUP($A209,'Data Vlaue (Cr)'!$C:$FB,95)</f>
        <v>309</v>
      </c>
      <c r="L209" s="91">
        <f>VLOOKUP($A209,'Data Vlaue (Cr)'!$C:$FB,97)</f>
        <v>110</v>
      </c>
      <c r="M209" s="92">
        <f>VLOOKUP($A209,'Data Vlaue (Cr)'!$C:$FB,98)</f>
        <v>0.55479999999999996</v>
      </c>
      <c r="N209" s="91">
        <f>VLOOKUP($A209,'Data Vlaue (Cr)'!$C:$FB,79)</f>
        <v>1413</v>
      </c>
      <c r="O209" s="92">
        <f>VLOOKUP($A209,'Data Vlaue (Cr)'!$C:$FB,82)</f>
        <v>18.245899999999999</v>
      </c>
    </row>
    <row r="210" spans="1:15" s="88" customFormat="1" ht="15.75" customHeight="1" x14ac:dyDescent="0.2">
      <c r="A210" s="97" t="str">
        <f>'Data Vlaue (Cr)'!C205</f>
        <v>UNITDSPR</v>
      </c>
      <c r="B210" s="142">
        <f>VLOOKUP(A210,'Data Vlaue (Cr)'!C205:CW417,99,0)</f>
        <v>2053</v>
      </c>
      <c r="C210" s="90">
        <f>VLOOKUP(A210,'Data Vlaue (Cr)'!C205:CY417,101,0)</f>
        <v>200</v>
      </c>
      <c r="D210" s="139">
        <f>VLOOKUP(A210,'Data Vlaue (Cr)'!C205:CZ417,102,0)</f>
        <v>0.10780000000000001</v>
      </c>
      <c r="E210" s="91">
        <f>VLOOKUP($A210,'Data Vlaue (Cr)'!$C:$FB,75)</f>
        <v>1471</v>
      </c>
      <c r="F210" s="91">
        <f>VLOOKUP($A210,'Data Vlaue (Cr)'!$C:$FB,77)</f>
        <v>52</v>
      </c>
      <c r="G210" s="92">
        <f>VLOOKUP(A210,'Data Vlaue (Cr)'!C205:CB417,78,0)</f>
        <v>3.6400000000000002E-2</v>
      </c>
      <c r="H210" s="91">
        <f>VLOOKUP($A210,'Data Vlaue (Cr)'!$C:$FB,91)</f>
        <v>304</v>
      </c>
      <c r="I210" s="91">
        <f>VLOOKUP($A210,'Data Vlaue (Cr)'!$C:$FB,93)</f>
        <v>110</v>
      </c>
      <c r="J210" s="92">
        <f>VLOOKUP($A210,'Data Vlaue (Cr)'!$C:$FB,94)</f>
        <v>0.56820000000000004</v>
      </c>
      <c r="K210" s="91">
        <f>VLOOKUP($A210,'Data Vlaue (Cr)'!$C:$FB,95)</f>
        <v>278</v>
      </c>
      <c r="L210" s="91">
        <f>VLOOKUP($A210,'Data Vlaue (Cr)'!$C:$FB,97)</f>
        <v>38</v>
      </c>
      <c r="M210" s="92">
        <f>VLOOKUP($A210,'Data Vlaue (Cr)'!$C:$FB,98)</f>
        <v>0.15820000000000001</v>
      </c>
      <c r="N210" s="91">
        <f>VLOOKUP($A210,'Data Vlaue (Cr)'!$C:$FB,79)</f>
        <v>1453</v>
      </c>
      <c r="O210" s="92">
        <f>VLOOKUP($A210,'Data Vlaue (Cr)'!$C:$FB,82)</f>
        <v>19.943999999999999</v>
      </c>
    </row>
    <row r="211" spans="1:15" x14ac:dyDescent="0.25">
      <c r="A211" s="97" t="str">
        <f>'Data Vlaue (Cr)'!C206</f>
        <v>UNOMINDA</v>
      </c>
      <c r="B211" s="142">
        <f>VLOOKUP(A211,'Data Vlaue (Cr)'!C206:CW418,99,0)</f>
        <v>650</v>
      </c>
      <c r="C211" s="90">
        <f>VLOOKUP(A211,'Data Vlaue (Cr)'!C206:CY418,101,0)</f>
        <v>11</v>
      </c>
      <c r="D211" s="139">
        <f>VLOOKUP(A211,'Data Vlaue (Cr)'!C206:CZ418,102,0)</f>
        <v>1.6899999999999998E-2</v>
      </c>
      <c r="E211" s="91">
        <f>VLOOKUP($A211,'Data Vlaue (Cr)'!$C:$FB,75)</f>
        <v>588</v>
      </c>
      <c r="F211" s="91">
        <f>VLOOKUP($A211,'Data Vlaue (Cr)'!$C:$FB,77)</f>
        <v>1</v>
      </c>
      <c r="G211" s="92">
        <f>VLOOKUP(A211,'Data Vlaue (Cr)'!C206:CB418,78,0)</f>
        <v>1.6000000000000001E-3</v>
      </c>
      <c r="H211" s="91">
        <f>VLOOKUP($A211,'Data Vlaue (Cr)'!$C:$FB,91)</f>
        <v>29</v>
      </c>
      <c r="I211" s="91">
        <f>VLOOKUP($A211,'Data Vlaue (Cr)'!$C:$FB,93)</f>
        <v>5</v>
      </c>
      <c r="J211" s="92">
        <f>VLOOKUP($A211,'Data Vlaue (Cr)'!$C:$FB,94)</f>
        <v>0.23100000000000001</v>
      </c>
      <c r="K211" s="91">
        <f>VLOOKUP($A211,'Data Vlaue (Cr)'!$C:$FB,95)</f>
        <v>33</v>
      </c>
      <c r="L211" s="91">
        <f>VLOOKUP($A211,'Data Vlaue (Cr)'!$C:$FB,97)</f>
        <v>4</v>
      </c>
      <c r="M211" s="92">
        <f>VLOOKUP($A211,'Data Vlaue (Cr)'!$C:$FB,98)</f>
        <v>0.1545</v>
      </c>
      <c r="N211" s="91">
        <f>VLOOKUP($A211,'Data Vlaue (Cr)'!$C:$FB,79)</f>
        <v>580</v>
      </c>
      <c r="O211" s="92">
        <f>VLOOKUP($A211,'Data Vlaue (Cr)'!$C:$FB,82)</f>
        <v>26.1128</v>
      </c>
    </row>
    <row r="212" spans="1:15" x14ac:dyDescent="0.25">
      <c r="A212" s="97" t="str">
        <f>'Data Vlaue (Cr)'!C207</f>
        <v>UPL</v>
      </c>
      <c r="B212" s="142">
        <f>VLOOKUP(A212,'Data Vlaue (Cr)'!C207:CW419,99,0)</f>
        <v>3357</v>
      </c>
      <c r="C212" s="90">
        <f>VLOOKUP(A212,'Data Vlaue (Cr)'!C207:CY419,101,0)</f>
        <v>80</v>
      </c>
      <c r="D212" s="139">
        <f>VLOOKUP(A212,'Data Vlaue (Cr)'!C207:CZ419,102,0)</f>
        <v>2.4500000000000001E-2</v>
      </c>
      <c r="E212" s="91">
        <f>VLOOKUP($A212,'Data Vlaue (Cr)'!$C:$FB,75)</f>
        <v>2372</v>
      </c>
      <c r="F212" s="91">
        <f>VLOOKUP($A212,'Data Vlaue (Cr)'!$C:$FB,77)</f>
        <v>-7</v>
      </c>
      <c r="G212" s="92">
        <f>VLOOKUP(A212,'Data Vlaue (Cr)'!C207:CB419,78,0)</f>
        <v>-3.0000000000000001E-3</v>
      </c>
      <c r="H212" s="91">
        <f>VLOOKUP($A212,'Data Vlaue (Cr)'!$C:$FB,91)</f>
        <v>567</v>
      </c>
      <c r="I212" s="91">
        <f>VLOOKUP($A212,'Data Vlaue (Cr)'!$C:$FB,93)</f>
        <v>54</v>
      </c>
      <c r="J212" s="92">
        <f>VLOOKUP($A212,'Data Vlaue (Cr)'!$C:$FB,94)</f>
        <v>0.1043</v>
      </c>
      <c r="K212" s="91">
        <f>VLOOKUP($A212,'Data Vlaue (Cr)'!$C:$FB,95)</f>
        <v>419</v>
      </c>
      <c r="L212" s="91">
        <f>VLOOKUP($A212,'Data Vlaue (Cr)'!$C:$FB,97)</f>
        <v>34</v>
      </c>
      <c r="M212" s="92">
        <f>VLOOKUP($A212,'Data Vlaue (Cr)'!$C:$FB,98)</f>
        <v>8.7800000000000003E-2</v>
      </c>
      <c r="N212" s="91">
        <f>VLOOKUP($A212,'Data Vlaue (Cr)'!$C:$FB,79)</f>
        <v>2345</v>
      </c>
      <c r="O212" s="92">
        <f>VLOOKUP($A212,'Data Vlaue (Cr)'!$C:$FB,82)</f>
        <v>18.683</v>
      </c>
    </row>
    <row r="213" spans="1:15" x14ac:dyDescent="0.25">
      <c r="A213" s="97" t="str">
        <f>'Data Vlaue (Cr)'!C208</f>
        <v>VBL</v>
      </c>
      <c r="B213" s="142">
        <f>VLOOKUP(A213,'Data Vlaue (Cr)'!C208:CW420,99,0)</f>
        <v>2705</v>
      </c>
      <c r="C213" s="90">
        <f>VLOOKUP(A213,'Data Vlaue (Cr)'!C208:CY420,101,0)</f>
        <v>183</v>
      </c>
      <c r="D213" s="139">
        <f>VLOOKUP(A213,'Data Vlaue (Cr)'!C208:CZ420,102,0)</f>
        <v>7.2400000000000006E-2</v>
      </c>
      <c r="E213" s="91">
        <f>VLOOKUP($A213,'Data Vlaue (Cr)'!$C:$FB,75)</f>
        <v>2211</v>
      </c>
      <c r="F213" s="91">
        <f>VLOOKUP($A213,'Data Vlaue (Cr)'!$C:$FB,77)</f>
        <v>53</v>
      </c>
      <c r="G213" s="92">
        <f>VLOOKUP(A213,'Data Vlaue (Cr)'!C208:CB420,78,0)</f>
        <v>2.46E-2</v>
      </c>
      <c r="H213" s="91">
        <f>VLOOKUP($A213,'Data Vlaue (Cr)'!$C:$FB,91)</f>
        <v>258</v>
      </c>
      <c r="I213" s="91">
        <f>VLOOKUP($A213,'Data Vlaue (Cr)'!$C:$FB,93)</f>
        <v>64</v>
      </c>
      <c r="J213" s="92">
        <f>VLOOKUP($A213,'Data Vlaue (Cr)'!$C:$FB,94)</f>
        <v>0.32690000000000002</v>
      </c>
      <c r="K213" s="91">
        <f>VLOOKUP($A213,'Data Vlaue (Cr)'!$C:$FB,95)</f>
        <v>235</v>
      </c>
      <c r="L213" s="91">
        <f>VLOOKUP($A213,'Data Vlaue (Cr)'!$C:$FB,97)</f>
        <v>66</v>
      </c>
      <c r="M213" s="92">
        <f>VLOOKUP($A213,'Data Vlaue (Cr)'!$C:$FB,98)</f>
        <v>0.38890000000000002</v>
      </c>
      <c r="N213" s="91">
        <f>VLOOKUP($A213,'Data Vlaue (Cr)'!$C:$FB,79)</f>
        <v>2192</v>
      </c>
      <c r="O213" s="92">
        <f>VLOOKUP($A213,'Data Vlaue (Cr)'!$C:$FB,82)</f>
        <v>14.2158</v>
      </c>
    </row>
    <row r="214" spans="1:15" x14ac:dyDescent="0.25">
      <c r="A214" s="97" t="str">
        <f>'Data Vlaue (Cr)'!C209</f>
        <v>VEDL</v>
      </c>
      <c r="B214" s="142">
        <f>VLOOKUP(A214,'Data Vlaue (Cr)'!C209:CW421,99,0)</f>
        <v>9322</v>
      </c>
      <c r="C214" s="90">
        <f>VLOOKUP(A214,'Data Vlaue (Cr)'!C209:CY421,101,0)</f>
        <v>482</v>
      </c>
      <c r="D214" s="139">
        <f>VLOOKUP(A214,'Data Vlaue (Cr)'!C209:CZ421,102,0)</f>
        <v>5.45E-2</v>
      </c>
      <c r="E214" s="91">
        <f>VLOOKUP($A214,'Data Vlaue (Cr)'!$C:$FB,75)</f>
        <v>5819</v>
      </c>
      <c r="F214" s="91">
        <f>VLOOKUP($A214,'Data Vlaue (Cr)'!$C:$FB,77)</f>
        <v>121</v>
      </c>
      <c r="G214" s="92">
        <f>VLOOKUP(A214,'Data Vlaue (Cr)'!C209:CB421,78,0)</f>
        <v>2.12E-2</v>
      </c>
      <c r="H214" s="91">
        <f>VLOOKUP($A214,'Data Vlaue (Cr)'!$C:$FB,91)</f>
        <v>2050</v>
      </c>
      <c r="I214" s="91">
        <f>VLOOKUP($A214,'Data Vlaue (Cr)'!$C:$FB,93)</f>
        <v>45</v>
      </c>
      <c r="J214" s="92">
        <f>VLOOKUP($A214,'Data Vlaue (Cr)'!$C:$FB,94)</f>
        <v>2.2499999999999999E-2</v>
      </c>
      <c r="K214" s="91">
        <f>VLOOKUP($A214,'Data Vlaue (Cr)'!$C:$FB,95)</f>
        <v>1453</v>
      </c>
      <c r="L214" s="91">
        <f>VLOOKUP($A214,'Data Vlaue (Cr)'!$C:$FB,97)</f>
        <v>316</v>
      </c>
      <c r="M214" s="92">
        <f>VLOOKUP($A214,'Data Vlaue (Cr)'!$C:$FB,98)</f>
        <v>0.27800000000000002</v>
      </c>
      <c r="N214" s="91">
        <f>VLOOKUP($A214,'Data Vlaue (Cr)'!$C:$FB,79)</f>
        <v>5615</v>
      </c>
      <c r="O214" s="92">
        <f>VLOOKUP($A214,'Data Vlaue (Cr)'!$C:$FB,82)</f>
        <v>11.9801</v>
      </c>
    </row>
    <row r="215" spans="1:15" x14ac:dyDescent="0.25">
      <c r="A215" s="97" t="str">
        <f>'Data Vlaue (Cr)'!C210</f>
        <v>VOLTAS</v>
      </c>
      <c r="B215" s="142">
        <f>VLOOKUP(A215,'Data Vlaue (Cr)'!C210:CW422,99,0)</f>
        <v>2135</v>
      </c>
      <c r="C215" s="90">
        <f>VLOOKUP(A215,'Data Vlaue (Cr)'!C210:CY422,101,0)</f>
        <v>162</v>
      </c>
      <c r="D215" s="139">
        <f>VLOOKUP(A215,'Data Vlaue (Cr)'!C210:CZ422,102,0)</f>
        <v>8.2199999999999995E-2</v>
      </c>
      <c r="E215" s="91">
        <f>VLOOKUP($A215,'Data Vlaue (Cr)'!$C:$FB,75)</f>
        <v>1732</v>
      </c>
      <c r="F215" s="91">
        <f>VLOOKUP($A215,'Data Vlaue (Cr)'!$C:$FB,77)</f>
        <v>101</v>
      </c>
      <c r="G215" s="92">
        <f>VLOOKUP(A215,'Data Vlaue (Cr)'!C210:CB422,78,0)</f>
        <v>6.1800000000000001E-2</v>
      </c>
      <c r="H215" s="91">
        <f>VLOOKUP($A215,'Data Vlaue (Cr)'!$C:$FB,91)</f>
        <v>216</v>
      </c>
      <c r="I215" s="91">
        <f>VLOOKUP($A215,'Data Vlaue (Cr)'!$C:$FB,93)</f>
        <v>22</v>
      </c>
      <c r="J215" s="92">
        <f>VLOOKUP($A215,'Data Vlaue (Cr)'!$C:$FB,94)</f>
        <v>0.1144</v>
      </c>
      <c r="K215" s="91">
        <f>VLOOKUP($A215,'Data Vlaue (Cr)'!$C:$FB,95)</f>
        <v>187</v>
      </c>
      <c r="L215" s="91">
        <f>VLOOKUP($A215,'Data Vlaue (Cr)'!$C:$FB,97)</f>
        <v>39</v>
      </c>
      <c r="M215" s="92">
        <f>VLOOKUP($A215,'Data Vlaue (Cr)'!$C:$FB,98)</f>
        <v>0.26529999999999998</v>
      </c>
      <c r="N215" s="91">
        <f>VLOOKUP($A215,'Data Vlaue (Cr)'!$C:$FB,79)</f>
        <v>1715</v>
      </c>
      <c r="O215" s="92">
        <f>VLOOKUP($A215,'Data Vlaue (Cr)'!$C:$FB,82)</f>
        <v>18.594200000000001</v>
      </c>
    </row>
    <row r="216" spans="1:15" x14ac:dyDescent="0.25">
      <c r="A216" s="97" t="str">
        <f>'Data Vlaue (Cr)'!C211</f>
        <v>WAAREEENER</v>
      </c>
      <c r="B216" s="142">
        <f>VLOOKUP(A216,'Data Vlaue (Cr)'!C211:CW423,99,0)</f>
        <v>933</v>
      </c>
      <c r="C216" s="90">
        <f>VLOOKUP(A216,'Data Vlaue (Cr)'!C211:CY423,101,0)</f>
        <v>5</v>
      </c>
      <c r="D216" s="139">
        <f>VLOOKUP(A216,'Data Vlaue (Cr)'!C211:CZ423,102,0)</f>
        <v>5.4000000000000003E-3</v>
      </c>
      <c r="E216" s="91">
        <f>VLOOKUP($A216,'Data Vlaue (Cr)'!$C:$FB,75)</f>
        <v>613</v>
      </c>
      <c r="F216" s="91">
        <f>VLOOKUP($A216,'Data Vlaue (Cr)'!$C:$FB,77)</f>
        <v>-19</v>
      </c>
      <c r="G216" s="92">
        <f>VLOOKUP(A216,'Data Vlaue (Cr)'!C211:CB423,78,0)</f>
        <v>-2.9600000000000001E-2</v>
      </c>
      <c r="H216" s="91">
        <f>VLOOKUP($A216,'Data Vlaue (Cr)'!$C:$FB,91)</f>
        <v>184</v>
      </c>
      <c r="I216" s="91">
        <f>VLOOKUP($A216,'Data Vlaue (Cr)'!$C:$FB,93)</f>
        <v>16</v>
      </c>
      <c r="J216" s="92">
        <f>VLOOKUP($A216,'Data Vlaue (Cr)'!$C:$FB,94)</f>
        <v>9.7799999999999998E-2</v>
      </c>
      <c r="K216" s="91">
        <f>VLOOKUP($A216,'Data Vlaue (Cr)'!$C:$FB,95)</f>
        <v>135</v>
      </c>
      <c r="L216" s="91">
        <f>VLOOKUP($A216,'Data Vlaue (Cr)'!$C:$FB,97)</f>
        <v>7</v>
      </c>
      <c r="M216" s="92">
        <f>VLOOKUP($A216,'Data Vlaue (Cr)'!$C:$FB,98)</f>
        <v>5.7099999999999998E-2</v>
      </c>
      <c r="N216" s="91">
        <f>VLOOKUP($A216,'Data Vlaue (Cr)'!$C:$FB,79)</f>
        <v>596</v>
      </c>
      <c r="O216" s="92">
        <f>VLOOKUP($A216,'Data Vlaue (Cr)'!$C:$FB,82)</f>
        <v>9.0284999999999993</v>
      </c>
    </row>
    <row r="217" spans="1:15" x14ac:dyDescent="0.25">
      <c r="A217" s="97" t="str">
        <f>'Data Vlaue (Cr)'!C212</f>
        <v>WIPRO</v>
      </c>
      <c r="B217" s="142">
        <f>VLOOKUP(A217,'Data Vlaue (Cr)'!C212:CW424,99,0)</f>
        <v>4269</v>
      </c>
      <c r="C217" s="90">
        <f>VLOOKUP(A217,'Data Vlaue (Cr)'!C212:CY424,101,0)</f>
        <v>181</v>
      </c>
      <c r="D217" s="139">
        <f>VLOOKUP(A217,'Data Vlaue (Cr)'!C212:CZ424,102,0)</f>
        <v>4.4200000000000003E-2</v>
      </c>
      <c r="E217" s="91">
        <f>VLOOKUP($A217,'Data Vlaue (Cr)'!$C:$FB,75)</f>
        <v>2886</v>
      </c>
      <c r="F217" s="91">
        <f>VLOOKUP($A217,'Data Vlaue (Cr)'!$C:$FB,77)</f>
        <v>-59</v>
      </c>
      <c r="G217" s="92">
        <f>VLOOKUP(A217,'Data Vlaue (Cr)'!C212:CB424,78,0)</f>
        <v>-2.01E-2</v>
      </c>
      <c r="H217" s="91">
        <f>VLOOKUP($A217,'Data Vlaue (Cr)'!$C:$FB,91)</f>
        <v>836</v>
      </c>
      <c r="I217" s="91">
        <f>VLOOKUP($A217,'Data Vlaue (Cr)'!$C:$FB,93)</f>
        <v>185</v>
      </c>
      <c r="J217" s="92">
        <f>VLOOKUP($A217,'Data Vlaue (Cr)'!$C:$FB,94)</f>
        <v>0.28439999999999999</v>
      </c>
      <c r="K217" s="91">
        <f>VLOOKUP($A217,'Data Vlaue (Cr)'!$C:$FB,95)</f>
        <v>548</v>
      </c>
      <c r="L217" s="91">
        <f>VLOOKUP($A217,'Data Vlaue (Cr)'!$C:$FB,97)</f>
        <v>55</v>
      </c>
      <c r="M217" s="92">
        <f>VLOOKUP($A217,'Data Vlaue (Cr)'!$C:$FB,98)</f>
        <v>0.11169999999999999</v>
      </c>
      <c r="N217" s="91">
        <f>VLOOKUP($A217,'Data Vlaue (Cr)'!$C:$FB,79)</f>
        <v>2805</v>
      </c>
      <c r="O217" s="92">
        <f>VLOOKUP($A217,'Data Vlaue (Cr)'!$C:$FB,82)</f>
        <v>5.4261999999999997</v>
      </c>
    </row>
    <row r="218" spans="1:15" x14ac:dyDescent="0.25">
      <c r="A218" s="97" t="str">
        <f>'Data Vlaue (Cr)'!C213</f>
        <v>YESBANK</v>
      </c>
      <c r="B218" s="142">
        <f>VLOOKUP(A218,'Data Vlaue (Cr)'!C213:CW425,99,0)</f>
        <v>3328</v>
      </c>
      <c r="C218" s="90">
        <f>VLOOKUP(A218,'Data Vlaue (Cr)'!C213:CY425,101,0)</f>
        <v>64</v>
      </c>
      <c r="D218" s="139">
        <f>VLOOKUP(A218,'Data Vlaue (Cr)'!C213:CZ425,102,0)</f>
        <v>1.9699999999999999E-2</v>
      </c>
      <c r="E218" s="91">
        <f>VLOOKUP($A218,'Data Vlaue (Cr)'!$C:$FB,75)</f>
        <v>2270</v>
      </c>
      <c r="F218" s="91">
        <f>VLOOKUP($A218,'Data Vlaue (Cr)'!$C:$FB,77)</f>
        <v>-17</v>
      </c>
      <c r="G218" s="92">
        <f>VLOOKUP(A218,'Data Vlaue (Cr)'!C213:CB425,78,0)</f>
        <v>-7.3000000000000001E-3</v>
      </c>
      <c r="H218" s="91">
        <f>VLOOKUP($A218,'Data Vlaue (Cr)'!$C:$FB,91)</f>
        <v>637</v>
      </c>
      <c r="I218" s="91">
        <f>VLOOKUP($A218,'Data Vlaue (Cr)'!$C:$FB,93)</f>
        <v>58</v>
      </c>
      <c r="J218" s="92">
        <f>VLOOKUP($A218,'Data Vlaue (Cr)'!$C:$FB,94)</f>
        <v>0.10009999999999999</v>
      </c>
      <c r="K218" s="91">
        <f>VLOOKUP($A218,'Data Vlaue (Cr)'!$C:$FB,95)</f>
        <v>421</v>
      </c>
      <c r="L218" s="91">
        <f>VLOOKUP($A218,'Data Vlaue (Cr)'!$C:$FB,97)</f>
        <v>23</v>
      </c>
      <c r="M218" s="92">
        <f>VLOOKUP($A218,'Data Vlaue (Cr)'!$C:$FB,98)</f>
        <v>5.7599999999999998E-2</v>
      </c>
      <c r="N218" s="91">
        <f>VLOOKUP($A218,'Data Vlaue (Cr)'!$C:$FB,79)</f>
        <v>2155</v>
      </c>
      <c r="O218" s="92">
        <f>VLOOKUP($A218,'Data Vlaue (Cr)'!$C:$FB,82)</f>
        <v>22.091999999999999</v>
      </c>
    </row>
    <row r="219" spans="1:15" x14ac:dyDescent="0.25">
      <c r="A219" s="97"/>
      <c r="B219" s="142"/>
      <c r="C219" s="90"/>
      <c r="D219" s="139"/>
      <c r="E219" s="91"/>
      <c r="F219" s="91"/>
      <c r="G219" s="92"/>
      <c r="H219" s="91"/>
      <c r="I219" s="91"/>
      <c r="J219" s="92"/>
      <c r="K219" s="91"/>
      <c r="L219" s="91"/>
      <c r="M219" s="92"/>
      <c r="N219" s="91"/>
      <c r="O219" s="92"/>
    </row>
    <row r="220" spans="1:15" x14ac:dyDescent="0.25">
      <c r="A220" s="97" t="str">
        <f>'Data Vlaue (Cr)'!C214</f>
        <v>ZYDUSLIFE</v>
      </c>
      <c r="B220" s="142">
        <f>VLOOKUP(A220,'Data Vlaue (Cr)'!C214:CW427,99,0)</f>
        <v>1037</v>
      </c>
      <c r="C220" s="90">
        <f>VLOOKUP(A220,'Data Vlaue (Cr)'!C214:CY427,101,0)</f>
        <v>51</v>
      </c>
      <c r="D220" s="139">
        <f>VLOOKUP(A220,'Data Vlaue (Cr)'!C214:CZ427,102,0)</f>
        <v>5.16E-2</v>
      </c>
      <c r="E220" s="91">
        <f>VLOOKUP($A220,'Data Vlaue (Cr)'!$C:$FB,75)</f>
        <v>791</v>
      </c>
      <c r="F220" s="91">
        <f>VLOOKUP($A220,'Data Vlaue (Cr)'!$C:$FB,77)</f>
        <v>-3</v>
      </c>
      <c r="G220" s="92">
        <f>VLOOKUP(A220,'Data Vlaue (Cr)'!C214:CB427,78,0)</f>
        <v>-4.3E-3</v>
      </c>
      <c r="H220" s="91">
        <f>VLOOKUP($A220,'Data Vlaue (Cr)'!$C:$FB,91)</f>
        <v>117</v>
      </c>
      <c r="I220" s="91">
        <f>VLOOKUP($A220,'Data Vlaue (Cr)'!$C:$FB,93)</f>
        <v>36</v>
      </c>
      <c r="J220" s="92">
        <f>VLOOKUP($A220,'Data Vlaue (Cr)'!$C:$FB,94)</f>
        <v>0.44540000000000002</v>
      </c>
      <c r="K220" s="91">
        <f>VLOOKUP($A220,'Data Vlaue (Cr)'!$C:$FB,95)</f>
        <v>129</v>
      </c>
      <c r="L220" s="91">
        <f>VLOOKUP($A220,'Data Vlaue (Cr)'!$C:$FB,97)</f>
        <v>18</v>
      </c>
      <c r="M220" s="92">
        <f>VLOOKUP($A220,'Data Vlaue (Cr)'!$C:$FB,98)</f>
        <v>0.1648</v>
      </c>
      <c r="N220" s="91">
        <f>VLOOKUP($A220,'Data Vlaue (Cr)'!$C:$FB,79)</f>
        <v>779</v>
      </c>
      <c r="O220" s="92">
        <f>VLOOKUP($A220,'Data Vlaue (Cr)'!$C:$FB,82)</f>
        <v>24.504000000000001</v>
      </c>
    </row>
    <row r="221" spans="1:15" x14ac:dyDescent="0.25">
      <c r="A221" s="97"/>
      <c r="B221" s="142"/>
      <c r="C221" s="90"/>
      <c r="D221" s="139"/>
      <c r="E221" s="91"/>
      <c r="F221" s="91"/>
      <c r="G221" s="92"/>
      <c r="H221" s="91"/>
      <c r="I221" s="91"/>
      <c r="J221" s="92"/>
      <c r="K221" s="91"/>
      <c r="L221" s="91"/>
      <c r="M221" s="92"/>
      <c r="N221" s="91"/>
      <c r="O221" s="92"/>
    </row>
    <row r="222" spans="1:15" x14ac:dyDescent="0.25">
      <c r="A222" s="97"/>
      <c r="B222" s="142"/>
      <c r="C222" s="90"/>
      <c r="D222" s="139"/>
      <c r="E222" s="91"/>
      <c r="F222" s="91"/>
      <c r="G222" s="92"/>
      <c r="H222" s="91"/>
      <c r="I222" s="91"/>
      <c r="J222" s="92"/>
      <c r="K222" s="91"/>
      <c r="L222" s="91"/>
      <c r="M222" s="92"/>
      <c r="N222" s="91"/>
      <c r="O222" s="92"/>
    </row>
    <row r="223" spans="1:15" x14ac:dyDescent="0.25">
      <c r="A223" s="97"/>
      <c r="B223" s="142"/>
      <c r="C223" s="90"/>
      <c r="D223" s="139"/>
      <c r="E223" s="91"/>
      <c r="F223" s="91"/>
      <c r="G223" s="92"/>
      <c r="H223" s="91"/>
      <c r="I223" s="91"/>
      <c r="J223" s="92"/>
      <c r="K223" s="91"/>
      <c r="L223" s="91"/>
      <c r="M223" s="92"/>
      <c r="N223" s="91"/>
      <c r="O223" s="92"/>
    </row>
    <row r="224" spans="1:15" x14ac:dyDescent="0.25">
      <c r="A224" s="97"/>
      <c r="B224" s="142"/>
      <c r="C224" s="90"/>
      <c r="D224" s="139"/>
      <c r="E224" s="91"/>
      <c r="F224" s="91"/>
      <c r="G224" s="92"/>
      <c r="H224" s="91"/>
      <c r="I224" s="91"/>
      <c r="J224" s="92"/>
      <c r="K224" s="91"/>
      <c r="L224" s="91"/>
      <c r="M224" s="92"/>
      <c r="N224" s="91"/>
      <c r="O224" s="92"/>
    </row>
    <row r="225" spans="1:15" x14ac:dyDescent="0.25">
      <c r="A225" s="97"/>
      <c r="B225" s="142"/>
      <c r="C225" s="90"/>
      <c r="D225" s="139"/>
      <c r="E225" s="91"/>
      <c r="F225" s="91"/>
      <c r="G225" s="92"/>
      <c r="H225" s="91"/>
      <c r="I225" s="91"/>
      <c r="J225" s="92"/>
      <c r="K225" s="91"/>
      <c r="L225" s="91"/>
      <c r="M225" s="92"/>
      <c r="N225" s="91"/>
      <c r="O225" s="92"/>
    </row>
    <row r="226" spans="1:15" x14ac:dyDescent="0.25">
      <c r="A226" s="102"/>
      <c r="B226" s="142"/>
      <c r="C226" s="90"/>
      <c r="D226" s="139"/>
      <c r="E226" s="91"/>
      <c r="F226" s="91"/>
      <c r="G226" s="92"/>
      <c r="H226" s="91"/>
      <c r="I226" s="91"/>
      <c r="J226" s="92"/>
      <c r="K226" s="91"/>
      <c r="L226" s="91"/>
      <c r="M226" s="92"/>
      <c r="N226" s="91"/>
      <c r="O226" s="92"/>
    </row>
    <row r="227" spans="1:15" x14ac:dyDescent="0.25">
      <c r="A227" s="122" t="s">
        <v>391</v>
      </c>
      <c r="B227" s="123">
        <f>SUM(B7:B221)</f>
        <v>1700569</v>
      </c>
      <c r="C227" s="123">
        <f>SUM(C7:C224)</f>
        <v>291874</v>
      </c>
      <c r="D227" s="124">
        <f>'Snapshot (Value)'!K228</f>
        <v>0.207300067556384</v>
      </c>
      <c r="E227" s="123">
        <f>SUM(E7:E222)</f>
        <v>562567</v>
      </c>
      <c r="F227" s="123">
        <f>SUM(F7:F222)</f>
        <v>4207</v>
      </c>
      <c r="G227" s="149">
        <f>F227*100/(E227-F227)</f>
        <v>0.75345655132889178</v>
      </c>
      <c r="H227" s="123">
        <f>SUM(H7:H222)</f>
        <v>582487</v>
      </c>
      <c r="I227" s="123">
        <f>SUM(I7:I222)</f>
        <v>155369</v>
      </c>
      <c r="J227" s="149">
        <f>I227/(H227-I227)</f>
        <v>0.36376130249720218</v>
      </c>
      <c r="K227" s="123">
        <f>SUM(K7:K222)</f>
        <v>555512</v>
      </c>
      <c r="L227" s="123">
        <f>SUM(L7:L222)</f>
        <v>132308</v>
      </c>
      <c r="M227" s="149">
        <f>L227/(K227-L227)</f>
        <v>0.31263409608604836</v>
      </c>
      <c r="N227" s="123">
        <f>SUM(N7:N222)</f>
        <v>540382</v>
      </c>
      <c r="O227" s="149">
        <f>(N227-FII!V2)/N227</f>
        <v>0.87962034264649824</v>
      </c>
    </row>
    <row r="232" spans="1:15" x14ac:dyDescent="0.25">
      <c r="A232" s="273" t="s">
        <v>408</v>
      </c>
      <c r="B232" s="273"/>
      <c r="C232" s="273"/>
      <c r="D232" s="273"/>
    </row>
    <row r="233" spans="1:15" x14ac:dyDescent="0.25">
      <c r="A233" s="35" t="s">
        <v>401</v>
      </c>
      <c r="B233" s="35" t="s">
        <v>402</v>
      </c>
      <c r="C233" s="35" t="s">
        <v>369</v>
      </c>
      <c r="D233" s="35" t="s">
        <v>407</v>
      </c>
    </row>
    <row r="234" spans="1:15" x14ac:dyDescent="0.25">
      <c r="A234" s="36" t="s">
        <v>403</v>
      </c>
      <c r="B234" s="37">
        <f>E227</f>
        <v>562567</v>
      </c>
      <c r="C234" s="37">
        <f>F227</f>
        <v>4207</v>
      </c>
      <c r="D234" s="39">
        <f>C234/B234</f>
        <v>7.4782203719734718E-3</v>
      </c>
    </row>
    <row r="235" spans="1:15" x14ac:dyDescent="0.25">
      <c r="A235" s="36" t="s">
        <v>404</v>
      </c>
      <c r="B235" s="37">
        <f>H227</f>
        <v>582487</v>
      </c>
      <c r="C235" s="37">
        <f>I227</f>
        <v>155369</v>
      </c>
      <c r="D235" s="150">
        <f>C235/B235</f>
        <v>0.26673384985415982</v>
      </c>
    </row>
    <row r="236" spans="1:15" x14ac:dyDescent="0.25">
      <c r="A236" s="36" t="s">
        <v>405</v>
      </c>
      <c r="B236" s="37">
        <f>K227</f>
        <v>555512</v>
      </c>
      <c r="C236" s="37">
        <f>L227</f>
        <v>132308</v>
      </c>
      <c r="D236" s="150">
        <f>C236/B236</f>
        <v>0.23817307276890509</v>
      </c>
    </row>
    <row r="237" spans="1:15" x14ac:dyDescent="0.25">
      <c r="A237" s="36" t="s">
        <v>406</v>
      </c>
      <c r="B237" s="37">
        <f>B234+B235+B236</f>
        <v>1700566</v>
      </c>
      <c r="C237" s="37">
        <f>C234+C235+C236</f>
        <v>291884</v>
      </c>
      <c r="D237" s="150">
        <f>C237/B237</f>
        <v>0.17163932478951124</v>
      </c>
    </row>
  </sheetData>
  <autoFilter ref="A6:O6">
    <sortState ref="A7:O154">
      <sortCondition ref="A6"/>
    </sortState>
  </autoFilter>
  <mergeCells count="9">
    <mergeCell ref="A232:D232"/>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workbookViewId="0">
      <pane ySplit="6" topLeftCell="A40" activePane="bottomLeft" state="frozen"/>
      <selection pane="bottomLeft" activeCell="G55" sqref="G55"/>
    </sheetView>
  </sheetViews>
  <sheetFormatPr defaultRowHeight="15" x14ac:dyDescent="0.25"/>
  <cols>
    <col min="1" max="1" width="14.140625" bestFit="1" customWidth="1"/>
    <col min="2" max="3" width="9.28515625" bestFit="1" customWidth="1"/>
    <col min="4" max="4" width="10.42578125" bestFit="1" customWidth="1"/>
    <col min="5" max="5" width="12.85546875" bestFit="1" customWidth="1"/>
    <col min="6" max="6" width="11.28515625" bestFit="1" customWidth="1"/>
    <col min="7" max="10" width="9.28515625" bestFit="1" customWidth="1"/>
  </cols>
  <sheetData>
    <row r="1" spans="1:10" x14ac:dyDescent="0.25">
      <c r="A1" s="74"/>
    </row>
    <row r="2" spans="1:10" ht="19.5" customHeight="1" thickBot="1" x14ac:dyDescent="0.3"/>
    <row r="3" spans="1:10" ht="21" customHeight="1" thickBot="1" x14ac:dyDescent="0.3">
      <c r="A3" s="291" t="s">
        <v>343</v>
      </c>
      <c r="B3" s="292"/>
      <c r="C3" s="292"/>
      <c r="D3" s="292"/>
      <c r="E3" s="292"/>
      <c r="F3" s="292"/>
      <c r="G3" s="293"/>
      <c r="H3" s="293"/>
      <c r="I3" s="293"/>
      <c r="J3" s="294"/>
    </row>
    <row r="4" spans="1:10" s="93" customFormat="1" x14ac:dyDescent="0.25">
      <c r="A4" s="295" t="s">
        <v>330</v>
      </c>
      <c r="B4" s="295" t="s">
        <v>308</v>
      </c>
      <c r="C4" s="295"/>
      <c r="D4" s="295"/>
      <c r="E4" s="295" t="s">
        <v>340</v>
      </c>
      <c r="F4" s="295"/>
      <c r="G4" s="295"/>
      <c r="H4" s="295" t="s">
        <v>458</v>
      </c>
      <c r="I4" s="295"/>
      <c r="J4" s="295"/>
    </row>
    <row r="5" spans="1:10" s="93" customFormat="1" x14ac:dyDescent="0.25">
      <c r="A5" s="296"/>
      <c r="B5" s="94" t="s">
        <v>312</v>
      </c>
      <c r="C5" s="94" t="s">
        <v>313</v>
      </c>
      <c r="D5" s="94"/>
      <c r="E5" s="296" t="s">
        <v>314</v>
      </c>
      <c r="F5" s="296"/>
      <c r="G5" s="296"/>
      <c r="H5" s="296" t="s">
        <v>314</v>
      </c>
      <c r="I5" s="296"/>
      <c r="J5" s="296"/>
    </row>
    <row r="6" spans="1:10" s="93" customFormat="1" x14ac:dyDescent="0.25">
      <c r="A6" s="94" t="s">
        <v>318</v>
      </c>
      <c r="B6" s="3">
        <f>'OI(Volume)'!B6</f>
        <v>46050</v>
      </c>
      <c r="C6" s="3">
        <f>B6</f>
        <v>46050</v>
      </c>
      <c r="D6" s="94" t="s">
        <v>328</v>
      </c>
      <c r="E6" s="3">
        <f>B6</f>
        <v>46050</v>
      </c>
      <c r="F6" s="94" t="s">
        <v>322</v>
      </c>
      <c r="G6" s="94" t="s">
        <v>328</v>
      </c>
      <c r="H6" s="3">
        <f>E6</f>
        <v>46050</v>
      </c>
      <c r="I6" s="94" t="s">
        <v>322</v>
      </c>
      <c r="J6" s="94" t="s">
        <v>328</v>
      </c>
    </row>
    <row r="7" spans="1:10" x14ac:dyDescent="0.25">
      <c r="A7" s="101" t="str">
        <f>'NIFTY GRP'!C2</f>
        <v>ADANIENT</v>
      </c>
      <c r="B7" s="140">
        <f>VLOOKUP($A7,'Data shares'!$C:$FA,7)</f>
        <v>1994.7</v>
      </c>
      <c r="C7" s="140">
        <f>VLOOKUP($A7,'Data shares'!$C:$FA,3)</f>
        <v>2004.4</v>
      </c>
      <c r="D7" s="50">
        <f>VLOOKUP($A7,'Data shares'!$C:$FA,6)*100</f>
        <v>1.77</v>
      </c>
      <c r="E7" s="51">
        <f>VLOOKUP($A7,'Data shares'!$C:$FA,98)</f>
        <v>31164195</v>
      </c>
      <c r="F7" s="51">
        <f>VLOOKUP($A7,'Data shares'!$C:$FA,99)</f>
        <v>30039126</v>
      </c>
      <c r="G7" s="50">
        <f>VLOOKUP($A7,'Data shares'!$C:$FA,101)*100</f>
        <v>3.75</v>
      </c>
      <c r="H7" s="49">
        <f>VLOOKUP($A7,'Data Vlaue (Cr)'!$C:$FB,99)</f>
        <v>6247</v>
      </c>
      <c r="I7" s="49">
        <f>VLOOKUP($A7,'Data Vlaue (Cr)'!$C:$FB,100)</f>
        <v>6021</v>
      </c>
      <c r="J7" s="49">
        <f>VLOOKUP($A7,'Data Vlaue (Cr)'!$C:$FB,102)*100</f>
        <v>3.75</v>
      </c>
    </row>
    <row r="8" spans="1:10" x14ac:dyDescent="0.25">
      <c r="A8" s="101" t="str">
        <f>'NIFTY GRP'!C3</f>
        <v>ADANIPORTS</v>
      </c>
      <c r="B8" s="140">
        <f>VLOOKUP($A8,'Data shares'!$C:$FA,7)</f>
        <v>1381.9</v>
      </c>
      <c r="C8" s="140">
        <f>VLOOKUP($A8,'Data shares'!$C:$FA,3)</f>
        <v>1386.9</v>
      </c>
      <c r="D8" s="50">
        <f>VLOOKUP($A8,'Data shares'!$C:$FA,6)*100</f>
        <v>1.1400000000000001</v>
      </c>
      <c r="E8" s="51">
        <f>VLOOKUP($A8,'Data shares'!$C:$FA,98)</f>
        <v>34035175</v>
      </c>
      <c r="F8" s="51">
        <f>VLOOKUP($A8,'Data shares'!$C:$FA,99)</f>
        <v>33219600</v>
      </c>
      <c r="G8" s="50">
        <f>VLOOKUP($A8,'Data shares'!$C:$FA,101)*100</f>
        <v>2.46</v>
      </c>
      <c r="H8" s="49">
        <f>VLOOKUP($A8,'Data Vlaue (Cr)'!$C:$FB,99)</f>
        <v>4720</v>
      </c>
      <c r="I8" s="49">
        <f>VLOOKUP($A8,'Data Vlaue (Cr)'!$C:$FB,100)</f>
        <v>4607</v>
      </c>
      <c r="J8" s="49">
        <f>VLOOKUP($A8,'Data Vlaue (Cr)'!$C:$FB,102)*100</f>
        <v>2.46</v>
      </c>
    </row>
    <row r="9" spans="1:10" x14ac:dyDescent="0.25">
      <c r="A9" s="101" t="str">
        <f>'NIFTY GRP'!C4</f>
        <v>APOLLOHOSP</v>
      </c>
      <c r="B9" s="140">
        <f>VLOOKUP($A9,'Data shares'!$C:$FA,7)</f>
        <v>6877.5</v>
      </c>
      <c r="C9" s="140">
        <f>VLOOKUP($A9,'Data shares'!$C:$FA,3)</f>
        <v>6892</v>
      </c>
      <c r="D9" s="50">
        <f>VLOOKUP($A9,'Data shares'!$C:$FA,6)*100</f>
        <v>0.89</v>
      </c>
      <c r="E9" s="51">
        <f>VLOOKUP($A9,'Data shares'!$C:$FA,98)</f>
        <v>4901125</v>
      </c>
      <c r="F9" s="51">
        <f>VLOOKUP($A9,'Data shares'!$C:$FA,99)</f>
        <v>4643500</v>
      </c>
      <c r="G9" s="50">
        <f>VLOOKUP($A9,'Data shares'!$C:$FA,101)*100</f>
        <v>5.55</v>
      </c>
      <c r="H9" s="49">
        <f>VLOOKUP($A9,'Data Vlaue (Cr)'!$C:$FB,99)</f>
        <v>3378</v>
      </c>
      <c r="I9" s="49">
        <f>VLOOKUP($A9,'Data Vlaue (Cr)'!$C:$FB,100)</f>
        <v>3200</v>
      </c>
      <c r="J9" s="49">
        <f>VLOOKUP($A9,'Data Vlaue (Cr)'!$C:$FB,102)*100</f>
        <v>5.55</v>
      </c>
    </row>
    <row r="10" spans="1:10" x14ac:dyDescent="0.25">
      <c r="A10" s="101" t="str">
        <f>'NIFTY GRP'!C5</f>
        <v>ASIANPAINT</v>
      </c>
      <c r="B10" s="140">
        <f>VLOOKUP($A10,'Data shares'!$C:$FA,7)</f>
        <v>2511.8000000000002</v>
      </c>
      <c r="C10" s="140">
        <f>VLOOKUP($A10,'Data shares'!$C:$FA,3)</f>
        <v>2513.9</v>
      </c>
      <c r="D10" s="50">
        <f>VLOOKUP($A10,'Data shares'!$C:$FA,6)*100</f>
        <v>-4.41</v>
      </c>
      <c r="E10" s="51">
        <f>VLOOKUP($A10,'Data shares'!$C:$FA,98)</f>
        <v>22246750</v>
      </c>
      <c r="F10" s="51">
        <f>VLOOKUP($A10,'Data shares'!$C:$FA,99)</f>
        <v>18610500</v>
      </c>
      <c r="G10" s="50">
        <f>VLOOKUP($A10,'Data shares'!$C:$FA,101)*100</f>
        <v>19.54</v>
      </c>
      <c r="H10" s="49">
        <f>VLOOKUP($A10,'Data Vlaue (Cr)'!$C:$FB,99)</f>
        <v>5593</v>
      </c>
      <c r="I10" s="49">
        <f>VLOOKUP($A10,'Data Vlaue (Cr)'!$C:$FB,100)</f>
        <v>4678</v>
      </c>
      <c r="J10" s="49">
        <f>VLOOKUP($A10,'Data Vlaue (Cr)'!$C:$FB,102)*100</f>
        <v>19.54</v>
      </c>
    </row>
    <row r="11" spans="1:10" x14ac:dyDescent="0.25">
      <c r="A11" s="101" t="str">
        <f>'NIFTY GRP'!C6</f>
        <v>AXISBANK</v>
      </c>
      <c r="B11" s="140">
        <f>VLOOKUP($A11,'Data shares'!$C:$FA,7)</f>
        <v>1319.8</v>
      </c>
      <c r="C11" s="140">
        <f>VLOOKUP($A11,'Data shares'!$C:$FA,3)</f>
        <v>1323.6</v>
      </c>
      <c r="D11" s="50">
        <f>VLOOKUP($A11,'Data shares'!$C:$FA,6)*100</f>
        <v>0.05</v>
      </c>
      <c r="E11" s="51">
        <f>VLOOKUP($A11,'Data shares'!$C:$FA,98)</f>
        <v>105440625</v>
      </c>
      <c r="F11" s="51">
        <f>VLOOKUP($A11,'Data shares'!$C:$FA,99)</f>
        <v>104461875</v>
      </c>
      <c r="G11" s="50">
        <f>VLOOKUP($A11,'Data shares'!$C:$FA,101)*100</f>
        <v>0.94000000000000006</v>
      </c>
      <c r="H11" s="49">
        <f>VLOOKUP($A11,'Data Vlaue (Cr)'!$C:$FB,99)</f>
        <v>13956</v>
      </c>
      <c r="I11" s="49">
        <f>VLOOKUP($A11,'Data Vlaue (Cr)'!$C:$FB,100)</f>
        <v>13827</v>
      </c>
      <c r="J11" s="49">
        <f>VLOOKUP($A11,'Data Vlaue (Cr)'!$C:$FB,102)*100</f>
        <v>0.94000000000000006</v>
      </c>
    </row>
    <row r="12" spans="1:10" x14ac:dyDescent="0.25">
      <c r="A12" s="101" t="str">
        <f>'NIFTY GRP'!C7</f>
        <v>BAJAJ-AUTO</v>
      </c>
      <c r="B12" s="140">
        <f>VLOOKUP($A12,'Data shares'!$C:$FA,7)</f>
        <v>9433.5</v>
      </c>
      <c r="C12" s="140">
        <f>VLOOKUP($A12,'Data shares'!$C:$FA,3)</f>
        <v>9459</v>
      </c>
      <c r="D12" s="50">
        <f>VLOOKUP($A12,'Data shares'!$C:$FA,6)*100</f>
        <v>-0.76</v>
      </c>
      <c r="E12" s="51">
        <f>VLOOKUP($A12,'Data shares'!$C:$FA,98)</f>
        <v>4241925</v>
      </c>
      <c r="F12" s="51">
        <f>VLOOKUP($A12,'Data shares'!$C:$FA,99)</f>
        <v>4057650</v>
      </c>
      <c r="G12" s="50">
        <f>VLOOKUP($A12,'Data shares'!$C:$FA,101)*100</f>
        <v>4.54</v>
      </c>
      <c r="H12" s="49">
        <f>VLOOKUP($A12,'Data Vlaue (Cr)'!$C:$FB,99)</f>
        <v>4012</v>
      </c>
      <c r="I12" s="49">
        <f>VLOOKUP($A12,'Data Vlaue (Cr)'!$C:$FB,100)</f>
        <v>3838</v>
      </c>
      <c r="J12" s="49">
        <f>VLOOKUP($A12,'Data Vlaue (Cr)'!$C:$FB,102)*100</f>
        <v>4.54</v>
      </c>
    </row>
    <row r="13" spans="1:10" x14ac:dyDescent="0.25">
      <c r="A13" s="101" t="str">
        <f>'NIFTY GRP'!C8</f>
        <v>BAJAJFINSV</v>
      </c>
      <c r="B13" s="140">
        <f>VLOOKUP($A13,'Data shares'!$C:$FA,7)</f>
        <v>1940.3</v>
      </c>
      <c r="C13" s="140">
        <f>VLOOKUP($A13,'Data shares'!$C:$FA,3)</f>
        <v>1951.2</v>
      </c>
      <c r="D13" s="50">
        <f>VLOOKUP($A13,'Data shares'!$C:$FA,6)*100</f>
        <v>1.22</v>
      </c>
      <c r="E13" s="51">
        <f>VLOOKUP($A13,'Data shares'!$C:$FA,98)</f>
        <v>18607250</v>
      </c>
      <c r="F13" s="51">
        <f>VLOOKUP($A13,'Data shares'!$C:$FA,99)</f>
        <v>18219500</v>
      </c>
      <c r="G13" s="50">
        <f>VLOOKUP($A13,'Data shares'!$C:$FA,101)*100</f>
        <v>2.13</v>
      </c>
      <c r="H13" s="49">
        <f>VLOOKUP($A13,'Data Vlaue (Cr)'!$C:$FB,99)</f>
        <v>3631</v>
      </c>
      <c r="I13" s="49">
        <f>VLOOKUP($A13,'Data Vlaue (Cr)'!$C:$FB,100)</f>
        <v>3555</v>
      </c>
      <c r="J13" s="49">
        <f>VLOOKUP($A13,'Data Vlaue (Cr)'!$C:$FB,102)*100</f>
        <v>2.13</v>
      </c>
    </row>
    <row r="14" spans="1:10" x14ac:dyDescent="0.25">
      <c r="A14" s="101" t="str">
        <f>'NIFTY GRP'!C9</f>
        <v>BAJFINANCE</v>
      </c>
      <c r="B14" s="140">
        <f>VLOOKUP($A14,'Data shares'!$C:$FA,7)</f>
        <v>935.15</v>
      </c>
      <c r="C14" s="140">
        <f>VLOOKUP($A14,'Data shares'!$C:$FA,3)</f>
        <v>938.65</v>
      </c>
      <c r="D14" s="50">
        <f>VLOOKUP($A14,'Data shares'!$C:$FA,6)*100</f>
        <v>1.8900000000000001</v>
      </c>
      <c r="E14" s="51">
        <f>VLOOKUP($A14,'Data shares'!$C:$FA,98)</f>
        <v>115038750</v>
      </c>
      <c r="F14" s="51">
        <f>VLOOKUP($A14,'Data shares'!$C:$FA,99)</f>
        <v>114596250</v>
      </c>
      <c r="G14" s="50">
        <f>VLOOKUP($A14,'Data shares'!$C:$FA,101)*100</f>
        <v>0.38999999999999996</v>
      </c>
      <c r="H14" s="49">
        <f>VLOOKUP($A14,'Data Vlaue (Cr)'!$C:$FB,99)</f>
        <v>10798</v>
      </c>
      <c r="I14" s="49">
        <f>VLOOKUP($A14,'Data Vlaue (Cr)'!$C:$FB,100)</f>
        <v>10757</v>
      </c>
      <c r="J14" s="49">
        <f>VLOOKUP($A14,'Data Vlaue (Cr)'!$C:$FB,102)*100</f>
        <v>0.38999999999999996</v>
      </c>
    </row>
    <row r="15" spans="1:10" x14ac:dyDescent="0.25">
      <c r="A15" s="101" t="str">
        <f>'NIFTY GRP'!C10</f>
        <v>BEL</v>
      </c>
      <c r="B15" s="140">
        <f>VLOOKUP($A15,'Data shares'!$C:$FA,7)</f>
        <v>453</v>
      </c>
      <c r="C15" s="140">
        <f>VLOOKUP($A15,'Data shares'!$C:$FA,3)</f>
        <v>455.95</v>
      </c>
      <c r="D15" s="50">
        <f>VLOOKUP($A15,'Data shares'!$C:$FA,6)*100</f>
        <v>9.24</v>
      </c>
      <c r="E15" s="51">
        <f>VLOOKUP($A15,'Data shares'!$C:$FA,98)</f>
        <v>205500675</v>
      </c>
      <c r="F15" s="51">
        <f>VLOOKUP($A15,'Data shares'!$C:$FA,99)</f>
        <v>160882500</v>
      </c>
      <c r="G15" s="50">
        <f>VLOOKUP($A15,'Data shares'!$C:$FA,101)*100</f>
        <v>27.73</v>
      </c>
      <c r="H15" s="49">
        <f>VLOOKUP($A15,'Data Vlaue (Cr)'!$C:$FB,99)</f>
        <v>9370</v>
      </c>
      <c r="I15" s="49">
        <f>VLOOKUP($A15,'Data Vlaue (Cr)'!$C:$FB,100)</f>
        <v>7335</v>
      </c>
      <c r="J15" s="49">
        <f>VLOOKUP($A15,'Data Vlaue (Cr)'!$C:$FB,102)*100</f>
        <v>27.73</v>
      </c>
    </row>
    <row r="16" spans="1:10" x14ac:dyDescent="0.25">
      <c r="A16" s="101" t="str">
        <f>'NIFTY GRP'!C11</f>
        <v>BHARTIARTL</v>
      </c>
      <c r="B16" s="140">
        <f>VLOOKUP($A16,'Data shares'!$C:$FA,7)</f>
        <v>1957.7</v>
      </c>
      <c r="C16" s="140">
        <f>VLOOKUP($A16,'Data shares'!$C:$FA,3)</f>
        <v>1968.8</v>
      </c>
      <c r="D16" s="50">
        <f>VLOOKUP($A16,'Data shares'!$C:$FA,6)*100</f>
        <v>-0.92999999999999994</v>
      </c>
      <c r="E16" s="51">
        <f>VLOOKUP($A16,'Data shares'!$C:$FA,98)</f>
        <v>64732525</v>
      </c>
      <c r="F16" s="51">
        <f>VLOOKUP($A16,'Data shares'!$C:$FA,99)</f>
        <v>59911275</v>
      </c>
      <c r="G16" s="50">
        <f>VLOOKUP($A16,'Data shares'!$C:$FA,101)*100</f>
        <v>8.0500000000000007</v>
      </c>
      <c r="H16" s="49">
        <f>VLOOKUP($A16,'Data Vlaue (Cr)'!$C:$FB,99)</f>
        <v>12745</v>
      </c>
      <c r="I16" s="49">
        <f>VLOOKUP($A16,'Data Vlaue (Cr)'!$C:$FB,100)</f>
        <v>11795</v>
      </c>
      <c r="J16" s="49">
        <f>VLOOKUP($A16,'Data Vlaue (Cr)'!$C:$FB,102)*100</f>
        <v>8.0500000000000007</v>
      </c>
    </row>
    <row r="17" spans="1:10" x14ac:dyDescent="0.25">
      <c r="A17" s="101" t="str">
        <f>'NIFTY GRP'!C12</f>
        <v>CIPLA</v>
      </c>
      <c r="B17" s="140">
        <f>VLOOKUP($A17,'Data shares'!$C:$FA,7)</f>
        <v>1328.4</v>
      </c>
      <c r="C17" s="140">
        <f>VLOOKUP($A17,'Data shares'!$C:$FA,3)</f>
        <v>1334.3</v>
      </c>
      <c r="D17" s="50">
        <f>VLOOKUP($A17,'Data shares'!$C:$FA,6)*100</f>
        <v>1.04</v>
      </c>
      <c r="E17" s="51">
        <f>VLOOKUP($A17,'Data shares'!$C:$FA,98)</f>
        <v>21015000</v>
      </c>
      <c r="F17" s="51">
        <f>VLOOKUP($A17,'Data shares'!$C:$FA,99)</f>
        <v>20663625</v>
      </c>
      <c r="G17" s="50">
        <f>VLOOKUP($A17,'Data shares'!$C:$FA,101)*100</f>
        <v>1.7000000000000002</v>
      </c>
      <c r="H17" s="49">
        <f>VLOOKUP($A17,'Data Vlaue (Cr)'!$C:$FB,99)</f>
        <v>2804</v>
      </c>
      <c r="I17" s="49">
        <f>VLOOKUP($A17,'Data Vlaue (Cr)'!$C:$FB,100)</f>
        <v>2757</v>
      </c>
      <c r="J17" s="49">
        <f>VLOOKUP($A17,'Data Vlaue (Cr)'!$C:$FB,102)*100</f>
        <v>1.7000000000000002</v>
      </c>
    </row>
    <row r="18" spans="1:10" x14ac:dyDescent="0.25">
      <c r="A18" s="101" t="str">
        <f>'NIFTY GRP'!C13</f>
        <v>COALINDIA</v>
      </c>
      <c r="B18" s="140">
        <f>VLOOKUP($A18,'Data shares'!$C:$FA,7)</f>
        <v>444.05</v>
      </c>
      <c r="C18" s="140">
        <f>VLOOKUP($A18,'Data shares'!$C:$FA,3)</f>
        <v>440.55</v>
      </c>
      <c r="D18" s="50">
        <f>VLOOKUP($A18,'Data shares'!$C:$FA,6)*100</f>
        <v>4.79</v>
      </c>
      <c r="E18" s="51">
        <f>VLOOKUP($A18,'Data shares'!$C:$FA,98)</f>
        <v>71799750</v>
      </c>
      <c r="F18" s="51">
        <f>VLOOKUP($A18,'Data shares'!$C:$FA,99)</f>
        <v>63396000</v>
      </c>
      <c r="G18" s="50">
        <f>VLOOKUP($A18,'Data shares'!$C:$FA,101)*100</f>
        <v>13.26</v>
      </c>
      <c r="H18" s="49">
        <f>VLOOKUP($A18,'Data Vlaue (Cr)'!$C:$FB,99)</f>
        <v>3163</v>
      </c>
      <c r="I18" s="49">
        <f>VLOOKUP($A18,'Data Vlaue (Cr)'!$C:$FB,100)</f>
        <v>2793</v>
      </c>
      <c r="J18" s="49">
        <f>VLOOKUP($A18,'Data Vlaue (Cr)'!$C:$FB,102)*100</f>
        <v>13.26</v>
      </c>
    </row>
    <row r="19" spans="1:10" x14ac:dyDescent="0.25">
      <c r="A19" s="101" t="str">
        <f>'NIFTY GRP'!C14</f>
        <v>DRREDDY</v>
      </c>
      <c r="B19" s="140">
        <f>VLOOKUP($A19,'Data shares'!$C:$FA,7)</f>
        <v>1222.5</v>
      </c>
      <c r="C19" s="140">
        <f>VLOOKUP($A19,'Data shares'!$C:$FA,3)</f>
        <v>1230.4000000000001</v>
      </c>
      <c r="D19" s="50">
        <f>VLOOKUP($A19,'Data shares'!$C:$FA,6)*100</f>
        <v>-1.43</v>
      </c>
      <c r="E19" s="51">
        <f>VLOOKUP($A19,'Data shares'!$C:$FA,98)</f>
        <v>19517500</v>
      </c>
      <c r="F19" s="51">
        <f>VLOOKUP($A19,'Data shares'!$C:$FA,99)</f>
        <v>18408750</v>
      </c>
      <c r="G19" s="50">
        <f>VLOOKUP($A19,'Data shares'!$C:$FA,101)*100</f>
        <v>6.02</v>
      </c>
      <c r="H19" s="49">
        <f>VLOOKUP($A19,'Data Vlaue (Cr)'!$C:$FB,99)</f>
        <v>2401</v>
      </c>
      <c r="I19" s="49">
        <f>VLOOKUP($A19,'Data Vlaue (Cr)'!$C:$FB,100)</f>
        <v>2265</v>
      </c>
      <c r="J19" s="49">
        <f>VLOOKUP($A19,'Data Vlaue (Cr)'!$C:$FB,102)*100</f>
        <v>6.02</v>
      </c>
    </row>
    <row r="20" spans="1:10" x14ac:dyDescent="0.25">
      <c r="A20" s="101" t="str">
        <f>'NIFTY GRP'!C15</f>
        <v>EICHERMOT</v>
      </c>
      <c r="B20" s="140">
        <f>VLOOKUP($A20,'Data shares'!$C:$FA,7)</f>
        <v>7071</v>
      </c>
      <c r="C20" s="140">
        <f>VLOOKUP($A20,'Data shares'!$C:$FA,3)</f>
        <v>7115.5</v>
      </c>
      <c r="D20" s="50">
        <f>VLOOKUP($A20,'Data shares'!$C:$FA,6)*100</f>
        <v>-1.03</v>
      </c>
      <c r="E20" s="51">
        <f>VLOOKUP($A20,'Data shares'!$C:$FA,98)</f>
        <v>4527900</v>
      </c>
      <c r="F20" s="51">
        <f>VLOOKUP($A20,'Data shares'!$C:$FA,99)</f>
        <v>4069000</v>
      </c>
      <c r="G20" s="50">
        <f>VLOOKUP($A20,'Data shares'!$C:$FA,101)*100</f>
        <v>11.28</v>
      </c>
      <c r="H20" s="49">
        <f>VLOOKUP($A20,'Data Vlaue (Cr)'!$C:$FB,99)</f>
        <v>3222</v>
      </c>
      <c r="I20" s="49">
        <f>VLOOKUP($A20,'Data Vlaue (Cr)'!$C:$FB,100)</f>
        <v>2895</v>
      </c>
      <c r="J20" s="49">
        <f>VLOOKUP($A20,'Data Vlaue (Cr)'!$C:$FB,102)*100</f>
        <v>11.28</v>
      </c>
    </row>
    <row r="21" spans="1:10" x14ac:dyDescent="0.25">
      <c r="A21" s="101" t="str">
        <f>'NIFTY GRP'!C16</f>
        <v>ETERNAL</v>
      </c>
      <c r="B21" s="140">
        <f>VLOOKUP($A21,'Data shares'!$C:$FA,7)</f>
        <v>266.3</v>
      </c>
      <c r="C21" s="140">
        <f>VLOOKUP($A21,'Data shares'!$C:$FA,3)</f>
        <v>267.35000000000002</v>
      </c>
      <c r="D21" s="50">
        <f>VLOOKUP($A21,'Data shares'!$C:$FA,6)*100</f>
        <v>4.5199999999999996</v>
      </c>
      <c r="E21" s="51">
        <f>VLOOKUP($A21,'Data shares'!$C:$FA,98)</f>
        <v>430507825</v>
      </c>
      <c r="F21" s="51">
        <f>VLOOKUP($A21,'Data shares'!$C:$FA,99)</f>
        <v>433427525</v>
      </c>
      <c r="G21" s="50">
        <f>VLOOKUP($A21,'Data shares'!$C:$FA,101)*100</f>
        <v>-0.67</v>
      </c>
      <c r="H21" s="49">
        <f>VLOOKUP($A21,'Data Vlaue (Cr)'!$C:$FB,99)</f>
        <v>11510</v>
      </c>
      <c r="I21" s="49">
        <f>VLOOKUP($A21,'Data Vlaue (Cr)'!$C:$FB,100)</f>
        <v>11588</v>
      </c>
      <c r="J21" s="49">
        <f>VLOOKUP($A21,'Data Vlaue (Cr)'!$C:$FB,102)*100</f>
        <v>-0.67</v>
      </c>
    </row>
    <row r="22" spans="1:10" x14ac:dyDescent="0.25">
      <c r="A22" s="101" t="str">
        <f>'NIFTY GRP'!C17</f>
        <v>GRASIM</v>
      </c>
      <c r="B22" s="140">
        <f>VLOOKUP($A22,'Data shares'!$C:$FA,7)</f>
        <v>2839.1</v>
      </c>
      <c r="C22" s="140">
        <f>VLOOKUP($A22,'Data shares'!$C:$FA,3)</f>
        <v>2856.2</v>
      </c>
      <c r="D22" s="50">
        <f>VLOOKUP($A22,'Data shares'!$C:$FA,6)*100</f>
        <v>-0.71000000000000008</v>
      </c>
      <c r="E22" s="51">
        <f>VLOOKUP($A22,'Data shares'!$C:$FA,98)</f>
        <v>17317750</v>
      </c>
      <c r="F22" s="51">
        <f>VLOOKUP($A22,'Data shares'!$C:$FA,99)</f>
        <v>16858750</v>
      </c>
      <c r="G22" s="50">
        <f>VLOOKUP($A22,'Data shares'!$C:$FA,101)*100</f>
        <v>2.7199999999999998</v>
      </c>
      <c r="H22" s="49">
        <f>VLOOKUP($A22,'Data Vlaue (Cr)'!$C:$FB,99)</f>
        <v>4946</v>
      </c>
      <c r="I22" s="49">
        <f>VLOOKUP($A22,'Data Vlaue (Cr)'!$C:$FB,100)</f>
        <v>4815</v>
      </c>
      <c r="J22" s="49">
        <f>VLOOKUP($A22,'Data Vlaue (Cr)'!$C:$FB,102)*100</f>
        <v>2.7199999999999998</v>
      </c>
    </row>
    <row r="23" spans="1:10" x14ac:dyDescent="0.25">
      <c r="A23" s="101" t="str">
        <f>'NIFTY GRP'!C18</f>
        <v>HCLTECH</v>
      </c>
      <c r="B23" s="140">
        <f>VLOOKUP($A23,'Data shares'!$C:$FA,7)</f>
        <v>1729.6</v>
      </c>
      <c r="C23" s="140">
        <f>VLOOKUP($A23,'Data shares'!$C:$FA,3)</f>
        <v>1735.8</v>
      </c>
      <c r="D23" s="50">
        <f>VLOOKUP($A23,'Data shares'!$C:$FA,6)*100</f>
        <v>0.44</v>
      </c>
      <c r="E23" s="51">
        <f>VLOOKUP($A23,'Data shares'!$C:$FA,98)</f>
        <v>21103250</v>
      </c>
      <c r="F23" s="51">
        <f>VLOOKUP($A23,'Data shares'!$C:$FA,99)</f>
        <v>20304550</v>
      </c>
      <c r="G23" s="50">
        <f>VLOOKUP($A23,'Data shares'!$C:$FA,101)*100</f>
        <v>3.93</v>
      </c>
      <c r="H23" s="49">
        <f>VLOOKUP($A23,'Data Vlaue (Cr)'!$C:$FB,99)</f>
        <v>3663</v>
      </c>
      <c r="I23" s="49">
        <f>VLOOKUP($A23,'Data Vlaue (Cr)'!$C:$FB,100)</f>
        <v>3524</v>
      </c>
      <c r="J23" s="49">
        <f>VLOOKUP($A23,'Data Vlaue (Cr)'!$C:$FB,102)*100</f>
        <v>3.93</v>
      </c>
    </row>
    <row r="24" spans="1:10" x14ac:dyDescent="0.25">
      <c r="A24" s="101" t="str">
        <f>'NIFTY GRP'!C19</f>
        <v>HDFCBANK</v>
      </c>
      <c r="B24" s="140">
        <f>VLOOKUP($A24,'Data shares'!$C:$FA,7)</f>
        <v>932.7</v>
      </c>
      <c r="C24" s="140">
        <f>VLOOKUP($A24,'Data shares'!$C:$FA,3)</f>
        <v>936.2</v>
      </c>
      <c r="D24" s="50">
        <f>VLOOKUP($A24,'Data shares'!$C:$FA,6)*100</f>
        <v>0.36</v>
      </c>
      <c r="E24" s="51">
        <f>VLOOKUP($A24,'Data shares'!$C:$FA,98)</f>
        <v>320298000</v>
      </c>
      <c r="F24" s="51">
        <f>VLOOKUP($A24,'Data shares'!$C:$FA,99)</f>
        <v>321142250</v>
      </c>
      <c r="G24" s="50">
        <f>VLOOKUP($A24,'Data shares'!$C:$FA,101)*100</f>
        <v>-0.26</v>
      </c>
      <c r="H24" s="49">
        <f>VLOOKUP($A24,'Data Vlaue (Cr)'!$C:$FB,99)</f>
        <v>29986</v>
      </c>
      <c r="I24" s="49">
        <f>VLOOKUP($A24,'Data Vlaue (Cr)'!$C:$FB,100)</f>
        <v>30065</v>
      </c>
      <c r="J24" s="49">
        <f>VLOOKUP($A24,'Data Vlaue (Cr)'!$C:$FB,102)*100</f>
        <v>-0.26</v>
      </c>
    </row>
    <row r="25" spans="1:10" x14ac:dyDescent="0.25">
      <c r="A25" s="101" t="str">
        <f>'NIFTY GRP'!C20</f>
        <v>HDFCLIFE</v>
      </c>
      <c r="B25" s="140">
        <f>VLOOKUP($A25,'Data shares'!$C:$FA,7)</f>
        <v>728.6</v>
      </c>
      <c r="C25" s="140">
        <f>VLOOKUP($A25,'Data shares'!$C:$FA,3)</f>
        <v>730.5</v>
      </c>
      <c r="D25" s="50">
        <f>VLOOKUP($A25,'Data shares'!$C:$FA,6)*100</f>
        <v>0.84</v>
      </c>
      <c r="E25" s="51">
        <f>VLOOKUP($A25,'Data shares'!$C:$FA,98)</f>
        <v>41780200</v>
      </c>
      <c r="F25" s="51">
        <f>VLOOKUP($A25,'Data shares'!$C:$FA,99)</f>
        <v>40023500</v>
      </c>
      <c r="G25" s="50">
        <f>VLOOKUP($A25,'Data shares'!$C:$FA,101)*100</f>
        <v>4.3900000000000006</v>
      </c>
      <c r="H25" s="49">
        <f>VLOOKUP($A25,'Data Vlaue (Cr)'!$C:$FB,99)</f>
        <v>3052</v>
      </c>
      <c r="I25" s="49">
        <f>VLOOKUP($A25,'Data Vlaue (Cr)'!$C:$FB,100)</f>
        <v>2924</v>
      </c>
      <c r="J25" s="49">
        <f>VLOOKUP($A25,'Data Vlaue (Cr)'!$C:$FB,102)*100</f>
        <v>4.3900000000000006</v>
      </c>
    </row>
    <row r="26" spans="1:10" x14ac:dyDescent="0.25">
      <c r="A26" s="101" t="str">
        <f>'NIFTY GRP'!C21</f>
        <v>HINDALCO</v>
      </c>
      <c r="B26" s="140">
        <f>VLOOKUP($A26,'Data shares'!$C:$FA,7)</f>
        <v>998.2</v>
      </c>
      <c r="C26" s="140">
        <f>VLOOKUP($A26,'Data shares'!$C:$FA,3)</f>
        <v>998.85</v>
      </c>
      <c r="D26" s="50">
        <f>VLOOKUP($A26,'Data shares'!$C:$FA,6)*100</f>
        <v>3.65</v>
      </c>
      <c r="E26" s="51">
        <f>VLOOKUP($A26,'Data shares'!$C:$FA,98)</f>
        <v>57048600</v>
      </c>
      <c r="F26" s="51">
        <f>VLOOKUP($A26,'Data shares'!$C:$FA,99)</f>
        <v>55309800</v>
      </c>
      <c r="G26" s="50">
        <f>VLOOKUP($A26,'Data shares'!$C:$FA,101)*100</f>
        <v>3.1399999999999997</v>
      </c>
      <c r="H26" s="49">
        <f>VLOOKUP($A26,'Data Vlaue (Cr)'!$C:$FB,99)</f>
        <v>5698</v>
      </c>
      <c r="I26" s="49">
        <f>VLOOKUP($A26,'Data Vlaue (Cr)'!$C:$FB,100)</f>
        <v>5525</v>
      </c>
      <c r="J26" s="49">
        <f>VLOOKUP($A26,'Data Vlaue (Cr)'!$C:$FB,102)*100</f>
        <v>3.1399999999999997</v>
      </c>
    </row>
    <row r="27" spans="1:10" x14ac:dyDescent="0.25">
      <c r="A27" s="101" t="str">
        <f>'NIFTY GRP'!C22</f>
        <v>HINDUNILVR</v>
      </c>
      <c r="B27" s="140">
        <f>VLOOKUP($A27,'Data shares'!$C:$FA,7)</f>
        <v>2378.4</v>
      </c>
      <c r="C27" s="140">
        <f>VLOOKUP($A27,'Data shares'!$C:$FA,3)</f>
        <v>2382.4</v>
      </c>
      <c r="D27" s="50">
        <f>VLOOKUP($A27,'Data shares'!$C:$FA,6)*100</f>
        <v>-1.46</v>
      </c>
      <c r="E27" s="51">
        <f>VLOOKUP($A27,'Data shares'!$C:$FA,98)</f>
        <v>18249900</v>
      </c>
      <c r="F27" s="51">
        <f>VLOOKUP($A27,'Data shares'!$C:$FA,99)</f>
        <v>16654200</v>
      </c>
      <c r="G27" s="50">
        <f>VLOOKUP($A27,'Data shares'!$C:$FA,101)*100</f>
        <v>9.58</v>
      </c>
      <c r="H27" s="49">
        <f>VLOOKUP($A27,'Data Vlaue (Cr)'!$C:$FB,99)</f>
        <v>4348</v>
      </c>
      <c r="I27" s="49">
        <f>VLOOKUP($A27,'Data Vlaue (Cr)'!$C:$FB,100)</f>
        <v>3968</v>
      </c>
      <c r="J27" s="49">
        <f>VLOOKUP($A27,'Data Vlaue (Cr)'!$C:$FB,102)*100</f>
        <v>9.58</v>
      </c>
    </row>
    <row r="28" spans="1:10" x14ac:dyDescent="0.25">
      <c r="A28" s="101" t="str">
        <f>'NIFTY GRP'!C23</f>
        <v>ICICIBANK</v>
      </c>
      <c r="B28" s="140">
        <f>VLOOKUP($A28,'Data shares'!$C:$FA,7)</f>
        <v>1367.7</v>
      </c>
      <c r="C28" s="140">
        <f>VLOOKUP($A28,'Data shares'!$C:$FA,3)</f>
        <v>1373.2</v>
      </c>
      <c r="D28" s="50">
        <f>VLOOKUP($A28,'Data shares'!$C:$FA,6)*100</f>
        <v>0.15</v>
      </c>
      <c r="E28" s="51">
        <f>VLOOKUP($A28,'Data shares'!$C:$FA,98)</f>
        <v>159618900</v>
      </c>
      <c r="F28" s="51">
        <f>VLOOKUP($A28,'Data shares'!$C:$FA,99)</f>
        <v>158027100</v>
      </c>
      <c r="G28" s="50">
        <f>VLOOKUP($A28,'Data shares'!$C:$FA,101)*100</f>
        <v>1.01</v>
      </c>
      <c r="H28" s="49">
        <f>VLOOKUP($A28,'Data Vlaue (Cr)'!$C:$FB,99)</f>
        <v>21919</v>
      </c>
      <c r="I28" s="49">
        <f>VLOOKUP($A28,'Data Vlaue (Cr)'!$C:$FB,100)</f>
        <v>21700</v>
      </c>
      <c r="J28" s="49">
        <f>VLOOKUP($A28,'Data Vlaue (Cr)'!$C:$FB,102)*100</f>
        <v>1.01</v>
      </c>
    </row>
    <row r="29" spans="1:10" x14ac:dyDescent="0.25">
      <c r="A29" s="101" t="str">
        <f>'NIFTY GRP'!C24</f>
        <v>INDIGO</v>
      </c>
      <c r="B29" s="140">
        <f>VLOOKUP($A29,'Data shares'!$C:$FA,7)</f>
        <v>4749</v>
      </c>
      <c r="C29" s="140">
        <f>VLOOKUP($A29,'Data shares'!$C:$FA,3)</f>
        <v>4780</v>
      </c>
      <c r="D29" s="50">
        <f>VLOOKUP($A29,'Data shares'!$C:$FA,6)*100</f>
        <v>-0.48</v>
      </c>
      <c r="E29" s="51">
        <f>VLOOKUP($A29,'Data shares'!$C:$FA,98)</f>
        <v>12474000</v>
      </c>
      <c r="F29" s="51">
        <f>VLOOKUP($A29,'Data shares'!$C:$FA,99)</f>
        <v>11562150</v>
      </c>
      <c r="G29" s="50">
        <f>VLOOKUP($A29,'Data shares'!$C:$FA,101)*100</f>
        <v>7.89</v>
      </c>
      <c r="H29" s="49">
        <f>VLOOKUP($A29,'Data Vlaue (Cr)'!$C:$FB,99)</f>
        <v>5963</v>
      </c>
      <c r="I29" s="49">
        <f>VLOOKUP($A29,'Data Vlaue (Cr)'!$C:$FB,100)</f>
        <v>5527</v>
      </c>
      <c r="J29" s="49">
        <f>VLOOKUP($A29,'Data Vlaue (Cr)'!$C:$FB,102)*100</f>
        <v>7.89</v>
      </c>
    </row>
    <row r="30" spans="1:10" x14ac:dyDescent="0.25">
      <c r="A30" s="101" t="str">
        <f>'NIFTY GRP'!C25</f>
        <v>INFY</v>
      </c>
      <c r="B30" s="140">
        <f>VLOOKUP($A30,'Data shares'!$C:$FA,7)</f>
        <v>1666.5</v>
      </c>
      <c r="C30" s="140">
        <f>VLOOKUP($A30,'Data shares'!$C:$FA,3)</f>
        <v>1673.2</v>
      </c>
      <c r="D30" s="50">
        <f>VLOOKUP($A30,'Data shares'!$C:$FA,6)*100</f>
        <v>-1.32</v>
      </c>
      <c r="E30" s="51">
        <f>VLOOKUP($A30,'Data shares'!$C:$FA,98)</f>
        <v>78214800</v>
      </c>
      <c r="F30" s="51">
        <f>VLOOKUP($A30,'Data shares'!$C:$FA,99)</f>
        <v>76092800</v>
      </c>
      <c r="G30" s="50">
        <f>VLOOKUP($A30,'Data shares'!$C:$FA,101)*100</f>
        <v>2.79</v>
      </c>
      <c r="H30" s="49">
        <f>VLOOKUP($A30,'Data Vlaue (Cr)'!$C:$FB,99)</f>
        <v>13087</v>
      </c>
      <c r="I30" s="49">
        <f>VLOOKUP($A30,'Data Vlaue (Cr)'!$C:$FB,100)</f>
        <v>12732</v>
      </c>
      <c r="J30" s="49">
        <f>VLOOKUP($A30,'Data Vlaue (Cr)'!$C:$FB,102)*100</f>
        <v>2.79</v>
      </c>
    </row>
    <row r="31" spans="1:10" x14ac:dyDescent="0.25">
      <c r="A31" s="101" t="str">
        <f>'NIFTY GRP'!C26</f>
        <v>ITC</v>
      </c>
      <c r="B31" s="140">
        <f>VLOOKUP($A31,'Data shares'!$C:$FA,7)</f>
        <v>321.14999999999998</v>
      </c>
      <c r="C31" s="140">
        <f>VLOOKUP($A31,'Data shares'!$C:$FA,3)</f>
        <v>322.75</v>
      </c>
      <c r="D31" s="50">
        <f>VLOOKUP($A31,'Data shares'!$C:$FA,6)*100</f>
        <v>0.72</v>
      </c>
      <c r="E31" s="51">
        <f>VLOOKUP($A31,'Data shares'!$C:$FA,98)</f>
        <v>337249600</v>
      </c>
      <c r="F31" s="51">
        <f>VLOOKUP($A31,'Data shares'!$C:$FA,99)</f>
        <v>317992000</v>
      </c>
      <c r="G31" s="50">
        <f>VLOOKUP($A31,'Data shares'!$C:$FA,101)*100</f>
        <v>6.0600000000000005</v>
      </c>
      <c r="H31" s="49">
        <f>VLOOKUP($A31,'Data Vlaue (Cr)'!$C:$FB,99)</f>
        <v>10885</v>
      </c>
      <c r="I31" s="49">
        <f>VLOOKUP($A31,'Data Vlaue (Cr)'!$C:$FB,100)</f>
        <v>10263</v>
      </c>
      <c r="J31" s="49">
        <f>VLOOKUP($A31,'Data Vlaue (Cr)'!$C:$FB,102)*100</f>
        <v>6.0600000000000005</v>
      </c>
    </row>
    <row r="32" spans="1:10" x14ac:dyDescent="0.25">
      <c r="A32" s="101" t="str">
        <f>'NIFTY GRP'!C27</f>
        <v>JIOFIN</v>
      </c>
      <c r="B32" s="140">
        <f>VLOOKUP($A32,'Data shares'!$C:$FA,7)</f>
        <v>255.2</v>
      </c>
      <c r="C32" s="140">
        <f>VLOOKUP($A32,'Data shares'!$C:$FA,3)</f>
        <v>256.95</v>
      </c>
      <c r="D32" s="50">
        <f>VLOOKUP($A32,'Data shares'!$C:$FA,6)*100</f>
        <v>-0.13999999999999999</v>
      </c>
      <c r="E32" s="51">
        <f>VLOOKUP($A32,'Data shares'!$C:$FA,98)</f>
        <v>260605600</v>
      </c>
      <c r="F32" s="51">
        <f>VLOOKUP($A32,'Data shares'!$C:$FA,99)</f>
        <v>242752650</v>
      </c>
      <c r="G32" s="50">
        <f>VLOOKUP($A32,'Data shares'!$C:$FA,101)*100</f>
        <v>7.35</v>
      </c>
      <c r="H32" s="49">
        <f>VLOOKUP($A32,'Data Vlaue (Cr)'!$C:$FB,99)</f>
        <v>6696</v>
      </c>
      <c r="I32" s="49">
        <f>VLOOKUP($A32,'Data Vlaue (Cr)'!$C:$FB,100)</f>
        <v>6238</v>
      </c>
      <c r="J32" s="49">
        <f>VLOOKUP($A32,'Data Vlaue (Cr)'!$C:$FB,102)*100</f>
        <v>7.35</v>
      </c>
    </row>
    <row r="33" spans="1:10" x14ac:dyDescent="0.25">
      <c r="A33" s="101" t="str">
        <f>'NIFTY GRP'!C28</f>
        <v>JSWSTEEL</v>
      </c>
      <c r="B33" s="140">
        <f>VLOOKUP($A33,'Data shares'!$C:$FA,7)</f>
        <v>1218.7</v>
      </c>
      <c r="C33" s="140">
        <f>VLOOKUP($A33,'Data shares'!$C:$FA,3)</f>
        <v>1223.5999999999999</v>
      </c>
      <c r="D33" s="50">
        <f>VLOOKUP($A33,'Data shares'!$C:$FA,6)*100</f>
        <v>-0.63</v>
      </c>
      <c r="E33" s="51">
        <f>VLOOKUP($A33,'Data shares'!$C:$FA,98)</f>
        <v>57711825</v>
      </c>
      <c r="F33" s="51">
        <f>VLOOKUP($A33,'Data shares'!$C:$FA,99)</f>
        <v>56376000</v>
      </c>
      <c r="G33" s="50">
        <f>VLOOKUP($A33,'Data shares'!$C:$FA,101)*100</f>
        <v>2.37</v>
      </c>
      <c r="H33" s="49">
        <f>VLOOKUP($A33,'Data Vlaue (Cr)'!$C:$FB,99)</f>
        <v>7062</v>
      </c>
      <c r="I33" s="49">
        <f>VLOOKUP($A33,'Data Vlaue (Cr)'!$C:$FB,100)</f>
        <v>6898</v>
      </c>
      <c r="J33" s="49">
        <f>VLOOKUP($A33,'Data Vlaue (Cr)'!$C:$FB,102)*100</f>
        <v>2.37</v>
      </c>
    </row>
    <row r="34" spans="1:10" x14ac:dyDescent="0.25">
      <c r="A34" s="101" t="str">
        <f>'NIFTY GRP'!C29</f>
        <v>KOTAKBANK</v>
      </c>
      <c r="B34" s="140">
        <f>VLOOKUP($A34,'Data shares'!$C:$FA,7)</f>
        <v>412.4</v>
      </c>
      <c r="C34" s="140">
        <f>VLOOKUP($A34,'Data shares'!$C:$FA,3)</f>
        <v>413.8</v>
      </c>
      <c r="D34" s="50">
        <f>VLOOKUP($A34,'Data shares'!$C:$FA,6)*100</f>
        <v>0.57999999999999996</v>
      </c>
      <c r="E34" s="51">
        <f>VLOOKUP($A34,'Data shares'!$C:$FA,98)</f>
        <v>236018000</v>
      </c>
      <c r="F34" s="51">
        <f>VLOOKUP($A34,'Data shares'!$C:$FA,99)</f>
        <v>229722000</v>
      </c>
      <c r="G34" s="50">
        <f>VLOOKUP($A34,'Data shares'!$C:$FA,101)*100</f>
        <v>2.74</v>
      </c>
      <c r="H34" s="49">
        <f>VLOOKUP($A34,'Data Vlaue (Cr)'!$C:$FB,99)</f>
        <v>9766</v>
      </c>
      <c r="I34" s="49">
        <f>VLOOKUP($A34,'Data Vlaue (Cr)'!$C:$FB,100)</f>
        <v>9506</v>
      </c>
      <c r="J34" s="49">
        <f>VLOOKUP($A34,'Data Vlaue (Cr)'!$C:$FB,102)*100</f>
        <v>2.74</v>
      </c>
    </row>
    <row r="35" spans="1:10" x14ac:dyDescent="0.25">
      <c r="A35" s="101" t="str">
        <f>'NIFTY GRP'!C30</f>
        <v>LT</v>
      </c>
      <c r="B35" s="140">
        <f>VLOOKUP($A35,'Data shares'!$C:$FA,7)</f>
        <v>3794</v>
      </c>
      <c r="C35" s="140">
        <f>VLOOKUP($A35,'Data shares'!$C:$FA,3)</f>
        <v>3815.8</v>
      </c>
      <c r="D35" s="50">
        <f>VLOOKUP($A35,'Data shares'!$C:$FA,6)*100</f>
        <v>0.19</v>
      </c>
      <c r="E35" s="51">
        <f>VLOOKUP($A35,'Data shares'!$C:$FA,98)</f>
        <v>22885800</v>
      </c>
      <c r="F35" s="51">
        <f>VLOOKUP($A35,'Data shares'!$C:$FA,99)</f>
        <v>19292525</v>
      </c>
      <c r="G35" s="50">
        <f>VLOOKUP($A35,'Data shares'!$C:$FA,101)*100</f>
        <v>18.63</v>
      </c>
      <c r="H35" s="49">
        <f>VLOOKUP($A35,'Data Vlaue (Cr)'!$C:$FB,99)</f>
        <v>8733</v>
      </c>
      <c r="I35" s="49">
        <f>VLOOKUP($A35,'Data Vlaue (Cr)'!$C:$FB,100)</f>
        <v>7362</v>
      </c>
      <c r="J35" s="49">
        <f>VLOOKUP($A35,'Data Vlaue (Cr)'!$C:$FB,102)*100</f>
        <v>18.63</v>
      </c>
    </row>
    <row r="36" spans="1:10" x14ac:dyDescent="0.25">
      <c r="A36" s="101" t="str">
        <f>'NIFTY GRP'!C31</f>
        <v>M&amp;M</v>
      </c>
      <c r="B36" s="140">
        <f>VLOOKUP($A36,'Data shares'!$C:$FA,7)</f>
        <v>3449.2</v>
      </c>
      <c r="C36" s="140">
        <f>VLOOKUP($A36,'Data shares'!$C:$FA,3)</f>
        <v>3470.4</v>
      </c>
      <c r="D36" s="50">
        <f>VLOOKUP($A36,'Data shares'!$C:$FA,6)*100</f>
        <v>1.55</v>
      </c>
      <c r="E36" s="51">
        <f>VLOOKUP($A36,'Data shares'!$C:$FA,98)</f>
        <v>22986600</v>
      </c>
      <c r="F36" s="51">
        <f>VLOOKUP($A36,'Data shares'!$C:$FA,99)</f>
        <v>21799400</v>
      </c>
      <c r="G36" s="50">
        <f>VLOOKUP($A36,'Data shares'!$C:$FA,101)*100</f>
        <v>5.45</v>
      </c>
      <c r="H36" s="49">
        <f>VLOOKUP($A36,'Data Vlaue (Cr)'!$C:$FB,99)</f>
        <v>7977</v>
      </c>
      <c r="I36" s="49">
        <f>VLOOKUP($A36,'Data Vlaue (Cr)'!$C:$FB,100)</f>
        <v>7565</v>
      </c>
      <c r="J36" s="49">
        <f>VLOOKUP($A36,'Data Vlaue (Cr)'!$C:$FB,102)*100</f>
        <v>5.45</v>
      </c>
    </row>
    <row r="37" spans="1:10" x14ac:dyDescent="0.25">
      <c r="A37" s="101" t="str">
        <f>'NIFTY GRP'!C32</f>
        <v>MARUTI</v>
      </c>
      <c r="B37" s="140">
        <f>VLOOKUP($A37,'Data shares'!$C:$FA,7)</f>
        <v>14877</v>
      </c>
      <c r="C37" s="140">
        <f>VLOOKUP($A37,'Data shares'!$C:$FA,3)</f>
        <v>14950</v>
      </c>
      <c r="D37" s="50">
        <f>VLOOKUP($A37,'Data shares'!$C:$FA,6)*100</f>
        <v>-2.5499999999999998</v>
      </c>
      <c r="E37" s="51">
        <f>VLOOKUP($A37,'Data shares'!$C:$FA,98)</f>
        <v>6144900</v>
      </c>
      <c r="F37" s="51">
        <f>VLOOKUP($A37,'Data shares'!$C:$FA,99)</f>
        <v>4083950</v>
      </c>
      <c r="G37" s="50">
        <f>VLOOKUP($A37,'Data shares'!$C:$FA,101)*100</f>
        <v>50.460000000000008</v>
      </c>
      <c r="H37" s="49">
        <f>VLOOKUP($A37,'Data Vlaue (Cr)'!$C:$FB,99)</f>
        <v>9187</v>
      </c>
      <c r="I37" s="49">
        <f>VLOOKUP($A37,'Data Vlaue (Cr)'!$C:$FB,100)</f>
        <v>6106</v>
      </c>
      <c r="J37" s="49">
        <f>VLOOKUP($A37,'Data Vlaue (Cr)'!$C:$FB,102)*100</f>
        <v>50.460000000000008</v>
      </c>
    </row>
    <row r="38" spans="1:10" x14ac:dyDescent="0.25">
      <c r="A38" s="101" t="str">
        <f>'NIFTY GRP'!C33</f>
        <v>MAXHEALTH</v>
      </c>
      <c r="B38" s="140">
        <f>VLOOKUP($A38,'Data shares'!$C:$FA,7)</f>
        <v>958.6</v>
      </c>
      <c r="C38" s="140">
        <f>VLOOKUP($A38,'Data shares'!$C:$FA,3)</f>
        <v>964</v>
      </c>
      <c r="D38" s="50">
        <f>VLOOKUP($A38,'Data shares'!$C:$FA,6)*100</f>
        <v>-1.8900000000000001</v>
      </c>
      <c r="E38" s="51">
        <f>VLOOKUP($A38,'Data shares'!$C:$FA,98)</f>
        <v>21025200</v>
      </c>
      <c r="F38" s="51">
        <f>VLOOKUP($A38,'Data shares'!$C:$FA,99)</f>
        <v>19980450</v>
      </c>
      <c r="G38" s="50">
        <f>VLOOKUP($A38,'Data shares'!$C:$FA,101)*100</f>
        <v>5.2299999999999995</v>
      </c>
      <c r="H38" s="49">
        <f>VLOOKUP($A38,'Data Vlaue (Cr)'!$C:$FB,99)</f>
        <v>2027</v>
      </c>
      <c r="I38" s="49">
        <f>VLOOKUP($A38,'Data Vlaue (Cr)'!$C:$FB,100)</f>
        <v>1926</v>
      </c>
      <c r="J38" s="49">
        <f>VLOOKUP($A38,'Data Vlaue (Cr)'!$C:$FB,102)*100</f>
        <v>5.2299999999999995</v>
      </c>
    </row>
    <row r="39" spans="1:10" x14ac:dyDescent="0.25">
      <c r="A39" s="101" t="str">
        <f>'NIFTY GRP'!C34</f>
        <v>NESTLEIND</v>
      </c>
      <c r="B39" s="140">
        <f>VLOOKUP($A39,'Data shares'!$C:$FA,7)</f>
        <v>1292.4000000000001</v>
      </c>
      <c r="C39" s="140">
        <f>VLOOKUP($A39,'Data shares'!$C:$FA,3)</f>
        <v>1288.5999999999999</v>
      </c>
      <c r="D39" s="50">
        <f>VLOOKUP($A39,'Data shares'!$C:$FA,6)*100</f>
        <v>-1.23</v>
      </c>
      <c r="E39" s="51">
        <f>VLOOKUP($A39,'Data shares'!$C:$FA,98)</f>
        <v>20366000</v>
      </c>
      <c r="F39" s="51">
        <f>VLOOKUP($A39,'Data shares'!$C:$FA,99)</f>
        <v>19201500</v>
      </c>
      <c r="G39" s="50">
        <f>VLOOKUP($A39,'Data shares'!$C:$FA,101)*100</f>
        <v>6.0600000000000005</v>
      </c>
      <c r="H39" s="49">
        <f>VLOOKUP($A39,'Data Vlaue (Cr)'!$C:$FB,99)</f>
        <v>2624</v>
      </c>
      <c r="I39" s="49">
        <f>VLOOKUP($A39,'Data Vlaue (Cr)'!$C:$FB,100)</f>
        <v>2474</v>
      </c>
      <c r="J39" s="49">
        <f>VLOOKUP($A39,'Data Vlaue (Cr)'!$C:$FB,102)*100</f>
        <v>6.0600000000000005</v>
      </c>
    </row>
    <row r="40" spans="1:10" x14ac:dyDescent="0.25">
      <c r="A40" s="101" t="str">
        <f>'NIFTY GRP'!C35</f>
        <v>NTPC</v>
      </c>
      <c r="B40" s="140">
        <f>VLOOKUP($A40,'Data shares'!$C:$FA,7)</f>
        <v>348.05</v>
      </c>
      <c r="C40" s="140">
        <f>VLOOKUP($A40,'Data shares'!$C:$FA,3)</f>
        <v>347.5</v>
      </c>
      <c r="D40" s="50">
        <f>VLOOKUP($A40,'Data shares'!$C:$FA,6)*100</f>
        <v>1.1599999999999999</v>
      </c>
      <c r="E40" s="51">
        <f>VLOOKUP($A40,'Data shares'!$C:$FA,98)</f>
        <v>115327500</v>
      </c>
      <c r="F40" s="51">
        <f>VLOOKUP($A40,'Data shares'!$C:$FA,99)</f>
        <v>107226000</v>
      </c>
      <c r="G40" s="50">
        <f>VLOOKUP($A40,'Data shares'!$C:$FA,101)*100</f>
        <v>7.5600000000000005</v>
      </c>
      <c r="H40" s="49">
        <f>VLOOKUP($A40,'Data Vlaue (Cr)'!$C:$FB,99)</f>
        <v>4008</v>
      </c>
      <c r="I40" s="49">
        <f>VLOOKUP($A40,'Data Vlaue (Cr)'!$C:$FB,100)</f>
        <v>3726</v>
      </c>
      <c r="J40" s="49">
        <f>VLOOKUP($A40,'Data Vlaue (Cr)'!$C:$FB,102)*100</f>
        <v>7.5600000000000005</v>
      </c>
    </row>
    <row r="41" spans="1:10" x14ac:dyDescent="0.25">
      <c r="A41" s="101" t="str">
        <f>'NIFTY GRP'!C36</f>
        <v>ONGC</v>
      </c>
      <c r="B41" s="140">
        <f>VLOOKUP($A41,'Data shares'!$C:$FA,7)</f>
        <v>268.58</v>
      </c>
      <c r="C41" s="140">
        <f>VLOOKUP($A41,'Data shares'!$C:$FA,3)</f>
        <v>267.95</v>
      </c>
      <c r="D41" s="50">
        <f>VLOOKUP($A41,'Data shares'!$C:$FA,6)*100</f>
        <v>8.1</v>
      </c>
      <c r="E41" s="51">
        <f>VLOOKUP($A41,'Data shares'!$C:$FA,98)</f>
        <v>144087750</v>
      </c>
      <c r="F41" s="51">
        <f>VLOOKUP($A41,'Data shares'!$C:$FA,99)</f>
        <v>112227750</v>
      </c>
      <c r="G41" s="50">
        <f>VLOOKUP($A41,'Data shares'!$C:$FA,101)*100</f>
        <v>28.389999999999997</v>
      </c>
      <c r="H41" s="49">
        <f>VLOOKUP($A41,'Data Vlaue (Cr)'!$C:$FB,99)</f>
        <v>3861</v>
      </c>
      <c r="I41" s="49">
        <f>VLOOKUP($A41,'Data Vlaue (Cr)'!$C:$FB,100)</f>
        <v>3007</v>
      </c>
      <c r="J41" s="49">
        <f>VLOOKUP($A41,'Data Vlaue (Cr)'!$C:$FB,102)*100</f>
        <v>28.389999999999997</v>
      </c>
    </row>
    <row r="42" spans="1:10" x14ac:dyDescent="0.25">
      <c r="A42" s="101" t="str">
        <f>'NIFTY GRP'!C37</f>
        <v>POWERGRID</v>
      </c>
      <c r="B42" s="140">
        <f>VLOOKUP($A42,'Data shares'!$C:$FA,7)</f>
        <v>259.8</v>
      </c>
      <c r="C42" s="140">
        <f>VLOOKUP($A42,'Data shares'!$C:$FA,3)</f>
        <v>257.89999999999998</v>
      </c>
      <c r="D42" s="50">
        <f>VLOOKUP($A42,'Data shares'!$C:$FA,6)*100</f>
        <v>2.08</v>
      </c>
      <c r="E42" s="51">
        <f>VLOOKUP($A42,'Data shares'!$C:$FA,98)</f>
        <v>133408500</v>
      </c>
      <c r="F42" s="51">
        <f>VLOOKUP($A42,'Data shares'!$C:$FA,99)</f>
        <v>125183400</v>
      </c>
      <c r="G42" s="50">
        <f>VLOOKUP($A42,'Data shares'!$C:$FA,101)*100</f>
        <v>6.5699999999999994</v>
      </c>
      <c r="H42" s="49">
        <f>VLOOKUP($A42,'Data Vlaue (Cr)'!$C:$FB,99)</f>
        <v>3441</v>
      </c>
      <c r="I42" s="49">
        <f>VLOOKUP($A42,'Data Vlaue (Cr)'!$C:$FB,100)</f>
        <v>3228</v>
      </c>
      <c r="J42" s="49">
        <f>VLOOKUP($A42,'Data Vlaue (Cr)'!$C:$FB,102)*100</f>
        <v>6.5699999999999994</v>
      </c>
    </row>
    <row r="43" spans="1:10" x14ac:dyDescent="0.25">
      <c r="A43" s="101" t="str">
        <f>'NIFTY GRP'!C38</f>
        <v>RELIANCE</v>
      </c>
      <c r="B43" s="140">
        <f>VLOOKUP($A43,'Data shares'!$C:$FA,7)</f>
        <v>1396.7</v>
      </c>
      <c r="C43" s="140">
        <f>VLOOKUP($A43,'Data shares'!$C:$FA,3)</f>
        <v>1402.7</v>
      </c>
      <c r="D43" s="50">
        <f>VLOOKUP($A43,'Data shares'!$C:$FA,6)*100</f>
        <v>0.88</v>
      </c>
      <c r="E43" s="51">
        <f>VLOOKUP($A43,'Data shares'!$C:$FA,98)</f>
        <v>185674500</v>
      </c>
      <c r="F43" s="51">
        <f>VLOOKUP($A43,'Data shares'!$C:$FA,99)</f>
        <v>181134500</v>
      </c>
      <c r="G43" s="50">
        <f>VLOOKUP($A43,'Data shares'!$C:$FA,101)*100</f>
        <v>2.5100000000000002</v>
      </c>
      <c r="H43" s="49">
        <f>VLOOKUP($A43,'Data Vlaue (Cr)'!$C:$FB,99)</f>
        <v>26045</v>
      </c>
      <c r="I43" s="49">
        <f>VLOOKUP($A43,'Data Vlaue (Cr)'!$C:$FB,100)</f>
        <v>25408</v>
      </c>
      <c r="J43" s="49">
        <f>VLOOKUP($A43,'Data Vlaue (Cr)'!$C:$FB,102)*100</f>
        <v>2.5100000000000002</v>
      </c>
    </row>
    <row r="44" spans="1:10" x14ac:dyDescent="0.25">
      <c r="A44" s="101" t="str">
        <f>'NIFTY GRP'!C39</f>
        <v>SBILIFE</v>
      </c>
      <c r="B44" s="140">
        <f>VLOOKUP($A44,'Data shares'!$C:$FA,7)</f>
        <v>2053.1999999999998</v>
      </c>
      <c r="C44" s="140">
        <f>VLOOKUP($A44,'Data shares'!$C:$FA,3)</f>
        <v>2060.6999999999998</v>
      </c>
      <c r="D44" s="50">
        <f>VLOOKUP($A44,'Data shares'!$C:$FA,6)*100</f>
        <v>0.38999999999999996</v>
      </c>
      <c r="E44" s="51">
        <f>VLOOKUP($A44,'Data shares'!$C:$FA,98)</f>
        <v>13054125</v>
      </c>
      <c r="F44" s="51">
        <f>VLOOKUP($A44,'Data shares'!$C:$FA,99)</f>
        <v>10918125</v>
      </c>
      <c r="G44" s="50">
        <f>VLOOKUP($A44,'Data shares'!$C:$FA,101)*100</f>
        <v>19.559999999999999</v>
      </c>
      <c r="H44" s="49">
        <f>VLOOKUP($A44,'Data Vlaue (Cr)'!$C:$FB,99)</f>
        <v>2690</v>
      </c>
      <c r="I44" s="49">
        <f>VLOOKUP($A44,'Data Vlaue (Cr)'!$C:$FB,100)</f>
        <v>2250</v>
      </c>
      <c r="J44" s="49">
        <f>VLOOKUP($A44,'Data Vlaue (Cr)'!$C:$FB,102)*100</f>
        <v>19.559999999999999</v>
      </c>
    </row>
    <row r="45" spans="1:10" x14ac:dyDescent="0.25">
      <c r="A45" s="101" t="str">
        <f>'NIFTY GRP'!C40</f>
        <v>SBIN</v>
      </c>
      <c r="B45" s="140">
        <f>VLOOKUP($A45,'Data shares'!$C:$FA,7)</f>
        <v>1063.5</v>
      </c>
      <c r="C45" s="140">
        <f>VLOOKUP($A45,'Data shares'!$C:$FA,3)</f>
        <v>1067.3</v>
      </c>
      <c r="D45" s="50">
        <f>VLOOKUP($A45,'Data shares'!$C:$FA,6)*100</f>
        <v>0.84</v>
      </c>
      <c r="E45" s="51">
        <f>VLOOKUP($A45,'Data shares'!$C:$FA,98)</f>
        <v>105625500</v>
      </c>
      <c r="F45" s="51">
        <f>VLOOKUP($A45,'Data shares'!$C:$FA,99)</f>
        <v>99668250</v>
      </c>
      <c r="G45" s="50">
        <f>VLOOKUP($A45,'Data shares'!$C:$FA,101)*100</f>
        <v>5.9799999999999995</v>
      </c>
      <c r="H45" s="49">
        <f>VLOOKUP($A45,'Data Vlaue (Cr)'!$C:$FB,99)</f>
        <v>11273</v>
      </c>
      <c r="I45" s="49">
        <f>VLOOKUP($A45,'Data Vlaue (Cr)'!$C:$FB,100)</f>
        <v>10638</v>
      </c>
      <c r="J45" s="49">
        <f>VLOOKUP($A45,'Data Vlaue (Cr)'!$C:$FB,102)*100</f>
        <v>5.9799999999999995</v>
      </c>
    </row>
    <row r="46" spans="1:10" x14ac:dyDescent="0.25">
      <c r="A46" s="101" t="str">
        <f>'NIFTY GRP'!C41</f>
        <v>SHRIRAMFIN</v>
      </c>
      <c r="B46" s="140">
        <f>VLOOKUP($A46,'Data shares'!$C:$FA,7)</f>
        <v>1018.8</v>
      </c>
      <c r="C46" s="140">
        <f>VLOOKUP($A46,'Data shares'!$C:$FA,3)</f>
        <v>1022.55</v>
      </c>
      <c r="D46" s="50">
        <f>VLOOKUP($A46,'Data shares'!$C:$FA,6)*100</f>
        <v>1.6099999999999999</v>
      </c>
      <c r="E46" s="51">
        <f>VLOOKUP($A46,'Data shares'!$C:$FA,98)</f>
        <v>56208900</v>
      </c>
      <c r="F46" s="51">
        <f>VLOOKUP($A46,'Data shares'!$C:$FA,99)</f>
        <v>54789900</v>
      </c>
      <c r="G46" s="50">
        <f>VLOOKUP($A46,'Data shares'!$C:$FA,101)*100</f>
        <v>2.59</v>
      </c>
      <c r="H46" s="49">
        <f>VLOOKUP($A46,'Data Vlaue (Cr)'!$C:$FB,99)</f>
        <v>5748</v>
      </c>
      <c r="I46" s="49">
        <f>VLOOKUP($A46,'Data Vlaue (Cr)'!$C:$FB,100)</f>
        <v>5603</v>
      </c>
      <c r="J46" s="49">
        <f>VLOOKUP($A46,'Data Vlaue (Cr)'!$C:$FB,102)*100</f>
        <v>2.59</v>
      </c>
    </row>
    <row r="47" spans="1:10" x14ac:dyDescent="0.25">
      <c r="A47" s="101" t="str">
        <f>'NIFTY GRP'!C42</f>
        <v>SUNPHARMA</v>
      </c>
      <c r="B47" s="140">
        <f>VLOOKUP($A47,'Data shares'!$C:$FA,7)</f>
        <v>1610.6</v>
      </c>
      <c r="C47" s="140">
        <f>VLOOKUP($A47,'Data shares'!$C:$FA,3)</f>
        <v>1608</v>
      </c>
      <c r="D47" s="50">
        <f>VLOOKUP($A47,'Data shares'!$C:$FA,6)*100</f>
        <v>-1.87</v>
      </c>
      <c r="E47" s="51">
        <f>VLOOKUP($A47,'Data shares'!$C:$FA,98)</f>
        <v>25401600</v>
      </c>
      <c r="F47" s="51">
        <f>VLOOKUP($A47,'Data shares'!$C:$FA,99)</f>
        <v>23250150</v>
      </c>
      <c r="G47" s="50">
        <f>VLOOKUP($A47,'Data shares'!$C:$FA,101)*100</f>
        <v>9.25</v>
      </c>
      <c r="H47" s="49">
        <f>VLOOKUP($A47,'Data Vlaue (Cr)'!$C:$FB,99)</f>
        <v>4085</v>
      </c>
      <c r="I47" s="49">
        <f>VLOOKUP($A47,'Data Vlaue (Cr)'!$C:$FB,100)</f>
        <v>3739</v>
      </c>
      <c r="J47" s="49">
        <f>VLOOKUP($A47,'Data Vlaue (Cr)'!$C:$FB,102)*100</f>
        <v>9.25</v>
      </c>
    </row>
    <row r="48" spans="1:10" x14ac:dyDescent="0.25">
      <c r="A48" s="101" t="str">
        <f>'NIFTY GRP'!C43</f>
        <v>TATACONSUM</v>
      </c>
      <c r="B48" s="140">
        <f>VLOOKUP($A48,'Data shares'!$C:$FA,7)</f>
        <v>1131.8</v>
      </c>
      <c r="C48" s="140">
        <f>VLOOKUP($A48,'Data shares'!$C:$FA,3)</f>
        <v>1136.0999999999999</v>
      </c>
      <c r="D48" s="50">
        <f>VLOOKUP($A48,'Data shares'!$C:$FA,6)*100</f>
        <v>-4.82</v>
      </c>
      <c r="E48" s="51">
        <f>VLOOKUP($A48,'Data shares'!$C:$FA,98)</f>
        <v>19094350</v>
      </c>
      <c r="F48" s="51">
        <f>VLOOKUP($A48,'Data shares'!$C:$FA,99)</f>
        <v>14868150</v>
      </c>
      <c r="G48" s="50">
        <f>VLOOKUP($A48,'Data shares'!$C:$FA,101)*100</f>
        <v>28.42</v>
      </c>
      <c r="H48" s="49">
        <f>VLOOKUP($A48,'Data Vlaue (Cr)'!$C:$FB,99)</f>
        <v>2169</v>
      </c>
      <c r="I48" s="49">
        <f>VLOOKUP($A48,'Data Vlaue (Cr)'!$C:$FB,100)</f>
        <v>1689</v>
      </c>
      <c r="J48" s="49">
        <f>VLOOKUP($A48,'Data Vlaue (Cr)'!$C:$FB,102)*100</f>
        <v>28.42</v>
      </c>
    </row>
    <row r="49" spans="1:10" x14ac:dyDescent="0.25">
      <c r="A49" s="101" t="str">
        <f>'NIFTY GRP'!C44</f>
        <v>TATASTEEL</v>
      </c>
      <c r="B49" s="140">
        <f>VLOOKUP($A49,'Data shares'!$C:$FA,7)</f>
        <v>193.85</v>
      </c>
      <c r="C49" s="140">
        <f>VLOOKUP($A49,'Data shares'!$C:$FA,3)</f>
        <v>195.01</v>
      </c>
      <c r="D49" s="50">
        <f>VLOOKUP($A49,'Data shares'!$C:$FA,6)*100</f>
        <v>0.98</v>
      </c>
      <c r="E49" s="51">
        <f>VLOOKUP($A49,'Data shares'!$C:$FA,98)</f>
        <v>379626500</v>
      </c>
      <c r="F49" s="51">
        <f>VLOOKUP($A49,'Data shares'!$C:$FA,99)</f>
        <v>367499000</v>
      </c>
      <c r="G49" s="50">
        <f>VLOOKUP($A49,'Data shares'!$C:$FA,101)*100</f>
        <v>3.3000000000000003</v>
      </c>
      <c r="H49" s="49">
        <f>VLOOKUP($A49,'Data Vlaue (Cr)'!$C:$FB,99)</f>
        <v>7403</v>
      </c>
      <c r="I49" s="49">
        <f>VLOOKUP($A49,'Data Vlaue (Cr)'!$C:$FB,100)</f>
        <v>7167</v>
      </c>
      <c r="J49" s="49">
        <f>VLOOKUP($A49,'Data Vlaue (Cr)'!$C:$FB,102)*100</f>
        <v>3.3000000000000003</v>
      </c>
    </row>
    <row r="50" spans="1:10" x14ac:dyDescent="0.25">
      <c r="A50" s="101" t="str">
        <f>'NIFTY GRP'!C45</f>
        <v>TCS</v>
      </c>
      <c r="B50" s="140">
        <f>VLOOKUP($A50,'Data shares'!$C:$FA,7)</f>
        <v>3200.1</v>
      </c>
      <c r="C50" s="140">
        <f>VLOOKUP($A50,'Data shares'!$C:$FA,3)</f>
        <v>3210</v>
      </c>
      <c r="D50" s="50">
        <f>VLOOKUP($A50,'Data shares'!$C:$FA,6)*100</f>
        <v>0.95</v>
      </c>
      <c r="E50" s="51">
        <f>VLOOKUP($A50,'Data shares'!$C:$FA,98)</f>
        <v>27902000</v>
      </c>
      <c r="F50" s="51">
        <f>VLOOKUP($A50,'Data shares'!$C:$FA,99)</f>
        <v>27406575</v>
      </c>
      <c r="G50" s="50">
        <f>VLOOKUP($A50,'Data shares'!$C:$FA,101)*100</f>
        <v>1.81</v>
      </c>
      <c r="H50" s="49">
        <f>VLOOKUP($A50,'Data Vlaue (Cr)'!$C:$FB,99)</f>
        <v>8957</v>
      </c>
      <c r="I50" s="49">
        <f>VLOOKUP($A50,'Data Vlaue (Cr)'!$C:$FB,100)</f>
        <v>8798</v>
      </c>
      <c r="J50" s="49">
        <f>VLOOKUP($A50,'Data Vlaue (Cr)'!$C:$FB,102)*100</f>
        <v>1.81</v>
      </c>
    </row>
    <row r="51" spans="1:10" x14ac:dyDescent="0.25">
      <c r="A51" s="101" t="str">
        <f>'NIFTY GRP'!C46</f>
        <v>TECHM</v>
      </c>
      <c r="B51" s="140">
        <f>VLOOKUP($A51,'Data shares'!$C:$FA,7)</f>
        <v>1762.9</v>
      </c>
      <c r="C51" s="140">
        <f>VLOOKUP($A51,'Data shares'!$C:$FA,3)</f>
        <v>1769.4</v>
      </c>
      <c r="D51" s="50">
        <f>VLOOKUP($A51,'Data shares'!$C:$FA,6)*100</f>
        <v>0.88</v>
      </c>
      <c r="E51" s="51">
        <f>VLOOKUP($A51,'Data shares'!$C:$FA,98)</f>
        <v>23602800</v>
      </c>
      <c r="F51" s="51">
        <f>VLOOKUP($A51,'Data shares'!$C:$FA,99)</f>
        <v>23160000</v>
      </c>
      <c r="G51" s="50">
        <f>VLOOKUP($A51,'Data shares'!$C:$FA,101)*100</f>
        <v>1.91</v>
      </c>
      <c r="H51" s="49">
        <f>VLOOKUP($A51,'Data Vlaue (Cr)'!$C:$FB,99)</f>
        <v>4176</v>
      </c>
      <c r="I51" s="49">
        <f>VLOOKUP($A51,'Data Vlaue (Cr)'!$C:$FB,100)</f>
        <v>4098</v>
      </c>
      <c r="J51" s="49">
        <f>VLOOKUP($A51,'Data Vlaue (Cr)'!$C:$FB,102)*100</f>
        <v>1.91</v>
      </c>
    </row>
    <row r="52" spans="1:10" x14ac:dyDescent="0.25">
      <c r="A52" s="101" t="str">
        <f>'NIFTY GRP'!C47</f>
        <v>TITAN</v>
      </c>
      <c r="B52" s="140">
        <f>VLOOKUP($A52,'Data shares'!$C:$FA,7)</f>
        <v>3975.2</v>
      </c>
      <c r="C52" s="140">
        <f>VLOOKUP($A52,'Data shares'!$C:$FA,3)</f>
        <v>3990.6</v>
      </c>
      <c r="D52" s="50">
        <f>VLOOKUP($A52,'Data shares'!$C:$FA,6)*100</f>
        <v>-0.86999999999999988</v>
      </c>
      <c r="E52" s="51">
        <f>VLOOKUP($A52,'Data shares'!$C:$FA,98)</f>
        <v>11240250</v>
      </c>
      <c r="F52" s="51">
        <f>VLOOKUP($A52,'Data shares'!$C:$FA,99)</f>
        <v>10799250</v>
      </c>
      <c r="G52" s="50">
        <f>VLOOKUP($A52,'Data shares'!$C:$FA,101)*100</f>
        <v>4.08</v>
      </c>
      <c r="H52" s="49">
        <f>VLOOKUP($A52,'Data Vlaue (Cr)'!$C:$FB,99)</f>
        <v>4486</v>
      </c>
      <c r="I52" s="49">
        <f>VLOOKUP($A52,'Data Vlaue (Cr)'!$C:$FB,100)</f>
        <v>4310</v>
      </c>
      <c r="J52" s="49">
        <f>VLOOKUP($A52,'Data Vlaue (Cr)'!$C:$FB,102)*100</f>
        <v>4.08</v>
      </c>
    </row>
    <row r="53" spans="1:10" x14ac:dyDescent="0.25">
      <c r="A53" s="101" t="str">
        <f>'NIFTY GRP'!C48</f>
        <v>TMPV</v>
      </c>
      <c r="B53" s="140">
        <f>VLOOKUP($A53,'Data shares'!$C:$FA,7)</f>
        <v>340.45</v>
      </c>
      <c r="C53" s="140">
        <f>VLOOKUP($A53,'Data shares'!$C:$FA,3)</f>
        <v>341.95</v>
      </c>
      <c r="D53" s="50">
        <f>VLOOKUP($A53,'Data shares'!$C:$FA,6)*100</f>
        <v>6.9999999999999993E-2</v>
      </c>
      <c r="E53" s="51">
        <f>VLOOKUP($A53,'Data shares'!$C:$FA,98)</f>
        <v>120024800</v>
      </c>
      <c r="F53" s="51">
        <f>VLOOKUP($A53,'Data shares'!$C:$FA,99)</f>
        <v>114050400</v>
      </c>
      <c r="G53" s="50">
        <f>VLOOKUP($A53,'Data shares'!$C:$FA,101)*100</f>
        <v>5.24</v>
      </c>
      <c r="H53" s="49">
        <f>VLOOKUP($A53,'Data Vlaue (Cr)'!$C:$FB,99)</f>
        <v>4104</v>
      </c>
      <c r="I53" s="49">
        <f>VLOOKUP($A53,'Data Vlaue (Cr)'!$C:$FB,100)</f>
        <v>3900</v>
      </c>
      <c r="J53" s="49">
        <f>VLOOKUP($A53,'Data Vlaue (Cr)'!$C:$FB,102)*100</f>
        <v>5.24</v>
      </c>
    </row>
    <row r="54" spans="1:10" x14ac:dyDescent="0.25">
      <c r="A54" s="101" t="str">
        <f>'NIFTY GRP'!C49</f>
        <v>TRENT</v>
      </c>
      <c r="B54" s="140">
        <f>VLOOKUP($A54,'Data shares'!$C:$FA,7)</f>
        <v>3864</v>
      </c>
      <c r="C54" s="140">
        <f>VLOOKUP($A54,'Data shares'!$C:$FA,3)</f>
        <v>3878.1</v>
      </c>
      <c r="D54" s="50">
        <f>VLOOKUP($A54,'Data shares'!$C:$FA,6)*100</f>
        <v>1.49</v>
      </c>
      <c r="E54" s="51">
        <f>VLOOKUP($A54,'Data shares'!$C:$FA,98)</f>
        <v>11142600</v>
      </c>
      <c r="F54" s="51">
        <f>VLOOKUP($A54,'Data shares'!$C:$FA,99)</f>
        <v>10852200</v>
      </c>
      <c r="G54" s="50">
        <f>VLOOKUP($A54,'Data shares'!$C:$FA,101)*100</f>
        <v>2.68</v>
      </c>
      <c r="H54" s="49">
        <f>VLOOKUP($A54,'Data Vlaue (Cr)'!$C:$FB,99)</f>
        <v>4321</v>
      </c>
      <c r="I54" s="49">
        <f>VLOOKUP($A54,'Data Vlaue (Cr)'!$C:$FB,100)</f>
        <v>4209</v>
      </c>
      <c r="J54" s="49">
        <f>VLOOKUP($A54,'Data Vlaue (Cr)'!$C:$FB,102)*100</f>
        <v>2.68</v>
      </c>
    </row>
    <row r="55" spans="1:10" x14ac:dyDescent="0.25">
      <c r="A55" s="101" t="str">
        <f>'NIFTY GRP'!C50</f>
        <v>ULTRACEMCO</v>
      </c>
      <c r="B55" s="140">
        <f>VLOOKUP($A55,'Data shares'!$C:$FA,7)</f>
        <v>12767</v>
      </c>
      <c r="C55" s="140">
        <f>VLOOKUP($A55,'Data shares'!$C:$FA,3)</f>
        <v>12812</v>
      </c>
      <c r="D55" s="50">
        <f>VLOOKUP($A55,'Data shares'!$C:$FA,6)*100</f>
        <v>1.0699999999999998</v>
      </c>
      <c r="E55" s="51">
        <f>VLOOKUP($A55,'Data shares'!$C:$FA,98)</f>
        <v>3293400</v>
      </c>
      <c r="F55" s="51">
        <f>VLOOKUP($A55,'Data shares'!$C:$FA,99)</f>
        <v>3275850</v>
      </c>
      <c r="G55" s="50">
        <f>VLOOKUP($A55,'Data shares'!$C:$FA,101)*100</f>
        <v>0.54</v>
      </c>
      <c r="H55" s="49">
        <f>VLOOKUP($A55,'Data Vlaue (Cr)'!$C:$FB,99)</f>
        <v>4220</v>
      </c>
      <c r="I55" s="49">
        <f>VLOOKUP($A55,'Data Vlaue (Cr)'!$C:$FB,100)</f>
        <v>4197</v>
      </c>
      <c r="J55" s="49">
        <f>VLOOKUP($A55,'Data Vlaue (Cr)'!$C:$FB,102)*100</f>
        <v>0.54</v>
      </c>
    </row>
    <row r="56" spans="1:10" x14ac:dyDescent="0.25">
      <c r="A56" s="101" t="str">
        <f>'NIFTY GRP'!C51</f>
        <v>WIPRO</v>
      </c>
      <c r="B56" s="140">
        <f>VLOOKUP($A56,'Data shares'!$C:$FA,7)</f>
        <v>237.35</v>
      </c>
      <c r="C56" s="140">
        <f>VLOOKUP($A56,'Data shares'!$C:$FA,3)</f>
        <v>238.5</v>
      </c>
      <c r="D56" s="50">
        <f>VLOOKUP($A56,'Data shares'!$C:$FA,6)*100</f>
        <v>0.92999999999999994</v>
      </c>
      <c r="E56" s="51">
        <f>VLOOKUP($A56,'Data shares'!$C:$FA,98)</f>
        <v>179007000</v>
      </c>
      <c r="F56" s="51">
        <f>VLOOKUP($A56,'Data shares'!$C:$FA,99)</f>
        <v>171426000</v>
      </c>
      <c r="G56" s="50">
        <f>VLOOKUP($A56,'Data shares'!$C:$FA,101)*100</f>
        <v>4.42</v>
      </c>
      <c r="H56" s="49">
        <f>VLOOKUP($A56,'Data Vlaue (Cr)'!$C:$FB,99)</f>
        <v>4269</v>
      </c>
      <c r="I56" s="49">
        <f>VLOOKUP($A56,'Data Vlaue (Cr)'!$C:$FB,100)</f>
        <v>4089</v>
      </c>
      <c r="J56" s="49">
        <f>VLOOKUP($A56,'Data Vlaue (Cr)'!$C:$FB,102)*100</f>
        <v>4.42</v>
      </c>
    </row>
    <row r="57" spans="1:10" x14ac:dyDescent="0.25">
      <c r="A57" s="101"/>
      <c r="B57" s="140"/>
      <c r="C57" s="140"/>
      <c r="D57" s="50"/>
      <c r="E57" s="51"/>
      <c r="F57" s="51"/>
      <c r="G57" s="50"/>
      <c r="H57" s="49"/>
      <c r="I57" s="49"/>
      <c r="J57" s="49"/>
    </row>
    <row r="58" spans="1:10" x14ac:dyDescent="0.25">
      <c r="A58" s="102"/>
      <c r="B58" s="17"/>
      <c r="C58" s="17"/>
      <c r="D58" s="17"/>
      <c r="E58" s="17"/>
      <c r="F58" s="17"/>
      <c r="G58" s="17"/>
      <c r="H58" s="17"/>
      <c r="I58" s="17"/>
      <c r="J58" s="17"/>
    </row>
    <row r="59" spans="1:10" x14ac:dyDescent="0.25">
      <c r="A59" s="102"/>
      <c r="B59" s="17"/>
      <c r="C59" s="17"/>
      <c r="D59" s="17"/>
      <c r="E59" s="17"/>
      <c r="F59" s="17"/>
      <c r="G59" s="17"/>
      <c r="H59" s="17"/>
      <c r="I59" s="17"/>
      <c r="J59" s="17"/>
    </row>
    <row r="60" spans="1:10" x14ac:dyDescent="0.25">
      <c r="A60" s="126" t="s">
        <v>391</v>
      </c>
      <c r="B60" s="122"/>
      <c r="C60" s="122"/>
      <c r="D60" s="122"/>
      <c r="E60" s="127">
        <f>SUM(E7:E58)</f>
        <v>4418097970</v>
      </c>
      <c r="F60" s="127">
        <f>SUM(F7:F58)</f>
        <v>4193517751</v>
      </c>
      <c r="G60" s="128">
        <f>(E60-F60)/F60</f>
        <v>5.3554135772155932E-2</v>
      </c>
      <c r="H60" s="127">
        <f>SUM(H7:H58)</f>
        <v>360425</v>
      </c>
      <c r="I60" s="127">
        <f>SUM(I7:I58)</f>
        <v>341085</v>
      </c>
      <c r="J60" s="128">
        <f>(H60-I60)/I60</f>
        <v>5.6701408739756952E-2</v>
      </c>
    </row>
    <row r="61" spans="1:10" x14ac:dyDescent="0.25">
      <c r="A61" s="126" t="s">
        <v>398</v>
      </c>
      <c r="B61" s="122"/>
      <c r="C61" s="122"/>
      <c r="D61" s="122"/>
      <c r="E61" s="125">
        <f>E60/10000000</f>
        <v>441.809797</v>
      </c>
      <c r="F61" s="125">
        <f>F60/10000000</f>
        <v>419.3517751</v>
      </c>
      <c r="G61" s="128">
        <f>(E61-F61)/F61</f>
        <v>5.3554135772155946E-2</v>
      </c>
      <c r="H61" s="129">
        <f>H60/10000000</f>
        <v>3.6042499999999998E-2</v>
      </c>
      <c r="I61" s="129">
        <f>I60/10000000</f>
        <v>3.41085E-2</v>
      </c>
      <c r="J61" s="128">
        <f>(H61-I61)/I61</f>
        <v>5.6701408739756903E-2</v>
      </c>
    </row>
    <row r="66" spans="1:3" x14ac:dyDescent="0.25">
      <c r="A66" s="43"/>
      <c r="B66" s="43"/>
      <c r="C66" s="44"/>
    </row>
    <row r="67" spans="1:3" ht="34.5" x14ac:dyDescent="0.25">
      <c r="A67" s="95" t="s">
        <v>411</v>
      </c>
      <c r="B67" s="45"/>
      <c r="C67" s="45" t="s">
        <v>385</v>
      </c>
    </row>
    <row r="68" spans="1:3" x14ac:dyDescent="0.25">
      <c r="A68" s="22" t="s">
        <v>412</v>
      </c>
      <c r="B68" s="22" t="s">
        <v>413</v>
      </c>
      <c r="C68" s="22" t="s">
        <v>414</v>
      </c>
    </row>
    <row r="69" spans="1:3" x14ac:dyDescent="0.25">
      <c r="A69" s="38">
        <f>H60</f>
        <v>360425</v>
      </c>
      <c r="B69" s="38">
        <f>I60</f>
        <v>341085</v>
      </c>
      <c r="C69" s="42">
        <f>J60</f>
        <v>5.6701408739756952E-2</v>
      </c>
    </row>
  </sheetData>
  <mergeCells count="7">
    <mergeCell ref="A3:J3"/>
    <mergeCell ref="A4:A5"/>
    <mergeCell ref="B4:D4"/>
    <mergeCell ref="E4:G4"/>
    <mergeCell ref="H4:J4"/>
    <mergeCell ref="E5:G5"/>
    <mergeCell ref="H5:J5"/>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2"/>
  <sheetViews>
    <sheetView workbookViewId="0">
      <pane ySplit="6" topLeftCell="A222" activePane="bottomLeft" state="frozen"/>
      <selection pane="bottomLeft" activeCell="L253" sqref="L253"/>
    </sheetView>
  </sheetViews>
  <sheetFormatPr defaultRowHeight="15" x14ac:dyDescent="0.25"/>
  <cols>
    <col min="1" max="1" width="14.5703125" bestFit="1" customWidth="1"/>
  </cols>
  <sheetData>
    <row r="1" spans="1:15" ht="23.25" customHeight="1" x14ac:dyDescent="0.25"/>
    <row r="2" spans="1:15" ht="15.75" thickBot="1" x14ac:dyDescent="0.3"/>
    <row r="3" spans="1:15" ht="20.25" customHeight="1" thickBot="1" x14ac:dyDescent="0.3">
      <c r="A3" s="297" t="s">
        <v>356</v>
      </c>
      <c r="B3" s="298"/>
      <c r="C3" s="298"/>
      <c r="D3" s="298"/>
      <c r="E3" s="298"/>
      <c r="F3" s="298"/>
      <c r="G3" s="298"/>
      <c r="H3" s="298"/>
      <c r="I3" s="298"/>
      <c r="J3" s="298"/>
      <c r="K3" s="298"/>
      <c r="L3" s="298"/>
      <c r="M3" s="298"/>
      <c r="N3" s="298"/>
      <c r="O3" s="299"/>
    </row>
    <row r="4" spans="1:15" s="93" customFormat="1" x14ac:dyDescent="0.25">
      <c r="A4" s="284" t="s">
        <v>330</v>
      </c>
      <c r="B4" s="286" t="s">
        <v>308</v>
      </c>
      <c r="C4" s="288"/>
      <c r="D4" s="286" t="s">
        <v>357</v>
      </c>
      <c r="E4" s="287"/>
      <c r="F4" s="287"/>
      <c r="G4" s="287"/>
      <c r="H4" s="287"/>
      <c r="I4" s="287"/>
      <c r="J4" s="287"/>
      <c r="K4" s="287"/>
      <c r="L4" s="287"/>
      <c r="M4" s="287"/>
      <c r="N4" s="287"/>
      <c r="O4" s="288"/>
    </row>
    <row r="5" spans="1:15" s="93" customFormat="1" x14ac:dyDescent="0.25">
      <c r="A5" s="285"/>
      <c r="B5" s="300" t="s">
        <v>312</v>
      </c>
      <c r="C5" s="290"/>
      <c r="D5" s="300" t="s">
        <v>357</v>
      </c>
      <c r="E5" s="289"/>
      <c r="F5" s="290"/>
      <c r="G5" s="300" t="s">
        <v>358</v>
      </c>
      <c r="H5" s="289"/>
      <c r="I5" s="290"/>
      <c r="J5" s="300" t="s">
        <v>359</v>
      </c>
      <c r="K5" s="289"/>
      <c r="L5" s="290"/>
      <c r="M5" s="300" t="s">
        <v>360</v>
      </c>
      <c r="N5" s="289"/>
      <c r="O5" s="290"/>
    </row>
    <row r="6" spans="1:15" s="93" customFormat="1" x14ac:dyDescent="0.25">
      <c r="A6" s="76" t="s">
        <v>318</v>
      </c>
      <c r="B6" s="3">
        <f>'Nifty Baskets'!B6</f>
        <v>46050</v>
      </c>
      <c r="C6" s="76" t="s">
        <v>328</v>
      </c>
      <c r="D6" s="3">
        <f>B6</f>
        <v>46050</v>
      </c>
      <c r="E6" s="76" t="s">
        <v>322</v>
      </c>
      <c r="F6" s="76" t="s">
        <v>328</v>
      </c>
      <c r="G6" s="3">
        <f>D6</f>
        <v>46050</v>
      </c>
      <c r="H6" s="76" t="s">
        <v>322</v>
      </c>
      <c r="I6" s="76" t="s">
        <v>328</v>
      </c>
      <c r="J6" s="3">
        <f>D6</f>
        <v>46050</v>
      </c>
      <c r="K6" s="76" t="s">
        <v>322</v>
      </c>
      <c r="L6" s="76" t="s">
        <v>328</v>
      </c>
      <c r="M6" s="3">
        <f>D6</f>
        <v>46050</v>
      </c>
      <c r="N6" s="76" t="s">
        <v>322</v>
      </c>
      <c r="O6" s="76" t="s">
        <v>328</v>
      </c>
    </row>
    <row r="7" spans="1:15" x14ac:dyDescent="0.25">
      <c r="A7" s="101" t="str">
        <f>'Data Vlaue (Cr)'!C2</f>
        <v>360ONE</v>
      </c>
      <c r="B7" s="50">
        <f>VLOOKUP($A7,'Data Vlaue (Cr)'!$C:$FB,8)</f>
        <v>1139.9000000000001</v>
      </c>
      <c r="C7" s="50">
        <f>VLOOKUP($A7,'Data Vlaue (Cr)'!$C:$FB,11)*100</f>
        <v>2.35</v>
      </c>
      <c r="D7" s="50">
        <f>VLOOKUP($A7,'Data Vlaue (Cr)'!$C:$FB,143)</f>
        <v>198.1</v>
      </c>
      <c r="E7" s="50">
        <f>VLOOKUP($A7,'Data Vlaue (Cr)'!$C:$FB,144)</f>
        <v>419.34</v>
      </c>
      <c r="F7" s="50">
        <f>VLOOKUP($A7,'Data Vlaue (Cr)'!$C:$FB,146)*100</f>
        <v>-52.76</v>
      </c>
      <c r="G7" s="49">
        <f>VLOOKUP($A7,'Data Vlaue (Cr)'!$C:$FB,43)</f>
        <v>114</v>
      </c>
      <c r="H7" s="49">
        <f>VLOOKUP($A7,'Data Vlaue (Cr)'!$C:$FB,44)</f>
        <v>261</v>
      </c>
      <c r="I7" s="49">
        <f>VLOOKUP($A7,'Data Vlaue (Cr)'!$C:$FB,46)*100</f>
        <v>-56.389999999999993</v>
      </c>
      <c r="J7" s="51">
        <f>VLOOKUP($A7,'Data Vlaue (Cr)'!$C:$FB,59)</f>
        <v>57</v>
      </c>
      <c r="K7" s="51">
        <f>VLOOKUP($A7,'Data Vlaue (Cr)'!$C:$FB,60)</f>
        <v>112</v>
      </c>
      <c r="L7" s="51">
        <f>VLOOKUP($A7,'Data Vlaue (Cr)'!$C:$FB,62)*100</f>
        <v>-49.34</v>
      </c>
      <c r="M7" s="51">
        <f>VLOOKUP($A7,'Data Vlaue (Cr)'!$C:$FB,63)</f>
        <v>25</v>
      </c>
      <c r="N7" s="51">
        <f>VLOOKUP($A7,'Data Vlaue (Cr)'!$C:$FB,64)</f>
        <v>49</v>
      </c>
      <c r="O7" s="51">
        <f>VLOOKUP($A7,'Data Vlaue (Cr)'!$C:$FB,66)*100</f>
        <v>-49.65</v>
      </c>
    </row>
    <row r="8" spans="1:15" x14ac:dyDescent="0.25">
      <c r="A8" s="101" t="str">
        <f>'Data Vlaue (Cr)'!C3</f>
        <v>ABB</v>
      </c>
      <c r="B8" s="50">
        <f>VLOOKUP($A8,'Data Vlaue (Cr)'!$C:$FB,8)</f>
        <v>5043.5</v>
      </c>
      <c r="C8" s="50">
        <f>VLOOKUP($A8,'Data Vlaue (Cr)'!$C:$FB,11)*100</f>
        <v>7.1400000000000006</v>
      </c>
      <c r="D8" s="50">
        <f>VLOOKUP($A8,'Data Vlaue (Cr)'!$C:$FB,143)</f>
        <v>3814.63</v>
      </c>
      <c r="E8" s="50">
        <f>VLOOKUP($A8,'Data Vlaue (Cr)'!$C:$FB,144)</f>
        <v>1491.97</v>
      </c>
      <c r="F8" s="50">
        <f>VLOOKUP($A8,'Data Vlaue (Cr)'!$C:$FB,146)*100</f>
        <v>155.68</v>
      </c>
      <c r="G8" s="49">
        <f>VLOOKUP($A8,'Data Vlaue (Cr)'!$C:$FB,43)</f>
        <v>490</v>
      </c>
      <c r="H8" s="49">
        <f>VLOOKUP($A8,'Data Vlaue (Cr)'!$C:$FB,44)</f>
        <v>710</v>
      </c>
      <c r="I8" s="49">
        <f>VLOOKUP($A8,'Data Vlaue (Cr)'!$C:$FB,46)*100</f>
        <v>-30.98</v>
      </c>
      <c r="J8" s="51">
        <f>VLOOKUP($A8,'Data Vlaue (Cr)'!$C:$FB,59)</f>
        <v>2442</v>
      </c>
      <c r="K8" s="51">
        <f>VLOOKUP($A8,'Data Vlaue (Cr)'!$C:$FB,60)</f>
        <v>460</v>
      </c>
      <c r="L8" s="51">
        <f>VLOOKUP($A8,'Data Vlaue (Cr)'!$C:$FB,62)*100</f>
        <v>430.42999999999995</v>
      </c>
      <c r="M8" s="51">
        <f>VLOOKUP($A8,'Data Vlaue (Cr)'!$C:$FB,63)</f>
        <v>804</v>
      </c>
      <c r="N8" s="51">
        <f>VLOOKUP($A8,'Data Vlaue (Cr)'!$C:$FB,64)</f>
        <v>395</v>
      </c>
      <c r="O8" s="51">
        <f>VLOOKUP($A8,'Data Vlaue (Cr)'!$C:$FB,66)*100</f>
        <v>103.69</v>
      </c>
    </row>
    <row r="9" spans="1:15" x14ac:dyDescent="0.25">
      <c r="A9" s="101" t="str">
        <f>'Data Vlaue (Cr)'!C4</f>
        <v>ABCAPITAL</v>
      </c>
      <c r="B9" s="50">
        <f>VLOOKUP($A9,'Data Vlaue (Cr)'!$C:$FB,8)</f>
        <v>348.3</v>
      </c>
      <c r="C9" s="50">
        <f>VLOOKUP($A9,'Data Vlaue (Cr)'!$C:$FB,11)*100</f>
        <v>-0.16999999999999998</v>
      </c>
      <c r="D9" s="50">
        <f>VLOOKUP($A9,'Data Vlaue (Cr)'!$C:$FB,143)</f>
        <v>1160.77</v>
      </c>
      <c r="E9" s="50">
        <f>VLOOKUP($A9,'Data Vlaue (Cr)'!$C:$FB,144)</f>
        <v>2699.28</v>
      </c>
      <c r="F9" s="50">
        <f>VLOOKUP($A9,'Data Vlaue (Cr)'!$C:$FB,146)*100</f>
        <v>-56.999999999999993</v>
      </c>
      <c r="G9" s="49">
        <f>VLOOKUP($A9,'Data Vlaue (Cr)'!$C:$FB,43)</f>
        <v>313</v>
      </c>
      <c r="H9" s="49">
        <f>VLOOKUP($A9,'Data Vlaue (Cr)'!$C:$FB,44)</f>
        <v>1079</v>
      </c>
      <c r="I9" s="49">
        <f>VLOOKUP($A9,'Data Vlaue (Cr)'!$C:$FB,46)*100</f>
        <v>-70.97</v>
      </c>
      <c r="J9" s="51">
        <f>VLOOKUP($A9,'Data Vlaue (Cr)'!$C:$FB,59)</f>
        <v>546</v>
      </c>
      <c r="K9" s="51">
        <f>VLOOKUP($A9,'Data Vlaue (Cr)'!$C:$FB,60)</f>
        <v>769</v>
      </c>
      <c r="L9" s="51">
        <f>VLOOKUP($A9,'Data Vlaue (Cr)'!$C:$FB,62)*100</f>
        <v>-29.049999999999997</v>
      </c>
      <c r="M9" s="51">
        <f>VLOOKUP($A9,'Data Vlaue (Cr)'!$C:$FB,63)</f>
        <v>270</v>
      </c>
      <c r="N9" s="51">
        <f>VLOOKUP($A9,'Data Vlaue (Cr)'!$C:$FB,64)</f>
        <v>845</v>
      </c>
      <c r="O9" s="51">
        <f>VLOOKUP($A9,'Data Vlaue (Cr)'!$C:$FB,66)*100</f>
        <v>-67.989999999999995</v>
      </c>
    </row>
    <row r="10" spans="1:15" x14ac:dyDescent="0.25">
      <c r="A10" s="101" t="str">
        <f>'Data Vlaue (Cr)'!C5</f>
        <v>ADANIENSOL</v>
      </c>
      <c r="B10" s="50">
        <f>VLOOKUP($A10,'Data Vlaue (Cr)'!$C:$FB,8)</f>
        <v>882</v>
      </c>
      <c r="C10" s="50">
        <f>VLOOKUP($A10,'Data Vlaue (Cr)'!$C:$FB,11)*100</f>
        <v>3.8699999999999997</v>
      </c>
      <c r="D10" s="50">
        <f>VLOOKUP($A10,'Data Vlaue (Cr)'!$C:$FB,143)</f>
        <v>1056.18</v>
      </c>
      <c r="E10" s="50">
        <f>VLOOKUP($A10,'Data Vlaue (Cr)'!$C:$FB,144)</f>
        <v>2438.91</v>
      </c>
      <c r="F10" s="50">
        <f>VLOOKUP($A10,'Data Vlaue (Cr)'!$C:$FB,146)*100</f>
        <v>-56.69</v>
      </c>
      <c r="G10" s="49">
        <f>VLOOKUP($A10,'Data Vlaue (Cr)'!$C:$FB,43)</f>
        <v>311</v>
      </c>
      <c r="H10" s="49">
        <f>VLOOKUP($A10,'Data Vlaue (Cr)'!$C:$FB,44)</f>
        <v>1036</v>
      </c>
      <c r="I10" s="49">
        <f>VLOOKUP($A10,'Data Vlaue (Cr)'!$C:$FB,46)*100</f>
        <v>-70</v>
      </c>
      <c r="J10" s="51">
        <f>VLOOKUP($A10,'Data Vlaue (Cr)'!$C:$FB,59)</f>
        <v>494</v>
      </c>
      <c r="K10" s="51">
        <f>VLOOKUP($A10,'Data Vlaue (Cr)'!$C:$FB,60)</f>
        <v>871</v>
      </c>
      <c r="L10" s="51">
        <f>VLOOKUP($A10,'Data Vlaue (Cr)'!$C:$FB,62)*100</f>
        <v>-43.28</v>
      </c>
      <c r="M10" s="51">
        <f>VLOOKUP($A10,'Data Vlaue (Cr)'!$C:$FB,63)</f>
        <v>240</v>
      </c>
      <c r="N10" s="51">
        <f>VLOOKUP($A10,'Data Vlaue (Cr)'!$C:$FB,64)</f>
        <v>596</v>
      </c>
      <c r="O10" s="51">
        <f>VLOOKUP($A10,'Data Vlaue (Cr)'!$C:$FB,66)*100</f>
        <v>-59.709999999999994</v>
      </c>
    </row>
    <row r="11" spans="1:15" x14ac:dyDescent="0.25">
      <c r="A11" s="101" t="str">
        <f>'Data Vlaue (Cr)'!C6</f>
        <v>ADANIENT</v>
      </c>
      <c r="B11" s="50">
        <f>VLOOKUP($A11,'Data Vlaue (Cr)'!$C:$FB,8)</f>
        <v>1994.7</v>
      </c>
      <c r="C11" s="50">
        <f>VLOOKUP($A11,'Data Vlaue (Cr)'!$C:$FB,11)*100</f>
        <v>1.7999999999999998</v>
      </c>
      <c r="D11" s="50">
        <f>VLOOKUP($A11,'Data Vlaue (Cr)'!$C:$FB,143)</f>
        <v>3710.24</v>
      </c>
      <c r="E11" s="50">
        <f>VLOOKUP($A11,'Data Vlaue (Cr)'!$C:$FB,144)</f>
        <v>16156.23</v>
      </c>
      <c r="F11" s="50">
        <f>VLOOKUP($A11,'Data Vlaue (Cr)'!$C:$FB,146)*100</f>
        <v>-77.039999999999992</v>
      </c>
      <c r="G11" s="49">
        <f>VLOOKUP($A11,'Data Vlaue (Cr)'!$C:$FB,43)</f>
        <v>597</v>
      </c>
      <c r="H11" s="49">
        <f>VLOOKUP($A11,'Data Vlaue (Cr)'!$C:$FB,44)</f>
        <v>3980</v>
      </c>
      <c r="I11" s="49">
        <f>VLOOKUP($A11,'Data Vlaue (Cr)'!$C:$FB,46)*100</f>
        <v>-85.009999999999991</v>
      </c>
      <c r="J11" s="51">
        <f>VLOOKUP($A11,'Data Vlaue (Cr)'!$C:$FB,59)</f>
        <v>1785</v>
      </c>
      <c r="K11" s="51">
        <f>VLOOKUP($A11,'Data Vlaue (Cr)'!$C:$FB,60)</f>
        <v>7776</v>
      </c>
      <c r="L11" s="51">
        <f>VLOOKUP($A11,'Data Vlaue (Cr)'!$C:$FB,62)*100</f>
        <v>-77.039999999999992</v>
      </c>
      <c r="M11" s="51">
        <f>VLOOKUP($A11,'Data Vlaue (Cr)'!$C:$FB,63)</f>
        <v>1217</v>
      </c>
      <c r="N11" s="51">
        <f>VLOOKUP($A11,'Data Vlaue (Cr)'!$C:$FB,64)</f>
        <v>4208</v>
      </c>
      <c r="O11" s="51">
        <f>VLOOKUP($A11,'Data Vlaue (Cr)'!$C:$FB,66)*100</f>
        <v>-71.08</v>
      </c>
    </row>
    <row r="12" spans="1:15" x14ac:dyDescent="0.25">
      <c r="A12" s="101" t="str">
        <f>'Data Vlaue (Cr)'!C7</f>
        <v>ADANIGREEN</v>
      </c>
      <c r="B12" s="50">
        <f>VLOOKUP($A12,'Data Vlaue (Cr)'!$C:$FB,8)</f>
        <v>822.9</v>
      </c>
      <c r="C12" s="50">
        <f>VLOOKUP($A12,'Data Vlaue (Cr)'!$C:$FB,11)*100</f>
        <v>2.98</v>
      </c>
      <c r="D12" s="50">
        <f>VLOOKUP($A12,'Data Vlaue (Cr)'!$C:$FB,143)</f>
        <v>1929.86</v>
      </c>
      <c r="E12" s="50">
        <f>VLOOKUP($A12,'Data Vlaue (Cr)'!$C:$FB,144)</f>
        <v>8178.99</v>
      </c>
      <c r="F12" s="50">
        <f>VLOOKUP($A12,'Data Vlaue (Cr)'!$C:$FB,146)*100</f>
        <v>-76.400000000000006</v>
      </c>
      <c r="G12" s="49">
        <f>VLOOKUP($A12,'Data Vlaue (Cr)'!$C:$FB,43)</f>
        <v>363</v>
      </c>
      <c r="H12" s="49">
        <f>VLOOKUP($A12,'Data Vlaue (Cr)'!$C:$FB,44)</f>
        <v>2147</v>
      </c>
      <c r="I12" s="49">
        <f>VLOOKUP($A12,'Data Vlaue (Cr)'!$C:$FB,46)*100</f>
        <v>-83.11</v>
      </c>
      <c r="J12" s="51">
        <f>VLOOKUP($A12,'Data Vlaue (Cr)'!$C:$FB,59)</f>
        <v>1000</v>
      </c>
      <c r="K12" s="51">
        <f>VLOOKUP($A12,'Data Vlaue (Cr)'!$C:$FB,60)</f>
        <v>3731</v>
      </c>
      <c r="L12" s="51">
        <f>VLOOKUP($A12,'Data Vlaue (Cr)'!$C:$FB,62)*100</f>
        <v>-73.209999999999994</v>
      </c>
      <c r="M12" s="51">
        <f>VLOOKUP($A12,'Data Vlaue (Cr)'!$C:$FB,63)</f>
        <v>509</v>
      </c>
      <c r="N12" s="51">
        <f>VLOOKUP($A12,'Data Vlaue (Cr)'!$C:$FB,64)</f>
        <v>2203</v>
      </c>
      <c r="O12" s="51">
        <f>VLOOKUP($A12,'Data Vlaue (Cr)'!$C:$FB,66)*100</f>
        <v>-76.89</v>
      </c>
    </row>
    <row r="13" spans="1:15" x14ac:dyDescent="0.25">
      <c r="A13" s="101" t="str">
        <f>'Data Vlaue (Cr)'!C8</f>
        <v>ADANIPORTS</v>
      </c>
      <c r="B13" s="50">
        <f>VLOOKUP($A13,'Data Vlaue (Cr)'!$C:$FB,8)</f>
        <v>1381.9</v>
      </c>
      <c r="C13" s="50">
        <f>VLOOKUP($A13,'Data Vlaue (Cr)'!$C:$FB,11)*100</f>
        <v>1.32</v>
      </c>
      <c r="D13" s="50">
        <f>VLOOKUP($A13,'Data Vlaue (Cr)'!$C:$FB,143)</f>
        <v>2231.06</v>
      </c>
      <c r="E13" s="50">
        <f>VLOOKUP($A13,'Data Vlaue (Cr)'!$C:$FB,144)</f>
        <v>7983.55</v>
      </c>
      <c r="F13" s="50">
        <f>VLOOKUP($A13,'Data Vlaue (Cr)'!$C:$FB,146)*100</f>
        <v>-72.05</v>
      </c>
      <c r="G13" s="49">
        <f>VLOOKUP($A13,'Data Vlaue (Cr)'!$C:$FB,43)</f>
        <v>497</v>
      </c>
      <c r="H13" s="49">
        <f>VLOOKUP($A13,'Data Vlaue (Cr)'!$C:$FB,44)</f>
        <v>2275</v>
      </c>
      <c r="I13" s="49">
        <f>VLOOKUP($A13,'Data Vlaue (Cr)'!$C:$FB,46)*100</f>
        <v>-78.16</v>
      </c>
      <c r="J13" s="51">
        <f>VLOOKUP($A13,'Data Vlaue (Cr)'!$C:$FB,59)</f>
        <v>1041</v>
      </c>
      <c r="K13" s="51">
        <f>VLOOKUP($A13,'Data Vlaue (Cr)'!$C:$FB,60)</f>
        <v>3281</v>
      </c>
      <c r="L13" s="51">
        <f>VLOOKUP($A13,'Data Vlaue (Cr)'!$C:$FB,62)*100</f>
        <v>-68.27</v>
      </c>
      <c r="M13" s="51">
        <f>VLOOKUP($A13,'Data Vlaue (Cr)'!$C:$FB,63)</f>
        <v>646</v>
      </c>
      <c r="N13" s="51">
        <f>VLOOKUP($A13,'Data Vlaue (Cr)'!$C:$FB,64)</f>
        <v>2488</v>
      </c>
      <c r="O13" s="51">
        <f>VLOOKUP($A13,'Data Vlaue (Cr)'!$C:$FB,66)*100</f>
        <v>-74.03</v>
      </c>
    </row>
    <row r="14" spans="1:15" x14ac:dyDescent="0.25">
      <c r="A14" s="101" t="str">
        <f>'Data Vlaue (Cr)'!C9</f>
        <v>ALKEM</v>
      </c>
      <c r="B14" s="50">
        <f>VLOOKUP($A14,'Data Vlaue (Cr)'!$C:$FB,8)</f>
        <v>5722.5</v>
      </c>
      <c r="C14" s="50">
        <f>VLOOKUP($A14,'Data Vlaue (Cr)'!$C:$FB,11)*100</f>
        <v>-0.54999999999999993</v>
      </c>
      <c r="D14" s="50">
        <f>VLOOKUP($A14,'Data Vlaue (Cr)'!$C:$FB,143)</f>
        <v>195.09</v>
      </c>
      <c r="E14" s="50">
        <f>VLOOKUP($A14,'Data Vlaue (Cr)'!$C:$FB,144)</f>
        <v>1308.3699999999999</v>
      </c>
      <c r="F14" s="50">
        <f>VLOOKUP($A14,'Data Vlaue (Cr)'!$C:$FB,146)*100</f>
        <v>-85.09</v>
      </c>
      <c r="G14" s="49">
        <f>VLOOKUP($A14,'Data Vlaue (Cr)'!$C:$FB,43)</f>
        <v>75</v>
      </c>
      <c r="H14" s="49">
        <f>VLOOKUP($A14,'Data Vlaue (Cr)'!$C:$FB,44)</f>
        <v>393</v>
      </c>
      <c r="I14" s="49">
        <f>VLOOKUP($A14,'Data Vlaue (Cr)'!$C:$FB,46)*100</f>
        <v>-80.800000000000011</v>
      </c>
      <c r="J14" s="51">
        <f>VLOOKUP($A14,'Data Vlaue (Cr)'!$C:$FB,59)</f>
        <v>62</v>
      </c>
      <c r="K14" s="51">
        <f>VLOOKUP($A14,'Data Vlaue (Cr)'!$C:$FB,60)</f>
        <v>336</v>
      </c>
      <c r="L14" s="51">
        <f>VLOOKUP($A14,'Data Vlaue (Cr)'!$C:$FB,62)*100</f>
        <v>-81.430000000000007</v>
      </c>
      <c r="M14" s="51">
        <f>VLOOKUP($A14,'Data Vlaue (Cr)'!$C:$FB,63)</f>
        <v>53</v>
      </c>
      <c r="N14" s="51">
        <f>VLOOKUP($A14,'Data Vlaue (Cr)'!$C:$FB,64)</f>
        <v>581</v>
      </c>
      <c r="O14" s="51">
        <f>VLOOKUP($A14,'Data Vlaue (Cr)'!$C:$FB,66)*100</f>
        <v>-90.84</v>
      </c>
    </row>
    <row r="15" spans="1:15" x14ac:dyDescent="0.25">
      <c r="A15" s="101" t="str">
        <f>'Data Vlaue (Cr)'!C10</f>
        <v>AMBER</v>
      </c>
      <c r="B15" s="50">
        <f>VLOOKUP($A15,'Data Vlaue (Cr)'!$C:$FB,8)</f>
        <v>5614</v>
      </c>
      <c r="C15" s="50">
        <f>VLOOKUP($A15,'Data Vlaue (Cr)'!$C:$FB,11)*100</f>
        <v>1.8900000000000001</v>
      </c>
      <c r="D15" s="50">
        <f>VLOOKUP($A15,'Data Vlaue (Cr)'!$C:$FB,143)</f>
        <v>253.32</v>
      </c>
      <c r="E15" s="50">
        <f>VLOOKUP($A15,'Data Vlaue (Cr)'!$C:$FB,144)</f>
        <v>1384.09</v>
      </c>
      <c r="F15" s="50">
        <f>VLOOKUP($A15,'Data Vlaue (Cr)'!$C:$FB,146)*100</f>
        <v>-81.699999999999989</v>
      </c>
      <c r="G15" s="49">
        <f>VLOOKUP($A15,'Data Vlaue (Cr)'!$C:$FB,43)</f>
        <v>125</v>
      </c>
      <c r="H15" s="49">
        <f>VLOOKUP($A15,'Data Vlaue (Cr)'!$C:$FB,44)</f>
        <v>819</v>
      </c>
      <c r="I15" s="49">
        <f>VLOOKUP($A15,'Data Vlaue (Cr)'!$C:$FB,46)*100</f>
        <v>-84.740000000000009</v>
      </c>
      <c r="J15" s="51">
        <f>VLOOKUP($A15,'Data Vlaue (Cr)'!$C:$FB,59)</f>
        <v>88</v>
      </c>
      <c r="K15" s="51">
        <f>VLOOKUP($A15,'Data Vlaue (Cr)'!$C:$FB,60)</f>
        <v>299</v>
      </c>
      <c r="L15" s="51">
        <f>VLOOKUP($A15,'Data Vlaue (Cr)'!$C:$FB,62)*100</f>
        <v>-70.399999999999991</v>
      </c>
      <c r="M15" s="51">
        <f>VLOOKUP($A15,'Data Vlaue (Cr)'!$C:$FB,63)</f>
        <v>34</v>
      </c>
      <c r="N15" s="51">
        <f>VLOOKUP($A15,'Data Vlaue (Cr)'!$C:$FB,64)</f>
        <v>267</v>
      </c>
      <c r="O15" s="51">
        <f>VLOOKUP($A15,'Data Vlaue (Cr)'!$C:$FB,66)*100</f>
        <v>-87.27000000000001</v>
      </c>
    </row>
    <row r="16" spans="1:15" x14ac:dyDescent="0.25">
      <c r="A16" s="101" t="str">
        <f>'Data Vlaue (Cr)'!C11</f>
        <v>AMBUJACEM</v>
      </c>
      <c r="B16" s="50">
        <f>VLOOKUP($A16,'Data Vlaue (Cr)'!$C:$FB,8)</f>
        <v>533.95000000000005</v>
      </c>
      <c r="C16" s="50">
        <f>VLOOKUP($A16,'Data Vlaue (Cr)'!$C:$FB,11)*100</f>
        <v>0.32</v>
      </c>
      <c r="D16" s="50">
        <f>VLOOKUP($A16,'Data Vlaue (Cr)'!$C:$FB,143)</f>
        <v>621.17999999999995</v>
      </c>
      <c r="E16" s="50">
        <f>VLOOKUP($A16,'Data Vlaue (Cr)'!$C:$FB,144)</f>
        <v>3739.53</v>
      </c>
      <c r="F16" s="50">
        <f>VLOOKUP($A16,'Data Vlaue (Cr)'!$C:$FB,146)*100</f>
        <v>-83.39</v>
      </c>
      <c r="G16" s="49">
        <f>VLOOKUP($A16,'Data Vlaue (Cr)'!$C:$FB,43)</f>
        <v>169</v>
      </c>
      <c r="H16" s="49">
        <f>VLOOKUP($A16,'Data Vlaue (Cr)'!$C:$FB,44)</f>
        <v>1791</v>
      </c>
      <c r="I16" s="49">
        <f>VLOOKUP($A16,'Data Vlaue (Cr)'!$C:$FB,46)*100</f>
        <v>-90.58</v>
      </c>
      <c r="J16" s="51">
        <f>VLOOKUP($A16,'Data Vlaue (Cr)'!$C:$FB,59)</f>
        <v>275</v>
      </c>
      <c r="K16" s="51">
        <f>VLOOKUP($A16,'Data Vlaue (Cr)'!$C:$FB,60)</f>
        <v>922</v>
      </c>
      <c r="L16" s="51">
        <f>VLOOKUP($A16,'Data Vlaue (Cr)'!$C:$FB,62)*100</f>
        <v>-70.12</v>
      </c>
      <c r="M16" s="51">
        <f>VLOOKUP($A16,'Data Vlaue (Cr)'!$C:$FB,63)</f>
        <v>162</v>
      </c>
      <c r="N16" s="51">
        <f>VLOOKUP($A16,'Data Vlaue (Cr)'!$C:$FB,64)</f>
        <v>987</v>
      </c>
      <c r="O16" s="51">
        <f>VLOOKUP($A16,'Data Vlaue (Cr)'!$C:$FB,66)*100</f>
        <v>-83.63000000000001</v>
      </c>
    </row>
    <row r="17" spans="1:15" x14ac:dyDescent="0.25">
      <c r="A17" s="101" t="str">
        <f>'Data Vlaue (Cr)'!C12</f>
        <v>ANGELONE</v>
      </c>
      <c r="B17" s="50">
        <f>VLOOKUP($A17,'Data Vlaue (Cr)'!$C:$FB,8)</f>
        <v>2615.1</v>
      </c>
      <c r="C17" s="50">
        <f>VLOOKUP($A17,'Data Vlaue (Cr)'!$C:$FB,11)*100</f>
        <v>2.83</v>
      </c>
      <c r="D17" s="50">
        <f>VLOOKUP($A17,'Data Vlaue (Cr)'!$C:$FB,143)</f>
        <v>1520.17</v>
      </c>
      <c r="E17" s="50">
        <f>VLOOKUP($A17,'Data Vlaue (Cr)'!$C:$FB,144)</f>
        <v>2021.77</v>
      </c>
      <c r="F17" s="50">
        <f>VLOOKUP($A17,'Data Vlaue (Cr)'!$C:$FB,146)*100</f>
        <v>-24.81</v>
      </c>
      <c r="G17" s="49">
        <f>VLOOKUP($A17,'Data Vlaue (Cr)'!$C:$FB,43)</f>
        <v>207</v>
      </c>
      <c r="H17" s="49">
        <f>VLOOKUP($A17,'Data Vlaue (Cr)'!$C:$FB,44)</f>
        <v>572</v>
      </c>
      <c r="I17" s="49">
        <f>VLOOKUP($A17,'Data Vlaue (Cr)'!$C:$FB,46)*100</f>
        <v>-63.92</v>
      </c>
      <c r="J17" s="51">
        <f>VLOOKUP($A17,'Data Vlaue (Cr)'!$C:$FB,59)</f>
        <v>941</v>
      </c>
      <c r="K17" s="51">
        <f>VLOOKUP($A17,'Data Vlaue (Cr)'!$C:$FB,60)</f>
        <v>773</v>
      </c>
      <c r="L17" s="51">
        <f>VLOOKUP($A17,'Data Vlaue (Cr)'!$C:$FB,62)*100</f>
        <v>21.75</v>
      </c>
      <c r="M17" s="51">
        <f>VLOOKUP($A17,'Data Vlaue (Cr)'!$C:$FB,63)</f>
        <v>332</v>
      </c>
      <c r="N17" s="51">
        <f>VLOOKUP($A17,'Data Vlaue (Cr)'!$C:$FB,64)</f>
        <v>712</v>
      </c>
      <c r="O17" s="51">
        <f>VLOOKUP($A17,'Data Vlaue (Cr)'!$C:$FB,66)*100</f>
        <v>-53.31</v>
      </c>
    </row>
    <row r="18" spans="1:15" x14ac:dyDescent="0.25">
      <c r="A18" s="101" t="str">
        <f>'Data Vlaue (Cr)'!C13</f>
        <v>APLAPOLLO</v>
      </c>
      <c r="B18" s="50">
        <f>VLOOKUP($A18,'Data Vlaue (Cr)'!$C:$FB,8)</f>
        <v>2091</v>
      </c>
      <c r="C18" s="50">
        <f>VLOOKUP($A18,'Data Vlaue (Cr)'!$C:$FB,11)*100</f>
        <v>1.48</v>
      </c>
      <c r="D18" s="50">
        <f>VLOOKUP($A18,'Data Vlaue (Cr)'!$C:$FB,143)</f>
        <v>1056.77</v>
      </c>
      <c r="E18" s="50">
        <f>VLOOKUP($A18,'Data Vlaue (Cr)'!$C:$FB,144)</f>
        <v>5221.5600000000004</v>
      </c>
      <c r="F18" s="50">
        <f>VLOOKUP($A18,'Data Vlaue (Cr)'!$C:$FB,146)*100</f>
        <v>-79.759999999999991</v>
      </c>
      <c r="G18" s="49">
        <f>VLOOKUP($A18,'Data Vlaue (Cr)'!$C:$FB,43)</f>
        <v>302</v>
      </c>
      <c r="H18" s="49">
        <f>VLOOKUP($A18,'Data Vlaue (Cr)'!$C:$FB,44)</f>
        <v>2424</v>
      </c>
      <c r="I18" s="49">
        <f>VLOOKUP($A18,'Data Vlaue (Cr)'!$C:$FB,46)*100</f>
        <v>-87.539999999999992</v>
      </c>
      <c r="J18" s="51">
        <f>VLOOKUP($A18,'Data Vlaue (Cr)'!$C:$FB,59)</f>
        <v>556</v>
      </c>
      <c r="K18" s="51">
        <f>VLOOKUP($A18,'Data Vlaue (Cr)'!$C:$FB,60)</f>
        <v>2035</v>
      </c>
      <c r="L18" s="51">
        <f>VLOOKUP($A18,'Data Vlaue (Cr)'!$C:$FB,62)*100</f>
        <v>-72.69</v>
      </c>
      <c r="M18" s="51">
        <f>VLOOKUP($A18,'Data Vlaue (Cr)'!$C:$FB,63)</f>
        <v>180</v>
      </c>
      <c r="N18" s="51">
        <f>VLOOKUP($A18,'Data Vlaue (Cr)'!$C:$FB,64)</f>
        <v>793</v>
      </c>
      <c r="O18" s="51">
        <f>VLOOKUP($A18,'Data Vlaue (Cr)'!$C:$FB,66)*100</f>
        <v>-77.25</v>
      </c>
    </row>
    <row r="19" spans="1:15" x14ac:dyDescent="0.25">
      <c r="A19" s="101" t="str">
        <f>'Data Vlaue (Cr)'!C14</f>
        <v>APOLLOHOSP</v>
      </c>
      <c r="B19" s="50">
        <f>VLOOKUP($A19,'Data Vlaue (Cr)'!$C:$FB,8)</f>
        <v>6877.5</v>
      </c>
      <c r="C19" s="50">
        <f>VLOOKUP($A19,'Data Vlaue (Cr)'!$C:$FB,11)*100</f>
        <v>1.24</v>
      </c>
      <c r="D19" s="50">
        <f>VLOOKUP($A19,'Data Vlaue (Cr)'!$C:$FB,143)</f>
        <v>1796.93</v>
      </c>
      <c r="E19" s="50">
        <f>VLOOKUP($A19,'Data Vlaue (Cr)'!$C:$FB,144)</f>
        <v>3671.98</v>
      </c>
      <c r="F19" s="50">
        <f>VLOOKUP($A19,'Data Vlaue (Cr)'!$C:$FB,146)*100</f>
        <v>-51.06</v>
      </c>
      <c r="G19" s="49">
        <f>VLOOKUP($A19,'Data Vlaue (Cr)'!$C:$FB,43)</f>
        <v>290</v>
      </c>
      <c r="H19" s="49">
        <f>VLOOKUP($A19,'Data Vlaue (Cr)'!$C:$FB,44)</f>
        <v>1339</v>
      </c>
      <c r="I19" s="49">
        <f>VLOOKUP($A19,'Data Vlaue (Cr)'!$C:$FB,46)*100</f>
        <v>-78.349999999999994</v>
      </c>
      <c r="J19" s="51">
        <f>VLOOKUP($A19,'Data Vlaue (Cr)'!$C:$FB,59)</f>
        <v>1115</v>
      </c>
      <c r="K19" s="51">
        <f>VLOOKUP($A19,'Data Vlaue (Cr)'!$C:$FB,60)</f>
        <v>1525</v>
      </c>
      <c r="L19" s="51">
        <f>VLOOKUP($A19,'Data Vlaue (Cr)'!$C:$FB,62)*100</f>
        <v>-26.86</v>
      </c>
      <c r="M19" s="51">
        <f>VLOOKUP($A19,'Data Vlaue (Cr)'!$C:$FB,63)</f>
        <v>346</v>
      </c>
      <c r="N19" s="51">
        <f>VLOOKUP($A19,'Data Vlaue (Cr)'!$C:$FB,64)</f>
        <v>778</v>
      </c>
      <c r="O19" s="51">
        <f>VLOOKUP($A19,'Data Vlaue (Cr)'!$C:$FB,66)*100</f>
        <v>-55.510000000000005</v>
      </c>
    </row>
    <row r="20" spans="1:15" x14ac:dyDescent="0.25">
      <c r="A20" s="101" t="str">
        <f>'Data Vlaue (Cr)'!C15</f>
        <v>ASHOKLEY</v>
      </c>
      <c r="B20" s="50">
        <f>VLOOKUP($A20,'Data Vlaue (Cr)'!$C:$FB,8)</f>
        <v>195.33</v>
      </c>
      <c r="C20" s="50">
        <f>VLOOKUP($A20,'Data Vlaue (Cr)'!$C:$FB,11)*100</f>
        <v>1.21</v>
      </c>
      <c r="D20" s="50">
        <f>VLOOKUP($A20,'Data Vlaue (Cr)'!$C:$FB,143)</f>
        <v>3372.54</v>
      </c>
      <c r="E20" s="50">
        <f>VLOOKUP($A20,'Data Vlaue (Cr)'!$C:$FB,144)</f>
        <v>4133.95</v>
      </c>
      <c r="F20" s="50">
        <f>VLOOKUP($A20,'Data Vlaue (Cr)'!$C:$FB,146)*100</f>
        <v>-18.420000000000002</v>
      </c>
      <c r="G20" s="49">
        <f>VLOOKUP($A20,'Data Vlaue (Cr)'!$C:$FB,43)</f>
        <v>950</v>
      </c>
      <c r="H20" s="49">
        <f>VLOOKUP($A20,'Data Vlaue (Cr)'!$C:$FB,44)</f>
        <v>1472</v>
      </c>
      <c r="I20" s="49">
        <f>VLOOKUP($A20,'Data Vlaue (Cr)'!$C:$FB,46)*100</f>
        <v>-35.49</v>
      </c>
      <c r="J20" s="51">
        <f>VLOOKUP($A20,'Data Vlaue (Cr)'!$C:$FB,59)</f>
        <v>1719</v>
      </c>
      <c r="K20" s="51">
        <f>VLOOKUP($A20,'Data Vlaue (Cr)'!$C:$FB,60)</f>
        <v>1773</v>
      </c>
      <c r="L20" s="51">
        <f>VLOOKUP($A20,'Data Vlaue (Cr)'!$C:$FB,62)*100</f>
        <v>-3.08</v>
      </c>
      <c r="M20" s="51">
        <f>VLOOKUP($A20,'Data Vlaue (Cr)'!$C:$FB,63)</f>
        <v>614</v>
      </c>
      <c r="N20" s="51">
        <f>VLOOKUP($A20,'Data Vlaue (Cr)'!$C:$FB,64)</f>
        <v>863</v>
      </c>
      <c r="O20" s="51">
        <f>VLOOKUP($A20,'Data Vlaue (Cr)'!$C:$FB,66)*100</f>
        <v>-28.810000000000002</v>
      </c>
    </row>
    <row r="21" spans="1:15" x14ac:dyDescent="0.25">
      <c r="A21" s="101" t="str">
        <f>'Data Vlaue (Cr)'!C16</f>
        <v>ASIANPAINT</v>
      </c>
      <c r="B21" s="50">
        <f>VLOOKUP($A21,'Data Vlaue (Cr)'!$C:$FB,8)</f>
        <v>2511.8000000000002</v>
      </c>
      <c r="C21" s="50">
        <f>VLOOKUP($A21,'Data Vlaue (Cr)'!$C:$FB,11)*100</f>
        <v>-4.2299999999999995</v>
      </c>
      <c r="D21" s="50">
        <f>VLOOKUP($A21,'Data Vlaue (Cr)'!$C:$FB,143)</f>
        <v>12830.9</v>
      </c>
      <c r="E21" s="50">
        <f>VLOOKUP($A21,'Data Vlaue (Cr)'!$C:$FB,144)</f>
        <v>17889.63</v>
      </c>
      <c r="F21" s="50">
        <f>VLOOKUP($A21,'Data Vlaue (Cr)'!$C:$FB,146)*100</f>
        <v>-28.28</v>
      </c>
      <c r="G21" s="49">
        <f>VLOOKUP($A21,'Data Vlaue (Cr)'!$C:$FB,43)</f>
        <v>1495</v>
      </c>
      <c r="H21" s="49">
        <f>VLOOKUP($A21,'Data Vlaue (Cr)'!$C:$FB,44)</f>
        <v>2979</v>
      </c>
      <c r="I21" s="49">
        <f>VLOOKUP($A21,'Data Vlaue (Cr)'!$C:$FB,46)*100</f>
        <v>-49.82</v>
      </c>
      <c r="J21" s="51">
        <f>VLOOKUP($A21,'Data Vlaue (Cr)'!$C:$FB,59)</f>
        <v>6434</v>
      </c>
      <c r="K21" s="51">
        <f>VLOOKUP($A21,'Data Vlaue (Cr)'!$C:$FB,60)</f>
        <v>6955</v>
      </c>
      <c r="L21" s="51">
        <f>VLOOKUP($A21,'Data Vlaue (Cr)'!$C:$FB,62)*100</f>
        <v>-7.4899999999999993</v>
      </c>
      <c r="M21" s="51">
        <f>VLOOKUP($A21,'Data Vlaue (Cr)'!$C:$FB,63)</f>
        <v>4513</v>
      </c>
      <c r="N21" s="51">
        <f>VLOOKUP($A21,'Data Vlaue (Cr)'!$C:$FB,64)</f>
        <v>6712</v>
      </c>
      <c r="O21" s="51">
        <f>VLOOKUP($A21,'Data Vlaue (Cr)'!$C:$FB,66)*100</f>
        <v>-32.76</v>
      </c>
    </row>
    <row r="22" spans="1:15" x14ac:dyDescent="0.25">
      <c r="A22" s="101" t="str">
        <f>'Data Vlaue (Cr)'!C17</f>
        <v>ASTRAL</v>
      </c>
      <c r="B22" s="50">
        <f>VLOOKUP($A22,'Data Vlaue (Cr)'!$C:$FB,8)</f>
        <v>1452.9</v>
      </c>
      <c r="C22" s="50">
        <f>VLOOKUP($A22,'Data Vlaue (Cr)'!$C:$FB,11)*100</f>
        <v>3.74</v>
      </c>
      <c r="D22" s="50">
        <f>VLOOKUP($A22,'Data Vlaue (Cr)'!$C:$FB,143)</f>
        <v>713.88</v>
      </c>
      <c r="E22" s="50">
        <f>VLOOKUP($A22,'Data Vlaue (Cr)'!$C:$FB,144)</f>
        <v>911.83</v>
      </c>
      <c r="F22" s="50">
        <f>VLOOKUP($A22,'Data Vlaue (Cr)'!$C:$FB,146)*100</f>
        <v>-21.709999999999997</v>
      </c>
      <c r="G22" s="49">
        <f>VLOOKUP($A22,'Data Vlaue (Cr)'!$C:$FB,43)</f>
        <v>267</v>
      </c>
      <c r="H22" s="49">
        <f>VLOOKUP($A22,'Data Vlaue (Cr)'!$C:$FB,44)</f>
        <v>513</v>
      </c>
      <c r="I22" s="49">
        <f>VLOOKUP($A22,'Data Vlaue (Cr)'!$C:$FB,46)*100</f>
        <v>-47.97</v>
      </c>
      <c r="J22" s="51">
        <f>VLOOKUP($A22,'Data Vlaue (Cr)'!$C:$FB,59)</f>
        <v>281</v>
      </c>
      <c r="K22" s="51">
        <f>VLOOKUP($A22,'Data Vlaue (Cr)'!$C:$FB,60)</f>
        <v>279</v>
      </c>
      <c r="L22" s="51">
        <f>VLOOKUP($A22,'Data Vlaue (Cr)'!$C:$FB,62)*100</f>
        <v>0.54999999999999993</v>
      </c>
      <c r="M22" s="51">
        <f>VLOOKUP($A22,'Data Vlaue (Cr)'!$C:$FB,63)</f>
        <v>157</v>
      </c>
      <c r="N22" s="51">
        <f>VLOOKUP($A22,'Data Vlaue (Cr)'!$C:$FB,64)</f>
        <v>151</v>
      </c>
      <c r="O22" s="51">
        <f>VLOOKUP($A22,'Data Vlaue (Cr)'!$C:$FB,66)*100</f>
        <v>4.18</v>
      </c>
    </row>
    <row r="23" spans="1:15" x14ac:dyDescent="0.25">
      <c r="A23" s="101" t="str">
        <f>'Data Vlaue (Cr)'!C18</f>
        <v>AUBANK</v>
      </c>
      <c r="B23" s="50">
        <f>VLOOKUP($A23,'Data Vlaue (Cr)'!$C:$FB,8)</f>
        <v>962.35</v>
      </c>
      <c r="C23" s="50">
        <f>VLOOKUP($A23,'Data Vlaue (Cr)'!$C:$FB,11)*100</f>
        <v>-0.12</v>
      </c>
      <c r="D23" s="50">
        <f>VLOOKUP($A23,'Data Vlaue (Cr)'!$C:$FB,143)</f>
        <v>1051.06</v>
      </c>
      <c r="E23" s="50">
        <f>VLOOKUP($A23,'Data Vlaue (Cr)'!$C:$FB,144)</f>
        <v>3400</v>
      </c>
      <c r="F23" s="50">
        <f>VLOOKUP($A23,'Data Vlaue (Cr)'!$C:$FB,146)*100</f>
        <v>-69.089999999999989</v>
      </c>
      <c r="G23" s="49">
        <f>VLOOKUP($A23,'Data Vlaue (Cr)'!$C:$FB,43)</f>
        <v>325</v>
      </c>
      <c r="H23" s="49">
        <f>VLOOKUP($A23,'Data Vlaue (Cr)'!$C:$FB,44)</f>
        <v>1267</v>
      </c>
      <c r="I23" s="49">
        <f>VLOOKUP($A23,'Data Vlaue (Cr)'!$C:$FB,46)*100</f>
        <v>-74.339999999999989</v>
      </c>
      <c r="J23" s="51">
        <f>VLOOKUP($A23,'Data Vlaue (Cr)'!$C:$FB,59)</f>
        <v>466</v>
      </c>
      <c r="K23" s="51">
        <f>VLOOKUP($A23,'Data Vlaue (Cr)'!$C:$FB,60)</f>
        <v>1075</v>
      </c>
      <c r="L23" s="51">
        <f>VLOOKUP($A23,'Data Vlaue (Cr)'!$C:$FB,62)*100</f>
        <v>-56.67</v>
      </c>
      <c r="M23" s="51">
        <f>VLOOKUP($A23,'Data Vlaue (Cr)'!$C:$FB,63)</f>
        <v>235</v>
      </c>
      <c r="N23" s="51">
        <f>VLOOKUP($A23,'Data Vlaue (Cr)'!$C:$FB,64)</f>
        <v>1022</v>
      </c>
      <c r="O23" s="51">
        <f>VLOOKUP($A23,'Data Vlaue (Cr)'!$C:$FB,66)*100</f>
        <v>-76.990000000000009</v>
      </c>
    </row>
    <row r="24" spans="1:15" x14ac:dyDescent="0.25">
      <c r="A24" s="101" t="str">
        <f>'Data Vlaue (Cr)'!C19</f>
        <v>AUROPHARMA</v>
      </c>
      <c r="B24" s="50">
        <f>VLOOKUP($A24,'Data Vlaue (Cr)'!$C:$FB,8)</f>
        <v>1139.9000000000001</v>
      </c>
      <c r="C24" s="50">
        <f>VLOOKUP($A24,'Data Vlaue (Cr)'!$C:$FB,11)*100</f>
        <v>0.89999999999999991</v>
      </c>
      <c r="D24" s="50">
        <f>VLOOKUP($A24,'Data Vlaue (Cr)'!$C:$FB,143)</f>
        <v>338.03</v>
      </c>
      <c r="E24" s="50">
        <f>VLOOKUP($A24,'Data Vlaue (Cr)'!$C:$FB,144)</f>
        <v>1450.77</v>
      </c>
      <c r="F24" s="50">
        <f>VLOOKUP($A24,'Data Vlaue (Cr)'!$C:$FB,146)*100</f>
        <v>-76.7</v>
      </c>
      <c r="G24" s="49">
        <f>VLOOKUP($A24,'Data Vlaue (Cr)'!$C:$FB,43)</f>
        <v>143</v>
      </c>
      <c r="H24" s="49">
        <f>VLOOKUP($A24,'Data Vlaue (Cr)'!$C:$FB,44)</f>
        <v>948</v>
      </c>
      <c r="I24" s="49">
        <f>VLOOKUP($A24,'Data Vlaue (Cr)'!$C:$FB,46)*100</f>
        <v>-84.960000000000008</v>
      </c>
      <c r="J24" s="51">
        <f>VLOOKUP($A24,'Data Vlaue (Cr)'!$C:$FB,59)</f>
        <v>126</v>
      </c>
      <c r="K24" s="51">
        <f>VLOOKUP($A24,'Data Vlaue (Cr)'!$C:$FB,60)</f>
        <v>288</v>
      </c>
      <c r="L24" s="51">
        <f>VLOOKUP($A24,'Data Vlaue (Cr)'!$C:$FB,62)*100</f>
        <v>-56.24</v>
      </c>
      <c r="M24" s="51">
        <f>VLOOKUP($A24,'Data Vlaue (Cr)'!$C:$FB,63)</f>
        <v>65</v>
      </c>
      <c r="N24" s="51">
        <f>VLOOKUP($A24,'Data Vlaue (Cr)'!$C:$FB,64)</f>
        <v>209</v>
      </c>
      <c r="O24" s="51">
        <f>VLOOKUP($A24,'Data Vlaue (Cr)'!$C:$FB,66)*100</f>
        <v>-68.84</v>
      </c>
    </row>
    <row r="25" spans="1:15" x14ac:dyDescent="0.25">
      <c r="A25" s="101" t="str">
        <f>'Data Vlaue (Cr)'!C20</f>
        <v>AXISBANK</v>
      </c>
      <c r="B25" s="50">
        <f>VLOOKUP($A25,'Data Vlaue (Cr)'!$C:$FB,8)</f>
        <v>1319.8</v>
      </c>
      <c r="C25" s="50">
        <f>VLOOKUP($A25,'Data Vlaue (Cr)'!$C:$FB,11)*100</f>
        <v>0.3</v>
      </c>
      <c r="D25" s="50">
        <f>VLOOKUP($A25,'Data Vlaue (Cr)'!$C:$FB,143)</f>
        <v>14753.3</v>
      </c>
      <c r="E25" s="50">
        <f>VLOOKUP($A25,'Data Vlaue (Cr)'!$C:$FB,144)</f>
        <v>51724.9</v>
      </c>
      <c r="F25" s="50">
        <f>VLOOKUP($A25,'Data Vlaue (Cr)'!$C:$FB,146)*100</f>
        <v>-71.48</v>
      </c>
      <c r="G25" s="49">
        <f>VLOOKUP($A25,'Data Vlaue (Cr)'!$C:$FB,43)</f>
        <v>2226</v>
      </c>
      <c r="H25" s="49">
        <f>VLOOKUP($A25,'Data Vlaue (Cr)'!$C:$FB,44)</f>
        <v>9149</v>
      </c>
      <c r="I25" s="49">
        <f>VLOOKUP($A25,'Data Vlaue (Cr)'!$C:$FB,46)*100</f>
        <v>-75.680000000000007</v>
      </c>
      <c r="J25" s="51">
        <f>VLOOKUP($A25,'Data Vlaue (Cr)'!$C:$FB,59)</f>
        <v>7148</v>
      </c>
      <c r="K25" s="51">
        <f>VLOOKUP($A25,'Data Vlaue (Cr)'!$C:$FB,60)</f>
        <v>28805</v>
      </c>
      <c r="L25" s="51">
        <f>VLOOKUP($A25,'Data Vlaue (Cr)'!$C:$FB,62)*100</f>
        <v>-75.19</v>
      </c>
      <c r="M25" s="51">
        <f>VLOOKUP($A25,'Data Vlaue (Cr)'!$C:$FB,63)</f>
        <v>4916</v>
      </c>
      <c r="N25" s="51">
        <f>VLOOKUP($A25,'Data Vlaue (Cr)'!$C:$FB,64)</f>
        <v>13628</v>
      </c>
      <c r="O25" s="51">
        <f>VLOOKUP($A25,'Data Vlaue (Cr)'!$C:$FB,66)*100</f>
        <v>-63.93</v>
      </c>
    </row>
    <row r="26" spans="1:15" x14ac:dyDescent="0.25">
      <c r="A26" s="101" t="str">
        <f>'Data Vlaue (Cr)'!C21</f>
        <v>BAJAJ-AUTO</v>
      </c>
      <c r="B26" s="50">
        <f>VLOOKUP($A26,'Data Vlaue (Cr)'!$C:$FB,8)</f>
        <v>9433.5</v>
      </c>
      <c r="C26" s="50">
        <f>VLOOKUP($A26,'Data Vlaue (Cr)'!$C:$FB,11)*100</f>
        <v>-0.62</v>
      </c>
      <c r="D26" s="50">
        <f>VLOOKUP($A26,'Data Vlaue (Cr)'!$C:$FB,143)</f>
        <v>3393.63</v>
      </c>
      <c r="E26" s="50">
        <f>VLOOKUP($A26,'Data Vlaue (Cr)'!$C:$FB,144)</f>
        <v>4474.75</v>
      </c>
      <c r="F26" s="50">
        <f>VLOOKUP($A26,'Data Vlaue (Cr)'!$C:$FB,146)*100</f>
        <v>-24.16</v>
      </c>
      <c r="G26" s="49">
        <f>VLOOKUP($A26,'Data Vlaue (Cr)'!$C:$FB,43)</f>
        <v>608</v>
      </c>
      <c r="H26" s="49">
        <f>VLOOKUP($A26,'Data Vlaue (Cr)'!$C:$FB,44)</f>
        <v>1125</v>
      </c>
      <c r="I26" s="49">
        <f>VLOOKUP($A26,'Data Vlaue (Cr)'!$C:$FB,46)*100</f>
        <v>-45.94</v>
      </c>
      <c r="J26" s="51">
        <f>VLOOKUP($A26,'Data Vlaue (Cr)'!$C:$FB,59)</f>
        <v>1302</v>
      </c>
      <c r="K26" s="51">
        <f>VLOOKUP($A26,'Data Vlaue (Cr)'!$C:$FB,60)</f>
        <v>2047</v>
      </c>
      <c r="L26" s="51">
        <f>VLOOKUP($A26,'Data Vlaue (Cr)'!$C:$FB,62)*100</f>
        <v>-36.43</v>
      </c>
      <c r="M26" s="51">
        <f>VLOOKUP($A26,'Data Vlaue (Cr)'!$C:$FB,63)</f>
        <v>1454</v>
      </c>
      <c r="N26" s="51">
        <f>VLOOKUP($A26,'Data Vlaue (Cr)'!$C:$FB,64)</f>
        <v>1269</v>
      </c>
      <c r="O26" s="51">
        <f>VLOOKUP($A26,'Data Vlaue (Cr)'!$C:$FB,66)*100</f>
        <v>14.63</v>
      </c>
    </row>
    <row r="27" spans="1:15" x14ac:dyDescent="0.25">
      <c r="A27" s="101" t="str">
        <f>'Data Vlaue (Cr)'!C22</f>
        <v>BAJAJFINSV</v>
      </c>
      <c r="B27" s="50">
        <f>VLOOKUP($A27,'Data Vlaue (Cr)'!$C:$FB,8)</f>
        <v>1940.3</v>
      </c>
      <c r="C27" s="50">
        <f>VLOOKUP($A27,'Data Vlaue (Cr)'!$C:$FB,11)*100</f>
        <v>1.18</v>
      </c>
      <c r="D27" s="50">
        <f>VLOOKUP($A27,'Data Vlaue (Cr)'!$C:$FB,143)</f>
        <v>836.47</v>
      </c>
      <c r="E27" s="50">
        <f>VLOOKUP($A27,'Data Vlaue (Cr)'!$C:$FB,144)</f>
        <v>3829.54</v>
      </c>
      <c r="F27" s="50">
        <f>VLOOKUP($A27,'Data Vlaue (Cr)'!$C:$FB,146)*100</f>
        <v>-78.16</v>
      </c>
      <c r="G27" s="49">
        <f>VLOOKUP($A27,'Data Vlaue (Cr)'!$C:$FB,43)</f>
        <v>264</v>
      </c>
      <c r="H27" s="49">
        <f>VLOOKUP($A27,'Data Vlaue (Cr)'!$C:$FB,44)</f>
        <v>1984</v>
      </c>
      <c r="I27" s="49">
        <f>VLOOKUP($A27,'Data Vlaue (Cr)'!$C:$FB,46)*100</f>
        <v>-86.7</v>
      </c>
      <c r="J27" s="51">
        <f>VLOOKUP($A27,'Data Vlaue (Cr)'!$C:$FB,59)</f>
        <v>354</v>
      </c>
      <c r="K27" s="51">
        <f>VLOOKUP($A27,'Data Vlaue (Cr)'!$C:$FB,60)</f>
        <v>947</v>
      </c>
      <c r="L27" s="51">
        <f>VLOOKUP($A27,'Data Vlaue (Cr)'!$C:$FB,62)*100</f>
        <v>-62.6</v>
      </c>
      <c r="M27" s="51">
        <f>VLOOKUP($A27,'Data Vlaue (Cr)'!$C:$FB,63)</f>
        <v>201</v>
      </c>
      <c r="N27" s="51">
        <f>VLOOKUP($A27,'Data Vlaue (Cr)'!$C:$FB,64)</f>
        <v>876</v>
      </c>
      <c r="O27" s="51">
        <f>VLOOKUP($A27,'Data Vlaue (Cr)'!$C:$FB,66)*100</f>
        <v>-77.010000000000005</v>
      </c>
    </row>
    <row r="28" spans="1:15" x14ac:dyDescent="0.25">
      <c r="A28" s="101" t="str">
        <f>'Data Vlaue (Cr)'!C23</f>
        <v>BAJAJHLDNG</v>
      </c>
      <c r="B28" s="50">
        <f>VLOOKUP($A28,'Data Vlaue (Cr)'!$C:$FB,8)</f>
        <v>10704</v>
      </c>
      <c r="C28" s="50">
        <f>VLOOKUP($A28,'Data Vlaue (Cr)'!$C:$FB,11)*100</f>
        <v>0.89999999999999991</v>
      </c>
      <c r="D28" s="50">
        <f>VLOOKUP($A28,'Data Vlaue (Cr)'!$C:$FB,143)</f>
        <v>102.58</v>
      </c>
      <c r="E28" s="50">
        <f>VLOOKUP($A28,'Data Vlaue (Cr)'!$C:$FB,144)</f>
        <v>674.09</v>
      </c>
      <c r="F28" s="50">
        <f>VLOOKUP($A28,'Data Vlaue (Cr)'!$C:$FB,146)*100</f>
        <v>-84.78</v>
      </c>
      <c r="G28" s="49">
        <f>VLOOKUP($A28,'Data Vlaue (Cr)'!$C:$FB,43)</f>
        <v>36</v>
      </c>
      <c r="H28" s="49">
        <f>VLOOKUP($A28,'Data Vlaue (Cr)'!$C:$FB,44)</f>
        <v>203</v>
      </c>
      <c r="I28" s="49">
        <f>VLOOKUP($A28,'Data Vlaue (Cr)'!$C:$FB,46)*100</f>
        <v>-82.34</v>
      </c>
      <c r="J28" s="51">
        <f>VLOOKUP($A28,'Data Vlaue (Cr)'!$C:$FB,59)</f>
        <v>47</v>
      </c>
      <c r="K28" s="51">
        <f>VLOOKUP($A28,'Data Vlaue (Cr)'!$C:$FB,60)</f>
        <v>163</v>
      </c>
      <c r="L28" s="51">
        <f>VLOOKUP($A28,'Data Vlaue (Cr)'!$C:$FB,62)*100</f>
        <v>-71.34</v>
      </c>
      <c r="M28" s="51">
        <f>VLOOKUP($A28,'Data Vlaue (Cr)'!$C:$FB,63)</f>
        <v>17</v>
      </c>
      <c r="N28" s="51">
        <f>VLOOKUP($A28,'Data Vlaue (Cr)'!$C:$FB,64)</f>
        <v>318</v>
      </c>
      <c r="O28" s="51">
        <f>VLOOKUP($A28,'Data Vlaue (Cr)'!$C:$FB,66)*100</f>
        <v>-94.67</v>
      </c>
    </row>
    <row r="29" spans="1:15" x14ac:dyDescent="0.25">
      <c r="A29" s="101" t="str">
        <f>'Data Vlaue (Cr)'!C24</f>
        <v>BAJFINANCE</v>
      </c>
      <c r="B29" s="50">
        <f>VLOOKUP($A29,'Data Vlaue (Cr)'!$C:$FB,8)</f>
        <v>935.15</v>
      </c>
      <c r="C29" s="50">
        <f>VLOOKUP($A29,'Data Vlaue (Cr)'!$C:$FB,11)*100</f>
        <v>2.2399999999999998</v>
      </c>
      <c r="D29" s="50">
        <f>VLOOKUP($A29,'Data Vlaue (Cr)'!$C:$FB,143)</f>
        <v>3142.19</v>
      </c>
      <c r="E29" s="50">
        <f>VLOOKUP($A29,'Data Vlaue (Cr)'!$C:$FB,144)</f>
        <v>9138.25</v>
      </c>
      <c r="F29" s="50">
        <f>VLOOKUP($A29,'Data Vlaue (Cr)'!$C:$FB,146)*100</f>
        <v>-65.62</v>
      </c>
      <c r="G29" s="49">
        <f>VLOOKUP($A29,'Data Vlaue (Cr)'!$C:$FB,43)</f>
        <v>627</v>
      </c>
      <c r="H29" s="49">
        <f>VLOOKUP($A29,'Data Vlaue (Cr)'!$C:$FB,44)</f>
        <v>4244</v>
      </c>
      <c r="I29" s="49">
        <f>VLOOKUP($A29,'Data Vlaue (Cr)'!$C:$FB,46)*100</f>
        <v>-85.22</v>
      </c>
      <c r="J29" s="51">
        <f>VLOOKUP($A29,'Data Vlaue (Cr)'!$C:$FB,59)</f>
        <v>1637</v>
      </c>
      <c r="K29" s="51">
        <f>VLOOKUP($A29,'Data Vlaue (Cr)'!$C:$FB,60)</f>
        <v>2680</v>
      </c>
      <c r="L29" s="51">
        <f>VLOOKUP($A29,'Data Vlaue (Cr)'!$C:$FB,62)*100</f>
        <v>-38.93</v>
      </c>
      <c r="M29" s="51">
        <f>VLOOKUP($A29,'Data Vlaue (Cr)'!$C:$FB,63)</f>
        <v>744</v>
      </c>
      <c r="N29" s="51">
        <f>VLOOKUP($A29,'Data Vlaue (Cr)'!$C:$FB,64)</f>
        <v>2106</v>
      </c>
      <c r="O29" s="51">
        <f>VLOOKUP($A29,'Data Vlaue (Cr)'!$C:$FB,66)*100</f>
        <v>-64.69</v>
      </c>
    </row>
    <row r="30" spans="1:15" x14ac:dyDescent="0.25">
      <c r="A30" s="101" t="str">
        <f>'Data Vlaue (Cr)'!C25</f>
        <v>BANDHANBNK</v>
      </c>
      <c r="B30" s="50">
        <f>VLOOKUP($A30,'Data Vlaue (Cr)'!$C:$FB,8)</f>
        <v>153.35</v>
      </c>
      <c r="C30" s="50">
        <f>VLOOKUP($A30,'Data Vlaue (Cr)'!$C:$FB,11)*100</f>
        <v>2.91</v>
      </c>
      <c r="D30" s="50">
        <f>VLOOKUP($A30,'Data Vlaue (Cr)'!$C:$FB,143)</f>
        <v>1050.94</v>
      </c>
      <c r="E30" s="50">
        <f>VLOOKUP($A30,'Data Vlaue (Cr)'!$C:$FB,144)</f>
        <v>2756.12</v>
      </c>
      <c r="F30" s="50">
        <f>VLOOKUP($A30,'Data Vlaue (Cr)'!$C:$FB,146)*100</f>
        <v>-61.870000000000005</v>
      </c>
      <c r="G30" s="49">
        <f>VLOOKUP($A30,'Data Vlaue (Cr)'!$C:$FB,43)</f>
        <v>318</v>
      </c>
      <c r="H30" s="49">
        <f>VLOOKUP($A30,'Data Vlaue (Cr)'!$C:$FB,44)</f>
        <v>1810</v>
      </c>
      <c r="I30" s="49">
        <f>VLOOKUP($A30,'Data Vlaue (Cr)'!$C:$FB,46)*100</f>
        <v>-82.44</v>
      </c>
      <c r="J30" s="51">
        <f>VLOOKUP($A30,'Data Vlaue (Cr)'!$C:$FB,59)</f>
        <v>540</v>
      </c>
      <c r="K30" s="51">
        <f>VLOOKUP($A30,'Data Vlaue (Cr)'!$C:$FB,60)</f>
        <v>540</v>
      </c>
      <c r="L30" s="51">
        <f>VLOOKUP($A30,'Data Vlaue (Cr)'!$C:$FB,62)*100</f>
        <v>-0.13</v>
      </c>
      <c r="M30" s="51">
        <f>VLOOKUP($A30,'Data Vlaue (Cr)'!$C:$FB,63)</f>
        <v>173</v>
      </c>
      <c r="N30" s="51">
        <f>VLOOKUP($A30,'Data Vlaue (Cr)'!$C:$FB,64)</f>
        <v>462</v>
      </c>
      <c r="O30" s="51">
        <f>VLOOKUP($A30,'Data Vlaue (Cr)'!$C:$FB,66)*100</f>
        <v>-62.580000000000005</v>
      </c>
    </row>
    <row r="31" spans="1:15" x14ac:dyDescent="0.25">
      <c r="A31" s="101" t="str">
        <f>'Data Vlaue (Cr)'!C26</f>
        <v>BANKBARODA</v>
      </c>
      <c r="B31" s="50">
        <f>VLOOKUP($A31,'Data Vlaue (Cr)'!$C:$FB,8)</f>
        <v>306.2</v>
      </c>
      <c r="C31" s="50">
        <f>VLOOKUP($A31,'Data Vlaue (Cr)'!$C:$FB,11)*100</f>
        <v>1.39</v>
      </c>
      <c r="D31" s="50">
        <f>VLOOKUP($A31,'Data Vlaue (Cr)'!$C:$FB,143)</f>
        <v>2116.29</v>
      </c>
      <c r="E31" s="50">
        <f>VLOOKUP($A31,'Data Vlaue (Cr)'!$C:$FB,144)</f>
        <v>3842.05</v>
      </c>
      <c r="F31" s="50">
        <f>VLOOKUP($A31,'Data Vlaue (Cr)'!$C:$FB,146)*100</f>
        <v>-44.92</v>
      </c>
      <c r="G31" s="49">
        <f>VLOOKUP($A31,'Data Vlaue (Cr)'!$C:$FB,43)</f>
        <v>586</v>
      </c>
      <c r="H31" s="49">
        <f>VLOOKUP($A31,'Data Vlaue (Cr)'!$C:$FB,44)</f>
        <v>1537</v>
      </c>
      <c r="I31" s="49">
        <f>VLOOKUP($A31,'Data Vlaue (Cr)'!$C:$FB,46)*100</f>
        <v>-61.88</v>
      </c>
      <c r="J31" s="51">
        <f>VLOOKUP($A31,'Data Vlaue (Cr)'!$C:$FB,59)</f>
        <v>1030</v>
      </c>
      <c r="K31" s="51">
        <f>VLOOKUP($A31,'Data Vlaue (Cr)'!$C:$FB,60)</f>
        <v>1375</v>
      </c>
      <c r="L31" s="51">
        <f>VLOOKUP($A31,'Data Vlaue (Cr)'!$C:$FB,62)*100</f>
        <v>-25.14</v>
      </c>
      <c r="M31" s="51">
        <f>VLOOKUP($A31,'Data Vlaue (Cr)'!$C:$FB,63)</f>
        <v>468</v>
      </c>
      <c r="N31" s="51">
        <f>VLOOKUP($A31,'Data Vlaue (Cr)'!$C:$FB,64)</f>
        <v>979</v>
      </c>
      <c r="O31" s="51">
        <f>VLOOKUP($A31,'Data Vlaue (Cr)'!$C:$FB,66)*100</f>
        <v>-52.22</v>
      </c>
    </row>
    <row r="32" spans="1:15" x14ac:dyDescent="0.25">
      <c r="A32" s="101" t="str">
        <f>'Data Vlaue (Cr)'!C27</f>
        <v>BANKINDIA</v>
      </c>
      <c r="B32" s="50">
        <f>VLOOKUP($A32,'Data Vlaue (Cr)'!$C:$FB,8)</f>
        <v>167.34</v>
      </c>
      <c r="C32" s="50">
        <f>VLOOKUP($A32,'Data Vlaue (Cr)'!$C:$FB,11)*100</f>
        <v>2.56</v>
      </c>
      <c r="D32" s="50">
        <f>VLOOKUP($A32,'Data Vlaue (Cr)'!$C:$FB,143)</f>
        <v>1075.05</v>
      </c>
      <c r="E32" s="50">
        <f>VLOOKUP($A32,'Data Vlaue (Cr)'!$C:$FB,144)</f>
        <v>1334.84</v>
      </c>
      <c r="F32" s="50">
        <f>VLOOKUP($A32,'Data Vlaue (Cr)'!$C:$FB,146)*100</f>
        <v>-19.46</v>
      </c>
      <c r="G32" s="49">
        <f>VLOOKUP($A32,'Data Vlaue (Cr)'!$C:$FB,43)</f>
        <v>328</v>
      </c>
      <c r="H32" s="49">
        <f>VLOOKUP($A32,'Data Vlaue (Cr)'!$C:$FB,44)</f>
        <v>722</v>
      </c>
      <c r="I32" s="49">
        <f>VLOOKUP($A32,'Data Vlaue (Cr)'!$C:$FB,46)*100</f>
        <v>-54.569999999999993</v>
      </c>
      <c r="J32" s="51">
        <f>VLOOKUP($A32,'Data Vlaue (Cr)'!$C:$FB,59)</f>
        <v>446</v>
      </c>
      <c r="K32" s="51">
        <f>VLOOKUP($A32,'Data Vlaue (Cr)'!$C:$FB,60)</f>
        <v>416</v>
      </c>
      <c r="L32" s="51">
        <f>VLOOKUP($A32,'Data Vlaue (Cr)'!$C:$FB,62)*100</f>
        <v>7.39</v>
      </c>
      <c r="M32" s="51">
        <f>VLOOKUP($A32,'Data Vlaue (Cr)'!$C:$FB,63)</f>
        <v>296</v>
      </c>
      <c r="N32" s="51">
        <f>VLOOKUP($A32,'Data Vlaue (Cr)'!$C:$FB,64)</f>
        <v>231</v>
      </c>
      <c r="O32" s="51">
        <f>VLOOKUP($A32,'Data Vlaue (Cr)'!$C:$FB,66)*100</f>
        <v>28.08</v>
      </c>
    </row>
    <row r="33" spans="1:15" x14ac:dyDescent="0.25">
      <c r="A33" s="101" t="str">
        <f>'Data Vlaue (Cr)'!C28</f>
        <v>BANKNIFTY</v>
      </c>
      <c r="B33" s="50">
        <f>VLOOKUP($A33,'Data Vlaue (Cr)'!$C:$FB,8)</f>
        <v>59598.8</v>
      </c>
      <c r="C33" s="50">
        <f>VLOOKUP($A33,'Data Vlaue (Cr)'!$C:$FB,11)*100</f>
        <v>0.66</v>
      </c>
      <c r="D33" s="50">
        <f>VLOOKUP($A33,'Data Vlaue (Cr)'!$C:$FB,143)</f>
        <v>335528.78999999998</v>
      </c>
      <c r="E33" s="50">
        <f>VLOOKUP($A33,'Data Vlaue (Cr)'!$C:$FB,144)</f>
        <v>13485443.470000001</v>
      </c>
      <c r="F33" s="50">
        <f>VLOOKUP($A33,'Data Vlaue (Cr)'!$C:$FB,146)*100</f>
        <v>-97.509999999999991</v>
      </c>
      <c r="G33" s="49">
        <f>VLOOKUP($A33,'Data Vlaue (Cr)'!$C:$FB,43)</f>
        <v>6207</v>
      </c>
      <c r="H33" s="49">
        <f>VLOOKUP($A33,'Data Vlaue (Cr)'!$C:$FB,44)</f>
        <v>14058</v>
      </c>
      <c r="I33" s="49">
        <f>VLOOKUP($A33,'Data Vlaue (Cr)'!$C:$FB,46)*100</f>
        <v>-55.85</v>
      </c>
      <c r="J33" s="51">
        <f>VLOOKUP($A33,'Data Vlaue (Cr)'!$C:$FB,59)</f>
        <v>168144</v>
      </c>
      <c r="K33" s="51">
        <f>VLOOKUP($A33,'Data Vlaue (Cr)'!$C:$FB,60)</f>
        <v>7377650</v>
      </c>
      <c r="L33" s="51">
        <f>VLOOKUP($A33,'Data Vlaue (Cr)'!$C:$FB,62)*100</f>
        <v>-97.72</v>
      </c>
      <c r="M33" s="51">
        <f>VLOOKUP($A33,'Data Vlaue (Cr)'!$C:$FB,63)</f>
        <v>158886</v>
      </c>
      <c r="N33" s="51">
        <f>VLOOKUP($A33,'Data Vlaue (Cr)'!$C:$FB,64)</f>
        <v>6321959</v>
      </c>
      <c r="O33" s="51">
        <f>VLOOKUP($A33,'Data Vlaue (Cr)'!$C:$FB,66)*100</f>
        <v>-97.49</v>
      </c>
    </row>
    <row r="34" spans="1:15" x14ac:dyDescent="0.25">
      <c r="A34" s="101" t="str">
        <f>'Data Vlaue (Cr)'!C29</f>
        <v>BDL</v>
      </c>
      <c r="B34" s="50">
        <f>VLOOKUP($A34,'Data Vlaue (Cr)'!$C:$FB,8)</f>
        <v>1570</v>
      </c>
      <c r="C34" s="50">
        <f>VLOOKUP($A34,'Data Vlaue (Cr)'!$C:$FB,11)*100</f>
        <v>6.8500000000000005</v>
      </c>
      <c r="D34" s="50">
        <f>VLOOKUP($A34,'Data Vlaue (Cr)'!$C:$FB,143)</f>
        <v>2380.2600000000002</v>
      </c>
      <c r="E34" s="50">
        <f>VLOOKUP($A34,'Data Vlaue (Cr)'!$C:$FB,144)</f>
        <v>1975.71</v>
      </c>
      <c r="F34" s="50">
        <f>VLOOKUP($A34,'Data Vlaue (Cr)'!$C:$FB,146)*100</f>
        <v>20.48</v>
      </c>
      <c r="G34" s="49">
        <f>VLOOKUP($A34,'Data Vlaue (Cr)'!$C:$FB,43)</f>
        <v>480</v>
      </c>
      <c r="H34" s="49">
        <f>VLOOKUP($A34,'Data Vlaue (Cr)'!$C:$FB,44)</f>
        <v>969</v>
      </c>
      <c r="I34" s="49">
        <f>VLOOKUP($A34,'Data Vlaue (Cr)'!$C:$FB,46)*100</f>
        <v>-50.460000000000008</v>
      </c>
      <c r="J34" s="51">
        <f>VLOOKUP($A34,'Data Vlaue (Cr)'!$C:$FB,59)</f>
        <v>1523</v>
      </c>
      <c r="K34" s="51">
        <f>VLOOKUP($A34,'Data Vlaue (Cr)'!$C:$FB,60)</f>
        <v>806</v>
      </c>
      <c r="L34" s="51">
        <f>VLOOKUP($A34,'Data Vlaue (Cr)'!$C:$FB,62)*100</f>
        <v>88.87</v>
      </c>
      <c r="M34" s="51">
        <f>VLOOKUP($A34,'Data Vlaue (Cr)'!$C:$FB,63)</f>
        <v>339</v>
      </c>
      <c r="N34" s="51">
        <f>VLOOKUP($A34,'Data Vlaue (Cr)'!$C:$FB,64)</f>
        <v>332</v>
      </c>
      <c r="O34" s="51">
        <f>VLOOKUP($A34,'Data Vlaue (Cr)'!$C:$FB,66)*100</f>
        <v>2.1399999999999997</v>
      </c>
    </row>
    <row r="35" spans="1:15" x14ac:dyDescent="0.25">
      <c r="A35" s="101" t="str">
        <f>'Data Vlaue (Cr)'!C30</f>
        <v>BEL</v>
      </c>
      <c r="B35" s="50">
        <f>VLOOKUP($A35,'Data Vlaue (Cr)'!$C:$FB,8)</f>
        <v>453</v>
      </c>
      <c r="C35" s="50">
        <f>VLOOKUP($A35,'Data Vlaue (Cr)'!$C:$FB,11)*100</f>
        <v>8.91</v>
      </c>
      <c r="D35" s="50">
        <f>VLOOKUP($A35,'Data Vlaue (Cr)'!$C:$FB,143)</f>
        <v>28697.74</v>
      </c>
      <c r="E35" s="50">
        <f>VLOOKUP($A35,'Data Vlaue (Cr)'!$C:$FB,144)</f>
        <v>7808.77</v>
      </c>
      <c r="F35" s="50">
        <f>VLOOKUP($A35,'Data Vlaue (Cr)'!$C:$FB,146)*100</f>
        <v>267.51</v>
      </c>
      <c r="G35" s="49">
        <f>VLOOKUP($A35,'Data Vlaue (Cr)'!$C:$FB,43)</f>
        <v>4287</v>
      </c>
      <c r="H35" s="49">
        <f>VLOOKUP($A35,'Data Vlaue (Cr)'!$C:$FB,44)</f>
        <v>3223</v>
      </c>
      <c r="I35" s="49">
        <f>VLOOKUP($A35,'Data Vlaue (Cr)'!$C:$FB,46)*100</f>
        <v>33.03</v>
      </c>
      <c r="J35" s="51">
        <f>VLOOKUP($A35,'Data Vlaue (Cr)'!$C:$FB,59)</f>
        <v>17856</v>
      </c>
      <c r="K35" s="51">
        <f>VLOOKUP($A35,'Data Vlaue (Cr)'!$C:$FB,60)</f>
        <v>3556</v>
      </c>
      <c r="L35" s="51">
        <f>VLOOKUP($A35,'Data Vlaue (Cr)'!$C:$FB,62)*100</f>
        <v>402.09999999999997</v>
      </c>
      <c r="M35" s="51">
        <f>VLOOKUP($A35,'Data Vlaue (Cr)'!$C:$FB,63)</f>
        <v>6732</v>
      </c>
      <c r="N35" s="51">
        <f>VLOOKUP($A35,'Data Vlaue (Cr)'!$C:$FB,64)</f>
        <v>1658</v>
      </c>
      <c r="O35" s="51">
        <f>VLOOKUP($A35,'Data Vlaue (Cr)'!$C:$FB,66)*100</f>
        <v>306.10000000000002</v>
      </c>
    </row>
    <row r="36" spans="1:15" x14ac:dyDescent="0.25">
      <c r="A36" s="101" t="str">
        <f>'Data Vlaue (Cr)'!C31</f>
        <v>BHARATFORG</v>
      </c>
      <c r="B36" s="50">
        <f>VLOOKUP($A36,'Data Vlaue (Cr)'!$C:$FB,8)</f>
        <v>1459.1</v>
      </c>
      <c r="C36" s="50">
        <f>VLOOKUP($A36,'Data Vlaue (Cr)'!$C:$FB,11)*100</f>
        <v>2.86</v>
      </c>
      <c r="D36" s="50">
        <f>VLOOKUP($A36,'Data Vlaue (Cr)'!$C:$FB,143)</f>
        <v>1426.32</v>
      </c>
      <c r="E36" s="50">
        <f>VLOOKUP($A36,'Data Vlaue (Cr)'!$C:$FB,144)</f>
        <v>1565.48</v>
      </c>
      <c r="F36" s="50">
        <f>VLOOKUP($A36,'Data Vlaue (Cr)'!$C:$FB,146)*100</f>
        <v>-8.89</v>
      </c>
      <c r="G36" s="49">
        <f>VLOOKUP($A36,'Data Vlaue (Cr)'!$C:$FB,43)</f>
        <v>380</v>
      </c>
      <c r="H36" s="49">
        <f>VLOOKUP($A36,'Data Vlaue (Cr)'!$C:$FB,44)</f>
        <v>671</v>
      </c>
      <c r="I36" s="49">
        <f>VLOOKUP($A36,'Data Vlaue (Cr)'!$C:$FB,46)*100</f>
        <v>-43.269999999999996</v>
      </c>
      <c r="J36" s="51">
        <f>VLOOKUP($A36,'Data Vlaue (Cr)'!$C:$FB,59)</f>
        <v>818</v>
      </c>
      <c r="K36" s="51">
        <f>VLOOKUP($A36,'Data Vlaue (Cr)'!$C:$FB,60)</f>
        <v>608</v>
      </c>
      <c r="L36" s="51">
        <f>VLOOKUP($A36,'Data Vlaue (Cr)'!$C:$FB,62)*100</f>
        <v>34.630000000000003</v>
      </c>
      <c r="M36" s="51">
        <f>VLOOKUP($A36,'Data Vlaue (Cr)'!$C:$FB,63)</f>
        <v>203</v>
      </c>
      <c r="N36" s="51">
        <f>VLOOKUP($A36,'Data Vlaue (Cr)'!$C:$FB,64)</f>
        <v>310</v>
      </c>
      <c r="O36" s="51">
        <f>VLOOKUP($A36,'Data Vlaue (Cr)'!$C:$FB,66)*100</f>
        <v>-34.39</v>
      </c>
    </row>
    <row r="37" spans="1:15" x14ac:dyDescent="0.25">
      <c r="A37" s="101" t="str">
        <f>'Data Vlaue (Cr)'!C32</f>
        <v>BHARTIARTL</v>
      </c>
      <c r="B37" s="50">
        <f>VLOOKUP($A37,'Data Vlaue (Cr)'!$C:$FB,8)</f>
        <v>1957.7</v>
      </c>
      <c r="C37" s="50">
        <f>VLOOKUP($A37,'Data Vlaue (Cr)'!$C:$FB,11)*100</f>
        <v>-0.8</v>
      </c>
      <c r="D37" s="50">
        <f>VLOOKUP($A37,'Data Vlaue (Cr)'!$C:$FB,143)</f>
        <v>4989.9399999999996</v>
      </c>
      <c r="E37" s="50">
        <f>VLOOKUP($A37,'Data Vlaue (Cr)'!$C:$FB,144)</f>
        <v>9248.51</v>
      </c>
      <c r="F37" s="50">
        <f>VLOOKUP($A37,'Data Vlaue (Cr)'!$C:$FB,146)*100</f>
        <v>-46.050000000000004</v>
      </c>
      <c r="G37" s="49">
        <f>VLOOKUP($A37,'Data Vlaue (Cr)'!$C:$FB,43)</f>
        <v>1402</v>
      </c>
      <c r="H37" s="49">
        <f>VLOOKUP($A37,'Data Vlaue (Cr)'!$C:$FB,44)</f>
        <v>5035</v>
      </c>
      <c r="I37" s="49">
        <f>VLOOKUP($A37,'Data Vlaue (Cr)'!$C:$FB,46)*100</f>
        <v>-72.16</v>
      </c>
      <c r="J37" s="51">
        <f>VLOOKUP($A37,'Data Vlaue (Cr)'!$C:$FB,59)</f>
        <v>2343</v>
      </c>
      <c r="K37" s="51">
        <f>VLOOKUP($A37,'Data Vlaue (Cr)'!$C:$FB,60)</f>
        <v>2615</v>
      </c>
      <c r="L37" s="51">
        <f>VLOOKUP($A37,'Data Vlaue (Cr)'!$C:$FB,62)*100</f>
        <v>-10.39</v>
      </c>
      <c r="M37" s="51">
        <f>VLOOKUP($A37,'Data Vlaue (Cr)'!$C:$FB,63)</f>
        <v>1118</v>
      </c>
      <c r="N37" s="51">
        <f>VLOOKUP($A37,'Data Vlaue (Cr)'!$C:$FB,64)</f>
        <v>1412</v>
      </c>
      <c r="O37" s="51">
        <f>VLOOKUP($A37,'Data Vlaue (Cr)'!$C:$FB,66)*100</f>
        <v>-20.830000000000002</v>
      </c>
    </row>
    <row r="38" spans="1:15" x14ac:dyDescent="0.25">
      <c r="A38" s="101" t="str">
        <f>'Data Vlaue (Cr)'!C33</f>
        <v>BHEL</v>
      </c>
      <c r="B38" s="50">
        <f>VLOOKUP($A38,'Data Vlaue (Cr)'!$C:$FB,8)</f>
        <v>259.64999999999998</v>
      </c>
      <c r="C38" s="50">
        <f>VLOOKUP($A38,'Data Vlaue (Cr)'!$C:$FB,11)*100</f>
        <v>4.82</v>
      </c>
      <c r="D38" s="50">
        <f>VLOOKUP($A38,'Data Vlaue (Cr)'!$C:$FB,143)</f>
        <v>3573.83</v>
      </c>
      <c r="E38" s="50">
        <f>VLOOKUP($A38,'Data Vlaue (Cr)'!$C:$FB,144)</f>
        <v>4169.75</v>
      </c>
      <c r="F38" s="50">
        <f>VLOOKUP($A38,'Data Vlaue (Cr)'!$C:$FB,146)*100</f>
        <v>-14.29</v>
      </c>
      <c r="G38" s="49">
        <f>VLOOKUP($A38,'Data Vlaue (Cr)'!$C:$FB,43)</f>
        <v>712</v>
      </c>
      <c r="H38" s="49">
        <f>VLOOKUP($A38,'Data Vlaue (Cr)'!$C:$FB,44)</f>
        <v>1751</v>
      </c>
      <c r="I38" s="49">
        <f>VLOOKUP($A38,'Data Vlaue (Cr)'!$C:$FB,46)*100</f>
        <v>-59.34</v>
      </c>
      <c r="J38" s="51">
        <f>VLOOKUP($A38,'Data Vlaue (Cr)'!$C:$FB,59)</f>
        <v>2141</v>
      </c>
      <c r="K38" s="51">
        <f>VLOOKUP($A38,'Data Vlaue (Cr)'!$C:$FB,60)</f>
        <v>1479</v>
      </c>
      <c r="L38" s="51">
        <f>VLOOKUP($A38,'Data Vlaue (Cr)'!$C:$FB,62)*100</f>
        <v>44.78</v>
      </c>
      <c r="M38" s="51">
        <f>VLOOKUP($A38,'Data Vlaue (Cr)'!$C:$FB,63)</f>
        <v>618</v>
      </c>
      <c r="N38" s="51">
        <f>VLOOKUP($A38,'Data Vlaue (Cr)'!$C:$FB,64)</f>
        <v>1032</v>
      </c>
      <c r="O38" s="51">
        <f>VLOOKUP($A38,'Data Vlaue (Cr)'!$C:$FB,66)*100</f>
        <v>-40.089999999999996</v>
      </c>
    </row>
    <row r="39" spans="1:15" x14ac:dyDescent="0.25">
      <c r="A39" s="101" t="str">
        <f>'Data Vlaue (Cr)'!C34</f>
        <v>BIOCON</v>
      </c>
      <c r="B39" s="50">
        <f>VLOOKUP($A39,'Data Vlaue (Cr)'!$C:$FB,8)</f>
        <v>370.5</v>
      </c>
      <c r="C39" s="50">
        <f>VLOOKUP($A39,'Data Vlaue (Cr)'!$C:$FB,11)*100</f>
        <v>1.44</v>
      </c>
      <c r="D39" s="50">
        <f>VLOOKUP($A39,'Data Vlaue (Cr)'!$C:$FB,143)</f>
        <v>751.95</v>
      </c>
      <c r="E39" s="50">
        <f>VLOOKUP($A39,'Data Vlaue (Cr)'!$C:$FB,144)</f>
        <v>2928.87</v>
      </c>
      <c r="F39" s="50">
        <f>VLOOKUP($A39,'Data Vlaue (Cr)'!$C:$FB,146)*100</f>
        <v>-74.33</v>
      </c>
      <c r="G39" s="49">
        <f>VLOOKUP($A39,'Data Vlaue (Cr)'!$C:$FB,43)</f>
        <v>212</v>
      </c>
      <c r="H39" s="49">
        <f>VLOOKUP($A39,'Data Vlaue (Cr)'!$C:$FB,44)</f>
        <v>1617</v>
      </c>
      <c r="I39" s="49">
        <f>VLOOKUP($A39,'Data Vlaue (Cr)'!$C:$FB,46)*100</f>
        <v>-86.88</v>
      </c>
      <c r="J39" s="51">
        <f>VLOOKUP($A39,'Data Vlaue (Cr)'!$C:$FB,59)</f>
        <v>377</v>
      </c>
      <c r="K39" s="51">
        <f>VLOOKUP($A39,'Data Vlaue (Cr)'!$C:$FB,60)</f>
        <v>768</v>
      </c>
      <c r="L39" s="51">
        <f>VLOOKUP($A39,'Data Vlaue (Cr)'!$C:$FB,62)*100</f>
        <v>-50.88</v>
      </c>
      <c r="M39" s="51">
        <f>VLOOKUP($A39,'Data Vlaue (Cr)'!$C:$FB,63)</f>
        <v>146</v>
      </c>
      <c r="N39" s="51">
        <f>VLOOKUP($A39,'Data Vlaue (Cr)'!$C:$FB,64)</f>
        <v>527</v>
      </c>
      <c r="O39" s="51">
        <f>VLOOKUP($A39,'Data Vlaue (Cr)'!$C:$FB,66)*100</f>
        <v>-72.399999999999991</v>
      </c>
    </row>
    <row r="40" spans="1:15" x14ac:dyDescent="0.25">
      <c r="A40" s="101" t="str">
        <f>'Data Vlaue (Cr)'!C35</f>
        <v>BLUESTARCO</v>
      </c>
      <c r="B40" s="50">
        <f>VLOOKUP($A40,'Data Vlaue (Cr)'!$C:$FB,8)</f>
        <v>1701.5</v>
      </c>
      <c r="C40" s="50">
        <f>VLOOKUP($A40,'Data Vlaue (Cr)'!$C:$FB,11)*100</f>
        <v>2.04</v>
      </c>
      <c r="D40" s="50">
        <f>VLOOKUP($A40,'Data Vlaue (Cr)'!$C:$FB,143)</f>
        <v>238.4</v>
      </c>
      <c r="E40" s="50">
        <f>VLOOKUP($A40,'Data Vlaue (Cr)'!$C:$FB,144)</f>
        <v>721.86</v>
      </c>
      <c r="F40" s="50">
        <f>VLOOKUP($A40,'Data Vlaue (Cr)'!$C:$FB,146)*100</f>
        <v>-66.97</v>
      </c>
      <c r="G40" s="49">
        <f>VLOOKUP($A40,'Data Vlaue (Cr)'!$C:$FB,43)</f>
        <v>127</v>
      </c>
      <c r="H40" s="49">
        <f>VLOOKUP($A40,'Data Vlaue (Cr)'!$C:$FB,44)</f>
        <v>245</v>
      </c>
      <c r="I40" s="49">
        <f>VLOOKUP($A40,'Data Vlaue (Cr)'!$C:$FB,46)*100</f>
        <v>-48.29</v>
      </c>
      <c r="J40" s="51">
        <f>VLOOKUP($A40,'Data Vlaue (Cr)'!$C:$FB,59)</f>
        <v>58</v>
      </c>
      <c r="K40" s="51">
        <f>VLOOKUP($A40,'Data Vlaue (Cr)'!$C:$FB,60)</f>
        <v>112</v>
      </c>
      <c r="L40" s="51">
        <f>VLOOKUP($A40,'Data Vlaue (Cr)'!$C:$FB,62)*100</f>
        <v>-48.14</v>
      </c>
      <c r="M40" s="51">
        <f>VLOOKUP($A40,'Data Vlaue (Cr)'!$C:$FB,63)</f>
        <v>53</v>
      </c>
      <c r="N40" s="51">
        <f>VLOOKUP($A40,'Data Vlaue (Cr)'!$C:$FB,64)</f>
        <v>376</v>
      </c>
      <c r="O40" s="51">
        <f>VLOOKUP($A40,'Data Vlaue (Cr)'!$C:$FB,66)*100</f>
        <v>-85.92</v>
      </c>
    </row>
    <row r="41" spans="1:15" x14ac:dyDescent="0.25">
      <c r="A41" s="101" t="str">
        <f>'Data Vlaue (Cr)'!C36</f>
        <v>BOSCHLTD</v>
      </c>
      <c r="B41" s="50">
        <f>VLOOKUP($A41,'Data Vlaue (Cr)'!$C:$FB,8)</f>
        <v>36185</v>
      </c>
      <c r="C41" s="50">
        <f>VLOOKUP($A41,'Data Vlaue (Cr)'!$C:$FB,11)*100</f>
        <v>2.48</v>
      </c>
      <c r="D41" s="50">
        <f>VLOOKUP($A41,'Data Vlaue (Cr)'!$C:$FB,143)</f>
        <v>513.01</v>
      </c>
      <c r="E41" s="50">
        <f>VLOOKUP($A41,'Data Vlaue (Cr)'!$C:$FB,144)</f>
        <v>2418.0300000000002</v>
      </c>
      <c r="F41" s="50">
        <f>VLOOKUP($A41,'Data Vlaue (Cr)'!$C:$FB,146)*100</f>
        <v>-78.78</v>
      </c>
      <c r="G41" s="49">
        <f>VLOOKUP($A41,'Data Vlaue (Cr)'!$C:$FB,43)</f>
        <v>148</v>
      </c>
      <c r="H41" s="49">
        <f>VLOOKUP($A41,'Data Vlaue (Cr)'!$C:$FB,44)</f>
        <v>527</v>
      </c>
      <c r="I41" s="49">
        <f>VLOOKUP($A41,'Data Vlaue (Cr)'!$C:$FB,46)*100</f>
        <v>-72</v>
      </c>
      <c r="J41" s="51">
        <f>VLOOKUP($A41,'Data Vlaue (Cr)'!$C:$FB,59)</f>
        <v>264</v>
      </c>
      <c r="K41" s="51">
        <f>VLOOKUP($A41,'Data Vlaue (Cr)'!$C:$FB,60)</f>
        <v>1496</v>
      </c>
      <c r="L41" s="51">
        <f>VLOOKUP($A41,'Data Vlaue (Cr)'!$C:$FB,62)*100</f>
        <v>-82.35</v>
      </c>
      <c r="M41" s="51">
        <f>VLOOKUP($A41,'Data Vlaue (Cr)'!$C:$FB,63)</f>
        <v>89</v>
      </c>
      <c r="N41" s="51">
        <f>VLOOKUP($A41,'Data Vlaue (Cr)'!$C:$FB,64)</f>
        <v>316</v>
      </c>
      <c r="O41" s="51">
        <f>VLOOKUP($A41,'Data Vlaue (Cr)'!$C:$FB,66)*100</f>
        <v>-71.91</v>
      </c>
    </row>
    <row r="42" spans="1:15" x14ac:dyDescent="0.25">
      <c r="A42" s="101" t="str">
        <f>'Data Vlaue (Cr)'!C37</f>
        <v>BPCL</v>
      </c>
      <c r="B42" s="50">
        <f>VLOOKUP($A42,'Data Vlaue (Cr)'!$C:$FB,8)</f>
        <v>362.35</v>
      </c>
      <c r="C42" s="50">
        <f>VLOOKUP($A42,'Data Vlaue (Cr)'!$C:$FB,11)*100</f>
        <v>1.39</v>
      </c>
      <c r="D42" s="50">
        <f>VLOOKUP($A42,'Data Vlaue (Cr)'!$C:$FB,143)</f>
        <v>1677.93</v>
      </c>
      <c r="E42" s="50">
        <f>VLOOKUP($A42,'Data Vlaue (Cr)'!$C:$FB,144)</f>
        <v>3623.41</v>
      </c>
      <c r="F42" s="50">
        <f>VLOOKUP($A42,'Data Vlaue (Cr)'!$C:$FB,146)*100</f>
        <v>-53.690000000000005</v>
      </c>
      <c r="G42" s="49">
        <f>VLOOKUP($A42,'Data Vlaue (Cr)'!$C:$FB,43)</f>
        <v>414</v>
      </c>
      <c r="H42" s="49">
        <f>VLOOKUP($A42,'Data Vlaue (Cr)'!$C:$FB,44)</f>
        <v>1883</v>
      </c>
      <c r="I42" s="49">
        <f>VLOOKUP($A42,'Data Vlaue (Cr)'!$C:$FB,46)*100</f>
        <v>-78.02</v>
      </c>
      <c r="J42" s="51">
        <f>VLOOKUP($A42,'Data Vlaue (Cr)'!$C:$FB,59)</f>
        <v>822</v>
      </c>
      <c r="K42" s="51">
        <f>VLOOKUP($A42,'Data Vlaue (Cr)'!$C:$FB,60)</f>
        <v>1115</v>
      </c>
      <c r="L42" s="51">
        <f>VLOOKUP($A42,'Data Vlaue (Cr)'!$C:$FB,62)*100</f>
        <v>-26.3</v>
      </c>
      <c r="M42" s="51">
        <f>VLOOKUP($A42,'Data Vlaue (Cr)'!$C:$FB,63)</f>
        <v>407</v>
      </c>
      <c r="N42" s="51">
        <f>VLOOKUP($A42,'Data Vlaue (Cr)'!$C:$FB,64)</f>
        <v>674</v>
      </c>
      <c r="O42" s="51">
        <f>VLOOKUP($A42,'Data Vlaue (Cr)'!$C:$FB,66)*100</f>
        <v>-39.53</v>
      </c>
    </row>
    <row r="43" spans="1:15" x14ac:dyDescent="0.25">
      <c r="A43" s="101" t="str">
        <f>'Data Vlaue (Cr)'!C38</f>
        <v>BRITANNIA</v>
      </c>
      <c r="B43" s="50">
        <f>VLOOKUP($A43,'Data Vlaue (Cr)'!$C:$FB,8)</f>
        <v>5748.5</v>
      </c>
      <c r="C43" s="50">
        <f>VLOOKUP($A43,'Data Vlaue (Cr)'!$C:$FB,11)*100</f>
        <v>-2.34</v>
      </c>
      <c r="D43" s="50">
        <f>VLOOKUP($A43,'Data Vlaue (Cr)'!$C:$FB,143)</f>
        <v>1309.06</v>
      </c>
      <c r="E43" s="50">
        <f>VLOOKUP($A43,'Data Vlaue (Cr)'!$C:$FB,144)</f>
        <v>1807.18</v>
      </c>
      <c r="F43" s="50">
        <f>VLOOKUP($A43,'Data Vlaue (Cr)'!$C:$FB,146)*100</f>
        <v>-27.560000000000002</v>
      </c>
      <c r="G43" s="49">
        <f>VLOOKUP($A43,'Data Vlaue (Cr)'!$C:$FB,43)</f>
        <v>289</v>
      </c>
      <c r="H43" s="49">
        <f>VLOOKUP($A43,'Data Vlaue (Cr)'!$C:$FB,44)</f>
        <v>998</v>
      </c>
      <c r="I43" s="49">
        <f>VLOOKUP($A43,'Data Vlaue (Cr)'!$C:$FB,46)*100</f>
        <v>-71.06</v>
      </c>
      <c r="J43" s="51">
        <f>VLOOKUP($A43,'Data Vlaue (Cr)'!$C:$FB,59)</f>
        <v>632</v>
      </c>
      <c r="K43" s="51">
        <f>VLOOKUP($A43,'Data Vlaue (Cr)'!$C:$FB,60)</f>
        <v>449</v>
      </c>
      <c r="L43" s="51">
        <f>VLOOKUP($A43,'Data Vlaue (Cr)'!$C:$FB,62)*100</f>
        <v>40.770000000000003</v>
      </c>
      <c r="M43" s="51">
        <f>VLOOKUP($A43,'Data Vlaue (Cr)'!$C:$FB,63)</f>
        <v>334</v>
      </c>
      <c r="N43" s="51">
        <f>VLOOKUP($A43,'Data Vlaue (Cr)'!$C:$FB,64)</f>
        <v>302</v>
      </c>
      <c r="O43" s="51">
        <f>VLOOKUP($A43,'Data Vlaue (Cr)'!$C:$FB,66)*100</f>
        <v>10.61</v>
      </c>
    </row>
    <row r="44" spans="1:15" x14ac:dyDescent="0.25">
      <c r="A44" s="101" t="str">
        <f>'Data Vlaue (Cr)'!C39</f>
        <v>BSE</v>
      </c>
      <c r="B44" s="50">
        <f>VLOOKUP($A44,'Data Vlaue (Cr)'!$C:$FB,8)</f>
        <v>2821.5</v>
      </c>
      <c r="C44" s="50">
        <f>VLOOKUP($A44,'Data Vlaue (Cr)'!$C:$FB,11)*100</f>
        <v>2.1800000000000002</v>
      </c>
      <c r="D44" s="50">
        <f>VLOOKUP($A44,'Data Vlaue (Cr)'!$C:$FB,143)</f>
        <v>5344.86</v>
      </c>
      <c r="E44" s="50">
        <f>VLOOKUP($A44,'Data Vlaue (Cr)'!$C:$FB,144)</f>
        <v>10458.57</v>
      </c>
      <c r="F44" s="50">
        <f>VLOOKUP($A44,'Data Vlaue (Cr)'!$C:$FB,146)*100</f>
        <v>-48.89</v>
      </c>
      <c r="G44" s="49">
        <f>VLOOKUP($A44,'Data Vlaue (Cr)'!$C:$FB,43)</f>
        <v>953</v>
      </c>
      <c r="H44" s="49">
        <f>VLOOKUP($A44,'Data Vlaue (Cr)'!$C:$FB,44)</f>
        <v>3254</v>
      </c>
      <c r="I44" s="49">
        <f>VLOOKUP($A44,'Data Vlaue (Cr)'!$C:$FB,46)*100</f>
        <v>-70.72</v>
      </c>
      <c r="J44" s="51">
        <f>VLOOKUP($A44,'Data Vlaue (Cr)'!$C:$FB,59)</f>
        <v>3037</v>
      </c>
      <c r="K44" s="51">
        <f>VLOOKUP($A44,'Data Vlaue (Cr)'!$C:$FB,60)</f>
        <v>4871</v>
      </c>
      <c r="L44" s="51">
        <f>VLOOKUP($A44,'Data Vlaue (Cr)'!$C:$FB,62)*100</f>
        <v>-37.64</v>
      </c>
      <c r="M44" s="51">
        <f>VLOOKUP($A44,'Data Vlaue (Cr)'!$C:$FB,63)</f>
        <v>1197</v>
      </c>
      <c r="N44" s="51">
        <f>VLOOKUP($A44,'Data Vlaue (Cr)'!$C:$FB,64)</f>
        <v>2507</v>
      </c>
      <c r="O44" s="51">
        <f>VLOOKUP($A44,'Data Vlaue (Cr)'!$C:$FB,66)*100</f>
        <v>-52.26</v>
      </c>
    </row>
    <row r="45" spans="1:15" x14ac:dyDescent="0.25">
      <c r="A45" s="101" t="str">
        <f>'Data Vlaue (Cr)'!C40</f>
        <v>CAMS</v>
      </c>
      <c r="B45" s="50">
        <f>VLOOKUP($A45,'Data Vlaue (Cr)'!$C:$FB,8)</f>
        <v>709.4</v>
      </c>
      <c r="C45" s="50">
        <f>VLOOKUP($A45,'Data Vlaue (Cr)'!$C:$FB,11)*100</f>
        <v>1.68</v>
      </c>
      <c r="D45" s="50">
        <f>VLOOKUP($A45,'Data Vlaue (Cr)'!$C:$FB,143)</f>
        <v>342.73</v>
      </c>
      <c r="E45" s="50">
        <f>VLOOKUP($A45,'Data Vlaue (Cr)'!$C:$FB,144)</f>
        <v>1304.1300000000001</v>
      </c>
      <c r="F45" s="50">
        <f>VLOOKUP($A45,'Data Vlaue (Cr)'!$C:$FB,146)*100</f>
        <v>-73.72</v>
      </c>
      <c r="G45" s="49">
        <f>VLOOKUP($A45,'Data Vlaue (Cr)'!$C:$FB,43)</f>
        <v>83</v>
      </c>
      <c r="H45" s="49">
        <f>VLOOKUP($A45,'Data Vlaue (Cr)'!$C:$FB,44)</f>
        <v>545</v>
      </c>
      <c r="I45" s="49">
        <f>VLOOKUP($A45,'Data Vlaue (Cr)'!$C:$FB,46)*100</f>
        <v>-84.77</v>
      </c>
      <c r="J45" s="51">
        <f>VLOOKUP($A45,'Data Vlaue (Cr)'!$C:$FB,59)</f>
        <v>162</v>
      </c>
      <c r="K45" s="51">
        <f>VLOOKUP($A45,'Data Vlaue (Cr)'!$C:$FB,60)</f>
        <v>501</v>
      </c>
      <c r="L45" s="51">
        <f>VLOOKUP($A45,'Data Vlaue (Cr)'!$C:$FB,62)*100</f>
        <v>-67.62</v>
      </c>
      <c r="M45" s="51">
        <f>VLOOKUP($A45,'Data Vlaue (Cr)'!$C:$FB,63)</f>
        <v>89</v>
      </c>
      <c r="N45" s="51">
        <f>VLOOKUP($A45,'Data Vlaue (Cr)'!$C:$FB,64)</f>
        <v>247</v>
      </c>
      <c r="O45" s="51">
        <f>VLOOKUP($A45,'Data Vlaue (Cr)'!$C:$FB,66)*100</f>
        <v>-63.93</v>
      </c>
    </row>
    <row r="46" spans="1:15" x14ac:dyDescent="0.25">
      <c r="A46" s="101" t="str">
        <f>'Data Vlaue (Cr)'!C41</f>
        <v>CANBK</v>
      </c>
      <c r="B46" s="50">
        <f>VLOOKUP($A46,'Data Vlaue (Cr)'!$C:$FB,8)</f>
        <v>157.74</v>
      </c>
      <c r="C46" s="50">
        <f>VLOOKUP($A46,'Data Vlaue (Cr)'!$C:$FB,11)*100</f>
        <v>1.95</v>
      </c>
      <c r="D46" s="50">
        <f>VLOOKUP($A46,'Data Vlaue (Cr)'!$C:$FB,143)</f>
        <v>4272.49</v>
      </c>
      <c r="E46" s="50">
        <f>VLOOKUP($A46,'Data Vlaue (Cr)'!$C:$FB,144)</f>
        <v>4962.05</v>
      </c>
      <c r="F46" s="50">
        <f>VLOOKUP($A46,'Data Vlaue (Cr)'!$C:$FB,146)*100</f>
        <v>-13.900000000000002</v>
      </c>
      <c r="G46" s="49">
        <f>VLOOKUP($A46,'Data Vlaue (Cr)'!$C:$FB,43)</f>
        <v>1125</v>
      </c>
      <c r="H46" s="49">
        <f>VLOOKUP($A46,'Data Vlaue (Cr)'!$C:$FB,44)</f>
        <v>1932</v>
      </c>
      <c r="I46" s="49">
        <f>VLOOKUP($A46,'Data Vlaue (Cr)'!$C:$FB,46)*100</f>
        <v>-41.75</v>
      </c>
      <c r="J46" s="51">
        <f>VLOOKUP($A46,'Data Vlaue (Cr)'!$C:$FB,59)</f>
        <v>1987</v>
      </c>
      <c r="K46" s="51">
        <f>VLOOKUP($A46,'Data Vlaue (Cr)'!$C:$FB,60)</f>
        <v>1749</v>
      </c>
      <c r="L46" s="51">
        <f>VLOOKUP($A46,'Data Vlaue (Cr)'!$C:$FB,62)*100</f>
        <v>13.600000000000001</v>
      </c>
      <c r="M46" s="51">
        <f>VLOOKUP($A46,'Data Vlaue (Cr)'!$C:$FB,63)</f>
        <v>1126</v>
      </c>
      <c r="N46" s="51">
        <f>VLOOKUP($A46,'Data Vlaue (Cr)'!$C:$FB,64)</f>
        <v>1373</v>
      </c>
      <c r="O46" s="51">
        <f>VLOOKUP($A46,'Data Vlaue (Cr)'!$C:$FB,66)*100</f>
        <v>-17.96</v>
      </c>
    </row>
    <row r="47" spans="1:15" x14ac:dyDescent="0.25">
      <c r="A47" s="101" t="str">
        <f>'Data Vlaue (Cr)'!C42</f>
        <v>CDSL</v>
      </c>
      <c r="B47" s="50">
        <f>VLOOKUP($A47,'Data Vlaue (Cr)'!$C:$FB,8)</f>
        <v>1356.9</v>
      </c>
      <c r="C47" s="50">
        <f>VLOOKUP($A47,'Data Vlaue (Cr)'!$C:$FB,11)*100</f>
        <v>2.63</v>
      </c>
      <c r="D47" s="50">
        <f>VLOOKUP($A47,'Data Vlaue (Cr)'!$C:$FB,143)</f>
        <v>1710.13</v>
      </c>
      <c r="E47" s="50">
        <f>VLOOKUP($A47,'Data Vlaue (Cr)'!$C:$FB,144)</f>
        <v>3494.7</v>
      </c>
      <c r="F47" s="50">
        <f>VLOOKUP($A47,'Data Vlaue (Cr)'!$C:$FB,146)*100</f>
        <v>-51.070000000000007</v>
      </c>
      <c r="G47" s="49">
        <f>VLOOKUP($A47,'Data Vlaue (Cr)'!$C:$FB,43)</f>
        <v>296</v>
      </c>
      <c r="H47" s="49">
        <f>VLOOKUP($A47,'Data Vlaue (Cr)'!$C:$FB,44)</f>
        <v>1564</v>
      </c>
      <c r="I47" s="49">
        <f>VLOOKUP($A47,'Data Vlaue (Cr)'!$C:$FB,46)*100</f>
        <v>-81.05</v>
      </c>
      <c r="J47" s="51">
        <f>VLOOKUP($A47,'Data Vlaue (Cr)'!$C:$FB,59)</f>
        <v>1031</v>
      </c>
      <c r="K47" s="51">
        <f>VLOOKUP($A47,'Data Vlaue (Cr)'!$C:$FB,60)</f>
        <v>991</v>
      </c>
      <c r="L47" s="51">
        <f>VLOOKUP($A47,'Data Vlaue (Cr)'!$C:$FB,62)*100</f>
        <v>4.07</v>
      </c>
      <c r="M47" s="51">
        <f>VLOOKUP($A47,'Data Vlaue (Cr)'!$C:$FB,63)</f>
        <v>331</v>
      </c>
      <c r="N47" s="51">
        <f>VLOOKUP($A47,'Data Vlaue (Cr)'!$C:$FB,64)</f>
        <v>929</v>
      </c>
      <c r="O47" s="51">
        <f>VLOOKUP($A47,'Data Vlaue (Cr)'!$C:$FB,66)*100</f>
        <v>-64.38000000000001</v>
      </c>
    </row>
    <row r="48" spans="1:15" x14ac:dyDescent="0.25">
      <c r="A48" s="101" t="str">
        <f>'Data Vlaue (Cr)'!C43</f>
        <v>CGPOWER</v>
      </c>
      <c r="B48" s="50">
        <f>VLOOKUP($A48,'Data Vlaue (Cr)'!$C:$FB,8)</f>
        <v>581.95000000000005</v>
      </c>
      <c r="C48" s="50">
        <f>VLOOKUP($A48,'Data Vlaue (Cr)'!$C:$FB,11)*100</f>
        <v>9.67</v>
      </c>
      <c r="D48" s="50">
        <f>VLOOKUP($A48,'Data Vlaue (Cr)'!$C:$FB,143)</f>
        <v>5179.91</v>
      </c>
      <c r="E48" s="50">
        <f>VLOOKUP($A48,'Data Vlaue (Cr)'!$C:$FB,144)</f>
        <v>3917.61</v>
      </c>
      <c r="F48" s="50">
        <f>VLOOKUP($A48,'Data Vlaue (Cr)'!$C:$FB,146)*100</f>
        <v>32.22</v>
      </c>
      <c r="G48" s="49">
        <f>VLOOKUP($A48,'Data Vlaue (Cr)'!$C:$FB,43)</f>
        <v>716</v>
      </c>
      <c r="H48" s="49">
        <f>VLOOKUP($A48,'Data Vlaue (Cr)'!$C:$FB,44)</f>
        <v>1450</v>
      </c>
      <c r="I48" s="49">
        <f>VLOOKUP($A48,'Data Vlaue (Cr)'!$C:$FB,46)*100</f>
        <v>-50.61</v>
      </c>
      <c r="J48" s="51">
        <f>VLOOKUP($A48,'Data Vlaue (Cr)'!$C:$FB,59)</f>
        <v>3307</v>
      </c>
      <c r="K48" s="51">
        <f>VLOOKUP($A48,'Data Vlaue (Cr)'!$C:$FB,60)</f>
        <v>1529</v>
      </c>
      <c r="L48" s="51">
        <f>VLOOKUP($A48,'Data Vlaue (Cr)'!$C:$FB,62)*100</f>
        <v>116.32000000000001</v>
      </c>
      <c r="M48" s="51">
        <f>VLOOKUP($A48,'Data Vlaue (Cr)'!$C:$FB,63)</f>
        <v>1106</v>
      </c>
      <c r="N48" s="51">
        <f>VLOOKUP($A48,'Data Vlaue (Cr)'!$C:$FB,64)</f>
        <v>1065</v>
      </c>
      <c r="O48" s="51">
        <f>VLOOKUP($A48,'Data Vlaue (Cr)'!$C:$FB,66)*100</f>
        <v>3.88</v>
      </c>
    </row>
    <row r="49" spans="1:15" x14ac:dyDescent="0.25">
      <c r="A49" s="101" t="str">
        <f>'Data Vlaue (Cr)'!C44</f>
        <v>CHOLAFIN</v>
      </c>
      <c r="B49" s="50">
        <f>VLOOKUP($A49,'Data Vlaue (Cr)'!$C:$FB,8)</f>
        <v>1636.8</v>
      </c>
      <c r="C49" s="50">
        <f>VLOOKUP($A49,'Data Vlaue (Cr)'!$C:$FB,11)*100</f>
        <v>-0.18</v>
      </c>
      <c r="D49" s="50">
        <f>VLOOKUP($A49,'Data Vlaue (Cr)'!$C:$FB,143)</f>
        <v>632.15</v>
      </c>
      <c r="E49" s="50">
        <f>VLOOKUP($A49,'Data Vlaue (Cr)'!$C:$FB,144)</f>
        <v>2279.88</v>
      </c>
      <c r="F49" s="50">
        <f>VLOOKUP($A49,'Data Vlaue (Cr)'!$C:$FB,146)*100</f>
        <v>-72.27</v>
      </c>
      <c r="G49" s="49">
        <f>VLOOKUP($A49,'Data Vlaue (Cr)'!$C:$FB,43)</f>
        <v>287</v>
      </c>
      <c r="H49" s="49">
        <f>VLOOKUP($A49,'Data Vlaue (Cr)'!$C:$FB,44)</f>
        <v>1181</v>
      </c>
      <c r="I49" s="49">
        <f>VLOOKUP($A49,'Data Vlaue (Cr)'!$C:$FB,46)*100</f>
        <v>-75.72</v>
      </c>
      <c r="J49" s="51">
        <f>VLOOKUP($A49,'Data Vlaue (Cr)'!$C:$FB,59)</f>
        <v>183</v>
      </c>
      <c r="K49" s="51">
        <f>VLOOKUP($A49,'Data Vlaue (Cr)'!$C:$FB,60)</f>
        <v>587</v>
      </c>
      <c r="L49" s="51">
        <f>VLOOKUP($A49,'Data Vlaue (Cr)'!$C:$FB,62)*100</f>
        <v>-68.899999999999991</v>
      </c>
      <c r="M49" s="51">
        <f>VLOOKUP($A49,'Data Vlaue (Cr)'!$C:$FB,63)</f>
        <v>152</v>
      </c>
      <c r="N49" s="51">
        <f>VLOOKUP($A49,'Data Vlaue (Cr)'!$C:$FB,64)</f>
        <v>485</v>
      </c>
      <c r="O49" s="51">
        <f>VLOOKUP($A49,'Data Vlaue (Cr)'!$C:$FB,66)*100</f>
        <v>-68.66</v>
      </c>
    </row>
    <row r="50" spans="1:15" x14ac:dyDescent="0.25">
      <c r="A50" s="101" t="str">
        <f>'Data Vlaue (Cr)'!C45</f>
        <v>CIPLA</v>
      </c>
      <c r="B50" s="50">
        <f>VLOOKUP($A50,'Data Vlaue (Cr)'!$C:$FB,8)</f>
        <v>1328.4</v>
      </c>
      <c r="C50" s="50">
        <f>VLOOKUP($A50,'Data Vlaue (Cr)'!$C:$FB,11)*100</f>
        <v>1.17</v>
      </c>
      <c r="D50" s="50">
        <f>VLOOKUP($A50,'Data Vlaue (Cr)'!$C:$FB,143)</f>
        <v>1046.69</v>
      </c>
      <c r="E50" s="50">
        <f>VLOOKUP($A50,'Data Vlaue (Cr)'!$C:$FB,144)</f>
        <v>3719.31</v>
      </c>
      <c r="F50" s="50">
        <f>VLOOKUP($A50,'Data Vlaue (Cr)'!$C:$FB,146)*100</f>
        <v>-71.86</v>
      </c>
      <c r="G50" s="49">
        <f>VLOOKUP($A50,'Data Vlaue (Cr)'!$C:$FB,43)</f>
        <v>234</v>
      </c>
      <c r="H50" s="49">
        <f>VLOOKUP($A50,'Data Vlaue (Cr)'!$C:$FB,44)</f>
        <v>1187</v>
      </c>
      <c r="I50" s="49">
        <f>VLOOKUP($A50,'Data Vlaue (Cr)'!$C:$FB,46)*100</f>
        <v>-80.28</v>
      </c>
      <c r="J50" s="51">
        <f>VLOOKUP($A50,'Data Vlaue (Cr)'!$C:$FB,59)</f>
        <v>516</v>
      </c>
      <c r="K50" s="51">
        <f>VLOOKUP($A50,'Data Vlaue (Cr)'!$C:$FB,60)</f>
        <v>1302</v>
      </c>
      <c r="L50" s="51">
        <f>VLOOKUP($A50,'Data Vlaue (Cr)'!$C:$FB,62)*100</f>
        <v>-60.34</v>
      </c>
      <c r="M50" s="51">
        <f>VLOOKUP($A50,'Data Vlaue (Cr)'!$C:$FB,63)</f>
        <v>272</v>
      </c>
      <c r="N50" s="51">
        <f>VLOOKUP($A50,'Data Vlaue (Cr)'!$C:$FB,64)</f>
        <v>1183</v>
      </c>
      <c r="O50" s="51">
        <f>VLOOKUP($A50,'Data Vlaue (Cr)'!$C:$FB,66)*100</f>
        <v>-77.03</v>
      </c>
    </row>
    <row r="51" spans="1:15" x14ac:dyDescent="0.25">
      <c r="A51" s="101" t="str">
        <f>'Data Vlaue (Cr)'!C46</f>
        <v>COALINDIA</v>
      </c>
      <c r="B51" s="50">
        <f>VLOOKUP($A51,'Data Vlaue (Cr)'!$C:$FB,8)</f>
        <v>444.05</v>
      </c>
      <c r="C51" s="50">
        <f>VLOOKUP($A51,'Data Vlaue (Cr)'!$C:$FB,11)*100</f>
        <v>5</v>
      </c>
      <c r="D51" s="50">
        <f>VLOOKUP($A51,'Data Vlaue (Cr)'!$C:$FB,143)</f>
        <v>6255.2</v>
      </c>
      <c r="E51" s="50">
        <f>VLOOKUP($A51,'Data Vlaue (Cr)'!$C:$FB,144)</f>
        <v>3832.07</v>
      </c>
      <c r="F51" s="50">
        <f>VLOOKUP($A51,'Data Vlaue (Cr)'!$C:$FB,146)*100</f>
        <v>63.23</v>
      </c>
      <c r="G51" s="49">
        <f>VLOOKUP($A51,'Data Vlaue (Cr)'!$C:$FB,43)</f>
        <v>934</v>
      </c>
      <c r="H51" s="49">
        <f>VLOOKUP($A51,'Data Vlaue (Cr)'!$C:$FB,44)</f>
        <v>1397</v>
      </c>
      <c r="I51" s="49">
        <f>VLOOKUP($A51,'Data Vlaue (Cr)'!$C:$FB,46)*100</f>
        <v>-33.129999999999995</v>
      </c>
      <c r="J51" s="51">
        <f>VLOOKUP($A51,'Data Vlaue (Cr)'!$C:$FB,59)</f>
        <v>4023</v>
      </c>
      <c r="K51" s="51">
        <f>VLOOKUP($A51,'Data Vlaue (Cr)'!$C:$FB,60)</f>
        <v>1686</v>
      </c>
      <c r="L51" s="51">
        <f>VLOOKUP($A51,'Data Vlaue (Cr)'!$C:$FB,62)*100</f>
        <v>138.56</v>
      </c>
      <c r="M51" s="51">
        <f>VLOOKUP($A51,'Data Vlaue (Cr)'!$C:$FB,63)</f>
        <v>1207</v>
      </c>
      <c r="N51" s="51">
        <f>VLOOKUP($A51,'Data Vlaue (Cr)'!$C:$FB,64)</f>
        <v>870</v>
      </c>
      <c r="O51" s="51">
        <f>VLOOKUP($A51,'Data Vlaue (Cr)'!$C:$FB,66)*100</f>
        <v>38.74</v>
      </c>
    </row>
    <row r="52" spans="1:15" x14ac:dyDescent="0.25">
      <c r="A52" s="101" t="str">
        <f>'Data Vlaue (Cr)'!C47</f>
        <v>COFORGE</v>
      </c>
      <c r="B52" s="50">
        <f>VLOOKUP($A52,'Data Vlaue (Cr)'!$C:$FB,8)</f>
        <v>1694.2</v>
      </c>
      <c r="C52" s="50">
        <f>VLOOKUP($A52,'Data Vlaue (Cr)'!$C:$FB,11)*100</f>
        <v>1.7999999999999998</v>
      </c>
      <c r="D52" s="50">
        <f>VLOOKUP($A52,'Data Vlaue (Cr)'!$C:$FB,143)</f>
        <v>1716.15</v>
      </c>
      <c r="E52" s="50">
        <f>VLOOKUP($A52,'Data Vlaue (Cr)'!$C:$FB,144)</f>
        <v>4754.22</v>
      </c>
      <c r="F52" s="50">
        <f>VLOOKUP($A52,'Data Vlaue (Cr)'!$C:$FB,146)*100</f>
        <v>-63.9</v>
      </c>
      <c r="G52" s="49">
        <f>VLOOKUP($A52,'Data Vlaue (Cr)'!$C:$FB,43)</f>
        <v>311</v>
      </c>
      <c r="H52" s="49">
        <f>VLOOKUP($A52,'Data Vlaue (Cr)'!$C:$FB,44)</f>
        <v>1516</v>
      </c>
      <c r="I52" s="49">
        <f>VLOOKUP($A52,'Data Vlaue (Cr)'!$C:$FB,46)*100</f>
        <v>-79.510000000000005</v>
      </c>
      <c r="J52" s="51">
        <f>VLOOKUP($A52,'Data Vlaue (Cr)'!$C:$FB,59)</f>
        <v>698</v>
      </c>
      <c r="K52" s="51">
        <f>VLOOKUP($A52,'Data Vlaue (Cr)'!$C:$FB,60)</f>
        <v>2156</v>
      </c>
      <c r="L52" s="51">
        <f>VLOOKUP($A52,'Data Vlaue (Cr)'!$C:$FB,62)*100</f>
        <v>-67.62</v>
      </c>
      <c r="M52" s="51">
        <f>VLOOKUP($A52,'Data Vlaue (Cr)'!$C:$FB,63)</f>
        <v>660</v>
      </c>
      <c r="N52" s="51">
        <f>VLOOKUP($A52,'Data Vlaue (Cr)'!$C:$FB,64)</f>
        <v>1079</v>
      </c>
      <c r="O52" s="51">
        <f>VLOOKUP($A52,'Data Vlaue (Cr)'!$C:$FB,66)*100</f>
        <v>-38.879999999999995</v>
      </c>
    </row>
    <row r="53" spans="1:15" x14ac:dyDescent="0.25">
      <c r="A53" s="101" t="str">
        <f>'Data Vlaue (Cr)'!C48</f>
        <v>COLPAL</v>
      </c>
      <c r="B53" s="50">
        <f>VLOOKUP($A53,'Data Vlaue (Cr)'!$C:$FB,8)</f>
        <v>2154.4</v>
      </c>
      <c r="C53" s="50">
        <f>VLOOKUP($A53,'Data Vlaue (Cr)'!$C:$FB,11)*100</f>
        <v>0.02</v>
      </c>
      <c r="D53" s="50">
        <f>VLOOKUP($A53,'Data Vlaue (Cr)'!$C:$FB,143)</f>
        <v>558.94000000000005</v>
      </c>
      <c r="E53" s="50">
        <f>VLOOKUP($A53,'Data Vlaue (Cr)'!$C:$FB,144)</f>
        <v>1244.04</v>
      </c>
      <c r="F53" s="50">
        <f>VLOOKUP($A53,'Data Vlaue (Cr)'!$C:$FB,146)*100</f>
        <v>-55.069999999999993</v>
      </c>
      <c r="G53" s="49">
        <f>VLOOKUP($A53,'Data Vlaue (Cr)'!$C:$FB,43)</f>
        <v>159</v>
      </c>
      <c r="H53" s="49">
        <f>VLOOKUP($A53,'Data Vlaue (Cr)'!$C:$FB,44)</f>
        <v>633</v>
      </c>
      <c r="I53" s="49">
        <f>VLOOKUP($A53,'Data Vlaue (Cr)'!$C:$FB,46)*100</f>
        <v>-74.839999999999989</v>
      </c>
      <c r="J53" s="51">
        <f>VLOOKUP($A53,'Data Vlaue (Cr)'!$C:$FB,59)</f>
        <v>233</v>
      </c>
      <c r="K53" s="51">
        <f>VLOOKUP($A53,'Data Vlaue (Cr)'!$C:$FB,60)</f>
        <v>383</v>
      </c>
      <c r="L53" s="51">
        <f>VLOOKUP($A53,'Data Vlaue (Cr)'!$C:$FB,62)*100</f>
        <v>-39.200000000000003</v>
      </c>
      <c r="M53" s="51">
        <f>VLOOKUP($A53,'Data Vlaue (Cr)'!$C:$FB,63)</f>
        <v>158</v>
      </c>
      <c r="N53" s="51">
        <f>VLOOKUP($A53,'Data Vlaue (Cr)'!$C:$FB,64)</f>
        <v>217</v>
      </c>
      <c r="O53" s="51">
        <f>VLOOKUP($A53,'Data Vlaue (Cr)'!$C:$FB,66)*100</f>
        <v>-27.200000000000003</v>
      </c>
    </row>
    <row r="54" spans="1:15" x14ac:dyDescent="0.25">
      <c r="A54" s="101" t="str">
        <f>'Data Vlaue (Cr)'!C49</f>
        <v>CONCOR</v>
      </c>
      <c r="B54" s="50">
        <f>VLOOKUP($A54,'Data Vlaue (Cr)'!$C:$FB,8)</f>
        <v>496.35</v>
      </c>
      <c r="C54" s="50">
        <f>VLOOKUP($A54,'Data Vlaue (Cr)'!$C:$FB,11)*100</f>
        <v>2.27</v>
      </c>
      <c r="D54" s="50">
        <f>VLOOKUP($A54,'Data Vlaue (Cr)'!$C:$FB,143)</f>
        <v>814.37</v>
      </c>
      <c r="E54" s="50">
        <f>VLOOKUP($A54,'Data Vlaue (Cr)'!$C:$FB,144)</f>
        <v>1957.45</v>
      </c>
      <c r="F54" s="50">
        <f>VLOOKUP($A54,'Data Vlaue (Cr)'!$C:$FB,146)*100</f>
        <v>-58.4</v>
      </c>
      <c r="G54" s="49">
        <f>VLOOKUP($A54,'Data Vlaue (Cr)'!$C:$FB,43)</f>
        <v>175</v>
      </c>
      <c r="H54" s="49">
        <f>VLOOKUP($A54,'Data Vlaue (Cr)'!$C:$FB,44)</f>
        <v>1111</v>
      </c>
      <c r="I54" s="49">
        <f>VLOOKUP($A54,'Data Vlaue (Cr)'!$C:$FB,46)*100</f>
        <v>-84.28</v>
      </c>
      <c r="J54" s="51">
        <f>VLOOKUP($A54,'Data Vlaue (Cr)'!$C:$FB,59)</f>
        <v>455</v>
      </c>
      <c r="K54" s="51">
        <f>VLOOKUP($A54,'Data Vlaue (Cr)'!$C:$FB,60)</f>
        <v>452</v>
      </c>
      <c r="L54" s="51">
        <f>VLOOKUP($A54,'Data Vlaue (Cr)'!$C:$FB,62)*100</f>
        <v>0.71000000000000008</v>
      </c>
      <c r="M54" s="51">
        <f>VLOOKUP($A54,'Data Vlaue (Cr)'!$C:$FB,63)</f>
        <v>164</v>
      </c>
      <c r="N54" s="51">
        <f>VLOOKUP($A54,'Data Vlaue (Cr)'!$C:$FB,64)</f>
        <v>403</v>
      </c>
      <c r="O54" s="51">
        <f>VLOOKUP($A54,'Data Vlaue (Cr)'!$C:$FB,66)*100</f>
        <v>-59.209999999999994</v>
      </c>
    </row>
    <row r="55" spans="1:15" x14ac:dyDescent="0.25">
      <c r="A55" s="101" t="str">
        <f>'Data Vlaue (Cr)'!C50</f>
        <v>CROMPTON</v>
      </c>
      <c r="B55" s="50">
        <f>VLOOKUP($A55,'Data Vlaue (Cr)'!$C:$FB,8)</f>
        <v>225.4</v>
      </c>
      <c r="C55" s="50">
        <f>VLOOKUP($A55,'Data Vlaue (Cr)'!$C:$FB,11)*100</f>
        <v>1.46</v>
      </c>
      <c r="D55" s="50">
        <f>VLOOKUP($A55,'Data Vlaue (Cr)'!$C:$FB,143)</f>
        <v>398.94</v>
      </c>
      <c r="E55" s="50">
        <f>VLOOKUP($A55,'Data Vlaue (Cr)'!$C:$FB,144)</f>
        <v>1347.17</v>
      </c>
      <c r="F55" s="50">
        <f>VLOOKUP($A55,'Data Vlaue (Cr)'!$C:$FB,146)*100</f>
        <v>-70.39</v>
      </c>
      <c r="G55" s="49">
        <f>VLOOKUP($A55,'Data Vlaue (Cr)'!$C:$FB,43)</f>
        <v>114</v>
      </c>
      <c r="H55" s="49">
        <f>VLOOKUP($A55,'Data Vlaue (Cr)'!$C:$FB,44)</f>
        <v>737</v>
      </c>
      <c r="I55" s="49">
        <f>VLOOKUP($A55,'Data Vlaue (Cr)'!$C:$FB,46)*100</f>
        <v>-84.55</v>
      </c>
      <c r="J55" s="51">
        <f>VLOOKUP($A55,'Data Vlaue (Cr)'!$C:$FB,59)</f>
        <v>198</v>
      </c>
      <c r="K55" s="51">
        <f>VLOOKUP($A55,'Data Vlaue (Cr)'!$C:$FB,60)</f>
        <v>240</v>
      </c>
      <c r="L55" s="51">
        <f>VLOOKUP($A55,'Data Vlaue (Cr)'!$C:$FB,62)*100</f>
        <v>-17.66</v>
      </c>
      <c r="M55" s="51">
        <f>VLOOKUP($A55,'Data Vlaue (Cr)'!$C:$FB,63)</f>
        <v>71</v>
      </c>
      <c r="N55" s="51">
        <f>VLOOKUP($A55,'Data Vlaue (Cr)'!$C:$FB,64)</f>
        <v>343</v>
      </c>
      <c r="O55" s="51">
        <f>VLOOKUP($A55,'Data Vlaue (Cr)'!$C:$FB,66)*100</f>
        <v>-79.42</v>
      </c>
    </row>
    <row r="56" spans="1:15" x14ac:dyDescent="0.25">
      <c r="A56" s="101" t="str">
        <f>'Data Vlaue (Cr)'!C51</f>
        <v>CUMMINSIND</v>
      </c>
      <c r="B56" s="50">
        <f>VLOOKUP($A56,'Data Vlaue (Cr)'!$C:$FB,8)</f>
        <v>4024</v>
      </c>
      <c r="C56" s="50">
        <f>VLOOKUP($A56,'Data Vlaue (Cr)'!$C:$FB,11)*100</f>
        <v>2.44</v>
      </c>
      <c r="D56" s="50">
        <f>VLOOKUP($A56,'Data Vlaue (Cr)'!$C:$FB,143)</f>
        <v>576.29999999999995</v>
      </c>
      <c r="E56" s="50">
        <f>VLOOKUP($A56,'Data Vlaue (Cr)'!$C:$FB,144)</f>
        <v>1816.34</v>
      </c>
      <c r="F56" s="50">
        <f>VLOOKUP($A56,'Data Vlaue (Cr)'!$C:$FB,146)*100</f>
        <v>-68.27</v>
      </c>
      <c r="G56" s="49">
        <f>VLOOKUP($A56,'Data Vlaue (Cr)'!$C:$FB,43)</f>
        <v>200</v>
      </c>
      <c r="H56" s="49">
        <f>VLOOKUP($A56,'Data Vlaue (Cr)'!$C:$FB,44)</f>
        <v>883</v>
      </c>
      <c r="I56" s="49">
        <f>VLOOKUP($A56,'Data Vlaue (Cr)'!$C:$FB,46)*100</f>
        <v>-77.3</v>
      </c>
      <c r="J56" s="51">
        <f>VLOOKUP($A56,'Data Vlaue (Cr)'!$C:$FB,59)</f>
        <v>255</v>
      </c>
      <c r="K56" s="51">
        <f>VLOOKUP($A56,'Data Vlaue (Cr)'!$C:$FB,60)</f>
        <v>528</v>
      </c>
      <c r="L56" s="51">
        <f>VLOOKUP($A56,'Data Vlaue (Cr)'!$C:$FB,62)*100</f>
        <v>-51.78</v>
      </c>
      <c r="M56" s="51">
        <f>VLOOKUP($A56,'Data Vlaue (Cr)'!$C:$FB,63)</f>
        <v>112</v>
      </c>
      <c r="N56" s="51">
        <f>VLOOKUP($A56,'Data Vlaue (Cr)'!$C:$FB,64)</f>
        <v>405</v>
      </c>
      <c r="O56" s="51">
        <f>VLOOKUP($A56,'Data Vlaue (Cr)'!$C:$FB,66)*100</f>
        <v>-72.330000000000013</v>
      </c>
    </row>
    <row r="57" spans="1:15" x14ac:dyDescent="0.25">
      <c r="A57" s="101" t="str">
        <f>'Data Vlaue (Cr)'!C52</f>
        <v>DABUR</v>
      </c>
      <c r="B57" s="50">
        <f>VLOOKUP($A57,'Data Vlaue (Cr)'!$C:$FB,8)</f>
        <v>515.75</v>
      </c>
      <c r="C57" s="50">
        <f>VLOOKUP($A57,'Data Vlaue (Cr)'!$C:$FB,11)*100</f>
        <v>0.45999999999999996</v>
      </c>
      <c r="D57" s="50">
        <f>VLOOKUP($A57,'Data Vlaue (Cr)'!$C:$FB,143)</f>
        <v>968.97</v>
      </c>
      <c r="E57" s="50">
        <f>VLOOKUP($A57,'Data Vlaue (Cr)'!$C:$FB,144)</f>
        <v>1127.1600000000001</v>
      </c>
      <c r="F57" s="50">
        <f>VLOOKUP($A57,'Data Vlaue (Cr)'!$C:$FB,146)*100</f>
        <v>-14.030000000000001</v>
      </c>
      <c r="G57" s="49">
        <f>VLOOKUP($A57,'Data Vlaue (Cr)'!$C:$FB,43)</f>
        <v>250</v>
      </c>
      <c r="H57" s="49">
        <f>VLOOKUP($A57,'Data Vlaue (Cr)'!$C:$FB,44)</f>
        <v>590</v>
      </c>
      <c r="I57" s="49">
        <f>VLOOKUP($A57,'Data Vlaue (Cr)'!$C:$FB,46)*100</f>
        <v>-57.63</v>
      </c>
      <c r="J57" s="51">
        <f>VLOOKUP($A57,'Data Vlaue (Cr)'!$C:$FB,59)</f>
        <v>464</v>
      </c>
      <c r="K57" s="51">
        <f>VLOOKUP($A57,'Data Vlaue (Cr)'!$C:$FB,60)</f>
        <v>324</v>
      </c>
      <c r="L57" s="51">
        <f>VLOOKUP($A57,'Data Vlaue (Cr)'!$C:$FB,62)*100</f>
        <v>43.33</v>
      </c>
      <c r="M57" s="51">
        <f>VLOOKUP($A57,'Data Vlaue (Cr)'!$C:$FB,63)</f>
        <v>239</v>
      </c>
      <c r="N57" s="51">
        <f>VLOOKUP($A57,'Data Vlaue (Cr)'!$C:$FB,64)</f>
        <v>200</v>
      </c>
      <c r="O57" s="51">
        <f>VLOOKUP($A57,'Data Vlaue (Cr)'!$C:$FB,66)*100</f>
        <v>19.61</v>
      </c>
    </row>
    <row r="58" spans="1:15" x14ac:dyDescent="0.25">
      <c r="A58" s="101" t="str">
        <f>'Data Vlaue (Cr)'!C53</f>
        <v>DALBHARAT</v>
      </c>
      <c r="B58" s="50">
        <f>VLOOKUP($A58,'Data Vlaue (Cr)'!$C:$FB,8)</f>
        <v>2074.4</v>
      </c>
      <c r="C58" s="50">
        <f>VLOOKUP($A58,'Data Vlaue (Cr)'!$C:$FB,11)*100</f>
        <v>-1.55</v>
      </c>
      <c r="D58" s="50">
        <f>VLOOKUP($A58,'Data Vlaue (Cr)'!$C:$FB,143)</f>
        <v>299.41000000000003</v>
      </c>
      <c r="E58" s="50">
        <f>VLOOKUP($A58,'Data Vlaue (Cr)'!$C:$FB,144)</f>
        <v>1023.11</v>
      </c>
      <c r="F58" s="50">
        <f>VLOOKUP($A58,'Data Vlaue (Cr)'!$C:$FB,146)*100</f>
        <v>-70.740000000000009</v>
      </c>
      <c r="G58" s="49">
        <f>VLOOKUP($A58,'Data Vlaue (Cr)'!$C:$FB,43)</f>
        <v>142</v>
      </c>
      <c r="H58" s="49">
        <f>VLOOKUP($A58,'Data Vlaue (Cr)'!$C:$FB,44)</f>
        <v>439</v>
      </c>
      <c r="I58" s="49">
        <f>VLOOKUP($A58,'Data Vlaue (Cr)'!$C:$FB,46)*100</f>
        <v>-67.77</v>
      </c>
      <c r="J58" s="51">
        <f>VLOOKUP($A58,'Data Vlaue (Cr)'!$C:$FB,59)</f>
        <v>72</v>
      </c>
      <c r="K58" s="51">
        <f>VLOOKUP($A58,'Data Vlaue (Cr)'!$C:$FB,60)</f>
        <v>319</v>
      </c>
      <c r="L58" s="51">
        <f>VLOOKUP($A58,'Data Vlaue (Cr)'!$C:$FB,62)*100</f>
        <v>-77.319999999999993</v>
      </c>
      <c r="M58" s="51">
        <f>VLOOKUP($A58,'Data Vlaue (Cr)'!$C:$FB,63)</f>
        <v>81</v>
      </c>
      <c r="N58" s="51">
        <f>VLOOKUP($A58,'Data Vlaue (Cr)'!$C:$FB,64)</f>
        <v>240</v>
      </c>
      <c r="O58" s="51">
        <f>VLOOKUP($A58,'Data Vlaue (Cr)'!$C:$FB,66)*100</f>
        <v>-66.320000000000007</v>
      </c>
    </row>
    <row r="59" spans="1:15" x14ac:dyDescent="0.25">
      <c r="A59" s="101" t="str">
        <f>'Data Vlaue (Cr)'!C54</f>
        <v>DELHIVERY</v>
      </c>
      <c r="B59" s="50">
        <f>VLOOKUP($A59,'Data Vlaue (Cr)'!$C:$FB,8)</f>
        <v>407.75</v>
      </c>
      <c r="C59" s="50">
        <f>VLOOKUP($A59,'Data Vlaue (Cr)'!$C:$FB,11)*100</f>
        <v>1.8499999999999999</v>
      </c>
      <c r="D59" s="50">
        <f>VLOOKUP($A59,'Data Vlaue (Cr)'!$C:$FB,143)</f>
        <v>833.51</v>
      </c>
      <c r="E59" s="50">
        <f>VLOOKUP($A59,'Data Vlaue (Cr)'!$C:$FB,144)</f>
        <v>1809.97</v>
      </c>
      <c r="F59" s="50">
        <f>VLOOKUP($A59,'Data Vlaue (Cr)'!$C:$FB,146)*100</f>
        <v>-53.949999999999996</v>
      </c>
      <c r="G59" s="49">
        <f>VLOOKUP($A59,'Data Vlaue (Cr)'!$C:$FB,43)</f>
        <v>370</v>
      </c>
      <c r="H59" s="49">
        <f>VLOOKUP($A59,'Data Vlaue (Cr)'!$C:$FB,44)</f>
        <v>870</v>
      </c>
      <c r="I59" s="49">
        <f>VLOOKUP($A59,'Data Vlaue (Cr)'!$C:$FB,46)*100</f>
        <v>-57.47</v>
      </c>
      <c r="J59" s="51">
        <f>VLOOKUP($A59,'Data Vlaue (Cr)'!$C:$FB,59)</f>
        <v>299</v>
      </c>
      <c r="K59" s="51">
        <f>VLOOKUP($A59,'Data Vlaue (Cr)'!$C:$FB,60)</f>
        <v>719</v>
      </c>
      <c r="L59" s="51">
        <f>VLOOKUP($A59,'Data Vlaue (Cr)'!$C:$FB,62)*100</f>
        <v>-58.42</v>
      </c>
      <c r="M59" s="51">
        <f>VLOOKUP($A59,'Data Vlaue (Cr)'!$C:$FB,63)</f>
        <v>155</v>
      </c>
      <c r="N59" s="51">
        <f>VLOOKUP($A59,'Data Vlaue (Cr)'!$C:$FB,64)</f>
        <v>260</v>
      </c>
      <c r="O59" s="51">
        <f>VLOOKUP($A59,'Data Vlaue (Cr)'!$C:$FB,66)*100</f>
        <v>-40.54</v>
      </c>
    </row>
    <row r="60" spans="1:15" x14ac:dyDescent="0.25">
      <c r="A60" s="101" t="str">
        <f>'Data Vlaue (Cr)'!C55</f>
        <v>DIVISLAB</v>
      </c>
      <c r="B60" s="50">
        <f>VLOOKUP($A60,'Data Vlaue (Cr)'!$C:$FB,8)</f>
        <v>6188</v>
      </c>
      <c r="C60" s="50">
        <f>VLOOKUP($A60,'Data Vlaue (Cr)'!$C:$FB,11)*100</f>
        <v>2.1800000000000002</v>
      </c>
      <c r="D60" s="50">
        <f>VLOOKUP($A60,'Data Vlaue (Cr)'!$C:$FB,143)</f>
        <v>885.53</v>
      </c>
      <c r="E60" s="50">
        <f>VLOOKUP($A60,'Data Vlaue (Cr)'!$C:$FB,144)</f>
        <v>1924.79</v>
      </c>
      <c r="F60" s="50">
        <f>VLOOKUP($A60,'Data Vlaue (Cr)'!$C:$FB,146)*100</f>
        <v>-53.99</v>
      </c>
      <c r="G60" s="49">
        <f>VLOOKUP($A60,'Data Vlaue (Cr)'!$C:$FB,43)</f>
        <v>219</v>
      </c>
      <c r="H60" s="49">
        <f>VLOOKUP($A60,'Data Vlaue (Cr)'!$C:$FB,44)</f>
        <v>715</v>
      </c>
      <c r="I60" s="49">
        <f>VLOOKUP($A60,'Data Vlaue (Cr)'!$C:$FB,46)*100</f>
        <v>-69.39</v>
      </c>
      <c r="J60" s="51">
        <f>VLOOKUP($A60,'Data Vlaue (Cr)'!$C:$FB,59)</f>
        <v>446</v>
      </c>
      <c r="K60" s="51">
        <f>VLOOKUP($A60,'Data Vlaue (Cr)'!$C:$FB,60)</f>
        <v>708</v>
      </c>
      <c r="L60" s="51">
        <f>VLOOKUP($A60,'Data Vlaue (Cr)'!$C:$FB,62)*100</f>
        <v>-37.03</v>
      </c>
      <c r="M60" s="51">
        <f>VLOOKUP($A60,'Data Vlaue (Cr)'!$C:$FB,63)</f>
        <v>206</v>
      </c>
      <c r="N60" s="51">
        <f>VLOOKUP($A60,'Data Vlaue (Cr)'!$C:$FB,64)</f>
        <v>526</v>
      </c>
      <c r="O60" s="51">
        <f>VLOOKUP($A60,'Data Vlaue (Cr)'!$C:$FB,66)*100</f>
        <v>-60.83</v>
      </c>
    </row>
    <row r="61" spans="1:15" x14ac:dyDescent="0.25">
      <c r="A61" s="101" t="str">
        <f>'Data Vlaue (Cr)'!C56</f>
        <v>DIXON</v>
      </c>
      <c r="B61" s="50">
        <f>VLOOKUP($A61,'Data Vlaue (Cr)'!$C:$FB,8)</f>
        <v>10279</v>
      </c>
      <c r="C61" s="50">
        <f>VLOOKUP($A61,'Data Vlaue (Cr)'!$C:$FB,11)*100</f>
        <v>0.92999999999999994</v>
      </c>
      <c r="D61" s="50">
        <f>VLOOKUP($A61,'Data Vlaue (Cr)'!$C:$FB,143)</f>
        <v>3359.67</v>
      </c>
      <c r="E61" s="50">
        <f>VLOOKUP($A61,'Data Vlaue (Cr)'!$C:$FB,144)</f>
        <v>12737.63</v>
      </c>
      <c r="F61" s="50">
        <f>VLOOKUP($A61,'Data Vlaue (Cr)'!$C:$FB,146)*100</f>
        <v>-73.61999999999999</v>
      </c>
      <c r="G61" s="49">
        <f>VLOOKUP($A61,'Data Vlaue (Cr)'!$C:$FB,43)</f>
        <v>628</v>
      </c>
      <c r="H61" s="49">
        <f>VLOOKUP($A61,'Data Vlaue (Cr)'!$C:$FB,44)</f>
        <v>2882</v>
      </c>
      <c r="I61" s="49">
        <f>VLOOKUP($A61,'Data Vlaue (Cr)'!$C:$FB,46)*100</f>
        <v>-78.22</v>
      </c>
      <c r="J61" s="51">
        <f>VLOOKUP($A61,'Data Vlaue (Cr)'!$C:$FB,59)</f>
        <v>1679</v>
      </c>
      <c r="K61" s="51">
        <f>VLOOKUP($A61,'Data Vlaue (Cr)'!$C:$FB,60)</f>
        <v>5802</v>
      </c>
      <c r="L61" s="51">
        <f>VLOOKUP($A61,'Data Vlaue (Cr)'!$C:$FB,62)*100</f>
        <v>-71.06</v>
      </c>
      <c r="M61" s="51">
        <f>VLOOKUP($A61,'Data Vlaue (Cr)'!$C:$FB,63)</f>
        <v>864</v>
      </c>
      <c r="N61" s="51">
        <f>VLOOKUP($A61,'Data Vlaue (Cr)'!$C:$FB,64)</f>
        <v>3530</v>
      </c>
      <c r="O61" s="51">
        <f>VLOOKUP($A61,'Data Vlaue (Cr)'!$C:$FB,66)*100</f>
        <v>-75.510000000000005</v>
      </c>
    </row>
    <row r="62" spans="1:15" x14ac:dyDescent="0.25">
      <c r="A62" s="101" t="str">
        <f>'Data Vlaue (Cr)'!C57</f>
        <v>DLF</v>
      </c>
      <c r="B62" s="50">
        <f>VLOOKUP($A62,'Data Vlaue (Cr)'!$C:$FB,8)</f>
        <v>625.54999999999995</v>
      </c>
      <c r="C62" s="50">
        <f>VLOOKUP($A62,'Data Vlaue (Cr)'!$C:$FB,11)*100</f>
        <v>2.62</v>
      </c>
      <c r="D62" s="50">
        <f>VLOOKUP($A62,'Data Vlaue (Cr)'!$C:$FB,143)</f>
        <v>2754.77</v>
      </c>
      <c r="E62" s="50">
        <f>VLOOKUP($A62,'Data Vlaue (Cr)'!$C:$FB,144)</f>
        <v>5175.07</v>
      </c>
      <c r="F62" s="50">
        <f>VLOOKUP($A62,'Data Vlaue (Cr)'!$C:$FB,146)*100</f>
        <v>-46.77</v>
      </c>
      <c r="G62" s="49">
        <f>VLOOKUP($A62,'Data Vlaue (Cr)'!$C:$FB,43)</f>
        <v>771</v>
      </c>
      <c r="H62" s="49">
        <f>VLOOKUP($A62,'Data Vlaue (Cr)'!$C:$FB,44)</f>
        <v>2406</v>
      </c>
      <c r="I62" s="49">
        <f>VLOOKUP($A62,'Data Vlaue (Cr)'!$C:$FB,46)*100</f>
        <v>-67.94</v>
      </c>
      <c r="J62" s="51">
        <f>VLOOKUP($A62,'Data Vlaue (Cr)'!$C:$FB,59)</f>
        <v>1343</v>
      </c>
      <c r="K62" s="51">
        <f>VLOOKUP($A62,'Data Vlaue (Cr)'!$C:$FB,60)</f>
        <v>1732</v>
      </c>
      <c r="L62" s="51">
        <f>VLOOKUP($A62,'Data Vlaue (Cr)'!$C:$FB,62)*100</f>
        <v>-22.45</v>
      </c>
      <c r="M62" s="51">
        <f>VLOOKUP($A62,'Data Vlaue (Cr)'!$C:$FB,63)</f>
        <v>598</v>
      </c>
      <c r="N62" s="51">
        <f>VLOOKUP($A62,'Data Vlaue (Cr)'!$C:$FB,64)</f>
        <v>1100</v>
      </c>
      <c r="O62" s="51">
        <f>VLOOKUP($A62,'Data Vlaue (Cr)'!$C:$FB,66)*100</f>
        <v>-45.65</v>
      </c>
    </row>
    <row r="63" spans="1:15" x14ac:dyDescent="0.25">
      <c r="A63" s="101" t="str">
        <f>'Data Vlaue (Cr)'!C58</f>
        <v>DMART</v>
      </c>
      <c r="B63" s="50">
        <f>VLOOKUP($A63,'Data Vlaue (Cr)'!$C:$FB,8)</f>
        <v>3735.7</v>
      </c>
      <c r="C63" s="50">
        <f>VLOOKUP($A63,'Data Vlaue (Cr)'!$C:$FB,11)*100</f>
        <v>1.77</v>
      </c>
      <c r="D63" s="50">
        <f>VLOOKUP($A63,'Data Vlaue (Cr)'!$C:$FB,143)</f>
        <v>1402.03</v>
      </c>
      <c r="E63" s="50">
        <f>VLOOKUP($A63,'Data Vlaue (Cr)'!$C:$FB,144)</f>
        <v>2335.39</v>
      </c>
      <c r="F63" s="50">
        <f>VLOOKUP($A63,'Data Vlaue (Cr)'!$C:$FB,146)*100</f>
        <v>-39.97</v>
      </c>
      <c r="G63" s="49">
        <f>VLOOKUP($A63,'Data Vlaue (Cr)'!$C:$FB,43)</f>
        <v>193</v>
      </c>
      <c r="H63" s="49">
        <f>VLOOKUP($A63,'Data Vlaue (Cr)'!$C:$FB,44)</f>
        <v>765</v>
      </c>
      <c r="I63" s="49">
        <f>VLOOKUP($A63,'Data Vlaue (Cr)'!$C:$FB,46)*100</f>
        <v>-74.72</v>
      </c>
      <c r="J63" s="51">
        <f>VLOOKUP($A63,'Data Vlaue (Cr)'!$C:$FB,59)</f>
        <v>903</v>
      </c>
      <c r="K63" s="51">
        <f>VLOOKUP($A63,'Data Vlaue (Cr)'!$C:$FB,60)</f>
        <v>1100</v>
      </c>
      <c r="L63" s="51">
        <f>VLOOKUP($A63,'Data Vlaue (Cr)'!$C:$FB,62)*100</f>
        <v>-17.89</v>
      </c>
      <c r="M63" s="51">
        <f>VLOOKUP($A63,'Data Vlaue (Cr)'!$C:$FB,63)</f>
        <v>216</v>
      </c>
      <c r="N63" s="51">
        <f>VLOOKUP($A63,'Data Vlaue (Cr)'!$C:$FB,64)</f>
        <v>447</v>
      </c>
      <c r="O63" s="51">
        <f>VLOOKUP($A63,'Data Vlaue (Cr)'!$C:$FB,66)*100</f>
        <v>-51.67</v>
      </c>
    </row>
    <row r="64" spans="1:15" x14ac:dyDescent="0.25">
      <c r="A64" s="101" t="str">
        <f>'Data Vlaue (Cr)'!C59</f>
        <v>DRREDDY</v>
      </c>
      <c r="B64" s="50">
        <f>VLOOKUP($A64,'Data Vlaue (Cr)'!$C:$FB,8)</f>
        <v>1222.5</v>
      </c>
      <c r="C64" s="50">
        <f>VLOOKUP($A64,'Data Vlaue (Cr)'!$C:$FB,11)*100</f>
        <v>-1.4000000000000001</v>
      </c>
      <c r="D64" s="50">
        <f>VLOOKUP($A64,'Data Vlaue (Cr)'!$C:$FB,143)</f>
        <v>1337.29</v>
      </c>
      <c r="E64" s="50">
        <f>VLOOKUP($A64,'Data Vlaue (Cr)'!$C:$FB,144)</f>
        <v>3121.54</v>
      </c>
      <c r="F64" s="50">
        <f>VLOOKUP($A64,'Data Vlaue (Cr)'!$C:$FB,146)*100</f>
        <v>-57.16</v>
      </c>
      <c r="G64" s="49">
        <f>VLOOKUP($A64,'Data Vlaue (Cr)'!$C:$FB,43)</f>
        <v>293</v>
      </c>
      <c r="H64" s="49">
        <f>VLOOKUP($A64,'Data Vlaue (Cr)'!$C:$FB,44)</f>
        <v>988</v>
      </c>
      <c r="I64" s="49">
        <f>VLOOKUP($A64,'Data Vlaue (Cr)'!$C:$FB,46)*100</f>
        <v>-70.349999999999994</v>
      </c>
      <c r="J64" s="51">
        <f>VLOOKUP($A64,'Data Vlaue (Cr)'!$C:$FB,59)</f>
        <v>509</v>
      </c>
      <c r="K64" s="51">
        <f>VLOOKUP($A64,'Data Vlaue (Cr)'!$C:$FB,60)</f>
        <v>1157</v>
      </c>
      <c r="L64" s="51">
        <f>VLOOKUP($A64,'Data Vlaue (Cr)'!$C:$FB,62)*100</f>
        <v>-56.000000000000007</v>
      </c>
      <c r="M64" s="51">
        <f>VLOOKUP($A64,'Data Vlaue (Cr)'!$C:$FB,63)</f>
        <v>508</v>
      </c>
      <c r="N64" s="51">
        <f>VLOOKUP($A64,'Data Vlaue (Cr)'!$C:$FB,64)</f>
        <v>937</v>
      </c>
      <c r="O64" s="51">
        <f>VLOOKUP($A64,'Data Vlaue (Cr)'!$C:$FB,66)*100</f>
        <v>-45.739999999999995</v>
      </c>
    </row>
    <row r="65" spans="1:15" x14ac:dyDescent="0.25">
      <c r="A65" s="101" t="str">
        <f>'Data Vlaue (Cr)'!C60</f>
        <v>EICHERMOT</v>
      </c>
      <c r="B65" s="50">
        <f>VLOOKUP($A65,'Data Vlaue (Cr)'!$C:$FB,8)</f>
        <v>7071</v>
      </c>
      <c r="C65" s="50">
        <f>VLOOKUP($A65,'Data Vlaue (Cr)'!$C:$FB,11)*100</f>
        <v>-1.31</v>
      </c>
      <c r="D65" s="50">
        <f>VLOOKUP($A65,'Data Vlaue (Cr)'!$C:$FB,143)</f>
        <v>4898.6899999999996</v>
      </c>
      <c r="E65" s="50">
        <f>VLOOKUP($A65,'Data Vlaue (Cr)'!$C:$FB,144)</f>
        <v>3540.25</v>
      </c>
      <c r="F65" s="50">
        <f>VLOOKUP($A65,'Data Vlaue (Cr)'!$C:$FB,146)*100</f>
        <v>38.369999999999997</v>
      </c>
      <c r="G65" s="49">
        <f>VLOOKUP($A65,'Data Vlaue (Cr)'!$C:$FB,43)</f>
        <v>831</v>
      </c>
      <c r="H65" s="49">
        <f>VLOOKUP($A65,'Data Vlaue (Cr)'!$C:$FB,44)</f>
        <v>949</v>
      </c>
      <c r="I65" s="49">
        <f>VLOOKUP($A65,'Data Vlaue (Cr)'!$C:$FB,46)*100</f>
        <v>-12.5</v>
      </c>
      <c r="J65" s="51">
        <f>VLOOKUP($A65,'Data Vlaue (Cr)'!$C:$FB,59)</f>
        <v>1779</v>
      </c>
      <c r="K65" s="51">
        <f>VLOOKUP($A65,'Data Vlaue (Cr)'!$C:$FB,60)</f>
        <v>1820</v>
      </c>
      <c r="L65" s="51">
        <f>VLOOKUP($A65,'Data Vlaue (Cr)'!$C:$FB,62)*100</f>
        <v>-2.25</v>
      </c>
      <c r="M65" s="51">
        <f>VLOOKUP($A65,'Data Vlaue (Cr)'!$C:$FB,63)</f>
        <v>2282</v>
      </c>
      <c r="N65" s="51">
        <f>VLOOKUP($A65,'Data Vlaue (Cr)'!$C:$FB,64)</f>
        <v>699</v>
      </c>
      <c r="O65" s="51">
        <f>VLOOKUP($A65,'Data Vlaue (Cr)'!$C:$FB,66)*100</f>
        <v>226.33999999999997</v>
      </c>
    </row>
    <row r="66" spans="1:15" x14ac:dyDescent="0.25">
      <c r="A66" s="101" t="str">
        <f>'Data Vlaue (Cr)'!C61</f>
        <v>ETERNAL</v>
      </c>
      <c r="B66" s="50">
        <f>VLOOKUP($A66,'Data Vlaue (Cr)'!$C:$FB,8)</f>
        <v>266.3</v>
      </c>
      <c r="C66" s="50">
        <f>VLOOKUP($A66,'Data Vlaue (Cr)'!$C:$FB,11)*100</f>
        <v>4.9000000000000004</v>
      </c>
      <c r="D66" s="50">
        <f>VLOOKUP($A66,'Data Vlaue (Cr)'!$C:$FB,143)</f>
        <v>7919.22</v>
      </c>
      <c r="E66" s="50">
        <f>VLOOKUP($A66,'Data Vlaue (Cr)'!$C:$FB,144)</f>
        <v>13124.51</v>
      </c>
      <c r="F66" s="50">
        <f>VLOOKUP($A66,'Data Vlaue (Cr)'!$C:$FB,146)*100</f>
        <v>-39.660000000000004</v>
      </c>
      <c r="G66" s="49">
        <f>VLOOKUP($A66,'Data Vlaue (Cr)'!$C:$FB,43)</f>
        <v>1904</v>
      </c>
      <c r="H66" s="49">
        <f>VLOOKUP($A66,'Data Vlaue (Cr)'!$C:$FB,44)</f>
        <v>4397</v>
      </c>
      <c r="I66" s="49">
        <f>VLOOKUP($A66,'Data Vlaue (Cr)'!$C:$FB,46)*100</f>
        <v>-56.699999999999996</v>
      </c>
      <c r="J66" s="51">
        <f>VLOOKUP($A66,'Data Vlaue (Cr)'!$C:$FB,59)</f>
        <v>3780</v>
      </c>
      <c r="K66" s="51">
        <f>VLOOKUP($A66,'Data Vlaue (Cr)'!$C:$FB,60)</f>
        <v>5434</v>
      </c>
      <c r="L66" s="51">
        <f>VLOOKUP($A66,'Data Vlaue (Cr)'!$C:$FB,62)*100</f>
        <v>-30.43</v>
      </c>
      <c r="M66" s="51">
        <f>VLOOKUP($A66,'Data Vlaue (Cr)'!$C:$FB,63)</f>
        <v>2105</v>
      </c>
      <c r="N66" s="51">
        <f>VLOOKUP($A66,'Data Vlaue (Cr)'!$C:$FB,64)</f>
        <v>3415</v>
      </c>
      <c r="O66" s="51">
        <f>VLOOKUP($A66,'Data Vlaue (Cr)'!$C:$FB,66)*100</f>
        <v>-38.369999999999997</v>
      </c>
    </row>
    <row r="67" spans="1:15" x14ac:dyDescent="0.25">
      <c r="A67" s="101" t="str">
        <f>'Data Vlaue (Cr)'!C62</f>
        <v>EXIDEIND</v>
      </c>
      <c r="B67" s="50">
        <f>VLOOKUP($A67,'Data Vlaue (Cr)'!$C:$FB,8)</f>
        <v>321.14999999999998</v>
      </c>
      <c r="C67" s="50">
        <f>VLOOKUP($A67,'Data Vlaue (Cr)'!$C:$FB,11)*100</f>
        <v>-0.65</v>
      </c>
      <c r="D67" s="50">
        <f>VLOOKUP($A67,'Data Vlaue (Cr)'!$C:$FB,143)</f>
        <v>523.51</v>
      </c>
      <c r="E67" s="50">
        <f>VLOOKUP($A67,'Data Vlaue (Cr)'!$C:$FB,144)</f>
        <v>1762.31</v>
      </c>
      <c r="F67" s="50">
        <f>VLOOKUP($A67,'Data Vlaue (Cr)'!$C:$FB,146)*100</f>
        <v>-70.289999999999992</v>
      </c>
      <c r="G67" s="49">
        <f>VLOOKUP($A67,'Data Vlaue (Cr)'!$C:$FB,43)</f>
        <v>152</v>
      </c>
      <c r="H67" s="49">
        <f>VLOOKUP($A67,'Data Vlaue (Cr)'!$C:$FB,44)</f>
        <v>1039</v>
      </c>
      <c r="I67" s="49">
        <f>VLOOKUP($A67,'Data Vlaue (Cr)'!$C:$FB,46)*100</f>
        <v>-85.34</v>
      </c>
      <c r="J67" s="51">
        <f>VLOOKUP($A67,'Data Vlaue (Cr)'!$C:$FB,59)</f>
        <v>222</v>
      </c>
      <c r="K67" s="51">
        <f>VLOOKUP($A67,'Data Vlaue (Cr)'!$C:$FB,60)</f>
        <v>342</v>
      </c>
      <c r="L67" s="51">
        <f>VLOOKUP($A67,'Data Vlaue (Cr)'!$C:$FB,62)*100</f>
        <v>-34.97</v>
      </c>
      <c r="M67" s="51">
        <f>VLOOKUP($A67,'Data Vlaue (Cr)'!$C:$FB,63)</f>
        <v>131</v>
      </c>
      <c r="N67" s="51">
        <f>VLOOKUP($A67,'Data Vlaue (Cr)'!$C:$FB,64)</f>
        <v>312</v>
      </c>
      <c r="O67" s="51">
        <f>VLOOKUP($A67,'Data Vlaue (Cr)'!$C:$FB,66)*100</f>
        <v>-58.01</v>
      </c>
    </row>
    <row r="68" spans="1:15" x14ac:dyDescent="0.25">
      <c r="A68" s="101" t="str">
        <f>'Data Vlaue (Cr)'!C63</f>
        <v>FEDERALBNK</v>
      </c>
      <c r="B68" s="50">
        <f>VLOOKUP($A68,'Data Vlaue (Cr)'!$C:$FB,8)</f>
        <v>284.45</v>
      </c>
      <c r="C68" s="50">
        <f>VLOOKUP($A68,'Data Vlaue (Cr)'!$C:$FB,11)*100</f>
        <v>-0.18</v>
      </c>
      <c r="D68" s="50">
        <f>VLOOKUP($A68,'Data Vlaue (Cr)'!$C:$FB,143)</f>
        <v>2064.9899999999998</v>
      </c>
      <c r="E68" s="50">
        <f>VLOOKUP($A68,'Data Vlaue (Cr)'!$C:$FB,144)</f>
        <v>3917.76</v>
      </c>
      <c r="F68" s="50">
        <f>VLOOKUP($A68,'Data Vlaue (Cr)'!$C:$FB,146)*100</f>
        <v>-47.29</v>
      </c>
      <c r="G68" s="49">
        <f>VLOOKUP($A68,'Data Vlaue (Cr)'!$C:$FB,43)</f>
        <v>456</v>
      </c>
      <c r="H68" s="49">
        <f>VLOOKUP($A68,'Data Vlaue (Cr)'!$C:$FB,44)</f>
        <v>1359</v>
      </c>
      <c r="I68" s="49">
        <f>VLOOKUP($A68,'Data Vlaue (Cr)'!$C:$FB,46)*100</f>
        <v>-66.430000000000007</v>
      </c>
      <c r="J68" s="51">
        <f>VLOOKUP($A68,'Data Vlaue (Cr)'!$C:$FB,59)</f>
        <v>995</v>
      </c>
      <c r="K68" s="51">
        <f>VLOOKUP($A68,'Data Vlaue (Cr)'!$C:$FB,60)</f>
        <v>1501</v>
      </c>
      <c r="L68" s="51">
        <f>VLOOKUP($A68,'Data Vlaue (Cr)'!$C:$FB,62)*100</f>
        <v>-33.700000000000003</v>
      </c>
      <c r="M68" s="51">
        <f>VLOOKUP($A68,'Data Vlaue (Cr)'!$C:$FB,63)</f>
        <v>590</v>
      </c>
      <c r="N68" s="51">
        <f>VLOOKUP($A68,'Data Vlaue (Cr)'!$C:$FB,64)</f>
        <v>1086</v>
      </c>
      <c r="O68" s="51">
        <f>VLOOKUP($A68,'Data Vlaue (Cr)'!$C:$FB,66)*100</f>
        <v>-45.67</v>
      </c>
    </row>
    <row r="69" spans="1:15" x14ac:dyDescent="0.25">
      <c r="A69" s="101" t="str">
        <f>'Data Vlaue (Cr)'!C64</f>
        <v>FINNIFTY</v>
      </c>
      <c r="B69" s="50">
        <f>VLOOKUP($A69,'Data Vlaue (Cr)'!$C:$FB,8)</f>
        <v>27335.200000000001</v>
      </c>
      <c r="C69" s="50">
        <f>VLOOKUP($A69,'Data Vlaue (Cr)'!$C:$FB,11)*100</f>
        <v>1.02</v>
      </c>
      <c r="D69" s="50">
        <f>VLOOKUP($A69,'Data Vlaue (Cr)'!$C:$FB,143)</f>
        <v>2970.56</v>
      </c>
      <c r="E69" s="50">
        <f>VLOOKUP($A69,'Data Vlaue (Cr)'!$C:$FB,144)</f>
        <v>659713</v>
      </c>
      <c r="F69" s="50">
        <f>VLOOKUP($A69,'Data Vlaue (Cr)'!$C:$FB,146)*100</f>
        <v>-99.550000000000011</v>
      </c>
      <c r="G69" s="49">
        <f>VLOOKUP($A69,'Data Vlaue (Cr)'!$C:$FB,43)</f>
        <v>56</v>
      </c>
      <c r="H69" s="49">
        <f>VLOOKUP($A69,'Data Vlaue (Cr)'!$C:$FB,44)</f>
        <v>353</v>
      </c>
      <c r="I69" s="49">
        <f>VLOOKUP($A69,'Data Vlaue (Cr)'!$C:$FB,46)*100</f>
        <v>-84.08</v>
      </c>
      <c r="J69" s="51">
        <f>VLOOKUP($A69,'Data Vlaue (Cr)'!$C:$FB,59)</f>
        <v>1254</v>
      </c>
      <c r="K69" s="51">
        <f>VLOOKUP($A69,'Data Vlaue (Cr)'!$C:$FB,60)</f>
        <v>350460</v>
      </c>
      <c r="L69" s="51">
        <f>VLOOKUP($A69,'Data Vlaue (Cr)'!$C:$FB,62)*100</f>
        <v>-99.64</v>
      </c>
      <c r="M69" s="51">
        <f>VLOOKUP($A69,'Data Vlaue (Cr)'!$C:$FB,63)</f>
        <v>1636</v>
      </c>
      <c r="N69" s="51">
        <f>VLOOKUP($A69,'Data Vlaue (Cr)'!$C:$FB,64)</f>
        <v>320712</v>
      </c>
      <c r="O69" s="51">
        <f>VLOOKUP($A69,'Data Vlaue (Cr)'!$C:$FB,66)*100</f>
        <v>-99.49</v>
      </c>
    </row>
    <row r="70" spans="1:15" x14ac:dyDescent="0.25">
      <c r="A70" s="101" t="str">
        <f>'Data Vlaue (Cr)'!C65</f>
        <v>FORTIS</v>
      </c>
      <c r="B70" s="50">
        <f>VLOOKUP($A70,'Data Vlaue (Cr)'!$C:$FB,8)</f>
        <v>849.05</v>
      </c>
      <c r="C70" s="50">
        <f>VLOOKUP($A70,'Data Vlaue (Cr)'!$C:$FB,11)*100</f>
        <v>1.26</v>
      </c>
      <c r="D70" s="50">
        <f>VLOOKUP($A70,'Data Vlaue (Cr)'!$C:$FB,143)</f>
        <v>321.81</v>
      </c>
      <c r="E70" s="50">
        <f>VLOOKUP($A70,'Data Vlaue (Cr)'!$C:$FB,144)</f>
        <v>1146.6199999999999</v>
      </c>
      <c r="F70" s="50">
        <f>VLOOKUP($A70,'Data Vlaue (Cr)'!$C:$FB,146)*100</f>
        <v>-71.930000000000007</v>
      </c>
      <c r="G70" s="49">
        <f>VLOOKUP($A70,'Data Vlaue (Cr)'!$C:$FB,43)</f>
        <v>141</v>
      </c>
      <c r="H70" s="49">
        <f>VLOOKUP($A70,'Data Vlaue (Cr)'!$C:$FB,44)</f>
        <v>638</v>
      </c>
      <c r="I70" s="49">
        <f>VLOOKUP($A70,'Data Vlaue (Cr)'!$C:$FB,46)*100</f>
        <v>-77.849999999999994</v>
      </c>
      <c r="J70" s="51">
        <f>VLOOKUP($A70,'Data Vlaue (Cr)'!$C:$FB,59)</f>
        <v>119</v>
      </c>
      <c r="K70" s="51">
        <f>VLOOKUP($A70,'Data Vlaue (Cr)'!$C:$FB,60)</f>
        <v>236</v>
      </c>
      <c r="L70" s="51">
        <f>VLOOKUP($A70,'Data Vlaue (Cr)'!$C:$FB,62)*100</f>
        <v>-49.64</v>
      </c>
      <c r="M70" s="51">
        <f>VLOOKUP($A70,'Data Vlaue (Cr)'!$C:$FB,63)</f>
        <v>55</v>
      </c>
      <c r="N70" s="51">
        <f>VLOOKUP($A70,'Data Vlaue (Cr)'!$C:$FB,64)</f>
        <v>275</v>
      </c>
      <c r="O70" s="51">
        <f>VLOOKUP($A70,'Data Vlaue (Cr)'!$C:$FB,66)*100</f>
        <v>-80.069999999999993</v>
      </c>
    </row>
    <row r="71" spans="1:15" x14ac:dyDescent="0.25">
      <c r="A71" s="101" t="str">
        <f>'Data Vlaue (Cr)'!C66</f>
        <v>GAIL</v>
      </c>
      <c r="B71" s="50">
        <f>VLOOKUP($A71,'Data Vlaue (Cr)'!$C:$FB,8)</f>
        <v>168.14</v>
      </c>
      <c r="C71" s="50">
        <f>VLOOKUP($A71,'Data Vlaue (Cr)'!$C:$FB,11)*100</f>
        <v>5.0999999999999996</v>
      </c>
      <c r="D71" s="50">
        <f>VLOOKUP($A71,'Data Vlaue (Cr)'!$C:$FB,143)</f>
        <v>1886.07</v>
      </c>
      <c r="E71" s="50">
        <f>VLOOKUP($A71,'Data Vlaue (Cr)'!$C:$FB,144)</f>
        <v>2509.8200000000002</v>
      </c>
      <c r="F71" s="50">
        <f>VLOOKUP($A71,'Data Vlaue (Cr)'!$C:$FB,146)*100</f>
        <v>-24.85</v>
      </c>
      <c r="G71" s="49">
        <f>VLOOKUP($A71,'Data Vlaue (Cr)'!$C:$FB,43)</f>
        <v>414</v>
      </c>
      <c r="H71" s="49">
        <f>VLOOKUP($A71,'Data Vlaue (Cr)'!$C:$FB,44)</f>
        <v>1478</v>
      </c>
      <c r="I71" s="49">
        <f>VLOOKUP($A71,'Data Vlaue (Cr)'!$C:$FB,46)*100</f>
        <v>-71.960000000000008</v>
      </c>
      <c r="J71" s="51">
        <f>VLOOKUP($A71,'Data Vlaue (Cr)'!$C:$FB,59)</f>
        <v>1050</v>
      </c>
      <c r="K71" s="51">
        <f>VLOOKUP($A71,'Data Vlaue (Cr)'!$C:$FB,60)</f>
        <v>597</v>
      </c>
      <c r="L71" s="51">
        <f>VLOOKUP($A71,'Data Vlaue (Cr)'!$C:$FB,62)*100</f>
        <v>75.97</v>
      </c>
      <c r="M71" s="51">
        <f>VLOOKUP($A71,'Data Vlaue (Cr)'!$C:$FB,63)</f>
        <v>395</v>
      </c>
      <c r="N71" s="51">
        <f>VLOOKUP($A71,'Data Vlaue (Cr)'!$C:$FB,64)</f>
        <v>505</v>
      </c>
      <c r="O71" s="51">
        <f>VLOOKUP($A71,'Data Vlaue (Cr)'!$C:$FB,66)*100</f>
        <v>-21.88</v>
      </c>
    </row>
    <row r="72" spans="1:15" x14ac:dyDescent="0.25">
      <c r="A72" s="101" t="str">
        <f>'Data Vlaue (Cr)'!C67</f>
        <v>GLENMARK</v>
      </c>
      <c r="B72" s="50">
        <f>VLOOKUP($A72,'Data Vlaue (Cr)'!$C:$FB,8)</f>
        <v>1993.5</v>
      </c>
      <c r="C72" s="50">
        <f>VLOOKUP($A72,'Data Vlaue (Cr)'!$C:$FB,11)*100</f>
        <v>-0.31</v>
      </c>
      <c r="D72" s="50">
        <f>VLOOKUP($A72,'Data Vlaue (Cr)'!$C:$FB,143)</f>
        <v>565.07000000000005</v>
      </c>
      <c r="E72" s="50">
        <f>VLOOKUP($A72,'Data Vlaue (Cr)'!$C:$FB,144)</f>
        <v>2413.8000000000002</v>
      </c>
      <c r="F72" s="50">
        <f>VLOOKUP($A72,'Data Vlaue (Cr)'!$C:$FB,146)*100</f>
        <v>-76.59</v>
      </c>
      <c r="G72" s="49">
        <f>VLOOKUP($A72,'Data Vlaue (Cr)'!$C:$FB,43)</f>
        <v>192</v>
      </c>
      <c r="H72" s="49">
        <f>VLOOKUP($A72,'Data Vlaue (Cr)'!$C:$FB,44)</f>
        <v>1503</v>
      </c>
      <c r="I72" s="49">
        <f>VLOOKUP($A72,'Data Vlaue (Cr)'!$C:$FB,46)*100</f>
        <v>-87.19</v>
      </c>
      <c r="J72" s="51">
        <f>VLOOKUP($A72,'Data Vlaue (Cr)'!$C:$FB,59)</f>
        <v>229</v>
      </c>
      <c r="K72" s="51">
        <f>VLOOKUP($A72,'Data Vlaue (Cr)'!$C:$FB,60)</f>
        <v>571</v>
      </c>
      <c r="L72" s="51">
        <f>VLOOKUP($A72,'Data Vlaue (Cr)'!$C:$FB,62)*100</f>
        <v>-59.88</v>
      </c>
      <c r="M72" s="51">
        <f>VLOOKUP($A72,'Data Vlaue (Cr)'!$C:$FB,63)</f>
        <v>131</v>
      </c>
      <c r="N72" s="51">
        <f>VLOOKUP($A72,'Data Vlaue (Cr)'!$C:$FB,64)</f>
        <v>316</v>
      </c>
      <c r="O72" s="51">
        <f>VLOOKUP($A72,'Data Vlaue (Cr)'!$C:$FB,66)*100</f>
        <v>-58.550000000000004</v>
      </c>
    </row>
    <row r="73" spans="1:15" x14ac:dyDescent="0.25">
      <c r="A73" s="101" t="str">
        <f>'Data Vlaue (Cr)'!C68</f>
        <v>GMRAIRPORT</v>
      </c>
      <c r="B73" s="50">
        <f>VLOOKUP($A73,'Data Vlaue (Cr)'!$C:$FB,8)</f>
        <v>93.91</v>
      </c>
      <c r="C73" s="50">
        <f>VLOOKUP($A73,'Data Vlaue (Cr)'!$C:$FB,11)*100</f>
        <v>1.37</v>
      </c>
      <c r="D73" s="50">
        <f>VLOOKUP($A73,'Data Vlaue (Cr)'!$C:$FB,143)</f>
        <v>797.42</v>
      </c>
      <c r="E73" s="50">
        <f>VLOOKUP($A73,'Data Vlaue (Cr)'!$C:$FB,144)</f>
        <v>2550.61</v>
      </c>
      <c r="F73" s="50">
        <f>VLOOKUP($A73,'Data Vlaue (Cr)'!$C:$FB,146)*100</f>
        <v>-68.739999999999995</v>
      </c>
      <c r="G73" s="49">
        <f>VLOOKUP($A73,'Data Vlaue (Cr)'!$C:$FB,43)</f>
        <v>177</v>
      </c>
      <c r="H73" s="49">
        <f>VLOOKUP($A73,'Data Vlaue (Cr)'!$C:$FB,44)</f>
        <v>1250</v>
      </c>
      <c r="I73" s="49">
        <f>VLOOKUP($A73,'Data Vlaue (Cr)'!$C:$FB,46)*100</f>
        <v>-85.83</v>
      </c>
      <c r="J73" s="51">
        <f>VLOOKUP($A73,'Data Vlaue (Cr)'!$C:$FB,59)</f>
        <v>486</v>
      </c>
      <c r="K73" s="51">
        <f>VLOOKUP($A73,'Data Vlaue (Cr)'!$C:$FB,60)</f>
        <v>774</v>
      </c>
      <c r="L73" s="51">
        <f>VLOOKUP($A73,'Data Vlaue (Cr)'!$C:$FB,62)*100</f>
        <v>-37.269999999999996</v>
      </c>
      <c r="M73" s="51">
        <f>VLOOKUP($A73,'Data Vlaue (Cr)'!$C:$FB,63)</f>
        <v>101</v>
      </c>
      <c r="N73" s="51">
        <f>VLOOKUP($A73,'Data Vlaue (Cr)'!$C:$FB,64)</f>
        <v>518</v>
      </c>
      <c r="O73" s="51">
        <f>VLOOKUP($A73,'Data Vlaue (Cr)'!$C:$FB,66)*100</f>
        <v>-80.41</v>
      </c>
    </row>
    <row r="74" spans="1:15" x14ac:dyDescent="0.25">
      <c r="A74" s="101" t="str">
        <f>'Data Vlaue (Cr)'!C69</f>
        <v>GODREJCP</v>
      </c>
      <c r="B74" s="50">
        <f>VLOOKUP($A74,'Data Vlaue (Cr)'!$C:$FB,8)</f>
        <v>1171.8</v>
      </c>
      <c r="C74" s="50">
        <f>VLOOKUP($A74,'Data Vlaue (Cr)'!$C:$FB,11)*100</f>
        <v>-0.18</v>
      </c>
      <c r="D74" s="50">
        <f>VLOOKUP($A74,'Data Vlaue (Cr)'!$C:$FB,143)</f>
        <v>730.19</v>
      </c>
      <c r="E74" s="50">
        <f>VLOOKUP($A74,'Data Vlaue (Cr)'!$C:$FB,144)</f>
        <v>2786.06</v>
      </c>
      <c r="F74" s="50">
        <f>VLOOKUP($A74,'Data Vlaue (Cr)'!$C:$FB,146)*100</f>
        <v>-73.790000000000006</v>
      </c>
      <c r="G74" s="49">
        <f>VLOOKUP($A74,'Data Vlaue (Cr)'!$C:$FB,43)</f>
        <v>144</v>
      </c>
      <c r="H74" s="49">
        <f>VLOOKUP($A74,'Data Vlaue (Cr)'!$C:$FB,44)</f>
        <v>1147</v>
      </c>
      <c r="I74" s="49">
        <f>VLOOKUP($A74,'Data Vlaue (Cr)'!$C:$FB,46)*100</f>
        <v>-87.460000000000008</v>
      </c>
      <c r="J74" s="51">
        <f>VLOOKUP($A74,'Data Vlaue (Cr)'!$C:$FB,59)</f>
        <v>301</v>
      </c>
      <c r="K74" s="51">
        <f>VLOOKUP($A74,'Data Vlaue (Cr)'!$C:$FB,60)</f>
        <v>667</v>
      </c>
      <c r="L74" s="51">
        <f>VLOOKUP($A74,'Data Vlaue (Cr)'!$C:$FB,62)*100</f>
        <v>-54.790000000000006</v>
      </c>
      <c r="M74" s="51">
        <f>VLOOKUP($A74,'Data Vlaue (Cr)'!$C:$FB,63)</f>
        <v>274</v>
      </c>
      <c r="N74" s="51">
        <f>VLOOKUP($A74,'Data Vlaue (Cr)'!$C:$FB,64)</f>
        <v>921</v>
      </c>
      <c r="O74" s="51">
        <f>VLOOKUP($A74,'Data Vlaue (Cr)'!$C:$FB,66)*100</f>
        <v>-70.3</v>
      </c>
    </row>
    <row r="75" spans="1:15" x14ac:dyDescent="0.25">
      <c r="A75" s="101" t="str">
        <f>'Data Vlaue (Cr)'!C70</f>
        <v>GODREJPROP</v>
      </c>
      <c r="B75" s="50">
        <f>VLOOKUP($A75,'Data Vlaue (Cr)'!$C:$FB,8)</f>
        <v>1550.3</v>
      </c>
      <c r="C75" s="50">
        <f>VLOOKUP($A75,'Data Vlaue (Cr)'!$C:$FB,11)*100</f>
        <v>2.13</v>
      </c>
      <c r="D75" s="50">
        <f>VLOOKUP($A75,'Data Vlaue (Cr)'!$C:$FB,143)</f>
        <v>1581.85</v>
      </c>
      <c r="E75" s="50">
        <f>VLOOKUP($A75,'Data Vlaue (Cr)'!$C:$FB,144)</f>
        <v>4360.63</v>
      </c>
      <c r="F75" s="50">
        <f>VLOOKUP($A75,'Data Vlaue (Cr)'!$C:$FB,146)*100</f>
        <v>-63.72</v>
      </c>
      <c r="G75" s="49">
        <f>VLOOKUP($A75,'Data Vlaue (Cr)'!$C:$FB,43)</f>
        <v>417</v>
      </c>
      <c r="H75" s="49">
        <f>VLOOKUP($A75,'Data Vlaue (Cr)'!$C:$FB,44)</f>
        <v>1567</v>
      </c>
      <c r="I75" s="49">
        <f>VLOOKUP($A75,'Data Vlaue (Cr)'!$C:$FB,46)*100</f>
        <v>-73.38</v>
      </c>
      <c r="J75" s="51">
        <f>VLOOKUP($A75,'Data Vlaue (Cr)'!$C:$FB,59)</f>
        <v>832</v>
      </c>
      <c r="K75" s="51">
        <f>VLOOKUP($A75,'Data Vlaue (Cr)'!$C:$FB,60)</f>
        <v>1572</v>
      </c>
      <c r="L75" s="51">
        <f>VLOOKUP($A75,'Data Vlaue (Cr)'!$C:$FB,62)*100</f>
        <v>-47.089999999999996</v>
      </c>
      <c r="M75" s="51">
        <f>VLOOKUP($A75,'Data Vlaue (Cr)'!$C:$FB,63)</f>
        <v>269</v>
      </c>
      <c r="N75" s="51">
        <f>VLOOKUP($A75,'Data Vlaue (Cr)'!$C:$FB,64)</f>
        <v>1088</v>
      </c>
      <c r="O75" s="51">
        <f>VLOOKUP($A75,'Data Vlaue (Cr)'!$C:$FB,66)*100</f>
        <v>-75.25</v>
      </c>
    </row>
    <row r="76" spans="1:15" x14ac:dyDescent="0.25">
      <c r="A76" s="101" t="str">
        <f>'Data Vlaue (Cr)'!C71</f>
        <v>GRASIM</v>
      </c>
      <c r="B76" s="50">
        <f>VLOOKUP($A76,'Data Vlaue (Cr)'!$C:$FB,8)</f>
        <v>2839.1</v>
      </c>
      <c r="C76" s="50">
        <f>VLOOKUP($A76,'Data Vlaue (Cr)'!$C:$FB,11)*100</f>
        <v>-0.6</v>
      </c>
      <c r="D76" s="50">
        <f>VLOOKUP($A76,'Data Vlaue (Cr)'!$C:$FB,143)</f>
        <v>939.81</v>
      </c>
      <c r="E76" s="50">
        <f>VLOOKUP($A76,'Data Vlaue (Cr)'!$C:$FB,144)</f>
        <v>3940.08</v>
      </c>
      <c r="F76" s="50">
        <f>VLOOKUP($A76,'Data Vlaue (Cr)'!$C:$FB,146)*100</f>
        <v>-76.149999999999991</v>
      </c>
      <c r="G76" s="49">
        <f>VLOOKUP($A76,'Data Vlaue (Cr)'!$C:$FB,43)</f>
        <v>286</v>
      </c>
      <c r="H76" s="49">
        <f>VLOOKUP($A76,'Data Vlaue (Cr)'!$C:$FB,44)</f>
        <v>1868</v>
      </c>
      <c r="I76" s="49">
        <f>VLOOKUP($A76,'Data Vlaue (Cr)'!$C:$FB,46)*100</f>
        <v>-84.7</v>
      </c>
      <c r="J76" s="51">
        <f>VLOOKUP($A76,'Data Vlaue (Cr)'!$C:$FB,59)</f>
        <v>391</v>
      </c>
      <c r="K76" s="51">
        <f>VLOOKUP($A76,'Data Vlaue (Cr)'!$C:$FB,60)</f>
        <v>1217</v>
      </c>
      <c r="L76" s="51">
        <f>VLOOKUP($A76,'Data Vlaue (Cr)'!$C:$FB,62)*100</f>
        <v>-67.83</v>
      </c>
      <c r="M76" s="51">
        <f>VLOOKUP($A76,'Data Vlaue (Cr)'!$C:$FB,63)</f>
        <v>243</v>
      </c>
      <c r="N76" s="51">
        <f>VLOOKUP($A76,'Data Vlaue (Cr)'!$C:$FB,64)</f>
        <v>852</v>
      </c>
      <c r="O76" s="51">
        <f>VLOOKUP($A76,'Data Vlaue (Cr)'!$C:$FB,66)*100</f>
        <v>-71.5</v>
      </c>
    </row>
    <row r="77" spans="1:15" x14ac:dyDescent="0.25">
      <c r="A77" s="101" t="str">
        <f>'Data Vlaue (Cr)'!C72</f>
        <v>HAL</v>
      </c>
      <c r="B77" s="50">
        <f>VLOOKUP($A77,'Data Vlaue (Cr)'!$C:$FB,8)</f>
        <v>4624</v>
      </c>
      <c r="C77" s="50">
        <f>VLOOKUP($A77,'Data Vlaue (Cr)'!$C:$FB,11)*100</f>
        <v>6.34</v>
      </c>
      <c r="D77" s="50">
        <f>VLOOKUP($A77,'Data Vlaue (Cr)'!$C:$FB,143)</f>
        <v>10373.549999999999</v>
      </c>
      <c r="E77" s="50">
        <f>VLOOKUP($A77,'Data Vlaue (Cr)'!$C:$FB,144)</f>
        <v>8759.51</v>
      </c>
      <c r="F77" s="50">
        <f>VLOOKUP($A77,'Data Vlaue (Cr)'!$C:$FB,146)*100</f>
        <v>18.43</v>
      </c>
      <c r="G77" s="49">
        <f>VLOOKUP($A77,'Data Vlaue (Cr)'!$C:$FB,43)</f>
        <v>1566</v>
      </c>
      <c r="H77" s="49">
        <f>VLOOKUP($A77,'Data Vlaue (Cr)'!$C:$FB,44)</f>
        <v>3249</v>
      </c>
      <c r="I77" s="49">
        <f>VLOOKUP($A77,'Data Vlaue (Cr)'!$C:$FB,46)*100</f>
        <v>-51.800000000000004</v>
      </c>
      <c r="J77" s="51">
        <f>VLOOKUP($A77,'Data Vlaue (Cr)'!$C:$FB,59)</f>
        <v>6892</v>
      </c>
      <c r="K77" s="51">
        <f>VLOOKUP($A77,'Data Vlaue (Cr)'!$C:$FB,60)</f>
        <v>4005</v>
      </c>
      <c r="L77" s="51">
        <f>VLOOKUP($A77,'Data Vlaue (Cr)'!$C:$FB,62)*100</f>
        <v>72.099999999999994</v>
      </c>
      <c r="M77" s="51">
        <f>VLOOKUP($A77,'Data Vlaue (Cr)'!$C:$FB,63)</f>
        <v>1718</v>
      </c>
      <c r="N77" s="51">
        <f>VLOOKUP($A77,'Data Vlaue (Cr)'!$C:$FB,64)</f>
        <v>1868</v>
      </c>
      <c r="O77" s="51">
        <f>VLOOKUP($A77,'Data Vlaue (Cr)'!$C:$FB,66)*100</f>
        <v>-8.02</v>
      </c>
    </row>
    <row r="78" spans="1:15" x14ac:dyDescent="0.25">
      <c r="A78" s="101" t="str">
        <f>'Data Vlaue (Cr)'!C73</f>
        <v>HAVELLS</v>
      </c>
      <c r="B78" s="50">
        <f>VLOOKUP($A78,'Data Vlaue (Cr)'!$C:$FB,8)</f>
        <v>1286.8</v>
      </c>
      <c r="C78" s="50">
        <f>VLOOKUP($A78,'Data Vlaue (Cr)'!$C:$FB,11)*100</f>
        <v>-0.16</v>
      </c>
      <c r="D78" s="50">
        <f>VLOOKUP($A78,'Data Vlaue (Cr)'!$C:$FB,143)</f>
        <v>435.72</v>
      </c>
      <c r="E78" s="50">
        <f>VLOOKUP($A78,'Data Vlaue (Cr)'!$C:$FB,144)</f>
        <v>2153.02</v>
      </c>
      <c r="F78" s="50">
        <f>VLOOKUP($A78,'Data Vlaue (Cr)'!$C:$FB,146)*100</f>
        <v>-79.759999999999991</v>
      </c>
      <c r="G78" s="49">
        <f>VLOOKUP($A78,'Data Vlaue (Cr)'!$C:$FB,43)</f>
        <v>152</v>
      </c>
      <c r="H78" s="49">
        <f>VLOOKUP($A78,'Data Vlaue (Cr)'!$C:$FB,44)</f>
        <v>930</v>
      </c>
      <c r="I78" s="49">
        <f>VLOOKUP($A78,'Data Vlaue (Cr)'!$C:$FB,46)*100</f>
        <v>-83.62</v>
      </c>
      <c r="J78" s="51">
        <f>VLOOKUP($A78,'Data Vlaue (Cr)'!$C:$FB,59)</f>
        <v>181</v>
      </c>
      <c r="K78" s="51">
        <f>VLOOKUP($A78,'Data Vlaue (Cr)'!$C:$FB,60)</f>
        <v>584</v>
      </c>
      <c r="L78" s="51">
        <f>VLOOKUP($A78,'Data Vlaue (Cr)'!$C:$FB,62)*100</f>
        <v>-69.010000000000005</v>
      </c>
      <c r="M78" s="51">
        <f>VLOOKUP($A78,'Data Vlaue (Cr)'!$C:$FB,63)</f>
        <v>93</v>
      </c>
      <c r="N78" s="51">
        <f>VLOOKUP($A78,'Data Vlaue (Cr)'!$C:$FB,64)</f>
        <v>598</v>
      </c>
      <c r="O78" s="51">
        <f>VLOOKUP($A78,'Data Vlaue (Cr)'!$C:$FB,66)*100</f>
        <v>-84.37</v>
      </c>
    </row>
    <row r="79" spans="1:15" x14ac:dyDescent="0.25">
      <c r="A79" s="101" t="str">
        <f>'Data Vlaue (Cr)'!C74</f>
        <v>HCLTECH</v>
      </c>
      <c r="B79" s="50">
        <f>VLOOKUP($A79,'Data Vlaue (Cr)'!$C:$FB,8)</f>
        <v>1729.6</v>
      </c>
      <c r="C79" s="50">
        <f>VLOOKUP($A79,'Data Vlaue (Cr)'!$C:$FB,11)*100</f>
        <v>0.54999999999999993</v>
      </c>
      <c r="D79" s="50">
        <f>VLOOKUP($A79,'Data Vlaue (Cr)'!$C:$FB,143)</f>
        <v>1886.93</v>
      </c>
      <c r="E79" s="50">
        <f>VLOOKUP($A79,'Data Vlaue (Cr)'!$C:$FB,144)</f>
        <v>3445.91</v>
      </c>
      <c r="F79" s="50">
        <f>VLOOKUP($A79,'Data Vlaue (Cr)'!$C:$FB,146)*100</f>
        <v>-45.24</v>
      </c>
      <c r="G79" s="49">
        <f>VLOOKUP($A79,'Data Vlaue (Cr)'!$C:$FB,43)</f>
        <v>402</v>
      </c>
      <c r="H79" s="49">
        <f>VLOOKUP($A79,'Data Vlaue (Cr)'!$C:$FB,44)</f>
        <v>1126</v>
      </c>
      <c r="I79" s="49">
        <f>VLOOKUP($A79,'Data Vlaue (Cr)'!$C:$FB,46)*100</f>
        <v>-64.34</v>
      </c>
      <c r="J79" s="51">
        <f>VLOOKUP($A79,'Data Vlaue (Cr)'!$C:$FB,59)</f>
        <v>945</v>
      </c>
      <c r="K79" s="51">
        <f>VLOOKUP($A79,'Data Vlaue (Cr)'!$C:$FB,60)</f>
        <v>1455</v>
      </c>
      <c r="L79" s="51">
        <f>VLOOKUP($A79,'Data Vlaue (Cr)'!$C:$FB,62)*100</f>
        <v>-35.07</v>
      </c>
      <c r="M79" s="51">
        <f>VLOOKUP($A79,'Data Vlaue (Cr)'!$C:$FB,63)</f>
        <v>527</v>
      </c>
      <c r="N79" s="51">
        <f>VLOOKUP($A79,'Data Vlaue (Cr)'!$C:$FB,64)</f>
        <v>887</v>
      </c>
      <c r="O79" s="51">
        <f>VLOOKUP($A79,'Data Vlaue (Cr)'!$C:$FB,66)*100</f>
        <v>-40.65</v>
      </c>
    </row>
    <row r="80" spans="1:15" x14ac:dyDescent="0.25">
      <c r="A80" s="101" t="str">
        <f>'Data Vlaue (Cr)'!C75</f>
        <v>HDFCAMC</v>
      </c>
      <c r="B80" s="50">
        <f>VLOOKUP($A80,'Data Vlaue (Cr)'!$C:$FB,8)</f>
        <v>2477.6</v>
      </c>
      <c r="C80" s="50">
        <f>VLOOKUP($A80,'Data Vlaue (Cr)'!$C:$FB,11)*100</f>
        <v>1.67</v>
      </c>
      <c r="D80" s="50">
        <f>VLOOKUP($A80,'Data Vlaue (Cr)'!$C:$FB,143)</f>
        <v>737.42</v>
      </c>
      <c r="E80" s="50">
        <f>VLOOKUP($A80,'Data Vlaue (Cr)'!$C:$FB,144)</f>
        <v>1418.23</v>
      </c>
      <c r="F80" s="50">
        <f>VLOOKUP($A80,'Data Vlaue (Cr)'!$C:$FB,146)*100</f>
        <v>-48</v>
      </c>
      <c r="G80" s="49">
        <f>VLOOKUP($A80,'Data Vlaue (Cr)'!$C:$FB,43)</f>
        <v>276</v>
      </c>
      <c r="H80" s="49">
        <f>VLOOKUP($A80,'Data Vlaue (Cr)'!$C:$FB,44)</f>
        <v>634</v>
      </c>
      <c r="I80" s="49">
        <f>VLOOKUP($A80,'Data Vlaue (Cr)'!$C:$FB,46)*100</f>
        <v>-56.47</v>
      </c>
      <c r="J80" s="51">
        <f>VLOOKUP($A80,'Data Vlaue (Cr)'!$C:$FB,59)</f>
        <v>348</v>
      </c>
      <c r="K80" s="51">
        <f>VLOOKUP($A80,'Data Vlaue (Cr)'!$C:$FB,60)</f>
        <v>456</v>
      </c>
      <c r="L80" s="51">
        <f>VLOOKUP($A80,'Data Vlaue (Cr)'!$C:$FB,62)*100</f>
        <v>-23.73</v>
      </c>
      <c r="M80" s="51">
        <f>VLOOKUP($A80,'Data Vlaue (Cr)'!$C:$FB,63)</f>
        <v>103</v>
      </c>
      <c r="N80" s="51">
        <f>VLOOKUP($A80,'Data Vlaue (Cr)'!$C:$FB,64)</f>
        <v>323</v>
      </c>
      <c r="O80" s="51">
        <f>VLOOKUP($A80,'Data Vlaue (Cr)'!$C:$FB,66)*100</f>
        <v>-68.22</v>
      </c>
    </row>
    <row r="81" spans="1:15" x14ac:dyDescent="0.25">
      <c r="A81" s="101" t="str">
        <f>'Data Vlaue (Cr)'!C76</f>
        <v>HDFCBANK</v>
      </c>
      <c r="B81" s="50">
        <f>VLOOKUP($A81,'Data Vlaue (Cr)'!$C:$FB,8)</f>
        <v>932.7</v>
      </c>
      <c r="C81" s="50">
        <f>VLOOKUP($A81,'Data Vlaue (Cr)'!$C:$FB,11)*100</f>
        <v>0.67999999999999994</v>
      </c>
      <c r="D81" s="50">
        <f>VLOOKUP($A81,'Data Vlaue (Cr)'!$C:$FB,143)</f>
        <v>12894.65</v>
      </c>
      <c r="E81" s="50">
        <f>VLOOKUP($A81,'Data Vlaue (Cr)'!$C:$FB,144)</f>
        <v>22428.63</v>
      </c>
      <c r="F81" s="50">
        <f>VLOOKUP($A81,'Data Vlaue (Cr)'!$C:$FB,146)*100</f>
        <v>-42.51</v>
      </c>
      <c r="G81" s="49">
        <f>VLOOKUP($A81,'Data Vlaue (Cr)'!$C:$FB,43)</f>
        <v>2771</v>
      </c>
      <c r="H81" s="49">
        <f>VLOOKUP($A81,'Data Vlaue (Cr)'!$C:$FB,44)</f>
        <v>9670</v>
      </c>
      <c r="I81" s="49">
        <f>VLOOKUP($A81,'Data Vlaue (Cr)'!$C:$FB,46)*100</f>
        <v>-71.34</v>
      </c>
      <c r="J81" s="51">
        <f>VLOOKUP($A81,'Data Vlaue (Cr)'!$C:$FB,59)</f>
        <v>6196</v>
      </c>
      <c r="K81" s="51">
        <f>VLOOKUP($A81,'Data Vlaue (Cr)'!$C:$FB,60)</f>
        <v>7786</v>
      </c>
      <c r="L81" s="51">
        <f>VLOOKUP($A81,'Data Vlaue (Cr)'!$C:$FB,62)*100</f>
        <v>-20.419999999999998</v>
      </c>
      <c r="M81" s="51">
        <f>VLOOKUP($A81,'Data Vlaue (Cr)'!$C:$FB,63)</f>
        <v>3692</v>
      </c>
      <c r="N81" s="51">
        <f>VLOOKUP($A81,'Data Vlaue (Cr)'!$C:$FB,64)</f>
        <v>5036</v>
      </c>
      <c r="O81" s="51">
        <f>VLOOKUP($A81,'Data Vlaue (Cr)'!$C:$FB,66)*100</f>
        <v>-26.69</v>
      </c>
    </row>
    <row r="82" spans="1:15" x14ac:dyDescent="0.25">
      <c r="A82" s="101" t="str">
        <f>'Data Vlaue (Cr)'!C77</f>
        <v>HDFCLIFE</v>
      </c>
      <c r="B82" s="50">
        <f>VLOOKUP($A82,'Data Vlaue (Cr)'!$C:$FB,8)</f>
        <v>728.6</v>
      </c>
      <c r="C82" s="50">
        <f>VLOOKUP($A82,'Data Vlaue (Cr)'!$C:$FB,11)*100</f>
        <v>1.1900000000000002</v>
      </c>
      <c r="D82" s="50">
        <f>VLOOKUP($A82,'Data Vlaue (Cr)'!$C:$FB,143)</f>
        <v>1223.97</v>
      </c>
      <c r="E82" s="50">
        <f>VLOOKUP($A82,'Data Vlaue (Cr)'!$C:$FB,144)</f>
        <v>2088</v>
      </c>
      <c r="F82" s="50">
        <f>VLOOKUP($A82,'Data Vlaue (Cr)'!$C:$FB,146)*100</f>
        <v>-41.38</v>
      </c>
      <c r="G82" s="49">
        <f>VLOOKUP($A82,'Data Vlaue (Cr)'!$C:$FB,43)</f>
        <v>224</v>
      </c>
      <c r="H82" s="49">
        <f>VLOOKUP($A82,'Data Vlaue (Cr)'!$C:$FB,44)</f>
        <v>1085</v>
      </c>
      <c r="I82" s="49">
        <f>VLOOKUP($A82,'Data Vlaue (Cr)'!$C:$FB,46)*100</f>
        <v>-79.33</v>
      </c>
      <c r="J82" s="51">
        <f>VLOOKUP($A82,'Data Vlaue (Cr)'!$C:$FB,59)</f>
        <v>740</v>
      </c>
      <c r="K82" s="51">
        <f>VLOOKUP($A82,'Data Vlaue (Cr)'!$C:$FB,60)</f>
        <v>610</v>
      </c>
      <c r="L82" s="51">
        <f>VLOOKUP($A82,'Data Vlaue (Cr)'!$C:$FB,62)*100</f>
        <v>21.349999999999998</v>
      </c>
      <c r="M82" s="51">
        <f>VLOOKUP($A82,'Data Vlaue (Cr)'!$C:$FB,63)</f>
        <v>231</v>
      </c>
      <c r="N82" s="51">
        <f>VLOOKUP($A82,'Data Vlaue (Cr)'!$C:$FB,64)</f>
        <v>398</v>
      </c>
      <c r="O82" s="51">
        <f>VLOOKUP($A82,'Data Vlaue (Cr)'!$C:$FB,66)*100</f>
        <v>-42.08</v>
      </c>
    </row>
    <row r="83" spans="1:15" x14ac:dyDescent="0.25">
      <c r="A83" s="101" t="str">
        <f>'Data Vlaue (Cr)'!C78</f>
        <v>HEROMOTOCO</v>
      </c>
      <c r="B83" s="50">
        <f>VLOOKUP($A83,'Data Vlaue (Cr)'!$C:$FB,8)</f>
        <v>5512.5</v>
      </c>
      <c r="C83" s="50">
        <f>VLOOKUP($A83,'Data Vlaue (Cr)'!$C:$FB,11)*100</f>
        <v>2.46</v>
      </c>
      <c r="D83" s="50">
        <f>VLOOKUP($A83,'Data Vlaue (Cr)'!$C:$FB,143)</f>
        <v>2668.33</v>
      </c>
      <c r="E83" s="50">
        <f>VLOOKUP($A83,'Data Vlaue (Cr)'!$C:$FB,144)</f>
        <v>3998.83</v>
      </c>
      <c r="F83" s="50">
        <f>VLOOKUP($A83,'Data Vlaue (Cr)'!$C:$FB,146)*100</f>
        <v>-33.269999999999996</v>
      </c>
      <c r="G83" s="49">
        <f>VLOOKUP($A83,'Data Vlaue (Cr)'!$C:$FB,43)</f>
        <v>573</v>
      </c>
      <c r="H83" s="49">
        <f>VLOOKUP($A83,'Data Vlaue (Cr)'!$C:$FB,44)</f>
        <v>1174</v>
      </c>
      <c r="I83" s="49">
        <f>VLOOKUP($A83,'Data Vlaue (Cr)'!$C:$FB,46)*100</f>
        <v>-51.2</v>
      </c>
      <c r="J83" s="51">
        <f>VLOOKUP($A83,'Data Vlaue (Cr)'!$C:$FB,59)</f>
        <v>1411</v>
      </c>
      <c r="K83" s="51">
        <f>VLOOKUP($A83,'Data Vlaue (Cr)'!$C:$FB,60)</f>
        <v>1830</v>
      </c>
      <c r="L83" s="51">
        <f>VLOOKUP($A83,'Data Vlaue (Cr)'!$C:$FB,62)*100</f>
        <v>-22.869999999999997</v>
      </c>
      <c r="M83" s="51">
        <f>VLOOKUP($A83,'Data Vlaue (Cr)'!$C:$FB,63)</f>
        <v>643</v>
      </c>
      <c r="N83" s="51">
        <f>VLOOKUP($A83,'Data Vlaue (Cr)'!$C:$FB,64)</f>
        <v>942</v>
      </c>
      <c r="O83" s="51">
        <f>VLOOKUP($A83,'Data Vlaue (Cr)'!$C:$FB,66)*100</f>
        <v>-31.759999999999998</v>
      </c>
    </row>
    <row r="84" spans="1:15" x14ac:dyDescent="0.25">
      <c r="A84" s="101" t="str">
        <f>'Data Vlaue (Cr)'!C79</f>
        <v>HINDALCO</v>
      </c>
      <c r="B84" s="50">
        <f>VLOOKUP($A84,'Data Vlaue (Cr)'!$C:$FB,8)</f>
        <v>998.2</v>
      </c>
      <c r="C84" s="50">
        <f>VLOOKUP($A84,'Data Vlaue (Cr)'!$C:$FB,11)*100</f>
        <v>3.7800000000000002</v>
      </c>
      <c r="D84" s="50">
        <f>VLOOKUP($A84,'Data Vlaue (Cr)'!$C:$FB,143)</f>
        <v>7558.87</v>
      </c>
      <c r="E84" s="50">
        <f>VLOOKUP($A84,'Data Vlaue (Cr)'!$C:$FB,144)</f>
        <v>6714.44</v>
      </c>
      <c r="F84" s="50">
        <f>VLOOKUP($A84,'Data Vlaue (Cr)'!$C:$FB,146)*100</f>
        <v>12.58</v>
      </c>
      <c r="G84" s="49">
        <f>VLOOKUP($A84,'Data Vlaue (Cr)'!$C:$FB,43)</f>
        <v>1844</v>
      </c>
      <c r="H84" s="49">
        <f>VLOOKUP($A84,'Data Vlaue (Cr)'!$C:$FB,44)</f>
        <v>3085</v>
      </c>
      <c r="I84" s="49">
        <f>VLOOKUP($A84,'Data Vlaue (Cr)'!$C:$FB,46)*100</f>
        <v>-40.239999999999995</v>
      </c>
      <c r="J84" s="51">
        <f>VLOOKUP($A84,'Data Vlaue (Cr)'!$C:$FB,59)</f>
        <v>3909</v>
      </c>
      <c r="K84" s="51">
        <f>VLOOKUP($A84,'Data Vlaue (Cr)'!$C:$FB,60)</f>
        <v>2481</v>
      </c>
      <c r="L84" s="51">
        <f>VLOOKUP($A84,'Data Vlaue (Cr)'!$C:$FB,62)*100</f>
        <v>57.550000000000004</v>
      </c>
      <c r="M84" s="51">
        <f>VLOOKUP($A84,'Data Vlaue (Cr)'!$C:$FB,63)</f>
        <v>1692</v>
      </c>
      <c r="N84" s="51">
        <f>VLOOKUP($A84,'Data Vlaue (Cr)'!$C:$FB,64)</f>
        <v>1354</v>
      </c>
      <c r="O84" s="51">
        <f>VLOOKUP($A84,'Data Vlaue (Cr)'!$C:$FB,66)*100</f>
        <v>24.95</v>
      </c>
    </row>
    <row r="85" spans="1:15" x14ac:dyDescent="0.25">
      <c r="A85" s="101" t="str">
        <f>'Data Vlaue (Cr)'!C80</f>
        <v>HINDPETRO</v>
      </c>
      <c r="B85" s="50">
        <f>VLOOKUP($A85,'Data Vlaue (Cr)'!$C:$FB,8)</f>
        <v>433.25</v>
      </c>
      <c r="C85" s="50">
        <f>VLOOKUP($A85,'Data Vlaue (Cr)'!$C:$FB,11)*100</f>
        <v>3.3099999999999996</v>
      </c>
      <c r="D85" s="50">
        <f>VLOOKUP($A85,'Data Vlaue (Cr)'!$C:$FB,143)</f>
        <v>1782.08</v>
      </c>
      <c r="E85" s="50">
        <f>VLOOKUP($A85,'Data Vlaue (Cr)'!$C:$FB,144)</f>
        <v>2200.5</v>
      </c>
      <c r="F85" s="50">
        <f>VLOOKUP($A85,'Data Vlaue (Cr)'!$C:$FB,146)*100</f>
        <v>-19.009999999999998</v>
      </c>
      <c r="G85" s="49">
        <f>VLOOKUP($A85,'Data Vlaue (Cr)'!$C:$FB,43)</f>
        <v>339</v>
      </c>
      <c r="H85" s="49">
        <f>VLOOKUP($A85,'Data Vlaue (Cr)'!$C:$FB,44)</f>
        <v>1182</v>
      </c>
      <c r="I85" s="49">
        <f>VLOOKUP($A85,'Data Vlaue (Cr)'!$C:$FB,46)*100</f>
        <v>-71.289999999999992</v>
      </c>
      <c r="J85" s="51">
        <f>VLOOKUP($A85,'Data Vlaue (Cr)'!$C:$FB,59)</f>
        <v>963</v>
      </c>
      <c r="K85" s="51">
        <f>VLOOKUP($A85,'Data Vlaue (Cr)'!$C:$FB,60)</f>
        <v>629</v>
      </c>
      <c r="L85" s="51">
        <f>VLOOKUP($A85,'Data Vlaue (Cr)'!$C:$FB,62)*100</f>
        <v>53.05</v>
      </c>
      <c r="M85" s="51">
        <f>VLOOKUP($A85,'Data Vlaue (Cr)'!$C:$FB,63)</f>
        <v>428</v>
      </c>
      <c r="N85" s="51">
        <f>VLOOKUP($A85,'Data Vlaue (Cr)'!$C:$FB,64)</f>
        <v>418</v>
      </c>
      <c r="O85" s="51">
        <f>VLOOKUP($A85,'Data Vlaue (Cr)'!$C:$FB,66)*100</f>
        <v>2.4699999999999998</v>
      </c>
    </row>
    <row r="86" spans="1:15" x14ac:dyDescent="0.25">
      <c r="A86" s="101" t="str">
        <f>'Data Vlaue (Cr)'!C81</f>
        <v>HINDUNILVR</v>
      </c>
      <c r="B86" s="50">
        <f>VLOOKUP($A86,'Data Vlaue (Cr)'!$C:$FB,8)</f>
        <v>2378.4</v>
      </c>
      <c r="C86" s="50">
        <f>VLOOKUP($A86,'Data Vlaue (Cr)'!$C:$FB,11)*100</f>
        <v>-0.94000000000000006</v>
      </c>
      <c r="D86" s="50">
        <f>VLOOKUP($A86,'Data Vlaue (Cr)'!$C:$FB,143)</f>
        <v>2684.19</v>
      </c>
      <c r="E86" s="50">
        <f>VLOOKUP($A86,'Data Vlaue (Cr)'!$C:$FB,144)</f>
        <v>4247.41</v>
      </c>
      <c r="F86" s="50">
        <f>VLOOKUP($A86,'Data Vlaue (Cr)'!$C:$FB,146)*100</f>
        <v>-36.799999999999997</v>
      </c>
      <c r="G86" s="49">
        <f>VLOOKUP($A86,'Data Vlaue (Cr)'!$C:$FB,43)</f>
        <v>663</v>
      </c>
      <c r="H86" s="49">
        <f>VLOOKUP($A86,'Data Vlaue (Cr)'!$C:$FB,44)</f>
        <v>1479</v>
      </c>
      <c r="I86" s="49">
        <f>VLOOKUP($A86,'Data Vlaue (Cr)'!$C:$FB,46)*100</f>
        <v>-55.19</v>
      </c>
      <c r="J86" s="51">
        <f>VLOOKUP($A86,'Data Vlaue (Cr)'!$C:$FB,59)</f>
        <v>1100</v>
      </c>
      <c r="K86" s="51">
        <f>VLOOKUP($A86,'Data Vlaue (Cr)'!$C:$FB,60)</f>
        <v>1715</v>
      </c>
      <c r="L86" s="51">
        <f>VLOOKUP($A86,'Data Vlaue (Cr)'!$C:$FB,62)*100</f>
        <v>-35.89</v>
      </c>
      <c r="M86" s="51">
        <f>VLOOKUP($A86,'Data Vlaue (Cr)'!$C:$FB,63)</f>
        <v>881</v>
      </c>
      <c r="N86" s="51">
        <f>VLOOKUP($A86,'Data Vlaue (Cr)'!$C:$FB,64)</f>
        <v>979</v>
      </c>
      <c r="O86" s="51">
        <f>VLOOKUP($A86,'Data Vlaue (Cr)'!$C:$FB,66)*100</f>
        <v>-10.059999999999999</v>
      </c>
    </row>
    <row r="87" spans="1:15" x14ac:dyDescent="0.25">
      <c r="A87" s="101" t="str">
        <f>'Data Vlaue (Cr)'!C82</f>
        <v>HINDZINC</v>
      </c>
      <c r="B87" s="50">
        <f>VLOOKUP($A87,'Data Vlaue (Cr)'!$C:$FB,8)</f>
        <v>708.2</v>
      </c>
      <c r="C87" s="50">
        <f>VLOOKUP($A87,'Data Vlaue (Cr)'!$C:$FB,11)*100</f>
        <v>-2.6100000000000003</v>
      </c>
      <c r="D87" s="50">
        <f>VLOOKUP($A87,'Data Vlaue (Cr)'!$C:$FB,143)</f>
        <v>21406.14</v>
      </c>
      <c r="E87" s="50">
        <f>VLOOKUP($A87,'Data Vlaue (Cr)'!$C:$FB,144)</f>
        <v>21200.799999999999</v>
      </c>
      <c r="F87" s="50">
        <f>VLOOKUP($A87,'Data Vlaue (Cr)'!$C:$FB,146)*100</f>
        <v>0.97</v>
      </c>
      <c r="G87" s="49">
        <f>VLOOKUP($A87,'Data Vlaue (Cr)'!$C:$FB,43)</f>
        <v>3138</v>
      </c>
      <c r="H87" s="49">
        <f>VLOOKUP($A87,'Data Vlaue (Cr)'!$C:$FB,44)</f>
        <v>3178</v>
      </c>
      <c r="I87" s="49">
        <f>VLOOKUP($A87,'Data Vlaue (Cr)'!$C:$FB,46)*100</f>
        <v>-1.27</v>
      </c>
      <c r="J87" s="51">
        <f>VLOOKUP($A87,'Data Vlaue (Cr)'!$C:$FB,59)</f>
        <v>12218</v>
      </c>
      <c r="K87" s="51">
        <f>VLOOKUP($A87,'Data Vlaue (Cr)'!$C:$FB,60)</f>
        <v>11600</v>
      </c>
      <c r="L87" s="51">
        <f>VLOOKUP($A87,'Data Vlaue (Cr)'!$C:$FB,62)*100</f>
        <v>5.33</v>
      </c>
      <c r="M87" s="51">
        <f>VLOOKUP($A87,'Data Vlaue (Cr)'!$C:$FB,63)</f>
        <v>4650</v>
      </c>
      <c r="N87" s="51">
        <f>VLOOKUP($A87,'Data Vlaue (Cr)'!$C:$FB,64)</f>
        <v>5730</v>
      </c>
      <c r="O87" s="51">
        <f>VLOOKUP($A87,'Data Vlaue (Cr)'!$C:$FB,66)*100</f>
        <v>-18.850000000000001</v>
      </c>
    </row>
    <row r="88" spans="1:15" x14ac:dyDescent="0.25">
      <c r="A88" s="101" t="str">
        <f>'Data Vlaue (Cr)'!C83</f>
        <v>HUDCO</v>
      </c>
      <c r="B88" s="50">
        <f>VLOOKUP($A88,'Data Vlaue (Cr)'!$C:$FB,8)</f>
        <v>204.33</v>
      </c>
      <c r="C88" s="50">
        <f>VLOOKUP($A88,'Data Vlaue (Cr)'!$C:$FB,11)*100</f>
        <v>3.1300000000000003</v>
      </c>
      <c r="D88" s="50">
        <f>VLOOKUP($A88,'Data Vlaue (Cr)'!$C:$FB,143)</f>
        <v>692.27</v>
      </c>
      <c r="E88" s="50">
        <f>VLOOKUP($A88,'Data Vlaue (Cr)'!$C:$FB,144)</f>
        <v>1739.55</v>
      </c>
      <c r="F88" s="50">
        <f>VLOOKUP($A88,'Data Vlaue (Cr)'!$C:$FB,146)*100</f>
        <v>-60.199999999999996</v>
      </c>
      <c r="G88" s="49">
        <f>VLOOKUP($A88,'Data Vlaue (Cr)'!$C:$FB,43)</f>
        <v>199</v>
      </c>
      <c r="H88" s="49">
        <f>VLOOKUP($A88,'Data Vlaue (Cr)'!$C:$FB,44)</f>
        <v>998</v>
      </c>
      <c r="I88" s="49">
        <f>VLOOKUP($A88,'Data Vlaue (Cr)'!$C:$FB,46)*100</f>
        <v>-80.02</v>
      </c>
      <c r="J88" s="51">
        <f>VLOOKUP($A88,'Data Vlaue (Cr)'!$C:$FB,59)</f>
        <v>317</v>
      </c>
      <c r="K88" s="51">
        <f>VLOOKUP($A88,'Data Vlaue (Cr)'!$C:$FB,60)</f>
        <v>393</v>
      </c>
      <c r="L88" s="51">
        <f>VLOOKUP($A88,'Data Vlaue (Cr)'!$C:$FB,62)*100</f>
        <v>-19.2</v>
      </c>
      <c r="M88" s="51">
        <f>VLOOKUP($A88,'Data Vlaue (Cr)'!$C:$FB,63)</f>
        <v>162</v>
      </c>
      <c r="N88" s="51">
        <f>VLOOKUP($A88,'Data Vlaue (Cr)'!$C:$FB,64)</f>
        <v>368</v>
      </c>
      <c r="O88" s="51">
        <f>VLOOKUP($A88,'Data Vlaue (Cr)'!$C:$FB,66)*100</f>
        <v>-55.86</v>
      </c>
    </row>
    <row r="89" spans="1:15" x14ac:dyDescent="0.25">
      <c r="A89" s="101" t="str">
        <f>'Data Vlaue (Cr)'!C84</f>
        <v>ICICIBANK</v>
      </c>
      <c r="B89" s="50">
        <f>VLOOKUP($A89,'Data Vlaue (Cr)'!$C:$FB,8)</f>
        <v>1367.7</v>
      </c>
      <c r="C89" s="50">
        <f>VLOOKUP($A89,'Data Vlaue (Cr)'!$C:$FB,11)*100</f>
        <v>0.45999999999999996</v>
      </c>
      <c r="D89" s="50">
        <f>VLOOKUP($A89,'Data Vlaue (Cr)'!$C:$FB,143)</f>
        <v>9100.7800000000007</v>
      </c>
      <c r="E89" s="50">
        <f>VLOOKUP($A89,'Data Vlaue (Cr)'!$C:$FB,144)</f>
        <v>22137.17</v>
      </c>
      <c r="F89" s="50">
        <f>VLOOKUP($A89,'Data Vlaue (Cr)'!$C:$FB,146)*100</f>
        <v>-58.89</v>
      </c>
      <c r="G89" s="49">
        <f>VLOOKUP($A89,'Data Vlaue (Cr)'!$C:$FB,43)</f>
        <v>1889</v>
      </c>
      <c r="H89" s="49">
        <f>VLOOKUP($A89,'Data Vlaue (Cr)'!$C:$FB,44)</f>
        <v>7564</v>
      </c>
      <c r="I89" s="49">
        <f>VLOOKUP($A89,'Data Vlaue (Cr)'!$C:$FB,46)*100</f>
        <v>-75.03</v>
      </c>
      <c r="J89" s="51">
        <f>VLOOKUP($A89,'Data Vlaue (Cr)'!$C:$FB,59)</f>
        <v>4203</v>
      </c>
      <c r="K89" s="51">
        <f>VLOOKUP($A89,'Data Vlaue (Cr)'!$C:$FB,60)</f>
        <v>9130</v>
      </c>
      <c r="L89" s="51">
        <f>VLOOKUP($A89,'Data Vlaue (Cr)'!$C:$FB,62)*100</f>
        <v>-53.97</v>
      </c>
      <c r="M89" s="51">
        <f>VLOOKUP($A89,'Data Vlaue (Cr)'!$C:$FB,63)</f>
        <v>2874</v>
      </c>
      <c r="N89" s="51">
        <f>VLOOKUP($A89,'Data Vlaue (Cr)'!$C:$FB,64)</f>
        <v>5470</v>
      </c>
      <c r="O89" s="51">
        <f>VLOOKUP($A89,'Data Vlaue (Cr)'!$C:$FB,66)*100</f>
        <v>-47.46</v>
      </c>
    </row>
    <row r="90" spans="1:15" x14ac:dyDescent="0.25">
      <c r="A90" s="101" t="str">
        <f>'Data Vlaue (Cr)'!C85</f>
        <v>ICICIGI</v>
      </c>
      <c r="B90" s="50">
        <f>VLOOKUP($A90,'Data Vlaue (Cr)'!$C:$FB,8)</f>
        <v>1822.2</v>
      </c>
      <c r="C90" s="50">
        <f>VLOOKUP($A90,'Data Vlaue (Cr)'!$C:$FB,11)*100</f>
        <v>0.89999999999999991</v>
      </c>
      <c r="D90" s="50">
        <f>VLOOKUP($A90,'Data Vlaue (Cr)'!$C:$FB,143)</f>
        <v>178.42</v>
      </c>
      <c r="E90" s="50">
        <f>VLOOKUP($A90,'Data Vlaue (Cr)'!$C:$FB,144)</f>
        <v>741.89</v>
      </c>
      <c r="F90" s="50">
        <f>VLOOKUP($A90,'Data Vlaue (Cr)'!$C:$FB,146)*100</f>
        <v>-75.949999999999989</v>
      </c>
      <c r="G90" s="49">
        <f>VLOOKUP($A90,'Data Vlaue (Cr)'!$C:$FB,43)</f>
        <v>64</v>
      </c>
      <c r="H90" s="49">
        <f>VLOOKUP($A90,'Data Vlaue (Cr)'!$C:$FB,44)</f>
        <v>473</v>
      </c>
      <c r="I90" s="49">
        <f>VLOOKUP($A90,'Data Vlaue (Cr)'!$C:$FB,46)*100</f>
        <v>-86.48</v>
      </c>
      <c r="J90" s="51">
        <f>VLOOKUP($A90,'Data Vlaue (Cr)'!$C:$FB,59)</f>
        <v>55</v>
      </c>
      <c r="K90" s="51">
        <f>VLOOKUP($A90,'Data Vlaue (Cr)'!$C:$FB,60)</f>
        <v>111</v>
      </c>
      <c r="L90" s="51">
        <f>VLOOKUP($A90,'Data Vlaue (Cr)'!$C:$FB,62)*100</f>
        <v>-50.639999999999993</v>
      </c>
      <c r="M90" s="51">
        <f>VLOOKUP($A90,'Data Vlaue (Cr)'!$C:$FB,63)</f>
        <v>57</v>
      </c>
      <c r="N90" s="51">
        <f>VLOOKUP($A90,'Data Vlaue (Cr)'!$C:$FB,64)</f>
        <v>161</v>
      </c>
      <c r="O90" s="51">
        <f>VLOOKUP($A90,'Data Vlaue (Cr)'!$C:$FB,66)*100</f>
        <v>-64.52</v>
      </c>
    </row>
    <row r="91" spans="1:15" x14ac:dyDescent="0.25">
      <c r="A91" s="101" t="str">
        <f>'Data Vlaue (Cr)'!C86</f>
        <v>ICICIPRULI</v>
      </c>
      <c r="B91" s="50">
        <f>VLOOKUP($A91,'Data Vlaue (Cr)'!$C:$FB,8)</f>
        <v>642.4</v>
      </c>
      <c r="C91" s="50">
        <f>VLOOKUP($A91,'Data Vlaue (Cr)'!$C:$FB,11)*100</f>
        <v>-0.22999999999999998</v>
      </c>
      <c r="D91" s="50">
        <f>VLOOKUP($A91,'Data Vlaue (Cr)'!$C:$FB,143)</f>
        <v>244.56</v>
      </c>
      <c r="E91" s="50">
        <f>VLOOKUP($A91,'Data Vlaue (Cr)'!$C:$FB,144)</f>
        <v>649.59</v>
      </c>
      <c r="F91" s="50">
        <f>VLOOKUP($A91,'Data Vlaue (Cr)'!$C:$FB,146)*100</f>
        <v>-62.350000000000009</v>
      </c>
      <c r="G91" s="49">
        <f>VLOOKUP($A91,'Data Vlaue (Cr)'!$C:$FB,43)</f>
        <v>81</v>
      </c>
      <c r="H91" s="49">
        <f>VLOOKUP($A91,'Data Vlaue (Cr)'!$C:$FB,44)</f>
        <v>294</v>
      </c>
      <c r="I91" s="49">
        <f>VLOOKUP($A91,'Data Vlaue (Cr)'!$C:$FB,46)*100</f>
        <v>-72.48</v>
      </c>
      <c r="J91" s="51">
        <f>VLOOKUP($A91,'Data Vlaue (Cr)'!$C:$FB,59)</f>
        <v>85</v>
      </c>
      <c r="K91" s="51">
        <f>VLOOKUP($A91,'Data Vlaue (Cr)'!$C:$FB,60)</f>
        <v>186</v>
      </c>
      <c r="L91" s="51">
        <f>VLOOKUP($A91,'Data Vlaue (Cr)'!$C:$FB,62)*100</f>
        <v>-54.290000000000006</v>
      </c>
      <c r="M91" s="51">
        <f>VLOOKUP($A91,'Data Vlaue (Cr)'!$C:$FB,63)</f>
        <v>74</v>
      </c>
      <c r="N91" s="51">
        <f>VLOOKUP($A91,'Data Vlaue (Cr)'!$C:$FB,64)</f>
        <v>161</v>
      </c>
      <c r="O91" s="51">
        <f>VLOOKUP($A91,'Data Vlaue (Cr)'!$C:$FB,66)*100</f>
        <v>-53.64</v>
      </c>
    </row>
    <row r="92" spans="1:15" x14ac:dyDescent="0.25">
      <c r="A92" s="101" t="str">
        <f>'Data Vlaue (Cr)'!C87</f>
        <v>IDEA</v>
      </c>
      <c r="B92" s="50">
        <f>VLOOKUP($A92,'Data Vlaue (Cr)'!$C:$FB,8)</f>
        <v>9.9499999999999993</v>
      </c>
      <c r="C92" s="50">
        <f>VLOOKUP($A92,'Data Vlaue (Cr)'!$C:$FB,11)*100</f>
        <v>1.22</v>
      </c>
      <c r="D92" s="50">
        <f>VLOOKUP($A92,'Data Vlaue (Cr)'!$C:$FB,143)</f>
        <v>3320.32</v>
      </c>
      <c r="E92" s="50">
        <f>VLOOKUP($A92,'Data Vlaue (Cr)'!$C:$FB,144)</f>
        <v>8131.47</v>
      </c>
      <c r="F92" s="50">
        <f>VLOOKUP($A92,'Data Vlaue (Cr)'!$C:$FB,146)*100</f>
        <v>-59.17</v>
      </c>
      <c r="G92" s="49">
        <f>VLOOKUP($A92,'Data Vlaue (Cr)'!$C:$FB,43)</f>
        <v>840</v>
      </c>
      <c r="H92" s="49">
        <f>VLOOKUP($A92,'Data Vlaue (Cr)'!$C:$FB,44)</f>
        <v>5039</v>
      </c>
      <c r="I92" s="49">
        <f>VLOOKUP($A92,'Data Vlaue (Cr)'!$C:$FB,46)*100</f>
        <v>-83.33</v>
      </c>
      <c r="J92" s="51">
        <f>VLOOKUP($A92,'Data Vlaue (Cr)'!$C:$FB,59)</f>
        <v>1706</v>
      </c>
      <c r="K92" s="51">
        <f>VLOOKUP($A92,'Data Vlaue (Cr)'!$C:$FB,60)</f>
        <v>1612</v>
      </c>
      <c r="L92" s="51">
        <f>VLOOKUP($A92,'Data Vlaue (Cr)'!$C:$FB,62)*100</f>
        <v>5.82</v>
      </c>
      <c r="M92" s="51">
        <f>VLOOKUP($A92,'Data Vlaue (Cr)'!$C:$FB,63)</f>
        <v>451</v>
      </c>
      <c r="N92" s="51">
        <f>VLOOKUP($A92,'Data Vlaue (Cr)'!$C:$FB,64)</f>
        <v>1223</v>
      </c>
      <c r="O92" s="51">
        <f>VLOOKUP($A92,'Data Vlaue (Cr)'!$C:$FB,66)*100</f>
        <v>-63.12</v>
      </c>
    </row>
    <row r="93" spans="1:15" x14ac:dyDescent="0.25">
      <c r="A93" s="101" t="str">
        <f>'Data Vlaue (Cr)'!C88</f>
        <v>IDFCFIRSTB</v>
      </c>
      <c r="B93" s="50">
        <f>VLOOKUP($A93,'Data Vlaue (Cr)'!$C:$FB,8)</f>
        <v>82.93</v>
      </c>
      <c r="C93" s="50">
        <f>VLOOKUP($A93,'Data Vlaue (Cr)'!$C:$FB,11)*100</f>
        <v>-0.67999999999999994</v>
      </c>
      <c r="D93" s="50">
        <f>VLOOKUP($A93,'Data Vlaue (Cr)'!$C:$FB,143)</f>
        <v>1295.8800000000001</v>
      </c>
      <c r="E93" s="50">
        <f>VLOOKUP($A93,'Data Vlaue (Cr)'!$C:$FB,144)</f>
        <v>2854.87</v>
      </c>
      <c r="F93" s="50">
        <f>VLOOKUP($A93,'Data Vlaue (Cr)'!$C:$FB,146)*100</f>
        <v>-54.61</v>
      </c>
      <c r="G93" s="49">
        <f>VLOOKUP($A93,'Data Vlaue (Cr)'!$C:$FB,43)</f>
        <v>341</v>
      </c>
      <c r="H93" s="49">
        <f>VLOOKUP($A93,'Data Vlaue (Cr)'!$C:$FB,44)</f>
        <v>1334</v>
      </c>
      <c r="I93" s="49">
        <f>VLOOKUP($A93,'Data Vlaue (Cr)'!$C:$FB,46)*100</f>
        <v>-74.44</v>
      </c>
      <c r="J93" s="51">
        <f>VLOOKUP($A93,'Data Vlaue (Cr)'!$C:$FB,59)</f>
        <v>543</v>
      </c>
      <c r="K93" s="51">
        <f>VLOOKUP($A93,'Data Vlaue (Cr)'!$C:$FB,60)</f>
        <v>852</v>
      </c>
      <c r="L93" s="51">
        <f>VLOOKUP($A93,'Data Vlaue (Cr)'!$C:$FB,62)*100</f>
        <v>-36.21</v>
      </c>
      <c r="M93" s="51">
        <f>VLOOKUP($A93,'Data Vlaue (Cr)'!$C:$FB,63)</f>
        <v>393</v>
      </c>
      <c r="N93" s="51">
        <f>VLOOKUP($A93,'Data Vlaue (Cr)'!$C:$FB,64)</f>
        <v>645</v>
      </c>
      <c r="O93" s="51">
        <f>VLOOKUP($A93,'Data Vlaue (Cr)'!$C:$FB,66)*100</f>
        <v>-39.129999999999995</v>
      </c>
    </row>
    <row r="94" spans="1:15" x14ac:dyDescent="0.25">
      <c r="A94" s="101" t="str">
        <f>'Data Vlaue (Cr)'!C89</f>
        <v>IEX</v>
      </c>
      <c r="B94" s="50">
        <f>VLOOKUP($A94,'Data Vlaue (Cr)'!$C:$FB,8)</f>
        <v>128.71</v>
      </c>
      <c r="C94" s="50">
        <f>VLOOKUP($A94,'Data Vlaue (Cr)'!$C:$FB,11)*100</f>
        <v>0.91</v>
      </c>
      <c r="D94" s="50">
        <f>VLOOKUP($A94,'Data Vlaue (Cr)'!$C:$FB,143)</f>
        <v>583.09</v>
      </c>
      <c r="E94" s="50">
        <f>VLOOKUP($A94,'Data Vlaue (Cr)'!$C:$FB,144)</f>
        <v>2192.4</v>
      </c>
      <c r="F94" s="50">
        <f>VLOOKUP($A94,'Data Vlaue (Cr)'!$C:$FB,146)*100</f>
        <v>-73.400000000000006</v>
      </c>
      <c r="G94" s="49">
        <f>VLOOKUP($A94,'Data Vlaue (Cr)'!$C:$FB,43)</f>
        <v>117</v>
      </c>
      <c r="H94" s="49">
        <f>VLOOKUP($A94,'Data Vlaue (Cr)'!$C:$FB,44)</f>
        <v>814</v>
      </c>
      <c r="I94" s="49">
        <f>VLOOKUP($A94,'Data Vlaue (Cr)'!$C:$FB,46)*100</f>
        <v>-85.64</v>
      </c>
      <c r="J94" s="51">
        <f>VLOOKUP($A94,'Data Vlaue (Cr)'!$C:$FB,59)</f>
        <v>309</v>
      </c>
      <c r="K94" s="51">
        <f>VLOOKUP($A94,'Data Vlaue (Cr)'!$C:$FB,60)</f>
        <v>764</v>
      </c>
      <c r="L94" s="51">
        <f>VLOOKUP($A94,'Data Vlaue (Cr)'!$C:$FB,62)*100</f>
        <v>-59.550000000000004</v>
      </c>
      <c r="M94" s="51">
        <f>VLOOKUP($A94,'Data Vlaue (Cr)'!$C:$FB,63)</f>
        <v>130</v>
      </c>
      <c r="N94" s="51">
        <f>VLOOKUP($A94,'Data Vlaue (Cr)'!$C:$FB,64)</f>
        <v>535</v>
      </c>
      <c r="O94" s="51">
        <f>VLOOKUP($A94,'Data Vlaue (Cr)'!$C:$FB,66)*100</f>
        <v>-75.72</v>
      </c>
    </row>
    <row r="95" spans="1:15" x14ac:dyDescent="0.25">
      <c r="A95" s="101" t="str">
        <f>'Data Vlaue (Cr)'!C90</f>
        <v>INDHOTEL</v>
      </c>
      <c r="B95" s="50">
        <f>VLOOKUP($A95,'Data Vlaue (Cr)'!$C:$FB,8)</f>
        <v>656.2</v>
      </c>
      <c r="C95" s="50">
        <f>VLOOKUP($A95,'Data Vlaue (Cr)'!$C:$FB,11)*100</f>
        <v>0.74</v>
      </c>
      <c r="D95" s="50">
        <f>VLOOKUP($A95,'Data Vlaue (Cr)'!$C:$FB,143)</f>
        <v>526.04</v>
      </c>
      <c r="E95" s="50">
        <f>VLOOKUP($A95,'Data Vlaue (Cr)'!$C:$FB,144)</f>
        <v>2574.12</v>
      </c>
      <c r="F95" s="50">
        <f>VLOOKUP($A95,'Data Vlaue (Cr)'!$C:$FB,146)*100</f>
        <v>-79.56</v>
      </c>
      <c r="G95" s="49">
        <f>VLOOKUP($A95,'Data Vlaue (Cr)'!$C:$FB,43)</f>
        <v>176</v>
      </c>
      <c r="H95" s="49">
        <f>VLOOKUP($A95,'Data Vlaue (Cr)'!$C:$FB,44)</f>
        <v>1487</v>
      </c>
      <c r="I95" s="49">
        <f>VLOOKUP($A95,'Data Vlaue (Cr)'!$C:$FB,46)*100</f>
        <v>-88.2</v>
      </c>
      <c r="J95" s="51">
        <f>VLOOKUP($A95,'Data Vlaue (Cr)'!$C:$FB,59)</f>
        <v>247</v>
      </c>
      <c r="K95" s="51">
        <f>VLOOKUP($A95,'Data Vlaue (Cr)'!$C:$FB,60)</f>
        <v>564</v>
      </c>
      <c r="L95" s="51">
        <f>VLOOKUP($A95,'Data Vlaue (Cr)'!$C:$FB,62)*100</f>
        <v>-56.25</v>
      </c>
      <c r="M95" s="51">
        <f>VLOOKUP($A95,'Data Vlaue (Cr)'!$C:$FB,63)</f>
        <v>91</v>
      </c>
      <c r="N95" s="51">
        <f>VLOOKUP($A95,'Data Vlaue (Cr)'!$C:$FB,64)</f>
        <v>499</v>
      </c>
      <c r="O95" s="51">
        <f>VLOOKUP($A95,'Data Vlaue (Cr)'!$C:$FB,66)*100</f>
        <v>-81.739999999999995</v>
      </c>
    </row>
    <row r="96" spans="1:15" x14ac:dyDescent="0.25">
      <c r="A96" s="101" t="str">
        <f>'Data Vlaue (Cr)'!C91</f>
        <v>INDIANB</v>
      </c>
      <c r="B96" s="50">
        <f>VLOOKUP($A96,'Data Vlaue (Cr)'!$C:$FB,8)</f>
        <v>898.35</v>
      </c>
      <c r="C96" s="50">
        <f>VLOOKUP($A96,'Data Vlaue (Cr)'!$C:$FB,11)*100</f>
        <v>2.4699999999999998</v>
      </c>
      <c r="D96" s="50">
        <f>VLOOKUP($A96,'Data Vlaue (Cr)'!$C:$FB,143)</f>
        <v>823.74</v>
      </c>
      <c r="E96" s="50">
        <f>VLOOKUP($A96,'Data Vlaue (Cr)'!$C:$FB,144)</f>
        <v>1572.97</v>
      </c>
      <c r="F96" s="50">
        <f>VLOOKUP($A96,'Data Vlaue (Cr)'!$C:$FB,146)*100</f>
        <v>-47.63</v>
      </c>
      <c r="G96" s="49">
        <f>VLOOKUP($A96,'Data Vlaue (Cr)'!$C:$FB,43)</f>
        <v>213</v>
      </c>
      <c r="H96" s="49">
        <f>VLOOKUP($A96,'Data Vlaue (Cr)'!$C:$FB,44)</f>
        <v>561</v>
      </c>
      <c r="I96" s="49">
        <f>VLOOKUP($A96,'Data Vlaue (Cr)'!$C:$FB,46)*100</f>
        <v>-61.99</v>
      </c>
      <c r="J96" s="51">
        <f>VLOOKUP($A96,'Data Vlaue (Cr)'!$C:$FB,59)</f>
        <v>459</v>
      </c>
      <c r="K96" s="51">
        <f>VLOOKUP($A96,'Data Vlaue (Cr)'!$C:$FB,60)</f>
        <v>657</v>
      </c>
      <c r="L96" s="51">
        <f>VLOOKUP($A96,'Data Vlaue (Cr)'!$C:$FB,62)*100</f>
        <v>-30.070000000000004</v>
      </c>
      <c r="M96" s="51">
        <f>VLOOKUP($A96,'Data Vlaue (Cr)'!$C:$FB,63)</f>
        <v>139</v>
      </c>
      <c r="N96" s="51">
        <f>VLOOKUP($A96,'Data Vlaue (Cr)'!$C:$FB,64)</f>
        <v>384</v>
      </c>
      <c r="O96" s="51">
        <f>VLOOKUP($A96,'Data Vlaue (Cr)'!$C:$FB,66)*100</f>
        <v>-63.88</v>
      </c>
    </row>
    <row r="97" spans="1:15" x14ac:dyDescent="0.25">
      <c r="A97" s="101" t="str">
        <f>'Data Vlaue (Cr)'!C92</f>
        <v>INDIAVIX</v>
      </c>
      <c r="B97" s="50">
        <f>VLOOKUP($A97,'Data Vlaue (Cr)'!$C:$FB,8)</f>
        <v>13.53</v>
      </c>
      <c r="C97" s="50">
        <f>VLOOKUP($A97,'Data Vlaue (Cr)'!$C:$FB,11)*100</f>
        <v>-6.4</v>
      </c>
      <c r="D97" s="50">
        <f>VLOOKUP($A97,'Data Vlaue (Cr)'!$C:$FB,143)</f>
        <v>0</v>
      </c>
      <c r="E97" s="50">
        <f>VLOOKUP($A97,'Data Vlaue (Cr)'!$C:$FB,144)</f>
        <v>0</v>
      </c>
      <c r="F97" s="50">
        <f>VLOOKUP($A97,'Data Vlaue (Cr)'!$C:$FB,146)*100</f>
        <v>0</v>
      </c>
      <c r="G97" s="49">
        <f>VLOOKUP($A97,'Data Vlaue (Cr)'!$C:$FB,43)</f>
        <v>0</v>
      </c>
      <c r="H97" s="49">
        <f>VLOOKUP($A97,'Data Vlaue (Cr)'!$C:$FB,44)</f>
        <v>0</v>
      </c>
      <c r="I97" s="49">
        <f>VLOOKUP($A97,'Data Vlaue (Cr)'!$C:$FB,46)*100</f>
        <v>0</v>
      </c>
      <c r="J97" s="51">
        <f>VLOOKUP($A97,'Data Vlaue (Cr)'!$C:$FB,59)</f>
        <v>0</v>
      </c>
      <c r="K97" s="51">
        <f>VLOOKUP($A97,'Data Vlaue (Cr)'!$C:$FB,60)</f>
        <v>0</v>
      </c>
      <c r="L97" s="51">
        <f>VLOOKUP($A97,'Data Vlaue (Cr)'!$C:$FB,62)*100</f>
        <v>0</v>
      </c>
      <c r="M97" s="51">
        <f>VLOOKUP($A97,'Data Vlaue (Cr)'!$C:$FB,63)</f>
        <v>0</v>
      </c>
      <c r="N97" s="51">
        <f>VLOOKUP($A97,'Data Vlaue (Cr)'!$C:$FB,64)</f>
        <v>0</v>
      </c>
      <c r="O97" s="51">
        <f>VLOOKUP($A97,'Data Vlaue (Cr)'!$C:$FB,66)*100</f>
        <v>0</v>
      </c>
    </row>
    <row r="98" spans="1:15" x14ac:dyDescent="0.25">
      <c r="A98" s="101" t="str">
        <f>'Data Vlaue (Cr)'!C93</f>
        <v>INDIGO</v>
      </c>
      <c r="B98" s="50">
        <f>VLOOKUP($A98,'Data Vlaue (Cr)'!$C:$FB,8)</f>
        <v>4749</v>
      </c>
      <c r="C98" s="50">
        <f>VLOOKUP($A98,'Data Vlaue (Cr)'!$C:$FB,11)*100</f>
        <v>-0.42</v>
      </c>
      <c r="D98" s="50">
        <f>VLOOKUP($A98,'Data Vlaue (Cr)'!$C:$FB,143)</f>
        <v>2870.6</v>
      </c>
      <c r="E98" s="50">
        <f>VLOOKUP($A98,'Data Vlaue (Cr)'!$C:$FB,144)</f>
        <v>8265.01</v>
      </c>
      <c r="F98" s="50">
        <f>VLOOKUP($A98,'Data Vlaue (Cr)'!$C:$FB,146)*100</f>
        <v>-65.27</v>
      </c>
      <c r="G98" s="49">
        <f>VLOOKUP($A98,'Data Vlaue (Cr)'!$C:$FB,43)</f>
        <v>660</v>
      </c>
      <c r="H98" s="49">
        <f>VLOOKUP($A98,'Data Vlaue (Cr)'!$C:$FB,44)</f>
        <v>3134</v>
      </c>
      <c r="I98" s="49">
        <f>VLOOKUP($A98,'Data Vlaue (Cr)'!$C:$FB,46)*100</f>
        <v>-78.930000000000007</v>
      </c>
      <c r="J98" s="51">
        <f>VLOOKUP($A98,'Data Vlaue (Cr)'!$C:$FB,59)</f>
        <v>1175</v>
      </c>
      <c r="K98" s="51">
        <f>VLOOKUP($A98,'Data Vlaue (Cr)'!$C:$FB,60)</f>
        <v>2772</v>
      </c>
      <c r="L98" s="51">
        <f>VLOOKUP($A98,'Data Vlaue (Cr)'!$C:$FB,62)*100</f>
        <v>-57.609999999999992</v>
      </c>
      <c r="M98" s="51">
        <f>VLOOKUP($A98,'Data Vlaue (Cr)'!$C:$FB,63)</f>
        <v>970</v>
      </c>
      <c r="N98" s="51">
        <f>VLOOKUP($A98,'Data Vlaue (Cr)'!$C:$FB,64)</f>
        <v>2246</v>
      </c>
      <c r="O98" s="51">
        <f>VLOOKUP($A98,'Data Vlaue (Cr)'!$C:$FB,66)*100</f>
        <v>-56.820000000000007</v>
      </c>
    </row>
    <row r="99" spans="1:15" x14ac:dyDescent="0.25">
      <c r="A99" s="101" t="str">
        <f>'Data Vlaue (Cr)'!C94</f>
        <v>INDUSINDBK</v>
      </c>
      <c r="B99" s="50">
        <f>VLOOKUP($A99,'Data Vlaue (Cr)'!$C:$FB,8)</f>
        <v>901.7</v>
      </c>
      <c r="C99" s="50">
        <f>VLOOKUP($A99,'Data Vlaue (Cr)'!$C:$FB,11)*100</f>
        <v>0.77999999999999992</v>
      </c>
      <c r="D99" s="50">
        <f>VLOOKUP($A99,'Data Vlaue (Cr)'!$C:$FB,143)</f>
        <v>2084.2800000000002</v>
      </c>
      <c r="E99" s="50">
        <f>VLOOKUP($A99,'Data Vlaue (Cr)'!$C:$FB,144)</f>
        <v>9064.94</v>
      </c>
      <c r="F99" s="50">
        <f>VLOOKUP($A99,'Data Vlaue (Cr)'!$C:$FB,146)*100</f>
        <v>-77.010000000000005</v>
      </c>
      <c r="G99" s="49">
        <f>VLOOKUP($A99,'Data Vlaue (Cr)'!$C:$FB,43)</f>
        <v>534</v>
      </c>
      <c r="H99" s="49">
        <f>VLOOKUP($A99,'Data Vlaue (Cr)'!$C:$FB,44)</f>
        <v>3363</v>
      </c>
      <c r="I99" s="49">
        <f>VLOOKUP($A99,'Data Vlaue (Cr)'!$C:$FB,46)*100</f>
        <v>-84.13000000000001</v>
      </c>
      <c r="J99" s="51">
        <f>VLOOKUP($A99,'Data Vlaue (Cr)'!$C:$FB,59)</f>
        <v>899</v>
      </c>
      <c r="K99" s="51">
        <f>VLOOKUP($A99,'Data Vlaue (Cr)'!$C:$FB,60)</f>
        <v>3063</v>
      </c>
      <c r="L99" s="51">
        <f>VLOOKUP($A99,'Data Vlaue (Cr)'!$C:$FB,62)*100</f>
        <v>-70.650000000000006</v>
      </c>
      <c r="M99" s="51">
        <f>VLOOKUP($A99,'Data Vlaue (Cr)'!$C:$FB,63)</f>
        <v>622</v>
      </c>
      <c r="N99" s="51">
        <f>VLOOKUP($A99,'Data Vlaue (Cr)'!$C:$FB,64)</f>
        <v>2674</v>
      </c>
      <c r="O99" s="51">
        <f>VLOOKUP($A99,'Data Vlaue (Cr)'!$C:$FB,66)*100</f>
        <v>-76.759999999999991</v>
      </c>
    </row>
    <row r="100" spans="1:15" x14ac:dyDescent="0.25">
      <c r="A100" s="101" t="str">
        <f>'Data Vlaue (Cr)'!C95</f>
        <v>INDUSTOWER</v>
      </c>
      <c r="B100" s="50">
        <f>VLOOKUP($A100,'Data Vlaue (Cr)'!$C:$FB,8)</f>
        <v>425.3</v>
      </c>
      <c r="C100" s="50">
        <f>VLOOKUP($A100,'Data Vlaue (Cr)'!$C:$FB,11)*100</f>
        <v>0.65</v>
      </c>
      <c r="D100" s="50">
        <f>VLOOKUP($A100,'Data Vlaue (Cr)'!$C:$FB,143)</f>
        <v>1236.8399999999999</v>
      </c>
      <c r="E100" s="50">
        <f>VLOOKUP($A100,'Data Vlaue (Cr)'!$C:$FB,144)</f>
        <v>3865.38</v>
      </c>
      <c r="F100" s="50">
        <f>VLOOKUP($A100,'Data Vlaue (Cr)'!$C:$FB,146)*100</f>
        <v>-68</v>
      </c>
      <c r="G100" s="49">
        <f>VLOOKUP($A100,'Data Vlaue (Cr)'!$C:$FB,43)</f>
        <v>443</v>
      </c>
      <c r="H100" s="49">
        <f>VLOOKUP($A100,'Data Vlaue (Cr)'!$C:$FB,44)</f>
        <v>2378</v>
      </c>
      <c r="I100" s="49">
        <f>VLOOKUP($A100,'Data Vlaue (Cr)'!$C:$FB,46)*100</f>
        <v>-81.36</v>
      </c>
      <c r="J100" s="51">
        <f>VLOOKUP($A100,'Data Vlaue (Cr)'!$C:$FB,59)</f>
        <v>499</v>
      </c>
      <c r="K100" s="51">
        <f>VLOOKUP($A100,'Data Vlaue (Cr)'!$C:$FB,60)</f>
        <v>921</v>
      </c>
      <c r="L100" s="51">
        <f>VLOOKUP($A100,'Data Vlaue (Cr)'!$C:$FB,62)*100</f>
        <v>-45.81</v>
      </c>
      <c r="M100" s="51">
        <f>VLOOKUP($A100,'Data Vlaue (Cr)'!$C:$FB,63)</f>
        <v>263</v>
      </c>
      <c r="N100" s="51">
        <f>VLOOKUP($A100,'Data Vlaue (Cr)'!$C:$FB,64)</f>
        <v>612</v>
      </c>
      <c r="O100" s="51">
        <f>VLOOKUP($A100,'Data Vlaue (Cr)'!$C:$FB,66)*100</f>
        <v>-56.96</v>
      </c>
    </row>
    <row r="101" spans="1:15" x14ac:dyDescent="0.25">
      <c r="A101" s="101" t="str">
        <f>'Data Vlaue (Cr)'!C96</f>
        <v>INFY</v>
      </c>
      <c r="B101" s="50">
        <f>VLOOKUP($A101,'Data Vlaue (Cr)'!$C:$FB,8)</f>
        <v>1666.5</v>
      </c>
      <c r="C101" s="50">
        <f>VLOOKUP($A101,'Data Vlaue (Cr)'!$C:$FB,11)*100</f>
        <v>-0.96</v>
      </c>
      <c r="D101" s="50">
        <f>VLOOKUP($A101,'Data Vlaue (Cr)'!$C:$FB,143)</f>
        <v>6484.95</v>
      </c>
      <c r="E101" s="50">
        <f>VLOOKUP($A101,'Data Vlaue (Cr)'!$C:$FB,144)</f>
        <v>14074.84</v>
      </c>
      <c r="F101" s="50">
        <f>VLOOKUP($A101,'Data Vlaue (Cr)'!$C:$FB,146)*100</f>
        <v>-53.93</v>
      </c>
      <c r="G101" s="49">
        <f>VLOOKUP($A101,'Data Vlaue (Cr)'!$C:$FB,43)</f>
        <v>1320</v>
      </c>
      <c r="H101" s="49">
        <f>VLOOKUP($A101,'Data Vlaue (Cr)'!$C:$FB,44)</f>
        <v>5225</v>
      </c>
      <c r="I101" s="49">
        <f>VLOOKUP($A101,'Data Vlaue (Cr)'!$C:$FB,46)*100</f>
        <v>-74.739999999999995</v>
      </c>
      <c r="J101" s="51">
        <f>VLOOKUP($A101,'Data Vlaue (Cr)'!$C:$FB,59)</f>
        <v>3082</v>
      </c>
      <c r="K101" s="51">
        <f>VLOOKUP($A101,'Data Vlaue (Cr)'!$C:$FB,60)</f>
        <v>5762</v>
      </c>
      <c r="L101" s="51">
        <f>VLOOKUP($A101,'Data Vlaue (Cr)'!$C:$FB,62)*100</f>
        <v>-46.52</v>
      </c>
      <c r="M101" s="51">
        <f>VLOOKUP($A101,'Data Vlaue (Cr)'!$C:$FB,63)</f>
        <v>1971</v>
      </c>
      <c r="N101" s="51">
        <f>VLOOKUP($A101,'Data Vlaue (Cr)'!$C:$FB,64)</f>
        <v>2968</v>
      </c>
      <c r="O101" s="51">
        <f>VLOOKUP($A101,'Data Vlaue (Cr)'!$C:$FB,66)*100</f>
        <v>-33.56</v>
      </c>
    </row>
    <row r="102" spans="1:15" x14ac:dyDescent="0.25">
      <c r="A102" s="101" t="str">
        <f>'Data Vlaue (Cr)'!C97</f>
        <v>INOXWIND</v>
      </c>
      <c r="B102" s="50">
        <f>VLOOKUP($A102,'Data Vlaue (Cr)'!$C:$FB,8)</f>
        <v>109.25</v>
      </c>
      <c r="C102" s="50">
        <f>VLOOKUP($A102,'Data Vlaue (Cr)'!$C:$FB,11)*100</f>
        <v>4.33</v>
      </c>
      <c r="D102" s="50">
        <f>VLOOKUP($A102,'Data Vlaue (Cr)'!$C:$FB,143)</f>
        <v>392.56</v>
      </c>
      <c r="E102" s="50">
        <f>VLOOKUP($A102,'Data Vlaue (Cr)'!$C:$FB,144)</f>
        <v>1572.14</v>
      </c>
      <c r="F102" s="50">
        <f>VLOOKUP($A102,'Data Vlaue (Cr)'!$C:$FB,146)*100</f>
        <v>-75.03</v>
      </c>
      <c r="G102" s="49">
        <f>VLOOKUP($A102,'Data Vlaue (Cr)'!$C:$FB,43)</f>
        <v>105</v>
      </c>
      <c r="H102" s="49">
        <f>VLOOKUP($A102,'Data Vlaue (Cr)'!$C:$FB,44)</f>
        <v>1111</v>
      </c>
      <c r="I102" s="49">
        <f>VLOOKUP($A102,'Data Vlaue (Cr)'!$C:$FB,46)*100</f>
        <v>-90.53</v>
      </c>
      <c r="J102" s="51">
        <f>VLOOKUP($A102,'Data Vlaue (Cr)'!$C:$FB,59)</f>
        <v>182</v>
      </c>
      <c r="K102" s="51">
        <f>VLOOKUP($A102,'Data Vlaue (Cr)'!$C:$FB,60)</f>
        <v>231</v>
      </c>
      <c r="L102" s="51">
        <f>VLOOKUP($A102,'Data Vlaue (Cr)'!$C:$FB,62)*100</f>
        <v>-21.46</v>
      </c>
      <c r="M102" s="51">
        <f>VLOOKUP($A102,'Data Vlaue (Cr)'!$C:$FB,63)</f>
        <v>93</v>
      </c>
      <c r="N102" s="51">
        <f>VLOOKUP($A102,'Data Vlaue (Cr)'!$C:$FB,64)</f>
        <v>253</v>
      </c>
      <c r="O102" s="51">
        <f>VLOOKUP($A102,'Data Vlaue (Cr)'!$C:$FB,66)*100</f>
        <v>-63.190000000000005</v>
      </c>
    </row>
    <row r="103" spans="1:15" x14ac:dyDescent="0.25">
      <c r="A103" s="101" t="str">
        <f>'Data Vlaue (Cr)'!C98</f>
        <v>IOC</v>
      </c>
      <c r="B103" s="50">
        <f>VLOOKUP($A103,'Data Vlaue (Cr)'!$C:$FB,8)</f>
        <v>162.85</v>
      </c>
      <c r="C103" s="50">
        <f>VLOOKUP($A103,'Data Vlaue (Cr)'!$C:$FB,11)*100</f>
        <v>2.4899999999999998</v>
      </c>
      <c r="D103" s="50">
        <f>VLOOKUP($A103,'Data Vlaue (Cr)'!$C:$FB,143)</f>
        <v>1807.83</v>
      </c>
      <c r="E103" s="50">
        <f>VLOOKUP($A103,'Data Vlaue (Cr)'!$C:$FB,144)</f>
        <v>1750.82</v>
      </c>
      <c r="F103" s="50">
        <f>VLOOKUP($A103,'Data Vlaue (Cr)'!$C:$FB,146)*100</f>
        <v>3.26</v>
      </c>
      <c r="G103" s="49">
        <f>VLOOKUP($A103,'Data Vlaue (Cr)'!$C:$FB,43)</f>
        <v>322</v>
      </c>
      <c r="H103" s="49">
        <f>VLOOKUP($A103,'Data Vlaue (Cr)'!$C:$FB,44)</f>
        <v>792</v>
      </c>
      <c r="I103" s="49">
        <f>VLOOKUP($A103,'Data Vlaue (Cr)'!$C:$FB,46)*100</f>
        <v>-59.330000000000005</v>
      </c>
      <c r="J103" s="51">
        <f>VLOOKUP($A103,'Data Vlaue (Cr)'!$C:$FB,59)</f>
        <v>1057</v>
      </c>
      <c r="K103" s="51">
        <f>VLOOKUP($A103,'Data Vlaue (Cr)'!$C:$FB,60)</f>
        <v>659</v>
      </c>
      <c r="L103" s="51">
        <f>VLOOKUP($A103,'Data Vlaue (Cr)'!$C:$FB,62)*100</f>
        <v>60.46</v>
      </c>
      <c r="M103" s="51">
        <f>VLOOKUP($A103,'Data Vlaue (Cr)'!$C:$FB,63)</f>
        <v>394</v>
      </c>
      <c r="N103" s="51">
        <f>VLOOKUP($A103,'Data Vlaue (Cr)'!$C:$FB,64)</f>
        <v>337</v>
      </c>
      <c r="O103" s="51">
        <f>VLOOKUP($A103,'Data Vlaue (Cr)'!$C:$FB,66)*100</f>
        <v>16.96</v>
      </c>
    </row>
    <row r="104" spans="1:15" x14ac:dyDescent="0.25">
      <c r="A104" s="101" t="str">
        <f>'Data Vlaue (Cr)'!C99</f>
        <v>IRCTC</v>
      </c>
      <c r="B104" s="50">
        <f>VLOOKUP($A104,'Data Vlaue (Cr)'!$C:$FB,8)</f>
        <v>625.1</v>
      </c>
      <c r="C104" s="50">
        <f>VLOOKUP($A104,'Data Vlaue (Cr)'!$C:$FB,11)*100</f>
        <v>2.9000000000000004</v>
      </c>
      <c r="D104" s="50">
        <f>VLOOKUP($A104,'Data Vlaue (Cr)'!$C:$FB,143)</f>
        <v>1187.29</v>
      </c>
      <c r="E104" s="50">
        <f>VLOOKUP($A104,'Data Vlaue (Cr)'!$C:$FB,144)</f>
        <v>2211.63</v>
      </c>
      <c r="F104" s="50">
        <f>VLOOKUP($A104,'Data Vlaue (Cr)'!$C:$FB,146)*100</f>
        <v>-46.32</v>
      </c>
      <c r="G104" s="49">
        <f>VLOOKUP($A104,'Data Vlaue (Cr)'!$C:$FB,43)</f>
        <v>196</v>
      </c>
      <c r="H104" s="49">
        <f>VLOOKUP($A104,'Data Vlaue (Cr)'!$C:$FB,44)</f>
        <v>1100</v>
      </c>
      <c r="I104" s="49">
        <f>VLOOKUP($A104,'Data Vlaue (Cr)'!$C:$FB,46)*100</f>
        <v>-82.17</v>
      </c>
      <c r="J104" s="51">
        <f>VLOOKUP($A104,'Data Vlaue (Cr)'!$C:$FB,59)</f>
        <v>729</v>
      </c>
      <c r="K104" s="51">
        <f>VLOOKUP($A104,'Data Vlaue (Cr)'!$C:$FB,60)</f>
        <v>680</v>
      </c>
      <c r="L104" s="51">
        <f>VLOOKUP($A104,'Data Vlaue (Cr)'!$C:$FB,62)*100</f>
        <v>7.32</v>
      </c>
      <c r="M104" s="51">
        <f>VLOOKUP($A104,'Data Vlaue (Cr)'!$C:$FB,63)</f>
        <v>226</v>
      </c>
      <c r="N104" s="51">
        <f>VLOOKUP($A104,'Data Vlaue (Cr)'!$C:$FB,64)</f>
        <v>410</v>
      </c>
      <c r="O104" s="51">
        <f>VLOOKUP($A104,'Data Vlaue (Cr)'!$C:$FB,66)*100</f>
        <v>-44.74</v>
      </c>
    </row>
    <row r="105" spans="1:15" x14ac:dyDescent="0.25">
      <c r="A105" s="101" t="str">
        <f>'Data Vlaue (Cr)'!C100</f>
        <v>IREDA</v>
      </c>
      <c r="B105" s="50">
        <f>VLOOKUP($A105,'Data Vlaue (Cr)'!$C:$FB,8)</f>
        <v>133.87</v>
      </c>
      <c r="C105" s="50">
        <f>VLOOKUP($A105,'Data Vlaue (Cr)'!$C:$FB,11)*100</f>
        <v>3.8699999999999997</v>
      </c>
      <c r="D105" s="50">
        <f>VLOOKUP($A105,'Data Vlaue (Cr)'!$C:$FB,143)</f>
        <v>867.76</v>
      </c>
      <c r="E105" s="50">
        <f>VLOOKUP($A105,'Data Vlaue (Cr)'!$C:$FB,144)</f>
        <v>1209.3399999999999</v>
      </c>
      <c r="F105" s="50">
        <f>VLOOKUP($A105,'Data Vlaue (Cr)'!$C:$FB,146)*100</f>
        <v>-28.24</v>
      </c>
      <c r="G105" s="49">
        <f>VLOOKUP($A105,'Data Vlaue (Cr)'!$C:$FB,43)</f>
        <v>215</v>
      </c>
      <c r="H105" s="49">
        <f>VLOOKUP($A105,'Data Vlaue (Cr)'!$C:$FB,44)</f>
        <v>641</v>
      </c>
      <c r="I105" s="49">
        <f>VLOOKUP($A105,'Data Vlaue (Cr)'!$C:$FB,46)*100</f>
        <v>-66.459999999999994</v>
      </c>
      <c r="J105" s="51">
        <f>VLOOKUP($A105,'Data Vlaue (Cr)'!$C:$FB,59)</f>
        <v>476</v>
      </c>
      <c r="K105" s="51">
        <f>VLOOKUP($A105,'Data Vlaue (Cr)'!$C:$FB,60)</f>
        <v>368</v>
      </c>
      <c r="L105" s="51">
        <f>VLOOKUP($A105,'Data Vlaue (Cr)'!$C:$FB,62)*100</f>
        <v>29.49</v>
      </c>
      <c r="M105" s="51">
        <f>VLOOKUP($A105,'Data Vlaue (Cr)'!$C:$FB,63)</f>
        <v>153</v>
      </c>
      <c r="N105" s="51">
        <f>VLOOKUP($A105,'Data Vlaue (Cr)'!$C:$FB,64)</f>
        <v>200</v>
      </c>
      <c r="O105" s="51">
        <f>VLOOKUP($A105,'Data Vlaue (Cr)'!$C:$FB,66)*100</f>
        <v>-23.34</v>
      </c>
    </row>
    <row r="106" spans="1:15" x14ac:dyDescent="0.25">
      <c r="A106" s="101" t="str">
        <f>'Data Vlaue (Cr)'!C101</f>
        <v>IRFC</v>
      </c>
      <c r="B106" s="50">
        <f>VLOOKUP($A106,'Data Vlaue (Cr)'!$C:$FB,8)</f>
        <v>120.15</v>
      </c>
      <c r="C106" s="50">
        <f>VLOOKUP($A106,'Data Vlaue (Cr)'!$C:$FB,11)*100</f>
        <v>4.83</v>
      </c>
      <c r="D106" s="50">
        <f>VLOOKUP($A106,'Data Vlaue (Cr)'!$C:$FB,143)</f>
        <v>1898.88</v>
      </c>
      <c r="E106" s="50">
        <f>VLOOKUP($A106,'Data Vlaue (Cr)'!$C:$FB,144)</f>
        <v>2080.69</v>
      </c>
      <c r="F106" s="50">
        <f>VLOOKUP($A106,'Data Vlaue (Cr)'!$C:$FB,146)*100</f>
        <v>-8.74</v>
      </c>
      <c r="G106" s="49">
        <f>VLOOKUP($A106,'Data Vlaue (Cr)'!$C:$FB,43)</f>
        <v>342</v>
      </c>
      <c r="H106" s="49">
        <f>VLOOKUP($A106,'Data Vlaue (Cr)'!$C:$FB,44)</f>
        <v>729</v>
      </c>
      <c r="I106" s="49">
        <f>VLOOKUP($A106,'Data Vlaue (Cr)'!$C:$FB,46)*100</f>
        <v>-53.12</v>
      </c>
      <c r="J106" s="51">
        <f>VLOOKUP($A106,'Data Vlaue (Cr)'!$C:$FB,59)</f>
        <v>1207</v>
      </c>
      <c r="K106" s="51">
        <f>VLOOKUP($A106,'Data Vlaue (Cr)'!$C:$FB,60)</f>
        <v>961</v>
      </c>
      <c r="L106" s="51">
        <f>VLOOKUP($A106,'Data Vlaue (Cr)'!$C:$FB,62)*100</f>
        <v>25.679999999999996</v>
      </c>
      <c r="M106" s="51">
        <f>VLOOKUP($A106,'Data Vlaue (Cr)'!$C:$FB,63)</f>
        <v>282</v>
      </c>
      <c r="N106" s="51">
        <f>VLOOKUP($A106,'Data Vlaue (Cr)'!$C:$FB,64)</f>
        <v>409</v>
      </c>
      <c r="O106" s="51">
        <f>VLOOKUP($A106,'Data Vlaue (Cr)'!$C:$FB,66)*100</f>
        <v>-30.959999999999997</v>
      </c>
    </row>
    <row r="107" spans="1:15" x14ac:dyDescent="0.25">
      <c r="A107" s="101" t="str">
        <f>'Data Vlaue (Cr)'!C102</f>
        <v>ITC</v>
      </c>
      <c r="B107" s="50">
        <f>VLOOKUP($A107,'Data Vlaue (Cr)'!$C:$FB,8)</f>
        <v>321.14999999999998</v>
      </c>
      <c r="C107" s="50">
        <f>VLOOKUP($A107,'Data Vlaue (Cr)'!$C:$FB,11)*100</f>
        <v>0.77999999999999992</v>
      </c>
      <c r="D107" s="50">
        <f>VLOOKUP($A107,'Data Vlaue (Cr)'!$C:$FB,143)</f>
        <v>5123.54</v>
      </c>
      <c r="E107" s="50">
        <f>VLOOKUP($A107,'Data Vlaue (Cr)'!$C:$FB,144)</f>
        <v>14545.52</v>
      </c>
      <c r="F107" s="50">
        <f>VLOOKUP($A107,'Data Vlaue (Cr)'!$C:$FB,146)*100</f>
        <v>-64.78</v>
      </c>
      <c r="G107" s="49">
        <f>VLOOKUP($A107,'Data Vlaue (Cr)'!$C:$FB,43)</f>
        <v>688</v>
      </c>
      <c r="H107" s="49">
        <f>VLOOKUP($A107,'Data Vlaue (Cr)'!$C:$FB,44)</f>
        <v>6625</v>
      </c>
      <c r="I107" s="49">
        <f>VLOOKUP($A107,'Data Vlaue (Cr)'!$C:$FB,46)*100</f>
        <v>-89.62</v>
      </c>
      <c r="J107" s="51">
        <f>VLOOKUP($A107,'Data Vlaue (Cr)'!$C:$FB,59)</f>
        <v>2783</v>
      </c>
      <c r="K107" s="51">
        <f>VLOOKUP($A107,'Data Vlaue (Cr)'!$C:$FB,60)</f>
        <v>3768</v>
      </c>
      <c r="L107" s="51">
        <f>VLOOKUP($A107,'Data Vlaue (Cr)'!$C:$FB,62)*100</f>
        <v>-26.16</v>
      </c>
      <c r="M107" s="51">
        <f>VLOOKUP($A107,'Data Vlaue (Cr)'!$C:$FB,63)</f>
        <v>1424</v>
      </c>
      <c r="N107" s="51">
        <f>VLOOKUP($A107,'Data Vlaue (Cr)'!$C:$FB,64)</f>
        <v>3725</v>
      </c>
      <c r="O107" s="51">
        <f>VLOOKUP($A107,'Data Vlaue (Cr)'!$C:$FB,66)*100</f>
        <v>-61.760000000000005</v>
      </c>
    </row>
    <row r="108" spans="1:15" x14ac:dyDescent="0.25">
      <c r="A108" s="101" t="str">
        <f>'Data Vlaue (Cr)'!C103</f>
        <v>JINDALSTEL</v>
      </c>
      <c r="B108" s="50">
        <f>VLOOKUP($A108,'Data Vlaue (Cr)'!$C:$FB,8)</f>
        <v>1119.4000000000001</v>
      </c>
      <c r="C108" s="50">
        <f>VLOOKUP($A108,'Data Vlaue (Cr)'!$C:$FB,11)*100</f>
        <v>3.58</v>
      </c>
      <c r="D108" s="50">
        <f>VLOOKUP($A108,'Data Vlaue (Cr)'!$C:$FB,143)</f>
        <v>1933.9</v>
      </c>
      <c r="E108" s="50">
        <f>VLOOKUP($A108,'Data Vlaue (Cr)'!$C:$FB,144)</f>
        <v>1565.29</v>
      </c>
      <c r="F108" s="50">
        <f>VLOOKUP($A108,'Data Vlaue (Cr)'!$C:$FB,146)*100</f>
        <v>23.549999999999997</v>
      </c>
      <c r="G108" s="49">
        <f>VLOOKUP($A108,'Data Vlaue (Cr)'!$C:$FB,43)</f>
        <v>489</v>
      </c>
      <c r="H108" s="49">
        <f>VLOOKUP($A108,'Data Vlaue (Cr)'!$C:$FB,44)</f>
        <v>628</v>
      </c>
      <c r="I108" s="49">
        <f>VLOOKUP($A108,'Data Vlaue (Cr)'!$C:$FB,46)*100</f>
        <v>-22.15</v>
      </c>
      <c r="J108" s="51">
        <f>VLOOKUP($A108,'Data Vlaue (Cr)'!$C:$FB,59)</f>
        <v>1054</v>
      </c>
      <c r="K108" s="51">
        <f>VLOOKUP($A108,'Data Vlaue (Cr)'!$C:$FB,60)</f>
        <v>632</v>
      </c>
      <c r="L108" s="51">
        <f>VLOOKUP($A108,'Data Vlaue (Cr)'!$C:$FB,62)*100</f>
        <v>66.92</v>
      </c>
      <c r="M108" s="51">
        <f>VLOOKUP($A108,'Data Vlaue (Cr)'!$C:$FB,63)</f>
        <v>360</v>
      </c>
      <c r="N108" s="51">
        <f>VLOOKUP($A108,'Data Vlaue (Cr)'!$C:$FB,64)</f>
        <v>350</v>
      </c>
      <c r="O108" s="51">
        <f>VLOOKUP($A108,'Data Vlaue (Cr)'!$C:$FB,66)*100</f>
        <v>2.85</v>
      </c>
    </row>
    <row r="109" spans="1:15" x14ac:dyDescent="0.25">
      <c r="A109" s="101" t="str">
        <f>'Data Vlaue (Cr)'!C104</f>
        <v>JIOFIN</v>
      </c>
      <c r="B109" s="50">
        <f>VLOOKUP($A109,'Data Vlaue (Cr)'!$C:$FB,8)</f>
        <v>255.2</v>
      </c>
      <c r="C109" s="50">
        <f>VLOOKUP($A109,'Data Vlaue (Cr)'!$C:$FB,11)*100</f>
        <v>-0.33</v>
      </c>
      <c r="D109" s="50">
        <f>VLOOKUP($A109,'Data Vlaue (Cr)'!$C:$FB,143)</f>
        <v>3306.65</v>
      </c>
      <c r="E109" s="50">
        <f>VLOOKUP($A109,'Data Vlaue (Cr)'!$C:$FB,144)</f>
        <v>6302.25</v>
      </c>
      <c r="F109" s="50">
        <f>VLOOKUP($A109,'Data Vlaue (Cr)'!$C:$FB,146)*100</f>
        <v>-47.53</v>
      </c>
      <c r="G109" s="49">
        <f>VLOOKUP($A109,'Data Vlaue (Cr)'!$C:$FB,43)</f>
        <v>622</v>
      </c>
      <c r="H109" s="49">
        <f>VLOOKUP($A109,'Data Vlaue (Cr)'!$C:$FB,44)</f>
        <v>3133</v>
      </c>
      <c r="I109" s="49">
        <f>VLOOKUP($A109,'Data Vlaue (Cr)'!$C:$FB,46)*100</f>
        <v>-80.150000000000006</v>
      </c>
      <c r="J109" s="51">
        <f>VLOOKUP($A109,'Data Vlaue (Cr)'!$C:$FB,59)</f>
        <v>1844</v>
      </c>
      <c r="K109" s="51">
        <f>VLOOKUP($A109,'Data Vlaue (Cr)'!$C:$FB,60)</f>
        <v>1773</v>
      </c>
      <c r="L109" s="51">
        <f>VLOOKUP($A109,'Data Vlaue (Cr)'!$C:$FB,62)*100</f>
        <v>3.9899999999999998</v>
      </c>
      <c r="M109" s="51">
        <f>VLOOKUP($A109,'Data Vlaue (Cr)'!$C:$FB,63)</f>
        <v>657</v>
      </c>
      <c r="N109" s="51">
        <f>VLOOKUP($A109,'Data Vlaue (Cr)'!$C:$FB,64)</f>
        <v>1195</v>
      </c>
      <c r="O109" s="51">
        <f>VLOOKUP($A109,'Data Vlaue (Cr)'!$C:$FB,66)*100</f>
        <v>-45.019999999999996</v>
      </c>
    </row>
    <row r="110" spans="1:15" x14ac:dyDescent="0.25">
      <c r="A110" s="101" t="str">
        <f>'Data Vlaue (Cr)'!C105</f>
        <v>JSWENERGY</v>
      </c>
      <c r="B110" s="50">
        <f>VLOOKUP($A110,'Data Vlaue (Cr)'!$C:$FB,8)</f>
        <v>446.25</v>
      </c>
      <c r="C110" s="50">
        <f>VLOOKUP($A110,'Data Vlaue (Cr)'!$C:$FB,11)*100</f>
        <v>1.41</v>
      </c>
      <c r="D110" s="50">
        <f>VLOOKUP($A110,'Data Vlaue (Cr)'!$C:$FB,143)</f>
        <v>1118.1500000000001</v>
      </c>
      <c r="E110" s="50">
        <f>VLOOKUP($A110,'Data Vlaue (Cr)'!$C:$FB,144)</f>
        <v>5259.54</v>
      </c>
      <c r="F110" s="50">
        <f>VLOOKUP($A110,'Data Vlaue (Cr)'!$C:$FB,146)*100</f>
        <v>-78.739999999999995</v>
      </c>
      <c r="G110" s="49">
        <f>VLOOKUP($A110,'Data Vlaue (Cr)'!$C:$FB,43)</f>
        <v>269</v>
      </c>
      <c r="H110" s="49">
        <f>VLOOKUP($A110,'Data Vlaue (Cr)'!$C:$FB,44)</f>
        <v>1358</v>
      </c>
      <c r="I110" s="49">
        <f>VLOOKUP($A110,'Data Vlaue (Cr)'!$C:$FB,46)*100</f>
        <v>-80.17</v>
      </c>
      <c r="J110" s="51">
        <f>VLOOKUP($A110,'Data Vlaue (Cr)'!$C:$FB,59)</f>
        <v>549</v>
      </c>
      <c r="K110" s="51">
        <f>VLOOKUP($A110,'Data Vlaue (Cr)'!$C:$FB,60)</f>
        <v>1748</v>
      </c>
      <c r="L110" s="51">
        <f>VLOOKUP($A110,'Data Vlaue (Cr)'!$C:$FB,62)*100</f>
        <v>-68.61</v>
      </c>
      <c r="M110" s="51">
        <f>VLOOKUP($A110,'Data Vlaue (Cr)'!$C:$FB,63)</f>
        <v>271</v>
      </c>
      <c r="N110" s="51">
        <f>VLOOKUP($A110,'Data Vlaue (Cr)'!$C:$FB,64)</f>
        <v>2036</v>
      </c>
      <c r="O110" s="51">
        <f>VLOOKUP($A110,'Data Vlaue (Cr)'!$C:$FB,66)*100</f>
        <v>-86.67</v>
      </c>
    </row>
    <row r="111" spans="1:15" x14ac:dyDescent="0.25">
      <c r="A111" s="101" t="str">
        <f>'Data Vlaue (Cr)'!C106</f>
        <v>JSWSTEEL</v>
      </c>
      <c r="B111" s="50">
        <f>VLOOKUP($A111,'Data Vlaue (Cr)'!$C:$FB,8)</f>
        <v>1218.7</v>
      </c>
      <c r="C111" s="50">
        <f>VLOOKUP($A111,'Data Vlaue (Cr)'!$C:$FB,11)*100</f>
        <v>-0.27</v>
      </c>
      <c r="D111" s="50">
        <f>VLOOKUP($A111,'Data Vlaue (Cr)'!$C:$FB,143)</f>
        <v>2382.9699999999998</v>
      </c>
      <c r="E111" s="50">
        <f>VLOOKUP($A111,'Data Vlaue (Cr)'!$C:$FB,144)</f>
        <v>7722.6</v>
      </c>
      <c r="F111" s="50">
        <f>VLOOKUP($A111,'Data Vlaue (Cr)'!$C:$FB,146)*100</f>
        <v>-69.14</v>
      </c>
      <c r="G111" s="49">
        <f>VLOOKUP($A111,'Data Vlaue (Cr)'!$C:$FB,43)</f>
        <v>474</v>
      </c>
      <c r="H111" s="49">
        <f>VLOOKUP($A111,'Data Vlaue (Cr)'!$C:$FB,44)</f>
        <v>2635</v>
      </c>
      <c r="I111" s="49">
        <f>VLOOKUP($A111,'Data Vlaue (Cr)'!$C:$FB,46)*100</f>
        <v>-82.03</v>
      </c>
      <c r="J111" s="51">
        <f>VLOOKUP($A111,'Data Vlaue (Cr)'!$C:$FB,59)</f>
        <v>1335</v>
      </c>
      <c r="K111" s="51">
        <f>VLOOKUP($A111,'Data Vlaue (Cr)'!$C:$FB,60)</f>
        <v>3350</v>
      </c>
      <c r="L111" s="51">
        <f>VLOOKUP($A111,'Data Vlaue (Cr)'!$C:$FB,62)*100</f>
        <v>-60.150000000000006</v>
      </c>
      <c r="M111" s="51">
        <f>VLOOKUP($A111,'Data Vlaue (Cr)'!$C:$FB,63)</f>
        <v>516</v>
      </c>
      <c r="N111" s="51">
        <f>VLOOKUP($A111,'Data Vlaue (Cr)'!$C:$FB,64)</f>
        <v>1783</v>
      </c>
      <c r="O111" s="51">
        <f>VLOOKUP($A111,'Data Vlaue (Cr)'!$C:$FB,66)*100</f>
        <v>-71.05</v>
      </c>
    </row>
    <row r="112" spans="1:15" x14ac:dyDescent="0.25">
      <c r="A112" s="101" t="str">
        <f>'Data Vlaue (Cr)'!C107</f>
        <v>JUBLFOOD</v>
      </c>
      <c r="B112" s="50">
        <f>VLOOKUP($A112,'Data Vlaue (Cr)'!$C:$FB,8)</f>
        <v>493.65</v>
      </c>
      <c r="C112" s="50">
        <f>VLOOKUP($A112,'Data Vlaue (Cr)'!$C:$FB,11)*100</f>
        <v>1.0999999999999999</v>
      </c>
      <c r="D112" s="50">
        <f>VLOOKUP($A112,'Data Vlaue (Cr)'!$C:$FB,143)</f>
        <v>446.84</v>
      </c>
      <c r="E112" s="50">
        <f>VLOOKUP($A112,'Data Vlaue (Cr)'!$C:$FB,144)</f>
        <v>1675.1</v>
      </c>
      <c r="F112" s="50">
        <f>VLOOKUP($A112,'Data Vlaue (Cr)'!$C:$FB,146)*100</f>
        <v>-73.319999999999993</v>
      </c>
      <c r="G112" s="49">
        <f>VLOOKUP($A112,'Data Vlaue (Cr)'!$C:$FB,43)</f>
        <v>164</v>
      </c>
      <c r="H112" s="49">
        <f>VLOOKUP($A112,'Data Vlaue (Cr)'!$C:$FB,44)</f>
        <v>1011</v>
      </c>
      <c r="I112" s="49">
        <f>VLOOKUP($A112,'Data Vlaue (Cr)'!$C:$FB,46)*100</f>
        <v>-83.83</v>
      </c>
      <c r="J112" s="51">
        <f>VLOOKUP($A112,'Data Vlaue (Cr)'!$C:$FB,59)</f>
        <v>177</v>
      </c>
      <c r="K112" s="51">
        <f>VLOOKUP($A112,'Data Vlaue (Cr)'!$C:$FB,60)</f>
        <v>276</v>
      </c>
      <c r="L112" s="51">
        <f>VLOOKUP($A112,'Data Vlaue (Cr)'!$C:$FB,62)*100</f>
        <v>-35.89</v>
      </c>
      <c r="M112" s="51">
        <f>VLOOKUP($A112,'Data Vlaue (Cr)'!$C:$FB,63)</f>
        <v>91</v>
      </c>
      <c r="N112" s="51">
        <f>VLOOKUP($A112,'Data Vlaue (Cr)'!$C:$FB,64)</f>
        <v>368</v>
      </c>
      <c r="O112" s="51">
        <f>VLOOKUP($A112,'Data Vlaue (Cr)'!$C:$FB,66)*100</f>
        <v>-75.36</v>
      </c>
    </row>
    <row r="113" spans="1:15" x14ac:dyDescent="0.25">
      <c r="A113" s="101" t="str">
        <f>'Data Vlaue (Cr)'!C108</f>
        <v>KALYANKJIL</v>
      </c>
      <c r="B113" s="50">
        <f>VLOOKUP($A113,'Data Vlaue (Cr)'!$C:$FB,8)</f>
        <v>367.95</v>
      </c>
      <c r="C113" s="50">
        <f>VLOOKUP($A113,'Data Vlaue (Cr)'!$C:$FB,11)*100</f>
        <v>-0.26</v>
      </c>
      <c r="D113" s="50">
        <f>VLOOKUP($A113,'Data Vlaue (Cr)'!$C:$FB,143)</f>
        <v>1010.86</v>
      </c>
      <c r="E113" s="50">
        <f>VLOOKUP($A113,'Data Vlaue (Cr)'!$C:$FB,144)</f>
        <v>3678.81</v>
      </c>
      <c r="F113" s="50">
        <f>VLOOKUP($A113,'Data Vlaue (Cr)'!$C:$FB,146)*100</f>
        <v>-72.52</v>
      </c>
      <c r="G113" s="49">
        <f>VLOOKUP($A113,'Data Vlaue (Cr)'!$C:$FB,43)</f>
        <v>185</v>
      </c>
      <c r="H113" s="49">
        <f>VLOOKUP($A113,'Data Vlaue (Cr)'!$C:$FB,44)</f>
        <v>1073</v>
      </c>
      <c r="I113" s="49">
        <f>VLOOKUP($A113,'Data Vlaue (Cr)'!$C:$FB,46)*100</f>
        <v>-82.77</v>
      </c>
      <c r="J113" s="51">
        <f>VLOOKUP($A113,'Data Vlaue (Cr)'!$C:$FB,59)</f>
        <v>484</v>
      </c>
      <c r="K113" s="51">
        <f>VLOOKUP($A113,'Data Vlaue (Cr)'!$C:$FB,60)</f>
        <v>1368</v>
      </c>
      <c r="L113" s="51">
        <f>VLOOKUP($A113,'Data Vlaue (Cr)'!$C:$FB,62)*100</f>
        <v>-64.64</v>
      </c>
      <c r="M113" s="51">
        <f>VLOOKUP($A113,'Data Vlaue (Cr)'!$C:$FB,63)</f>
        <v>283</v>
      </c>
      <c r="N113" s="51">
        <f>VLOOKUP($A113,'Data Vlaue (Cr)'!$C:$FB,64)</f>
        <v>1147</v>
      </c>
      <c r="O113" s="51">
        <f>VLOOKUP($A113,'Data Vlaue (Cr)'!$C:$FB,66)*100</f>
        <v>-75.3</v>
      </c>
    </row>
    <row r="114" spans="1:15" x14ac:dyDescent="0.25">
      <c r="A114" s="101" t="str">
        <f>'Data Vlaue (Cr)'!C109</f>
        <v>KAYNES</v>
      </c>
      <c r="B114" s="50">
        <f>VLOOKUP($A114,'Data Vlaue (Cr)'!$C:$FB,8)</f>
        <v>3490.6</v>
      </c>
      <c r="C114" s="50">
        <f>VLOOKUP($A114,'Data Vlaue (Cr)'!$C:$FB,11)*100</f>
        <v>4.7300000000000004</v>
      </c>
      <c r="D114" s="50">
        <f>VLOOKUP($A114,'Data Vlaue (Cr)'!$C:$FB,143)</f>
        <v>1154.42</v>
      </c>
      <c r="E114" s="50">
        <f>VLOOKUP($A114,'Data Vlaue (Cr)'!$C:$FB,144)</f>
        <v>3050.56</v>
      </c>
      <c r="F114" s="50">
        <f>VLOOKUP($A114,'Data Vlaue (Cr)'!$C:$FB,146)*100</f>
        <v>-62.160000000000004</v>
      </c>
      <c r="G114" s="49">
        <f>VLOOKUP($A114,'Data Vlaue (Cr)'!$C:$FB,43)</f>
        <v>277</v>
      </c>
      <c r="H114" s="49">
        <f>VLOOKUP($A114,'Data Vlaue (Cr)'!$C:$FB,44)</f>
        <v>1313</v>
      </c>
      <c r="I114" s="49">
        <f>VLOOKUP($A114,'Data Vlaue (Cr)'!$C:$FB,46)*100</f>
        <v>-78.89</v>
      </c>
      <c r="J114" s="51">
        <f>VLOOKUP($A114,'Data Vlaue (Cr)'!$C:$FB,59)</f>
        <v>588</v>
      </c>
      <c r="K114" s="51">
        <f>VLOOKUP($A114,'Data Vlaue (Cr)'!$C:$FB,60)</f>
        <v>1032</v>
      </c>
      <c r="L114" s="51">
        <f>VLOOKUP($A114,'Data Vlaue (Cr)'!$C:$FB,62)*100</f>
        <v>-43.01</v>
      </c>
      <c r="M114" s="51">
        <f>VLOOKUP($A114,'Data Vlaue (Cr)'!$C:$FB,63)</f>
        <v>253</v>
      </c>
      <c r="N114" s="51">
        <f>VLOOKUP($A114,'Data Vlaue (Cr)'!$C:$FB,64)</f>
        <v>664</v>
      </c>
      <c r="O114" s="51">
        <f>VLOOKUP($A114,'Data Vlaue (Cr)'!$C:$FB,66)*100</f>
        <v>-61.89</v>
      </c>
    </row>
    <row r="115" spans="1:15" x14ac:dyDescent="0.25">
      <c r="A115" s="101" t="str">
        <f>'Data Vlaue (Cr)'!C110</f>
        <v>KEI</v>
      </c>
      <c r="B115" s="50">
        <f>VLOOKUP($A115,'Data Vlaue (Cr)'!$C:$FB,8)</f>
        <v>3879.1</v>
      </c>
      <c r="C115" s="50">
        <f>VLOOKUP($A115,'Data Vlaue (Cr)'!$C:$FB,11)*100</f>
        <v>1.94</v>
      </c>
      <c r="D115" s="50">
        <f>VLOOKUP($A115,'Data Vlaue (Cr)'!$C:$FB,143)</f>
        <v>342.95</v>
      </c>
      <c r="E115" s="50">
        <f>VLOOKUP($A115,'Data Vlaue (Cr)'!$C:$FB,144)</f>
        <v>1120.1099999999999</v>
      </c>
      <c r="F115" s="50">
        <f>VLOOKUP($A115,'Data Vlaue (Cr)'!$C:$FB,146)*100</f>
        <v>-69.38</v>
      </c>
      <c r="G115" s="49">
        <f>VLOOKUP($A115,'Data Vlaue (Cr)'!$C:$FB,43)</f>
        <v>97</v>
      </c>
      <c r="H115" s="49">
        <f>VLOOKUP($A115,'Data Vlaue (Cr)'!$C:$FB,44)</f>
        <v>396</v>
      </c>
      <c r="I115" s="49">
        <f>VLOOKUP($A115,'Data Vlaue (Cr)'!$C:$FB,46)*100</f>
        <v>-75.56</v>
      </c>
      <c r="J115" s="51">
        <f>VLOOKUP($A115,'Data Vlaue (Cr)'!$C:$FB,59)</f>
        <v>176</v>
      </c>
      <c r="K115" s="51">
        <f>VLOOKUP($A115,'Data Vlaue (Cr)'!$C:$FB,60)</f>
        <v>485</v>
      </c>
      <c r="L115" s="51">
        <f>VLOOKUP($A115,'Data Vlaue (Cr)'!$C:$FB,62)*100</f>
        <v>-63.72</v>
      </c>
      <c r="M115" s="51">
        <f>VLOOKUP($A115,'Data Vlaue (Cr)'!$C:$FB,63)</f>
        <v>63</v>
      </c>
      <c r="N115" s="51">
        <f>VLOOKUP($A115,'Data Vlaue (Cr)'!$C:$FB,64)</f>
        <v>223</v>
      </c>
      <c r="O115" s="51">
        <f>VLOOKUP($A115,'Data Vlaue (Cr)'!$C:$FB,66)*100</f>
        <v>-71.64</v>
      </c>
    </row>
    <row r="116" spans="1:15" x14ac:dyDescent="0.25">
      <c r="A116" s="101" t="str">
        <f>'Data Vlaue (Cr)'!C111</f>
        <v>KFINTECH</v>
      </c>
      <c r="B116" s="50">
        <f>VLOOKUP($A116,'Data Vlaue (Cr)'!$C:$FB,8)</f>
        <v>1022.1</v>
      </c>
      <c r="C116" s="50">
        <f>VLOOKUP($A116,'Data Vlaue (Cr)'!$C:$FB,11)*100</f>
        <v>0.6</v>
      </c>
      <c r="D116" s="50">
        <f>VLOOKUP($A116,'Data Vlaue (Cr)'!$C:$FB,143)</f>
        <v>209.73</v>
      </c>
      <c r="E116" s="50">
        <f>VLOOKUP($A116,'Data Vlaue (Cr)'!$C:$FB,144)</f>
        <v>815.58</v>
      </c>
      <c r="F116" s="50">
        <f>VLOOKUP($A116,'Data Vlaue (Cr)'!$C:$FB,146)*100</f>
        <v>-74.28</v>
      </c>
      <c r="G116" s="49">
        <f>VLOOKUP($A116,'Data Vlaue (Cr)'!$C:$FB,43)</f>
        <v>105</v>
      </c>
      <c r="H116" s="49">
        <f>VLOOKUP($A116,'Data Vlaue (Cr)'!$C:$FB,44)</f>
        <v>586</v>
      </c>
      <c r="I116" s="49">
        <f>VLOOKUP($A116,'Data Vlaue (Cr)'!$C:$FB,46)*100</f>
        <v>-82.14</v>
      </c>
      <c r="J116" s="51">
        <f>VLOOKUP($A116,'Data Vlaue (Cr)'!$C:$FB,59)</f>
        <v>68</v>
      </c>
      <c r="K116" s="51">
        <f>VLOOKUP($A116,'Data Vlaue (Cr)'!$C:$FB,60)</f>
        <v>109</v>
      </c>
      <c r="L116" s="51">
        <f>VLOOKUP($A116,'Data Vlaue (Cr)'!$C:$FB,62)*100</f>
        <v>-37.82</v>
      </c>
      <c r="M116" s="51">
        <f>VLOOKUP($A116,'Data Vlaue (Cr)'!$C:$FB,63)</f>
        <v>33</v>
      </c>
      <c r="N116" s="51">
        <f>VLOOKUP($A116,'Data Vlaue (Cr)'!$C:$FB,64)</f>
        <v>112</v>
      </c>
      <c r="O116" s="51">
        <f>VLOOKUP($A116,'Data Vlaue (Cr)'!$C:$FB,66)*100</f>
        <v>-70.789999999999992</v>
      </c>
    </row>
    <row r="117" spans="1:15" x14ac:dyDescent="0.25">
      <c r="A117" s="101" t="str">
        <f>'Data Vlaue (Cr)'!C112</f>
        <v>KOTAKBANK</v>
      </c>
      <c r="B117" s="50">
        <f>VLOOKUP($A117,'Data Vlaue (Cr)'!$C:$FB,8)</f>
        <v>412.4</v>
      </c>
      <c r="C117" s="50">
        <f>VLOOKUP($A117,'Data Vlaue (Cr)'!$C:$FB,11)*100</f>
        <v>0.91</v>
      </c>
      <c r="D117" s="50">
        <f>VLOOKUP($A117,'Data Vlaue (Cr)'!$C:$FB,143)</f>
        <v>2763.22</v>
      </c>
      <c r="E117" s="50">
        <f>VLOOKUP($A117,'Data Vlaue (Cr)'!$C:$FB,144)</f>
        <v>9891.09</v>
      </c>
      <c r="F117" s="50">
        <f>VLOOKUP($A117,'Data Vlaue (Cr)'!$C:$FB,146)*100</f>
        <v>-72.06</v>
      </c>
      <c r="G117" s="49">
        <f>VLOOKUP($A117,'Data Vlaue (Cr)'!$C:$FB,43)</f>
        <v>609</v>
      </c>
      <c r="H117" s="49">
        <f>VLOOKUP($A117,'Data Vlaue (Cr)'!$C:$FB,44)</f>
        <v>4268</v>
      </c>
      <c r="I117" s="49">
        <f>VLOOKUP($A117,'Data Vlaue (Cr)'!$C:$FB,46)*100</f>
        <v>-85.72999999999999</v>
      </c>
      <c r="J117" s="51">
        <f>VLOOKUP($A117,'Data Vlaue (Cr)'!$C:$FB,59)</f>
        <v>1406</v>
      </c>
      <c r="K117" s="51">
        <f>VLOOKUP($A117,'Data Vlaue (Cr)'!$C:$FB,60)</f>
        <v>3015</v>
      </c>
      <c r="L117" s="51">
        <f>VLOOKUP($A117,'Data Vlaue (Cr)'!$C:$FB,62)*100</f>
        <v>-53.349999999999994</v>
      </c>
      <c r="M117" s="51">
        <f>VLOOKUP($A117,'Data Vlaue (Cr)'!$C:$FB,63)</f>
        <v>694</v>
      </c>
      <c r="N117" s="51">
        <f>VLOOKUP($A117,'Data Vlaue (Cr)'!$C:$FB,64)</f>
        <v>2552</v>
      </c>
      <c r="O117" s="51">
        <f>VLOOKUP($A117,'Data Vlaue (Cr)'!$C:$FB,66)*100</f>
        <v>-72.8</v>
      </c>
    </row>
    <row r="118" spans="1:15" x14ac:dyDescent="0.25">
      <c r="A118" s="101" t="str">
        <f>'Data Vlaue (Cr)'!C113</f>
        <v>KPITTECH</v>
      </c>
      <c r="B118" s="50">
        <f>VLOOKUP($A118,'Data Vlaue (Cr)'!$C:$FB,8)</f>
        <v>1105.8</v>
      </c>
      <c r="C118" s="50">
        <f>VLOOKUP($A118,'Data Vlaue (Cr)'!$C:$FB,11)*100</f>
        <v>0.13</v>
      </c>
      <c r="D118" s="50">
        <f>VLOOKUP($A118,'Data Vlaue (Cr)'!$C:$FB,143)</f>
        <v>271.99</v>
      </c>
      <c r="E118" s="50">
        <f>VLOOKUP($A118,'Data Vlaue (Cr)'!$C:$FB,144)</f>
        <v>728.91</v>
      </c>
      <c r="F118" s="50">
        <f>VLOOKUP($A118,'Data Vlaue (Cr)'!$C:$FB,146)*100</f>
        <v>-62.69</v>
      </c>
      <c r="G118" s="49">
        <f>VLOOKUP($A118,'Data Vlaue (Cr)'!$C:$FB,43)</f>
        <v>91</v>
      </c>
      <c r="H118" s="49">
        <f>VLOOKUP($A118,'Data Vlaue (Cr)'!$C:$FB,44)</f>
        <v>338</v>
      </c>
      <c r="I118" s="49">
        <f>VLOOKUP($A118,'Data Vlaue (Cr)'!$C:$FB,46)*100</f>
        <v>-73.180000000000007</v>
      </c>
      <c r="J118" s="51">
        <f>VLOOKUP($A118,'Data Vlaue (Cr)'!$C:$FB,59)</f>
        <v>100</v>
      </c>
      <c r="K118" s="51">
        <f>VLOOKUP($A118,'Data Vlaue (Cr)'!$C:$FB,60)</f>
        <v>160</v>
      </c>
      <c r="L118" s="51">
        <f>VLOOKUP($A118,'Data Vlaue (Cr)'!$C:$FB,62)*100</f>
        <v>-37.22</v>
      </c>
      <c r="M118" s="51">
        <f>VLOOKUP($A118,'Data Vlaue (Cr)'!$C:$FB,63)</f>
        <v>75</v>
      </c>
      <c r="N118" s="51">
        <f>VLOOKUP($A118,'Data Vlaue (Cr)'!$C:$FB,64)</f>
        <v>220</v>
      </c>
      <c r="O118" s="51">
        <f>VLOOKUP($A118,'Data Vlaue (Cr)'!$C:$FB,66)*100</f>
        <v>-65.73</v>
      </c>
    </row>
    <row r="119" spans="1:15" x14ac:dyDescent="0.25">
      <c r="A119" s="101" t="str">
        <f>'Data Vlaue (Cr)'!C114</f>
        <v>LAURUSLABS</v>
      </c>
      <c r="B119" s="50">
        <f>VLOOKUP($A119,'Data Vlaue (Cr)'!$C:$FB,8)</f>
        <v>999</v>
      </c>
      <c r="C119" s="50">
        <f>VLOOKUP($A119,'Data Vlaue (Cr)'!$C:$FB,11)*100</f>
        <v>-0.12</v>
      </c>
      <c r="D119" s="50">
        <f>VLOOKUP($A119,'Data Vlaue (Cr)'!$C:$FB,143)</f>
        <v>1535.2</v>
      </c>
      <c r="E119" s="50">
        <f>VLOOKUP($A119,'Data Vlaue (Cr)'!$C:$FB,144)</f>
        <v>6465.68</v>
      </c>
      <c r="F119" s="50">
        <f>VLOOKUP($A119,'Data Vlaue (Cr)'!$C:$FB,146)*100</f>
        <v>-76.259999999999991</v>
      </c>
      <c r="G119" s="49">
        <f>VLOOKUP($A119,'Data Vlaue (Cr)'!$C:$FB,43)</f>
        <v>315</v>
      </c>
      <c r="H119" s="49">
        <f>VLOOKUP($A119,'Data Vlaue (Cr)'!$C:$FB,44)</f>
        <v>2148</v>
      </c>
      <c r="I119" s="49">
        <f>VLOOKUP($A119,'Data Vlaue (Cr)'!$C:$FB,46)*100</f>
        <v>-85.33</v>
      </c>
      <c r="J119" s="51">
        <f>VLOOKUP($A119,'Data Vlaue (Cr)'!$C:$FB,59)</f>
        <v>805</v>
      </c>
      <c r="K119" s="51">
        <f>VLOOKUP($A119,'Data Vlaue (Cr)'!$C:$FB,60)</f>
        <v>2483</v>
      </c>
      <c r="L119" s="51">
        <f>VLOOKUP($A119,'Data Vlaue (Cr)'!$C:$FB,62)*100</f>
        <v>-67.589999999999989</v>
      </c>
      <c r="M119" s="51">
        <f>VLOOKUP($A119,'Data Vlaue (Cr)'!$C:$FB,63)</f>
        <v>362</v>
      </c>
      <c r="N119" s="51">
        <f>VLOOKUP($A119,'Data Vlaue (Cr)'!$C:$FB,64)</f>
        <v>1641</v>
      </c>
      <c r="O119" s="51">
        <f>VLOOKUP($A119,'Data Vlaue (Cr)'!$C:$FB,66)*100</f>
        <v>-77.92</v>
      </c>
    </row>
    <row r="120" spans="1:15" x14ac:dyDescent="0.25">
      <c r="A120" s="101" t="str">
        <f>'Data Vlaue (Cr)'!C115</f>
        <v>LICHSGFIN</v>
      </c>
      <c r="B120" s="50">
        <f>VLOOKUP($A120,'Data Vlaue (Cr)'!$C:$FB,8)</f>
        <v>519</v>
      </c>
      <c r="C120" s="50">
        <f>VLOOKUP($A120,'Data Vlaue (Cr)'!$C:$FB,11)*100</f>
        <v>1.7500000000000002</v>
      </c>
      <c r="D120" s="50">
        <f>VLOOKUP($A120,'Data Vlaue (Cr)'!$C:$FB,143)</f>
        <v>457.28</v>
      </c>
      <c r="E120" s="50">
        <f>VLOOKUP($A120,'Data Vlaue (Cr)'!$C:$FB,144)</f>
        <v>2455.48</v>
      </c>
      <c r="F120" s="50">
        <f>VLOOKUP($A120,'Data Vlaue (Cr)'!$C:$FB,146)*100</f>
        <v>-81.38</v>
      </c>
      <c r="G120" s="49">
        <f>VLOOKUP($A120,'Data Vlaue (Cr)'!$C:$FB,43)</f>
        <v>123</v>
      </c>
      <c r="H120" s="49">
        <f>VLOOKUP($A120,'Data Vlaue (Cr)'!$C:$FB,44)</f>
        <v>1477</v>
      </c>
      <c r="I120" s="49">
        <f>VLOOKUP($A120,'Data Vlaue (Cr)'!$C:$FB,46)*100</f>
        <v>-91.649999999999991</v>
      </c>
      <c r="J120" s="51">
        <f>VLOOKUP($A120,'Data Vlaue (Cr)'!$C:$FB,59)</f>
        <v>226</v>
      </c>
      <c r="K120" s="51">
        <f>VLOOKUP($A120,'Data Vlaue (Cr)'!$C:$FB,60)</f>
        <v>566</v>
      </c>
      <c r="L120" s="51">
        <f>VLOOKUP($A120,'Data Vlaue (Cr)'!$C:$FB,62)*100</f>
        <v>-60.129999999999995</v>
      </c>
      <c r="M120" s="51">
        <f>VLOOKUP($A120,'Data Vlaue (Cr)'!$C:$FB,63)</f>
        <v>100</v>
      </c>
      <c r="N120" s="51">
        <f>VLOOKUP($A120,'Data Vlaue (Cr)'!$C:$FB,64)</f>
        <v>416</v>
      </c>
      <c r="O120" s="51">
        <f>VLOOKUP($A120,'Data Vlaue (Cr)'!$C:$FB,66)*100</f>
        <v>-75.960000000000008</v>
      </c>
    </row>
    <row r="121" spans="1:15" x14ac:dyDescent="0.25">
      <c r="A121" s="101" t="str">
        <f>'Data Vlaue (Cr)'!C116</f>
        <v>LICI</v>
      </c>
      <c r="B121" s="50">
        <f>VLOOKUP($A121,'Data Vlaue (Cr)'!$C:$FB,8)</f>
        <v>822.15</v>
      </c>
      <c r="C121" s="50">
        <f>VLOOKUP($A121,'Data Vlaue (Cr)'!$C:$FB,11)*100</f>
        <v>1.78</v>
      </c>
      <c r="D121" s="50">
        <f>VLOOKUP($A121,'Data Vlaue (Cr)'!$C:$FB,143)</f>
        <v>408.6</v>
      </c>
      <c r="E121" s="50">
        <f>VLOOKUP($A121,'Data Vlaue (Cr)'!$C:$FB,144)</f>
        <v>1475.08</v>
      </c>
      <c r="F121" s="50">
        <f>VLOOKUP($A121,'Data Vlaue (Cr)'!$C:$FB,146)*100</f>
        <v>-72.3</v>
      </c>
      <c r="G121" s="49">
        <f>VLOOKUP($A121,'Data Vlaue (Cr)'!$C:$FB,43)</f>
        <v>91</v>
      </c>
      <c r="H121" s="49">
        <f>VLOOKUP($A121,'Data Vlaue (Cr)'!$C:$FB,44)</f>
        <v>869</v>
      </c>
      <c r="I121" s="49">
        <f>VLOOKUP($A121,'Data Vlaue (Cr)'!$C:$FB,46)*100</f>
        <v>-89.490000000000009</v>
      </c>
      <c r="J121" s="51">
        <f>VLOOKUP($A121,'Data Vlaue (Cr)'!$C:$FB,59)</f>
        <v>204</v>
      </c>
      <c r="K121" s="51">
        <f>VLOOKUP($A121,'Data Vlaue (Cr)'!$C:$FB,60)</f>
        <v>367</v>
      </c>
      <c r="L121" s="51">
        <f>VLOOKUP($A121,'Data Vlaue (Cr)'!$C:$FB,62)*100</f>
        <v>-44.37</v>
      </c>
      <c r="M121" s="51">
        <f>VLOOKUP($A121,'Data Vlaue (Cr)'!$C:$FB,63)</f>
        <v>106</v>
      </c>
      <c r="N121" s="51">
        <f>VLOOKUP($A121,'Data Vlaue (Cr)'!$C:$FB,64)</f>
        <v>246</v>
      </c>
      <c r="O121" s="51">
        <f>VLOOKUP($A121,'Data Vlaue (Cr)'!$C:$FB,66)*100</f>
        <v>-57.010000000000005</v>
      </c>
    </row>
    <row r="122" spans="1:15" x14ac:dyDescent="0.25">
      <c r="A122" s="101" t="str">
        <f>'Data Vlaue (Cr)'!C117</f>
        <v>LODHA</v>
      </c>
      <c r="B122" s="50">
        <f>VLOOKUP($A122,'Data Vlaue (Cr)'!$C:$FB,8)</f>
        <v>929.1</v>
      </c>
      <c r="C122" s="50">
        <f>VLOOKUP($A122,'Data Vlaue (Cr)'!$C:$FB,11)*100</f>
        <v>2.41</v>
      </c>
      <c r="D122" s="50">
        <f>VLOOKUP($A122,'Data Vlaue (Cr)'!$C:$FB,143)</f>
        <v>876.24</v>
      </c>
      <c r="E122" s="50">
        <f>VLOOKUP($A122,'Data Vlaue (Cr)'!$C:$FB,144)</f>
        <v>2155.77</v>
      </c>
      <c r="F122" s="50">
        <f>VLOOKUP($A122,'Data Vlaue (Cr)'!$C:$FB,146)*100</f>
        <v>-59.35</v>
      </c>
      <c r="G122" s="49">
        <f>VLOOKUP($A122,'Data Vlaue (Cr)'!$C:$FB,43)</f>
        <v>228</v>
      </c>
      <c r="H122" s="49">
        <f>VLOOKUP($A122,'Data Vlaue (Cr)'!$C:$FB,44)</f>
        <v>971</v>
      </c>
      <c r="I122" s="49">
        <f>VLOOKUP($A122,'Data Vlaue (Cr)'!$C:$FB,46)*100</f>
        <v>-76.47</v>
      </c>
      <c r="J122" s="51">
        <f>VLOOKUP($A122,'Data Vlaue (Cr)'!$C:$FB,59)</f>
        <v>390</v>
      </c>
      <c r="K122" s="51">
        <f>VLOOKUP($A122,'Data Vlaue (Cr)'!$C:$FB,60)</f>
        <v>512</v>
      </c>
      <c r="L122" s="51">
        <f>VLOOKUP($A122,'Data Vlaue (Cr)'!$C:$FB,62)*100</f>
        <v>-23.880000000000003</v>
      </c>
      <c r="M122" s="51">
        <f>VLOOKUP($A122,'Data Vlaue (Cr)'!$C:$FB,63)</f>
        <v>236</v>
      </c>
      <c r="N122" s="51">
        <f>VLOOKUP($A122,'Data Vlaue (Cr)'!$C:$FB,64)</f>
        <v>717</v>
      </c>
      <c r="O122" s="51">
        <f>VLOOKUP($A122,'Data Vlaue (Cr)'!$C:$FB,66)*100</f>
        <v>-67.13</v>
      </c>
    </row>
    <row r="123" spans="1:15" x14ac:dyDescent="0.25">
      <c r="A123" s="101" t="str">
        <f>'Data Vlaue (Cr)'!C118</f>
        <v>LT</v>
      </c>
      <c r="B123" s="50">
        <f>VLOOKUP($A123,'Data Vlaue (Cr)'!$C:$FB,8)</f>
        <v>3794</v>
      </c>
      <c r="C123" s="50">
        <f>VLOOKUP($A123,'Data Vlaue (Cr)'!$C:$FB,11)*100</f>
        <v>0.16</v>
      </c>
      <c r="D123" s="50">
        <f>VLOOKUP($A123,'Data Vlaue (Cr)'!$C:$FB,143)</f>
        <v>6448.29</v>
      </c>
      <c r="E123" s="50">
        <f>VLOOKUP($A123,'Data Vlaue (Cr)'!$C:$FB,144)</f>
        <v>7580.07</v>
      </c>
      <c r="F123" s="50">
        <f>VLOOKUP($A123,'Data Vlaue (Cr)'!$C:$FB,146)*100</f>
        <v>-14.93</v>
      </c>
      <c r="G123" s="49">
        <f>VLOOKUP($A123,'Data Vlaue (Cr)'!$C:$FB,43)</f>
        <v>1159</v>
      </c>
      <c r="H123" s="49">
        <f>VLOOKUP($A123,'Data Vlaue (Cr)'!$C:$FB,44)</f>
        <v>3530</v>
      </c>
      <c r="I123" s="49">
        <f>VLOOKUP($A123,'Data Vlaue (Cr)'!$C:$FB,46)*100</f>
        <v>-67.179999999999993</v>
      </c>
      <c r="J123" s="51">
        <f>VLOOKUP($A123,'Data Vlaue (Cr)'!$C:$FB,59)</f>
        <v>3608</v>
      </c>
      <c r="K123" s="51">
        <f>VLOOKUP($A123,'Data Vlaue (Cr)'!$C:$FB,60)</f>
        <v>2597</v>
      </c>
      <c r="L123" s="51">
        <f>VLOOKUP($A123,'Data Vlaue (Cr)'!$C:$FB,62)*100</f>
        <v>38.940000000000005</v>
      </c>
      <c r="M123" s="51">
        <f>VLOOKUP($A123,'Data Vlaue (Cr)'!$C:$FB,63)</f>
        <v>1493</v>
      </c>
      <c r="N123" s="51">
        <f>VLOOKUP($A123,'Data Vlaue (Cr)'!$C:$FB,64)</f>
        <v>1376</v>
      </c>
      <c r="O123" s="51">
        <f>VLOOKUP($A123,'Data Vlaue (Cr)'!$C:$FB,66)*100</f>
        <v>8.5</v>
      </c>
    </row>
    <row r="124" spans="1:15" x14ac:dyDescent="0.25">
      <c r="A124" s="101" t="str">
        <f>'Data Vlaue (Cr)'!C119</f>
        <v>LTF</v>
      </c>
      <c r="B124" s="50">
        <f>VLOOKUP($A124,'Data Vlaue (Cr)'!$C:$FB,8)</f>
        <v>289.39999999999998</v>
      </c>
      <c r="C124" s="50">
        <f>VLOOKUP($A124,'Data Vlaue (Cr)'!$C:$FB,11)*100</f>
        <v>1.4500000000000002</v>
      </c>
      <c r="D124" s="50">
        <f>VLOOKUP($A124,'Data Vlaue (Cr)'!$C:$FB,143)</f>
        <v>785.21</v>
      </c>
      <c r="E124" s="50">
        <f>VLOOKUP($A124,'Data Vlaue (Cr)'!$C:$FB,144)</f>
        <v>3786.87</v>
      </c>
      <c r="F124" s="50">
        <f>VLOOKUP($A124,'Data Vlaue (Cr)'!$C:$FB,146)*100</f>
        <v>-79.259999999999991</v>
      </c>
      <c r="G124" s="49">
        <f>VLOOKUP($A124,'Data Vlaue (Cr)'!$C:$FB,43)</f>
        <v>198</v>
      </c>
      <c r="H124" s="49">
        <f>VLOOKUP($A124,'Data Vlaue (Cr)'!$C:$FB,44)</f>
        <v>1328</v>
      </c>
      <c r="I124" s="49">
        <f>VLOOKUP($A124,'Data Vlaue (Cr)'!$C:$FB,46)*100</f>
        <v>-85.13</v>
      </c>
      <c r="J124" s="51">
        <f>VLOOKUP($A124,'Data Vlaue (Cr)'!$C:$FB,59)</f>
        <v>356</v>
      </c>
      <c r="K124" s="51">
        <f>VLOOKUP($A124,'Data Vlaue (Cr)'!$C:$FB,60)</f>
        <v>1667</v>
      </c>
      <c r="L124" s="51">
        <f>VLOOKUP($A124,'Data Vlaue (Cr)'!$C:$FB,62)*100</f>
        <v>-78.61</v>
      </c>
      <c r="M124" s="51">
        <f>VLOOKUP($A124,'Data Vlaue (Cr)'!$C:$FB,63)</f>
        <v>216</v>
      </c>
      <c r="N124" s="51">
        <f>VLOOKUP($A124,'Data Vlaue (Cr)'!$C:$FB,64)</f>
        <v>733</v>
      </c>
      <c r="O124" s="51">
        <f>VLOOKUP($A124,'Data Vlaue (Cr)'!$C:$FB,66)*100</f>
        <v>-70.569999999999993</v>
      </c>
    </row>
    <row r="125" spans="1:15" x14ac:dyDescent="0.25">
      <c r="A125" s="101" t="str">
        <f>'Data Vlaue (Cr)'!C120</f>
        <v>LTIM</v>
      </c>
      <c r="B125" s="50">
        <f>VLOOKUP($A125,'Data Vlaue (Cr)'!$C:$FB,8)</f>
        <v>6015.5</v>
      </c>
      <c r="C125" s="50">
        <f>VLOOKUP($A125,'Data Vlaue (Cr)'!$C:$FB,11)*100</f>
        <v>1.26</v>
      </c>
      <c r="D125" s="50">
        <f>VLOOKUP($A125,'Data Vlaue (Cr)'!$C:$FB,143)</f>
        <v>907.92</v>
      </c>
      <c r="E125" s="50">
        <f>VLOOKUP($A125,'Data Vlaue (Cr)'!$C:$FB,144)</f>
        <v>2753.05</v>
      </c>
      <c r="F125" s="50">
        <f>VLOOKUP($A125,'Data Vlaue (Cr)'!$C:$FB,146)*100</f>
        <v>-67.02</v>
      </c>
      <c r="G125" s="49">
        <f>VLOOKUP($A125,'Data Vlaue (Cr)'!$C:$FB,43)</f>
        <v>153</v>
      </c>
      <c r="H125" s="49">
        <f>VLOOKUP($A125,'Data Vlaue (Cr)'!$C:$FB,44)</f>
        <v>939</v>
      </c>
      <c r="I125" s="49">
        <f>VLOOKUP($A125,'Data Vlaue (Cr)'!$C:$FB,46)*100</f>
        <v>-83.740000000000009</v>
      </c>
      <c r="J125" s="51">
        <f>VLOOKUP($A125,'Data Vlaue (Cr)'!$C:$FB,59)</f>
        <v>565</v>
      </c>
      <c r="K125" s="51">
        <f>VLOOKUP($A125,'Data Vlaue (Cr)'!$C:$FB,60)</f>
        <v>1123</v>
      </c>
      <c r="L125" s="51">
        <f>VLOOKUP($A125,'Data Vlaue (Cr)'!$C:$FB,62)*100</f>
        <v>-49.7</v>
      </c>
      <c r="M125" s="51">
        <f>VLOOKUP($A125,'Data Vlaue (Cr)'!$C:$FB,63)</f>
        <v>177</v>
      </c>
      <c r="N125" s="51">
        <f>VLOOKUP($A125,'Data Vlaue (Cr)'!$C:$FB,64)</f>
        <v>713</v>
      </c>
      <c r="O125" s="51">
        <f>VLOOKUP($A125,'Data Vlaue (Cr)'!$C:$FB,66)*100</f>
        <v>-75.19</v>
      </c>
    </row>
    <row r="126" spans="1:15" x14ac:dyDescent="0.25">
      <c r="A126" s="101" t="str">
        <f>'Data Vlaue (Cr)'!C121</f>
        <v>LUPIN</v>
      </c>
      <c r="B126" s="50">
        <f>VLOOKUP($A126,'Data Vlaue (Cr)'!$C:$FB,8)</f>
        <v>2129.5</v>
      </c>
      <c r="C126" s="50">
        <f>VLOOKUP($A126,'Data Vlaue (Cr)'!$C:$FB,11)*100</f>
        <v>-0.98</v>
      </c>
      <c r="D126" s="50">
        <f>VLOOKUP($A126,'Data Vlaue (Cr)'!$C:$FB,143)</f>
        <v>677.73</v>
      </c>
      <c r="E126" s="50">
        <f>VLOOKUP($A126,'Data Vlaue (Cr)'!$C:$FB,144)</f>
        <v>1725.85</v>
      </c>
      <c r="F126" s="50">
        <f>VLOOKUP($A126,'Data Vlaue (Cr)'!$C:$FB,146)*100</f>
        <v>-60.73</v>
      </c>
      <c r="G126" s="49">
        <f>VLOOKUP($A126,'Data Vlaue (Cr)'!$C:$FB,43)</f>
        <v>232</v>
      </c>
      <c r="H126" s="49">
        <f>VLOOKUP($A126,'Data Vlaue (Cr)'!$C:$FB,44)</f>
        <v>904</v>
      </c>
      <c r="I126" s="49">
        <f>VLOOKUP($A126,'Data Vlaue (Cr)'!$C:$FB,46)*100</f>
        <v>-74.36</v>
      </c>
      <c r="J126" s="51">
        <f>VLOOKUP($A126,'Data Vlaue (Cr)'!$C:$FB,59)</f>
        <v>302</v>
      </c>
      <c r="K126" s="51">
        <f>VLOOKUP($A126,'Data Vlaue (Cr)'!$C:$FB,60)</f>
        <v>633</v>
      </c>
      <c r="L126" s="51">
        <f>VLOOKUP($A126,'Data Vlaue (Cr)'!$C:$FB,62)*100</f>
        <v>-52.370000000000005</v>
      </c>
      <c r="M126" s="51">
        <f>VLOOKUP($A126,'Data Vlaue (Cr)'!$C:$FB,63)</f>
        <v>128</v>
      </c>
      <c r="N126" s="51">
        <f>VLOOKUP($A126,'Data Vlaue (Cr)'!$C:$FB,64)</f>
        <v>164</v>
      </c>
      <c r="O126" s="51">
        <f>VLOOKUP($A126,'Data Vlaue (Cr)'!$C:$FB,66)*100</f>
        <v>-22.09</v>
      </c>
    </row>
    <row r="127" spans="1:15" x14ac:dyDescent="0.25">
      <c r="A127" s="101" t="str">
        <f>'Data Vlaue (Cr)'!C122</f>
        <v>M&amp;M</v>
      </c>
      <c r="B127" s="50">
        <f>VLOOKUP($A127,'Data Vlaue (Cr)'!$C:$FB,8)</f>
        <v>3449.2</v>
      </c>
      <c r="C127" s="50">
        <f>VLOOKUP($A127,'Data Vlaue (Cr)'!$C:$FB,11)*100</f>
        <v>1.6400000000000001</v>
      </c>
      <c r="D127" s="50">
        <f>VLOOKUP($A127,'Data Vlaue (Cr)'!$C:$FB,143)</f>
        <v>4769.3</v>
      </c>
      <c r="E127" s="50">
        <f>VLOOKUP($A127,'Data Vlaue (Cr)'!$C:$FB,144)</f>
        <v>12015.77</v>
      </c>
      <c r="F127" s="50">
        <f>VLOOKUP($A127,'Data Vlaue (Cr)'!$C:$FB,146)*100</f>
        <v>-60.309999999999995</v>
      </c>
      <c r="G127" s="49">
        <f>VLOOKUP($A127,'Data Vlaue (Cr)'!$C:$FB,43)</f>
        <v>1196</v>
      </c>
      <c r="H127" s="49">
        <f>VLOOKUP($A127,'Data Vlaue (Cr)'!$C:$FB,44)</f>
        <v>3739</v>
      </c>
      <c r="I127" s="49">
        <f>VLOOKUP($A127,'Data Vlaue (Cr)'!$C:$FB,46)*100</f>
        <v>-68</v>
      </c>
      <c r="J127" s="51">
        <f>VLOOKUP($A127,'Data Vlaue (Cr)'!$C:$FB,59)</f>
        <v>1913</v>
      </c>
      <c r="K127" s="51">
        <f>VLOOKUP($A127,'Data Vlaue (Cr)'!$C:$FB,60)</f>
        <v>3878</v>
      </c>
      <c r="L127" s="51">
        <f>VLOOKUP($A127,'Data Vlaue (Cr)'!$C:$FB,62)*100</f>
        <v>-50.67</v>
      </c>
      <c r="M127" s="51">
        <f>VLOOKUP($A127,'Data Vlaue (Cr)'!$C:$FB,63)</f>
        <v>1607</v>
      </c>
      <c r="N127" s="51">
        <f>VLOOKUP($A127,'Data Vlaue (Cr)'!$C:$FB,64)</f>
        <v>4349</v>
      </c>
      <c r="O127" s="51">
        <f>VLOOKUP($A127,'Data Vlaue (Cr)'!$C:$FB,66)*100</f>
        <v>-63.06</v>
      </c>
    </row>
    <row r="128" spans="1:15" x14ac:dyDescent="0.25">
      <c r="A128" s="101" t="str">
        <f>'Data Vlaue (Cr)'!C123</f>
        <v>MANAPPURAM</v>
      </c>
      <c r="B128" s="50">
        <f>VLOOKUP($A128,'Data Vlaue (Cr)'!$C:$FB,8)</f>
        <v>291.7</v>
      </c>
      <c r="C128" s="50">
        <f>VLOOKUP($A128,'Data Vlaue (Cr)'!$C:$FB,11)*100</f>
        <v>-1.1499999999999999</v>
      </c>
      <c r="D128" s="50">
        <f>VLOOKUP($A128,'Data Vlaue (Cr)'!$C:$FB,143)</f>
        <v>1380.3</v>
      </c>
      <c r="E128" s="50">
        <f>VLOOKUP($A128,'Data Vlaue (Cr)'!$C:$FB,144)</f>
        <v>2171.84</v>
      </c>
      <c r="F128" s="50">
        <f>VLOOKUP($A128,'Data Vlaue (Cr)'!$C:$FB,146)*100</f>
        <v>-36.449999999999996</v>
      </c>
      <c r="G128" s="49">
        <f>VLOOKUP($A128,'Data Vlaue (Cr)'!$C:$FB,43)</f>
        <v>391</v>
      </c>
      <c r="H128" s="49">
        <f>VLOOKUP($A128,'Data Vlaue (Cr)'!$C:$FB,44)</f>
        <v>1001</v>
      </c>
      <c r="I128" s="49">
        <f>VLOOKUP($A128,'Data Vlaue (Cr)'!$C:$FB,46)*100</f>
        <v>-60.89</v>
      </c>
      <c r="J128" s="51">
        <f>VLOOKUP($A128,'Data Vlaue (Cr)'!$C:$FB,59)</f>
        <v>564</v>
      </c>
      <c r="K128" s="51">
        <f>VLOOKUP($A128,'Data Vlaue (Cr)'!$C:$FB,60)</f>
        <v>592</v>
      </c>
      <c r="L128" s="51">
        <f>VLOOKUP($A128,'Data Vlaue (Cr)'!$C:$FB,62)*100</f>
        <v>-4.66</v>
      </c>
      <c r="M128" s="51">
        <f>VLOOKUP($A128,'Data Vlaue (Cr)'!$C:$FB,63)</f>
        <v>375</v>
      </c>
      <c r="N128" s="51">
        <f>VLOOKUP($A128,'Data Vlaue (Cr)'!$C:$FB,64)</f>
        <v>530</v>
      </c>
      <c r="O128" s="51">
        <f>VLOOKUP($A128,'Data Vlaue (Cr)'!$C:$FB,66)*100</f>
        <v>-29.29</v>
      </c>
    </row>
    <row r="129" spans="1:15" x14ac:dyDescent="0.25">
      <c r="A129" s="101" t="str">
        <f>'Data Vlaue (Cr)'!C124</f>
        <v>MANKIND</v>
      </c>
      <c r="B129" s="50">
        <f>VLOOKUP($A129,'Data Vlaue (Cr)'!$C:$FB,8)</f>
        <v>2116.9</v>
      </c>
      <c r="C129" s="50">
        <f>VLOOKUP($A129,'Data Vlaue (Cr)'!$C:$FB,11)*100</f>
        <v>1.08</v>
      </c>
      <c r="D129" s="50">
        <f>VLOOKUP($A129,'Data Vlaue (Cr)'!$C:$FB,143)</f>
        <v>278.02999999999997</v>
      </c>
      <c r="E129" s="50">
        <f>VLOOKUP($A129,'Data Vlaue (Cr)'!$C:$FB,144)</f>
        <v>543.55999999999995</v>
      </c>
      <c r="F129" s="50">
        <f>VLOOKUP($A129,'Data Vlaue (Cr)'!$C:$FB,146)*100</f>
        <v>-48.85</v>
      </c>
      <c r="G129" s="49">
        <f>VLOOKUP($A129,'Data Vlaue (Cr)'!$C:$FB,43)</f>
        <v>119</v>
      </c>
      <c r="H129" s="49">
        <f>VLOOKUP($A129,'Data Vlaue (Cr)'!$C:$FB,44)</f>
        <v>262</v>
      </c>
      <c r="I129" s="49">
        <f>VLOOKUP($A129,'Data Vlaue (Cr)'!$C:$FB,46)*100</f>
        <v>-54.52</v>
      </c>
      <c r="J129" s="51">
        <f>VLOOKUP($A129,'Data Vlaue (Cr)'!$C:$FB,59)</f>
        <v>95</v>
      </c>
      <c r="K129" s="51">
        <f>VLOOKUP($A129,'Data Vlaue (Cr)'!$C:$FB,60)</f>
        <v>181</v>
      </c>
      <c r="L129" s="51">
        <f>VLOOKUP($A129,'Data Vlaue (Cr)'!$C:$FB,62)*100</f>
        <v>-47.56</v>
      </c>
      <c r="M129" s="51">
        <f>VLOOKUP($A129,'Data Vlaue (Cr)'!$C:$FB,63)</f>
        <v>60</v>
      </c>
      <c r="N129" s="51">
        <f>VLOOKUP($A129,'Data Vlaue (Cr)'!$C:$FB,64)</f>
        <v>93</v>
      </c>
      <c r="O129" s="51">
        <f>VLOOKUP($A129,'Data Vlaue (Cr)'!$C:$FB,66)*100</f>
        <v>-35.64</v>
      </c>
    </row>
    <row r="130" spans="1:15" x14ac:dyDescent="0.25">
      <c r="A130" s="101" t="str">
        <f>'Data Vlaue (Cr)'!C125</f>
        <v>MARICO</v>
      </c>
      <c r="B130" s="50">
        <f>VLOOKUP($A130,'Data Vlaue (Cr)'!$C:$FB,8)</f>
        <v>736.65</v>
      </c>
      <c r="C130" s="50">
        <f>VLOOKUP($A130,'Data Vlaue (Cr)'!$C:$FB,11)*100</f>
        <v>-1.23</v>
      </c>
      <c r="D130" s="50">
        <f>VLOOKUP($A130,'Data Vlaue (Cr)'!$C:$FB,143)</f>
        <v>2812.89</v>
      </c>
      <c r="E130" s="50">
        <f>VLOOKUP($A130,'Data Vlaue (Cr)'!$C:$FB,144)</f>
        <v>2228.81</v>
      </c>
      <c r="F130" s="50">
        <f>VLOOKUP($A130,'Data Vlaue (Cr)'!$C:$FB,146)*100</f>
        <v>26.21</v>
      </c>
      <c r="G130" s="49">
        <f>VLOOKUP($A130,'Data Vlaue (Cr)'!$C:$FB,43)</f>
        <v>481</v>
      </c>
      <c r="H130" s="49">
        <f>VLOOKUP($A130,'Data Vlaue (Cr)'!$C:$FB,44)</f>
        <v>994</v>
      </c>
      <c r="I130" s="49">
        <f>VLOOKUP($A130,'Data Vlaue (Cr)'!$C:$FB,46)*100</f>
        <v>-51.580000000000005</v>
      </c>
      <c r="J130" s="51">
        <f>VLOOKUP($A130,'Data Vlaue (Cr)'!$C:$FB,59)</f>
        <v>1289</v>
      </c>
      <c r="K130" s="51">
        <f>VLOOKUP($A130,'Data Vlaue (Cr)'!$C:$FB,60)</f>
        <v>742</v>
      </c>
      <c r="L130" s="51">
        <f>VLOOKUP($A130,'Data Vlaue (Cr)'!$C:$FB,62)*100</f>
        <v>73.64</v>
      </c>
      <c r="M130" s="51">
        <f>VLOOKUP($A130,'Data Vlaue (Cr)'!$C:$FB,63)</f>
        <v>994</v>
      </c>
      <c r="N130" s="51">
        <f>VLOOKUP($A130,'Data Vlaue (Cr)'!$C:$FB,64)</f>
        <v>451</v>
      </c>
      <c r="O130" s="51">
        <f>VLOOKUP($A130,'Data Vlaue (Cr)'!$C:$FB,66)*100</f>
        <v>120.24</v>
      </c>
    </row>
    <row r="131" spans="1:15" x14ac:dyDescent="0.25">
      <c r="A131" s="101" t="str">
        <f>'Data Vlaue (Cr)'!C126</f>
        <v>MARUTI</v>
      </c>
      <c r="B131" s="50">
        <f>VLOOKUP($A131,'Data Vlaue (Cr)'!$C:$FB,8)</f>
        <v>14877</v>
      </c>
      <c r="C131" s="50">
        <f>VLOOKUP($A131,'Data Vlaue (Cr)'!$C:$FB,11)*100</f>
        <v>-2.41</v>
      </c>
      <c r="D131" s="50">
        <f>VLOOKUP($A131,'Data Vlaue (Cr)'!$C:$FB,143)</f>
        <v>36838.35</v>
      </c>
      <c r="E131" s="50">
        <f>VLOOKUP($A131,'Data Vlaue (Cr)'!$C:$FB,144)</f>
        <v>20886.32</v>
      </c>
      <c r="F131" s="50">
        <f>VLOOKUP($A131,'Data Vlaue (Cr)'!$C:$FB,146)*100</f>
        <v>76.38000000000001</v>
      </c>
      <c r="G131" s="49">
        <f>VLOOKUP($A131,'Data Vlaue (Cr)'!$C:$FB,43)</f>
        <v>3817</v>
      </c>
      <c r="H131" s="49">
        <f>VLOOKUP($A131,'Data Vlaue (Cr)'!$C:$FB,44)</f>
        <v>2249</v>
      </c>
      <c r="I131" s="49">
        <f>VLOOKUP($A131,'Data Vlaue (Cr)'!$C:$FB,46)*100</f>
        <v>69.679999999999993</v>
      </c>
      <c r="J131" s="51">
        <f>VLOOKUP($A131,'Data Vlaue (Cr)'!$C:$FB,59)</f>
        <v>19701</v>
      </c>
      <c r="K131" s="51">
        <f>VLOOKUP($A131,'Data Vlaue (Cr)'!$C:$FB,60)</f>
        <v>9485</v>
      </c>
      <c r="L131" s="51">
        <f>VLOOKUP($A131,'Data Vlaue (Cr)'!$C:$FB,62)*100</f>
        <v>107.71</v>
      </c>
      <c r="M131" s="51">
        <f>VLOOKUP($A131,'Data Vlaue (Cr)'!$C:$FB,63)</f>
        <v>12169</v>
      </c>
      <c r="N131" s="51">
        <f>VLOOKUP($A131,'Data Vlaue (Cr)'!$C:$FB,64)</f>
        <v>8433</v>
      </c>
      <c r="O131" s="51">
        <f>VLOOKUP($A131,'Data Vlaue (Cr)'!$C:$FB,66)*100</f>
        <v>44.3</v>
      </c>
    </row>
    <row r="132" spans="1:15" x14ac:dyDescent="0.25">
      <c r="A132" s="101" t="str">
        <f>'Data Vlaue (Cr)'!C127</f>
        <v>MAXHEALTH</v>
      </c>
      <c r="B132" s="50">
        <f>VLOOKUP($A132,'Data Vlaue (Cr)'!$C:$FB,8)</f>
        <v>958.6</v>
      </c>
      <c r="C132" s="50">
        <f>VLOOKUP($A132,'Data Vlaue (Cr)'!$C:$FB,11)*100</f>
        <v>-1.73</v>
      </c>
      <c r="D132" s="50">
        <f>VLOOKUP($A132,'Data Vlaue (Cr)'!$C:$FB,143)</f>
        <v>630.74</v>
      </c>
      <c r="E132" s="50">
        <f>VLOOKUP($A132,'Data Vlaue (Cr)'!$C:$FB,144)</f>
        <v>1281.72</v>
      </c>
      <c r="F132" s="50">
        <f>VLOOKUP($A132,'Data Vlaue (Cr)'!$C:$FB,146)*100</f>
        <v>-50.79</v>
      </c>
      <c r="G132" s="49">
        <f>VLOOKUP($A132,'Data Vlaue (Cr)'!$C:$FB,43)</f>
        <v>255</v>
      </c>
      <c r="H132" s="49">
        <f>VLOOKUP($A132,'Data Vlaue (Cr)'!$C:$FB,44)</f>
        <v>782</v>
      </c>
      <c r="I132" s="49">
        <f>VLOOKUP($A132,'Data Vlaue (Cr)'!$C:$FB,46)*100</f>
        <v>-67.42</v>
      </c>
      <c r="J132" s="51">
        <f>VLOOKUP($A132,'Data Vlaue (Cr)'!$C:$FB,59)</f>
        <v>210</v>
      </c>
      <c r="K132" s="51">
        <f>VLOOKUP($A132,'Data Vlaue (Cr)'!$C:$FB,60)</f>
        <v>210</v>
      </c>
      <c r="L132" s="51">
        <f>VLOOKUP($A132,'Data Vlaue (Cr)'!$C:$FB,62)*100</f>
        <v>0</v>
      </c>
      <c r="M132" s="51">
        <f>VLOOKUP($A132,'Data Vlaue (Cr)'!$C:$FB,63)</f>
        <v>149</v>
      </c>
      <c r="N132" s="51">
        <f>VLOOKUP($A132,'Data Vlaue (Cr)'!$C:$FB,64)</f>
        <v>249</v>
      </c>
      <c r="O132" s="51">
        <f>VLOOKUP($A132,'Data Vlaue (Cr)'!$C:$FB,66)*100</f>
        <v>-39.96</v>
      </c>
    </row>
    <row r="133" spans="1:15" x14ac:dyDescent="0.25">
      <c r="A133" s="101" t="str">
        <f>'Data Vlaue (Cr)'!C128</f>
        <v>MAZDOCK</v>
      </c>
      <c r="B133" s="50">
        <f>VLOOKUP($A133,'Data Vlaue (Cr)'!$C:$FB,8)</f>
        <v>2505.6</v>
      </c>
      <c r="C133" s="50">
        <f>VLOOKUP($A133,'Data Vlaue (Cr)'!$C:$FB,11)*100</f>
        <v>7.3</v>
      </c>
      <c r="D133" s="50">
        <f>VLOOKUP($A133,'Data Vlaue (Cr)'!$C:$FB,143)</f>
        <v>2845.3</v>
      </c>
      <c r="E133" s="50">
        <f>VLOOKUP($A133,'Data Vlaue (Cr)'!$C:$FB,144)</f>
        <v>2665.06</v>
      </c>
      <c r="F133" s="50">
        <f>VLOOKUP($A133,'Data Vlaue (Cr)'!$C:$FB,146)*100</f>
        <v>6.76</v>
      </c>
      <c r="G133" s="49">
        <f>VLOOKUP($A133,'Data Vlaue (Cr)'!$C:$FB,43)</f>
        <v>438</v>
      </c>
      <c r="H133" s="49">
        <f>VLOOKUP($A133,'Data Vlaue (Cr)'!$C:$FB,44)</f>
        <v>1334</v>
      </c>
      <c r="I133" s="49">
        <f>VLOOKUP($A133,'Data Vlaue (Cr)'!$C:$FB,46)*100</f>
        <v>-67.150000000000006</v>
      </c>
      <c r="J133" s="51">
        <f>VLOOKUP($A133,'Data Vlaue (Cr)'!$C:$FB,59)</f>
        <v>1952</v>
      </c>
      <c r="K133" s="51">
        <f>VLOOKUP($A133,'Data Vlaue (Cr)'!$C:$FB,60)</f>
        <v>940</v>
      </c>
      <c r="L133" s="51">
        <f>VLOOKUP($A133,'Data Vlaue (Cr)'!$C:$FB,62)*100</f>
        <v>107.78000000000002</v>
      </c>
      <c r="M133" s="51">
        <f>VLOOKUP($A133,'Data Vlaue (Cr)'!$C:$FB,63)</f>
        <v>380</v>
      </c>
      <c r="N133" s="51">
        <f>VLOOKUP($A133,'Data Vlaue (Cr)'!$C:$FB,64)</f>
        <v>507</v>
      </c>
      <c r="O133" s="51">
        <f>VLOOKUP($A133,'Data Vlaue (Cr)'!$C:$FB,66)*100</f>
        <v>-25.069999999999997</v>
      </c>
    </row>
    <row r="134" spans="1:15" x14ac:dyDescent="0.25">
      <c r="A134" s="101" t="str">
        <f>'Data Vlaue (Cr)'!C129</f>
        <v>MCX</v>
      </c>
      <c r="B134" s="50">
        <f>VLOOKUP($A134,'Data Vlaue (Cr)'!$C:$FB,8)</f>
        <v>2593</v>
      </c>
      <c r="C134" s="50">
        <f>VLOOKUP($A134,'Data Vlaue (Cr)'!$C:$FB,11)*100</f>
        <v>7.24</v>
      </c>
      <c r="D134" s="50">
        <f>VLOOKUP($A134,'Data Vlaue (Cr)'!$C:$FB,143)</f>
        <v>16840.740000000002</v>
      </c>
      <c r="E134" s="50">
        <f>VLOOKUP($A134,'Data Vlaue (Cr)'!$C:$FB,144)</f>
        <v>28386.959999999999</v>
      </c>
      <c r="F134" s="50">
        <f>VLOOKUP($A134,'Data Vlaue (Cr)'!$C:$FB,146)*100</f>
        <v>-40.67</v>
      </c>
      <c r="G134" s="49">
        <f>VLOOKUP($A134,'Data Vlaue (Cr)'!$C:$FB,43)</f>
        <v>2650</v>
      </c>
      <c r="H134" s="49">
        <f>VLOOKUP($A134,'Data Vlaue (Cr)'!$C:$FB,44)</f>
        <v>4595</v>
      </c>
      <c r="I134" s="49">
        <f>VLOOKUP($A134,'Data Vlaue (Cr)'!$C:$FB,46)*100</f>
        <v>-42.32</v>
      </c>
      <c r="J134" s="51">
        <f>VLOOKUP($A134,'Data Vlaue (Cr)'!$C:$FB,59)</f>
        <v>9223</v>
      </c>
      <c r="K134" s="51">
        <f>VLOOKUP($A134,'Data Vlaue (Cr)'!$C:$FB,60)</f>
        <v>19412</v>
      </c>
      <c r="L134" s="51">
        <f>VLOOKUP($A134,'Data Vlaue (Cr)'!$C:$FB,62)*100</f>
        <v>-52.49</v>
      </c>
      <c r="M134" s="51">
        <f>VLOOKUP($A134,'Data Vlaue (Cr)'!$C:$FB,63)</f>
        <v>4802</v>
      </c>
      <c r="N134" s="51">
        <f>VLOOKUP($A134,'Data Vlaue (Cr)'!$C:$FB,64)</f>
        <v>6173</v>
      </c>
      <c r="O134" s="51">
        <f>VLOOKUP($A134,'Data Vlaue (Cr)'!$C:$FB,66)*100</f>
        <v>-22.21</v>
      </c>
    </row>
    <row r="135" spans="1:15" x14ac:dyDescent="0.25">
      <c r="A135" s="101" t="str">
        <f>'Data Vlaue (Cr)'!C130</f>
        <v>MFSL</v>
      </c>
      <c r="B135" s="50">
        <f>VLOOKUP($A135,'Data Vlaue (Cr)'!$C:$FB,8)</f>
        <v>1623.9</v>
      </c>
      <c r="C135" s="50">
        <f>VLOOKUP($A135,'Data Vlaue (Cr)'!$C:$FB,11)*100</f>
        <v>3</v>
      </c>
      <c r="D135" s="50">
        <f>VLOOKUP($A135,'Data Vlaue (Cr)'!$C:$FB,143)</f>
        <v>477.19</v>
      </c>
      <c r="E135" s="50">
        <f>VLOOKUP($A135,'Data Vlaue (Cr)'!$C:$FB,144)</f>
        <v>915.52</v>
      </c>
      <c r="F135" s="50">
        <f>VLOOKUP($A135,'Data Vlaue (Cr)'!$C:$FB,146)*100</f>
        <v>-47.88</v>
      </c>
      <c r="G135" s="49">
        <f>VLOOKUP($A135,'Data Vlaue (Cr)'!$C:$FB,43)</f>
        <v>216</v>
      </c>
      <c r="H135" s="49">
        <f>VLOOKUP($A135,'Data Vlaue (Cr)'!$C:$FB,44)</f>
        <v>601</v>
      </c>
      <c r="I135" s="49">
        <f>VLOOKUP($A135,'Data Vlaue (Cr)'!$C:$FB,46)*100</f>
        <v>-64.09</v>
      </c>
      <c r="J135" s="51">
        <f>VLOOKUP($A135,'Data Vlaue (Cr)'!$C:$FB,59)</f>
        <v>164</v>
      </c>
      <c r="K135" s="51">
        <f>VLOOKUP($A135,'Data Vlaue (Cr)'!$C:$FB,60)</f>
        <v>110</v>
      </c>
      <c r="L135" s="51">
        <f>VLOOKUP($A135,'Data Vlaue (Cr)'!$C:$FB,62)*100</f>
        <v>49.519999999999996</v>
      </c>
      <c r="M135" s="51">
        <f>VLOOKUP($A135,'Data Vlaue (Cr)'!$C:$FB,63)</f>
        <v>93</v>
      </c>
      <c r="N135" s="51">
        <f>VLOOKUP($A135,'Data Vlaue (Cr)'!$C:$FB,64)</f>
        <v>222</v>
      </c>
      <c r="O135" s="51">
        <f>VLOOKUP($A135,'Data Vlaue (Cr)'!$C:$FB,66)*100</f>
        <v>-58.02</v>
      </c>
    </row>
    <row r="136" spans="1:15" x14ac:dyDescent="0.25">
      <c r="A136" s="101" t="str">
        <f>'Data Vlaue (Cr)'!C131</f>
        <v>MIDCPNIFTY</v>
      </c>
      <c r="B136" s="50">
        <f>VLOOKUP($A136,'Data Vlaue (Cr)'!$C:$FB,8)</f>
        <v>13381.9</v>
      </c>
      <c r="C136" s="50">
        <f>VLOOKUP($A136,'Data Vlaue (Cr)'!$C:$FB,11)*100</f>
        <v>1.8599999999999999</v>
      </c>
      <c r="D136" s="50">
        <f>VLOOKUP($A136,'Data Vlaue (Cr)'!$C:$FB,143)</f>
        <v>37907.53</v>
      </c>
      <c r="E136" s="50">
        <f>VLOOKUP($A136,'Data Vlaue (Cr)'!$C:$FB,144)</f>
        <v>1499830.48</v>
      </c>
      <c r="F136" s="50">
        <f>VLOOKUP($A136,'Data Vlaue (Cr)'!$C:$FB,146)*100</f>
        <v>-97.47</v>
      </c>
      <c r="G136" s="49">
        <f>VLOOKUP($A136,'Data Vlaue (Cr)'!$C:$FB,43)</f>
        <v>1118</v>
      </c>
      <c r="H136" s="49">
        <f>VLOOKUP($A136,'Data Vlaue (Cr)'!$C:$FB,44)</f>
        <v>3307</v>
      </c>
      <c r="I136" s="49">
        <f>VLOOKUP($A136,'Data Vlaue (Cr)'!$C:$FB,46)*100</f>
        <v>-66.19</v>
      </c>
      <c r="J136" s="51">
        <f>VLOOKUP($A136,'Data Vlaue (Cr)'!$C:$FB,59)</f>
        <v>19740</v>
      </c>
      <c r="K136" s="51">
        <f>VLOOKUP($A136,'Data Vlaue (Cr)'!$C:$FB,60)</f>
        <v>814759</v>
      </c>
      <c r="L136" s="51">
        <f>VLOOKUP($A136,'Data Vlaue (Cr)'!$C:$FB,62)*100</f>
        <v>-97.58</v>
      </c>
      <c r="M136" s="51">
        <f>VLOOKUP($A136,'Data Vlaue (Cr)'!$C:$FB,63)</f>
        <v>16944</v>
      </c>
      <c r="N136" s="51">
        <f>VLOOKUP($A136,'Data Vlaue (Cr)'!$C:$FB,64)</f>
        <v>717894</v>
      </c>
      <c r="O136" s="51">
        <f>VLOOKUP($A136,'Data Vlaue (Cr)'!$C:$FB,66)*100</f>
        <v>-97.64</v>
      </c>
    </row>
    <row r="137" spans="1:15" x14ac:dyDescent="0.25">
      <c r="A137" s="101" t="str">
        <f>'Data Vlaue (Cr)'!C132</f>
        <v>MOTHERSON</v>
      </c>
      <c r="B137" s="50">
        <f>VLOOKUP($A137,'Data Vlaue (Cr)'!$C:$FB,8)</f>
        <v>111.43</v>
      </c>
      <c r="C137" s="50">
        <f>VLOOKUP($A137,'Data Vlaue (Cr)'!$C:$FB,11)*100</f>
        <v>1.6</v>
      </c>
      <c r="D137" s="50">
        <f>VLOOKUP($A137,'Data Vlaue (Cr)'!$C:$FB,143)</f>
        <v>722.62</v>
      </c>
      <c r="E137" s="50">
        <f>VLOOKUP($A137,'Data Vlaue (Cr)'!$C:$FB,144)</f>
        <v>1897.59</v>
      </c>
      <c r="F137" s="50">
        <f>VLOOKUP($A137,'Data Vlaue (Cr)'!$C:$FB,146)*100</f>
        <v>-61.919999999999995</v>
      </c>
      <c r="G137" s="49">
        <f>VLOOKUP($A137,'Data Vlaue (Cr)'!$C:$FB,43)</f>
        <v>298</v>
      </c>
      <c r="H137" s="49">
        <f>VLOOKUP($A137,'Data Vlaue (Cr)'!$C:$FB,44)</f>
        <v>852</v>
      </c>
      <c r="I137" s="49">
        <f>VLOOKUP($A137,'Data Vlaue (Cr)'!$C:$FB,46)*100</f>
        <v>-65.010000000000005</v>
      </c>
      <c r="J137" s="51">
        <f>VLOOKUP($A137,'Data Vlaue (Cr)'!$C:$FB,59)</f>
        <v>307</v>
      </c>
      <c r="K137" s="51">
        <f>VLOOKUP($A137,'Data Vlaue (Cr)'!$C:$FB,60)</f>
        <v>685</v>
      </c>
      <c r="L137" s="51">
        <f>VLOOKUP($A137,'Data Vlaue (Cr)'!$C:$FB,62)*100</f>
        <v>-55.179999999999993</v>
      </c>
      <c r="M137" s="51">
        <f>VLOOKUP($A137,'Data Vlaue (Cr)'!$C:$FB,63)</f>
        <v>102</v>
      </c>
      <c r="N137" s="51">
        <f>VLOOKUP($A137,'Data Vlaue (Cr)'!$C:$FB,64)</f>
        <v>354</v>
      </c>
      <c r="O137" s="51">
        <f>VLOOKUP($A137,'Data Vlaue (Cr)'!$C:$FB,66)*100</f>
        <v>-71.069999999999993</v>
      </c>
    </row>
    <row r="138" spans="1:15" x14ac:dyDescent="0.25">
      <c r="A138" s="101" t="str">
        <f>'Data Vlaue (Cr)'!C133</f>
        <v>MPHASIS</v>
      </c>
      <c r="B138" s="50">
        <f>VLOOKUP($A138,'Data Vlaue (Cr)'!$C:$FB,8)</f>
        <v>2833.7</v>
      </c>
      <c r="C138" s="50">
        <f>VLOOKUP($A138,'Data Vlaue (Cr)'!$C:$FB,11)*100</f>
        <v>0.98</v>
      </c>
      <c r="D138" s="50">
        <f>VLOOKUP($A138,'Data Vlaue (Cr)'!$C:$FB,143)</f>
        <v>450.77</v>
      </c>
      <c r="E138" s="50">
        <f>VLOOKUP($A138,'Data Vlaue (Cr)'!$C:$FB,144)</f>
        <v>1579.94</v>
      </c>
      <c r="F138" s="50">
        <f>VLOOKUP($A138,'Data Vlaue (Cr)'!$C:$FB,146)*100</f>
        <v>-71.47</v>
      </c>
      <c r="G138" s="49">
        <f>VLOOKUP($A138,'Data Vlaue (Cr)'!$C:$FB,43)</f>
        <v>146</v>
      </c>
      <c r="H138" s="49">
        <f>VLOOKUP($A138,'Data Vlaue (Cr)'!$C:$FB,44)</f>
        <v>712</v>
      </c>
      <c r="I138" s="49">
        <f>VLOOKUP($A138,'Data Vlaue (Cr)'!$C:$FB,46)*100</f>
        <v>-79.459999999999994</v>
      </c>
      <c r="J138" s="51">
        <f>VLOOKUP($A138,'Data Vlaue (Cr)'!$C:$FB,59)</f>
        <v>195</v>
      </c>
      <c r="K138" s="51">
        <f>VLOOKUP($A138,'Data Vlaue (Cr)'!$C:$FB,60)</f>
        <v>542</v>
      </c>
      <c r="L138" s="51">
        <f>VLOOKUP($A138,'Data Vlaue (Cr)'!$C:$FB,62)*100</f>
        <v>-63.980000000000004</v>
      </c>
      <c r="M138" s="51">
        <f>VLOOKUP($A138,'Data Vlaue (Cr)'!$C:$FB,63)</f>
        <v>102</v>
      </c>
      <c r="N138" s="51">
        <f>VLOOKUP($A138,'Data Vlaue (Cr)'!$C:$FB,64)</f>
        <v>336</v>
      </c>
      <c r="O138" s="51">
        <f>VLOOKUP($A138,'Data Vlaue (Cr)'!$C:$FB,66)*100</f>
        <v>-69.740000000000009</v>
      </c>
    </row>
    <row r="139" spans="1:15" x14ac:dyDescent="0.25">
      <c r="A139" s="101" t="str">
        <f>'Data Vlaue (Cr)'!C134</f>
        <v>MUTHOOTFIN</v>
      </c>
      <c r="B139" s="50">
        <f>VLOOKUP($A139,'Data Vlaue (Cr)'!$C:$FB,8)</f>
        <v>3955.5</v>
      </c>
      <c r="C139" s="50">
        <f>VLOOKUP($A139,'Data Vlaue (Cr)'!$C:$FB,11)*100</f>
        <v>2.2800000000000002</v>
      </c>
      <c r="D139" s="50">
        <f>VLOOKUP($A139,'Data Vlaue (Cr)'!$C:$FB,143)</f>
        <v>1232.8</v>
      </c>
      <c r="E139" s="50">
        <f>VLOOKUP($A139,'Data Vlaue (Cr)'!$C:$FB,144)</f>
        <v>2801.32</v>
      </c>
      <c r="F139" s="50">
        <f>VLOOKUP($A139,'Data Vlaue (Cr)'!$C:$FB,146)*100</f>
        <v>-55.989999999999995</v>
      </c>
      <c r="G139" s="49">
        <f>VLOOKUP($A139,'Data Vlaue (Cr)'!$C:$FB,43)</f>
        <v>430</v>
      </c>
      <c r="H139" s="49">
        <f>VLOOKUP($A139,'Data Vlaue (Cr)'!$C:$FB,44)</f>
        <v>822</v>
      </c>
      <c r="I139" s="49">
        <f>VLOOKUP($A139,'Data Vlaue (Cr)'!$C:$FB,46)*100</f>
        <v>-47.72</v>
      </c>
      <c r="J139" s="51">
        <f>VLOOKUP($A139,'Data Vlaue (Cr)'!$C:$FB,59)</f>
        <v>545</v>
      </c>
      <c r="K139" s="51">
        <f>VLOOKUP($A139,'Data Vlaue (Cr)'!$C:$FB,60)</f>
        <v>1233</v>
      </c>
      <c r="L139" s="51">
        <f>VLOOKUP($A139,'Data Vlaue (Cr)'!$C:$FB,62)*100</f>
        <v>-55.76</v>
      </c>
      <c r="M139" s="51">
        <f>VLOOKUP($A139,'Data Vlaue (Cr)'!$C:$FB,63)</f>
        <v>238</v>
      </c>
      <c r="N139" s="51">
        <f>VLOOKUP($A139,'Data Vlaue (Cr)'!$C:$FB,64)</f>
        <v>806</v>
      </c>
      <c r="O139" s="51">
        <f>VLOOKUP($A139,'Data Vlaue (Cr)'!$C:$FB,66)*100</f>
        <v>-70.509999999999991</v>
      </c>
    </row>
    <row r="140" spans="1:15" x14ac:dyDescent="0.25">
      <c r="A140" s="101" t="str">
        <f>'Data Vlaue (Cr)'!C135</f>
        <v>NATIONALUM</v>
      </c>
      <c r="B140" s="50">
        <f>VLOOKUP($A140,'Data Vlaue (Cr)'!$C:$FB,8)</f>
        <v>406.15</v>
      </c>
      <c r="C140" s="50">
        <f>VLOOKUP($A140,'Data Vlaue (Cr)'!$C:$FB,11)*100</f>
        <v>5.6000000000000005</v>
      </c>
      <c r="D140" s="50">
        <f>VLOOKUP($A140,'Data Vlaue (Cr)'!$C:$FB,143)</f>
        <v>6839.87</v>
      </c>
      <c r="E140" s="50">
        <f>VLOOKUP($A140,'Data Vlaue (Cr)'!$C:$FB,144)</f>
        <v>6385.47</v>
      </c>
      <c r="F140" s="50">
        <f>VLOOKUP($A140,'Data Vlaue (Cr)'!$C:$FB,146)*100</f>
        <v>7.12</v>
      </c>
      <c r="G140" s="49">
        <f>VLOOKUP($A140,'Data Vlaue (Cr)'!$C:$FB,43)</f>
        <v>1428</v>
      </c>
      <c r="H140" s="49">
        <f>VLOOKUP($A140,'Data Vlaue (Cr)'!$C:$FB,44)</f>
        <v>2007</v>
      </c>
      <c r="I140" s="49">
        <f>VLOOKUP($A140,'Data Vlaue (Cr)'!$C:$FB,46)*100</f>
        <v>-28.849999999999998</v>
      </c>
      <c r="J140" s="51">
        <f>VLOOKUP($A140,'Data Vlaue (Cr)'!$C:$FB,59)</f>
        <v>3756</v>
      </c>
      <c r="K140" s="51">
        <f>VLOOKUP($A140,'Data Vlaue (Cr)'!$C:$FB,60)</f>
        <v>3156</v>
      </c>
      <c r="L140" s="51">
        <f>VLOOKUP($A140,'Data Vlaue (Cr)'!$C:$FB,62)*100</f>
        <v>19.009999999999998</v>
      </c>
      <c r="M140" s="51">
        <f>VLOOKUP($A140,'Data Vlaue (Cr)'!$C:$FB,63)</f>
        <v>1607</v>
      </c>
      <c r="N140" s="51">
        <f>VLOOKUP($A140,'Data Vlaue (Cr)'!$C:$FB,64)</f>
        <v>1581</v>
      </c>
      <c r="O140" s="51">
        <f>VLOOKUP($A140,'Data Vlaue (Cr)'!$C:$FB,66)*100</f>
        <v>1.67</v>
      </c>
    </row>
    <row r="141" spans="1:15" x14ac:dyDescent="0.25">
      <c r="A141" s="101" t="str">
        <f>'Data Vlaue (Cr)'!C136</f>
        <v>NAUKRI</v>
      </c>
      <c r="B141" s="50">
        <f>VLOOKUP($A141,'Data Vlaue (Cr)'!$C:$FB,8)</f>
        <v>1299.9000000000001</v>
      </c>
      <c r="C141" s="50">
        <f>VLOOKUP($A141,'Data Vlaue (Cr)'!$C:$FB,11)*100</f>
        <v>1.63</v>
      </c>
      <c r="D141" s="50">
        <f>VLOOKUP($A141,'Data Vlaue (Cr)'!$C:$FB,143)</f>
        <v>540.79999999999995</v>
      </c>
      <c r="E141" s="50">
        <f>VLOOKUP($A141,'Data Vlaue (Cr)'!$C:$FB,144)</f>
        <v>1260.23</v>
      </c>
      <c r="F141" s="50">
        <f>VLOOKUP($A141,'Data Vlaue (Cr)'!$C:$FB,146)*100</f>
        <v>-57.089999999999996</v>
      </c>
      <c r="G141" s="49">
        <f>VLOOKUP($A141,'Data Vlaue (Cr)'!$C:$FB,43)</f>
        <v>191</v>
      </c>
      <c r="H141" s="49">
        <f>VLOOKUP($A141,'Data Vlaue (Cr)'!$C:$FB,44)</f>
        <v>441</v>
      </c>
      <c r="I141" s="49">
        <f>VLOOKUP($A141,'Data Vlaue (Cr)'!$C:$FB,46)*100</f>
        <v>-56.56</v>
      </c>
      <c r="J141" s="51">
        <f>VLOOKUP($A141,'Data Vlaue (Cr)'!$C:$FB,59)</f>
        <v>213</v>
      </c>
      <c r="K141" s="51">
        <f>VLOOKUP($A141,'Data Vlaue (Cr)'!$C:$FB,60)</f>
        <v>385</v>
      </c>
      <c r="L141" s="51">
        <f>VLOOKUP($A141,'Data Vlaue (Cr)'!$C:$FB,62)*100</f>
        <v>-44.800000000000004</v>
      </c>
      <c r="M141" s="51">
        <f>VLOOKUP($A141,'Data Vlaue (Cr)'!$C:$FB,63)</f>
        <v>132</v>
      </c>
      <c r="N141" s="51">
        <f>VLOOKUP($A141,'Data Vlaue (Cr)'!$C:$FB,64)</f>
        <v>434</v>
      </c>
      <c r="O141" s="51">
        <f>VLOOKUP($A141,'Data Vlaue (Cr)'!$C:$FB,66)*100</f>
        <v>-69.56</v>
      </c>
    </row>
    <row r="142" spans="1:15" x14ac:dyDescent="0.25">
      <c r="A142" s="101" t="str">
        <f>'Data Vlaue (Cr)'!C137</f>
        <v>NBCC</v>
      </c>
      <c r="B142" s="50">
        <f>VLOOKUP($A142,'Data Vlaue (Cr)'!$C:$FB,8)</f>
        <v>99.53</v>
      </c>
      <c r="C142" s="50">
        <f>VLOOKUP($A142,'Data Vlaue (Cr)'!$C:$FB,11)*100</f>
        <v>2.78</v>
      </c>
      <c r="D142" s="50">
        <f>VLOOKUP($A142,'Data Vlaue (Cr)'!$C:$FB,143)</f>
        <v>589.16</v>
      </c>
      <c r="E142" s="50">
        <f>VLOOKUP($A142,'Data Vlaue (Cr)'!$C:$FB,144)</f>
        <v>1376.77</v>
      </c>
      <c r="F142" s="50">
        <f>VLOOKUP($A142,'Data Vlaue (Cr)'!$C:$FB,146)*100</f>
        <v>-57.210000000000008</v>
      </c>
      <c r="G142" s="49">
        <f>VLOOKUP($A142,'Data Vlaue (Cr)'!$C:$FB,43)</f>
        <v>182</v>
      </c>
      <c r="H142" s="49">
        <f>VLOOKUP($A142,'Data Vlaue (Cr)'!$C:$FB,44)</f>
        <v>832</v>
      </c>
      <c r="I142" s="49">
        <f>VLOOKUP($A142,'Data Vlaue (Cr)'!$C:$FB,46)*100</f>
        <v>-78.17</v>
      </c>
      <c r="J142" s="51">
        <f>VLOOKUP($A142,'Data Vlaue (Cr)'!$C:$FB,59)</f>
        <v>289</v>
      </c>
      <c r="K142" s="51">
        <f>VLOOKUP($A142,'Data Vlaue (Cr)'!$C:$FB,60)</f>
        <v>320</v>
      </c>
      <c r="L142" s="51">
        <f>VLOOKUP($A142,'Data Vlaue (Cr)'!$C:$FB,62)*100</f>
        <v>-9.9</v>
      </c>
      <c r="M142" s="51">
        <f>VLOOKUP($A142,'Data Vlaue (Cr)'!$C:$FB,63)</f>
        <v>101</v>
      </c>
      <c r="N142" s="51">
        <f>VLOOKUP($A142,'Data Vlaue (Cr)'!$C:$FB,64)</f>
        <v>220</v>
      </c>
      <c r="O142" s="51">
        <f>VLOOKUP($A142,'Data Vlaue (Cr)'!$C:$FB,66)*100</f>
        <v>-54.04</v>
      </c>
    </row>
    <row r="143" spans="1:15" x14ac:dyDescent="0.25">
      <c r="A143" s="101" t="str">
        <f>'Data Vlaue (Cr)'!C138</f>
        <v>NESTLEIND</v>
      </c>
      <c r="B143" s="50">
        <f>VLOOKUP($A143,'Data Vlaue (Cr)'!$C:$FB,8)</f>
        <v>1292.4000000000001</v>
      </c>
      <c r="C143" s="50">
        <f>VLOOKUP($A143,'Data Vlaue (Cr)'!$C:$FB,11)*100</f>
        <v>-0.84</v>
      </c>
      <c r="D143" s="50">
        <f>VLOOKUP($A143,'Data Vlaue (Cr)'!$C:$FB,143)</f>
        <v>906.71</v>
      </c>
      <c r="E143" s="50">
        <f>VLOOKUP($A143,'Data Vlaue (Cr)'!$C:$FB,144)</f>
        <v>1633.56</v>
      </c>
      <c r="F143" s="50">
        <f>VLOOKUP($A143,'Data Vlaue (Cr)'!$C:$FB,146)*100</f>
        <v>-44.49</v>
      </c>
      <c r="G143" s="49">
        <f>VLOOKUP($A143,'Data Vlaue (Cr)'!$C:$FB,43)</f>
        <v>345</v>
      </c>
      <c r="H143" s="49">
        <f>VLOOKUP($A143,'Data Vlaue (Cr)'!$C:$FB,44)</f>
        <v>1061</v>
      </c>
      <c r="I143" s="49">
        <f>VLOOKUP($A143,'Data Vlaue (Cr)'!$C:$FB,46)*100</f>
        <v>-67.47999999999999</v>
      </c>
      <c r="J143" s="51">
        <f>VLOOKUP($A143,'Data Vlaue (Cr)'!$C:$FB,59)</f>
        <v>344</v>
      </c>
      <c r="K143" s="51">
        <f>VLOOKUP($A143,'Data Vlaue (Cr)'!$C:$FB,60)</f>
        <v>329</v>
      </c>
      <c r="L143" s="51">
        <f>VLOOKUP($A143,'Data Vlaue (Cr)'!$C:$FB,62)*100</f>
        <v>4.42</v>
      </c>
      <c r="M143" s="51">
        <f>VLOOKUP($A143,'Data Vlaue (Cr)'!$C:$FB,63)</f>
        <v>205</v>
      </c>
      <c r="N143" s="51">
        <f>VLOOKUP($A143,'Data Vlaue (Cr)'!$C:$FB,64)</f>
        <v>220</v>
      </c>
      <c r="O143" s="51">
        <f>VLOOKUP($A143,'Data Vlaue (Cr)'!$C:$FB,66)*100</f>
        <v>-6.84</v>
      </c>
    </row>
    <row r="144" spans="1:15" x14ac:dyDescent="0.25">
      <c r="A144" s="101" t="str">
        <f>'Data Vlaue (Cr)'!C139</f>
        <v>NHPC</v>
      </c>
      <c r="B144" s="50">
        <f>VLOOKUP($A144,'Data Vlaue (Cr)'!$C:$FB,8)</f>
        <v>78.89</v>
      </c>
      <c r="C144" s="50">
        <f>VLOOKUP($A144,'Data Vlaue (Cr)'!$C:$FB,11)*100</f>
        <v>4.99</v>
      </c>
      <c r="D144" s="50">
        <f>VLOOKUP($A144,'Data Vlaue (Cr)'!$C:$FB,143)</f>
        <v>437.12</v>
      </c>
      <c r="E144" s="50">
        <f>VLOOKUP($A144,'Data Vlaue (Cr)'!$C:$FB,144)</f>
        <v>1009.72</v>
      </c>
      <c r="F144" s="50">
        <f>VLOOKUP($A144,'Data Vlaue (Cr)'!$C:$FB,146)*100</f>
        <v>-56.710000000000008</v>
      </c>
      <c r="G144" s="49">
        <f>VLOOKUP($A144,'Data Vlaue (Cr)'!$C:$FB,43)</f>
        <v>106</v>
      </c>
      <c r="H144" s="49">
        <f>VLOOKUP($A144,'Data Vlaue (Cr)'!$C:$FB,44)</f>
        <v>607</v>
      </c>
      <c r="I144" s="49">
        <f>VLOOKUP($A144,'Data Vlaue (Cr)'!$C:$FB,46)*100</f>
        <v>-82.57</v>
      </c>
      <c r="J144" s="51">
        <f>VLOOKUP($A144,'Data Vlaue (Cr)'!$C:$FB,59)</f>
        <v>203</v>
      </c>
      <c r="K144" s="51">
        <f>VLOOKUP($A144,'Data Vlaue (Cr)'!$C:$FB,60)</f>
        <v>238</v>
      </c>
      <c r="L144" s="51">
        <f>VLOOKUP($A144,'Data Vlaue (Cr)'!$C:$FB,62)*100</f>
        <v>-14.729999999999999</v>
      </c>
      <c r="M144" s="51">
        <f>VLOOKUP($A144,'Data Vlaue (Cr)'!$C:$FB,63)</f>
        <v>121</v>
      </c>
      <c r="N144" s="51">
        <f>VLOOKUP($A144,'Data Vlaue (Cr)'!$C:$FB,64)</f>
        <v>187</v>
      </c>
      <c r="O144" s="51">
        <f>VLOOKUP($A144,'Data Vlaue (Cr)'!$C:$FB,66)*100</f>
        <v>-35.049999999999997</v>
      </c>
    </row>
    <row r="145" spans="1:15" x14ac:dyDescent="0.25">
      <c r="A145" s="101" t="str">
        <f>'Data Vlaue (Cr)'!C140</f>
        <v>NIFTY</v>
      </c>
      <c r="B145" s="50">
        <f>VLOOKUP($A145,'Data Vlaue (Cr)'!$C:$FB,8)</f>
        <v>25342.75</v>
      </c>
      <c r="C145" s="50">
        <f>VLOOKUP($A145,'Data Vlaue (Cr)'!$C:$FB,11)*100</f>
        <v>0.66</v>
      </c>
      <c r="D145" s="50">
        <f>VLOOKUP($A145,'Data Vlaue (Cr)'!$C:$FB,143)</f>
        <v>8001478.04</v>
      </c>
      <c r="E145" s="50">
        <f>VLOOKUP($A145,'Data Vlaue (Cr)'!$C:$FB,144)</f>
        <v>66043547.659999996</v>
      </c>
      <c r="F145" s="50">
        <f>VLOOKUP($A145,'Data Vlaue (Cr)'!$C:$FB,146)*100</f>
        <v>-87.88</v>
      </c>
      <c r="G145" s="49">
        <f>VLOOKUP($A145,'Data Vlaue (Cr)'!$C:$FB,43)</f>
        <v>19596</v>
      </c>
      <c r="H145" s="49">
        <f>VLOOKUP($A145,'Data Vlaue (Cr)'!$C:$FB,44)</f>
        <v>46199</v>
      </c>
      <c r="I145" s="49">
        <f>VLOOKUP($A145,'Data Vlaue (Cr)'!$C:$FB,46)*100</f>
        <v>-57.58</v>
      </c>
      <c r="J145" s="51">
        <f>VLOOKUP($A145,'Data Vlaue (Cr)'!$C:$FB,59)</f>
        <v>4119379</v>
      </c>
      <c r="K145" s="51">
        <f>VLOOKUP($A145,'Data Vlaue (Cr)'!$C:$FB,60)</f>
        <v>34851761</v>
      </c>
      <c r="L145" s="51">
        <f>VLOOKUP($A145,'Data Vlaue (Cr)'!$C:$FB,62)*100</f>
        <v>-88.18</v>
      </c>
      <c r="M145" s="51">
        <f>VLOOKUP($A145,'Data Vlaue (Cr)'!$C:$FB,63)</f>
        <v>3850906</v>
      </c>
      <c r="N145" s="51">
        <f>VLOOKUP($A145,'Data Vlaue (Cr)'!$C:$FB,64)</f>
        <v>31934966</v>
      </c>
      <c r="O145" s="51">
        <f>VLOOKUP($A145,'Data Vlaue (Cr)'!$C:$FB,66)*100</f>
        <v>-87.94</v>
      </c>
    </row>
    <row r="146" spans="1:15" x14ac:dyDescent="0.25">
      <c r="A146" s="101" t="str">
        <f>'Data Vlaue (Cr)'!C141</f>
        <v>NIFTYNXT50</v>
      </c>
      <c r="B146" s="50">
        <f>VLOOKUP($A146,'Data Vlaue (Cr)'!$C:$FB,8)</f>
        <v>68205.649999999994</v>
      </c>
      <c r="C146" s="50">
        <f>VLOOKUP($A146,'Data Vlaue (Cr)'!$C:$FB,11)*100</f>
        <v>2.2599999999999998</v>
      </c>
      <c r="D146" s="50">
        <f>VLOOKUP($A146,'Data Vlaue (Cr)'!$C:$FB,143)</f>
        <v>161.91999999999999</v>
      </c>
      <c r="E146" s="50">
        <f>VLOOKUP($A146,'Data Vlaue (Cr)'!$C:$FB,144)</f>
        <v>2744.31</v>
      </c>
      <c r="F146" s="50">
        <f>VLOOKUP($A146,'Data Vlaue (Cr)'!$C:$FB,146)*100</f>
        <v>-94.1</v>
      </c>
      <c r="G146" s="49">
        <f>VLOOKUP($A146,'Data Vlaue (Cr)'!$C:$FB,43)</f>
        <v>92</v>
      </c>
      <c r="H146" s="49">
        <f>VLOOKUP($A146,'Data Vlaue (Cr)'!$C:$FB,44)</f>
        <v>274</v>
      </c>
      <c r="I146" s="49">
        <f>VLOOKUP($A146,'Data Vlaue (Cr)'!$C:$FB,46)*100</f>
        <v>-66.600000000000009</v>
      </c>
      <c r="J146" s="51">
        <f>VLOOKUP($A146,'Data Vlaue (Cr)'!$C:$FB,59)</f>
        <v>43</v>
      </c>
      <c r="K146" s="51">
        <f>VLOOKUP($A146,'Data Vlaue (Cr)'!$C:$FB,60)</f>
        <v>1905</v>
      </c>
      <c r="L146" s="51">
        <f>VLOOKUP($A146,'Data Vlaue (Cr)'!$C:$FB,62)*100</f>
        <v>-97.740000000000009</v>
      </c>
      <c r="M146" s="51">
        <f>VLOOKUP($A146,'Data Vlaue (Cr)'!$C:$FB,63)</f>
        <v>28</v>
      </c>
      <c r="N146" s="51">
        <f>VLOOKUP($A146,'Data Vlaue (Cr)'!$C:$FB,64)</f>
        <v>625</v>
      </c>
      <c r="O146" s="51">
        <f>VLOOKUP($A146,'Data Vlaue (Cr)'!$C:$FB,66)*100</f>
        <v>-95.509999999999991</v>
      </c>
    </row>
    <row r="147" spans="1:15" x14ac:dyDescent="0.25">
      <c r="A147" s="101" t="str">
        <f>'Data Vlaue (Cr)'!C142</f>
        <v>NMDC</v>
      </c>
      <c r="B147" s="50">
        <f>VLOOKUP($A147,'Data Vlaue (Cr)'!$C:$FB,8)</f>
        <v>81.52</v>
      </c>
      <c r="C147" s="50">
        <f>VLOOKUP($A147,'Data Vlaue (Cr)'!$C:$FB,11)*100</f>
        <v>3.4000000000000004</v>
      </c>
      <c r="D147" s="50">
        <f>VLOOKUP($A147,'Data Vlaue (Cr)'!$C:$FB,143)</f>
        <v>1490.5</v>
      </c>
      <c r="E147" s="50">
        <f>VLOOKUP($A147,'Data Vlaue (Cr)'!$C:$FB,144)</f>
        <v>2326.92</v>
      </c>
      <c r="F147" s="50">
        <f>VLOOKUP($A147,'Data Vlaue (Cr)'!$C:$FB,146)*100</f>
        <v>-35.949999999999996</v>
      </c>
      <c r="G147" s="49">
        <f>VLOOKUP($A147,'Data Vlaue (Cr)'!$C:$FB,43)</f>
        <v>351</v>
      </c>
      <c r="H147" s="49">
        <f>VLOOKUP($A147,'Data Vlaue (Cr)'!$C:$FB,44)</f>
        <v>1378</v>
      </c>
      <c r="I147" s="49">
        <f>VLOOKUP($A147,'Data Vlaue (Cr)'!$C:$FB,46)*100</f>
        <v>-74.53</v>
      </c>
      <c r="J147" s="51">
        <f>VLOOKUP($A147,'Data Vlaue (Cr)'!$C:$FB,59)</f>
        <v>860</v>
      </c>
      <c r="K147" s="51">
        <f>VLOOKUP($A147,'Data Vlaue (Cr)'!$C:$FB,60)</f>
        <v>675</v>
      </c>
      <c r="L147" s="51">
        <f>VLOOKUP($A147,'Data Vlaue (Cr)'!$C:$FB,62)*100</f>
        <v>27.32</v>
      </c>
      <c r="M147" s="51">
        <f>VLOOKUP($A147,'Data Vlaue (Cr)'!$C:$FB,63)</f>
        <v>241</v>
      </c>
      <c r="N147" s="51">
        <f>VLOOKUP($A147,'Data Vlaue (Cr)'!$C:$FB,64)</f>
        <v>329</v>
      </c>
      <c r="O147" s="51">
        <f>VLOOKUP($A147,'Data Vlaue (Cr)'!$C:$FB,66)*100</f>
        <v>-26.900000000000002</v>
      </c>
    </row>
    <row r="148" spans="1:15" x14ac:dyDescent="0.25">
      <c r="A148" s="101" t="str">
        <f>'Data Vlaue (Cr)'!C143</f>
        <v>NTPC</v>
      </c>
      <c r="B148" s="50">
        <f>VLOOKUP($A148,'Data Vlaue (Cr)'!$C:$FB,8)</f>
        <v>348.05</v>
      </c>
      <c r="C148" s="50">
        <f>VLOOKUP($A148,'Data Vlaue (Cr)'!$C:$FB,11)*100</f>
        <v>0.97</v>
      </c>
      <c r="D148" s="50">
        <f>VLOOKUP($A148,'Data Vlaue (Cr)'!$C:$FB,143)</f>
        <v>2907.44</v>
      </c>
      <c r="E148" s="50">
        <f>VLOOKUP($A148,'Data Vlaue (Cr)'!$C:$FB,144)</f>
        <v>4404.18</v>
      </c>
      <c r="F148" s="50">
        <f>VLOOKUP($A148,'Data Vlaue (Cr)'!$C:$FB,146)*100</f>
        <v>-33.979999999999997</v>
      </c>
      <c r="G148" s="49">
        <f>VLOOKUP($A148,'Data Vlaue (Cr)'!$C:$FB,43)</f>
        <v>337</v>
      </c>
      <c r="H148" s="49">
        <f>VLOOKUP($A148,'Data Vlaue (Cr)'!$C:$FB,44)</f>
        <v>1646</v>
      </c>
      <c r="I148" s="49">
        <f>VLOOKUP($A148,'Data Vlaue (Cr)'!$C:$FB,46)*100</f>
        <v>-79.55</v>
      </c>
      <c r="J148" s="51">
        <f>VLOOKUP($A148,'Data Vlaue (Cr)'!$C:$FB,59)</f>
        <v>1755</v>
      </c>
      <c r="K148" s="51">
        <f>VLOOKUP($A148,'Data Vlaue (Cr)'!$C:$FB,60)</f>
        <v>1781</v>
      </c>
      <c r="L148" s="51">
        <f>VLOOKUP($A148,'Data Vlaue (Cr)'!$C:$FB,62)*100</f>
        <v>-1.46</v>
      </c>
      <c r="M148" s="51">
        <f>VLOOKUP($A148,'Data Vlaue (Cr)'!$C:$FB,63)</f>
        <v>720</v>
      </c>
      <c r="N148" s="51">
        <f>VLOOKUP($A148,'Data Vlaue (Cr)'!$C:$FB,64)</f>
        <v>1005</v>
      </c>
      <c r="O148" s="51">
        <f>VLOOKUP($A148,'Data Vlaue (Cr)'!$C:$FB,66)*100</f>
        <v>-28.389999999999997</v>
      </c>
    </row>
    <row r="149" spans="1:15" x14ac:dyDescent="0.25">
      <c r="A149" s="101" t="str">
        <f>'Data Vlaue (Cr)'!C144</f>
        <v>NUVAMA</v>
      </c>
      <c r="B149" s="50">
        <f>VLOOKUP($A149,'Data Vlaue (Cr)'!$C:$FB,8)</f>
        <v>1322.5</v>
      </c>
      <c r="C149" s="50">
        <f>VLOOKUP($A149,'Data Vlaue (Cr)'!$C:$FB,11)*100</f>
        <v>4.53</v>
      </c>
      <c r="D149" s="50">
        <f>VLOOKUP($A149,'Data Vlaue (Cr)'!$C:$FB,143)</f>
        <v>593.34</v>
      </c>
      <c r="E149" s="50">
        <f>VLOOKUP($A149,'Data Vlaue (Cr)'!$C:$FB,144)</f>
        <v>1006.23</v>
      </c>
      <c r="F149" s="50">
        <f>VLOOKUP($A149,'Data Vlaue (Cr)'!$C:$FB,146)*100</f>
        <v>-41.03</v>
      </c>
      <c r="G149" s="49">
        <f>VLOOKUP($A149,'Data Vlaue (Cr)'!$C:$FB,43)</f>
        <v>168</v>
      </c>
      <c r="H149" s="49">
        <f>VLOOKUP($A149,'Data Vlaue (Cr)'!$C:$FB,44)</f>
        <v>407</v>
      </c>
      <c r="I149" s="49">
        <f>VLOOKUP($A149,'Data Vlaue (Cr)'!$C:$FB,46)*100</f>
        <v>-58.86</v>
      </c>
      <c r="J149" s="51">
        <f>VLOOKUP($A149,'Data Vlaue (Cr)'!$C:$FB,59)</f>
        <v>286</v>
      </c>
      <c r="K149" s="51">
        <f>VLOOKUP($A149,'Data Vlaue (Cr)'!$C:$FB,60)</f>
        <v>319</v>
      </c>
      <c r="L149" s="51">
        <f>VLOOKUP($A149,'Data Vlaue (Cr)'!$C:$FB,62)*100</f>
        <v>-10.27</v>
      </c>
      <c r="M149" s="51">
        <f>VLOOKUP($A149,'Data Vlaue (Cr)'!$C:$FB,63)</f>
        <v>129</v>
      </c>
      <c r="N149" s="51">
        <f>VLOOKUP($A149,'Data Vlaue (Cr)'!$C:$FB,64)</f>
        <v>289</v>
      </c>
      <c r="O149" s="51">
        <f>VLOOKUP($A149,'Data Vlaue (Cr)'!$C:$FB,66)*100</f>
        <v>-55.389999999999993</v>
      </c>
    </row>
    <row r="150" spans="1:15" x14ac:dyDescent="0.25">
      <c r="A150" s="101" t="str">
        <f>'Data Vlaue (Cr)'!C145</f>
        <v>NYKAA</v>
      </c>
      <c r="B150" s="50">
        <f>VLOOKUP($A150,'Data Vlaue (Cr)'!$C:$FB,8)</f>
        <v>237.2</v>
      </c>
      <c r="C150" s="50">
        <f>VLOOKUP($A150,'Data Vlaue (Cr)'!$C:$FB,11)*100</f>
        <v>0.3</v>
      </c>
      <c r="D150" s="50">
        <f>VLOOKUP($A150,'Data Vlaue (Cr)'!$C:$FB,143)</f>
        <v>359.08</v>
      </c>
      <c r="E150" s="50">
        <f>VLOOKUP($A150,'Data Vlaue (Cr)'!$C:$FB,144)</f>
        <v>1195.7</v>
      </c>
      <c r="F150" s="50">
        <f>VLOOKUP($A150,'Data Vlaue (Cr)'!$C:$FB,146)*100</f>
        <v>-69.97</v>
      </c>
      <c r="G150" s="49">
        <f>VLOOKUP($A150,'Data Vlaue (Cr)'!$C:$FB,43)</f>
        <v>148</v>
      </c>
      <c r="H150" s="49">
        <f>VLOOKUP($A150,'Data Vlaue (Cr)'!$C:$FB,44)</f>
        <v>804</v>
      </c>
      <c r="I150" s="49">
        <f>VLOOKUP($A150,'Data Vlaue (Cr)'!$C:$FB,46)*100</f>
        <v>-81.62</v>
      </c>
      <c r="J150" s="51">
        <f>VLOOKUP($A150,'Data Vlaue (Cr)'!$C:$FB,59)</f>
        <v>108</v>
      </c>
      <c r="K150" s="51">
        <f>VLOOKUP($A150,'Data Vlaue (Cr)'!$C:$FB,60)</f>
        <v>168</v>
      </c>
      <c r="L150" s="51">
        <f>VLOOKUP($A150,'Data Vlaue (Cr)'!$C:$FB,62)*100</f>
        <v>-36.049999999999997</v>
      </c>
      <c r="M150" s="51">
        <f>VLOOKUP($A150,'Data Vlaue (Cr)'!$C:$FB,63)</f>
        <v>96</v>
      </c>
      <c r="N150" s="51">
        <f>VLOOKUP($A150,'Data Vlaue (Cr)'!$C:$FB,64)</f>
        <v>218</v>
      </c>
      <c r="O150" s="51">
        <f>VLOOKUP($A150,'Data Vlaue (Cr)'!$C:$FB,66)*100</f>
        <v>-55.76</v>
      </c>
    </row>
    <row r="151" spans="1:15" x14ac:dyDescent="0.25">
      <c r="A151" s="101" t="str">
        <f>'Data Vlaue (Cr)'!C146</f>
        <v>OBEROIRLTY</v>
      </c>
      <c r="B151" s="50">
        <f>VLOOKUP($A151,'Data Vlaue (Cr)'!$C:$FB,8)</f>
        <v>1483.2</v>
      </c>
      <c r="C151" s="50">
        <f>VLOOKUP($A151,'Data Vlaue (Cr)'!$C:$FB,11)*100</f>
        <v>1.06</v>
      </c>
      <c r="D151" s="50">
        <f>VLOOKUP($A151,'Data Vlaue (Cr)'!$C:$FB,143)</f>
        <v>404.59</v>
      </c>
      <c r="E151" s="50">
        <f>VLOOKUP($A151,'Data Vlaue (Cr)'!$C:$FB,144)</f>
        <v>917.61</v>
      </c>
      <c r="F151" s="50">
        <f>VLOOKUP($A151,'Data Vlaue (Cr)'!$C:$FB,146)*100</f>
        <v>-55.910000000000004</v>
      </c>
      <c r="G151" s="49">
        <f>VLOOKUP($A151,'Data Vlaue (Cr)'!$C:$FB,43)</f>
        <v>146</v>
      </c>
      <c r="H151" s="49">
        <f>VLOOKUP($A151,'Data Vlaue (Cr)'!$C:$FB,44)</f>
        <v>492</v>
      </c>
      <c r="I151" s="49">
        <f>VLOOKUP($A151,'Data Vlaue (Cr)'!$C:$FB,46)*100</f>
        <v>-70.39</v>
      </c>
      <c r="J151" s="51">
        <f>VLOOKUP($A151,'Data Vlaue (Cr)'!$C:$FB,59)</f>
        <v>143</v>
      </c>
      <c r="K151" s="51">
        <f>VLOOKUP($A151,'Data Vlaue (Cr)'!$C:$FB,60)</f>
        <v>245</v>
      </c>
      <c r="L151" s="51">
        <f>VLOOKUP($A151,'Data Vlaue (Cr)'!$C:$FB,62)*100</f>
        <v>-41.52</v>
      </c>
      <c r="M151" s="51">
        <f>VLOOKUP($A151,'Data Vlaue (Cr)'!$C:$FB,63)</f>
        <v>109</v>
      </c>
      <c r="N151" s="51">
        <f>VLOOKUP($A151,'Data Vlaue (Cr)'!$C:$FB,64)</f>
        <v>165</v>
      </c>
      <c r="O151" s="51">
        <f>VLOOKUP($A151,'Data Vlaue (Cr)'!$C:$FB,66)*100</f>
        <v>-33.950000000000003</v>
      </c>
    </row>
    <row r="152" spans="1:15" x14ac:dyDescent="0.25">
      <c r="A152" s="101" t="str">
        <f>'Data Vlaue (Cr)'!C147</f>
        <v>OFSS</v>
      </c>
      <c r="B152" s="50">
        <f>VLOOKUP($A152,'Data Vlaue (Cr)'!$C:$FB,8)</f>
        <v>8012.5</v>
      </c>
      <c r="C152" s="50">
        <f>VLOOKUP($A152,'Data Vlaue (Cr)'!$C:$FB,11)*100</f>
        <v>0.08</v>
      </c>
      <c r="D152" s="50">
        <f>VLOOKUP($A152,'Data Vlaue (Cr)'!$C:$FB,143)</f>
        <v>468.52</v>
      </c>
      <c r="E152" s="50">
        <f>VLOOKUP($A152,'Data Vlaue (Cr)'!$C:$FB,144)</f>
        <v>1948.89</v>
      </c>
      <c r="F152" s="50">
        <f>VLOOKUP($A152,'Data Vlaue (Cr)'!$C:$FB,146)*100</f>
        <v>-75.960000000000008</v>
      </c>
      <c r="G152" s="49">
        <f>VLOOKUP($A152,'Data Vlaue (Cr)'!$C:$FB,43)</f>
        <v>130</v>
      </c>
      <c r="H152" s="49">
        <f>VLOOKUP($A152,'Data Vlaue (Cr)'!$C:$FB,44)</f>
        <v>664</v>
      </c>
      <c r="I152" s="49">
        <f>VLOOKUP($A152,'Data Vlaue (Cr)'!$C:$FB,46)*100</f>
        <v>-80.34</v>
      </c>
      <c r="J152" s="51">
        <f>VLOOKUP($A152,'Data Vlaue (Cr)'!$C:$FB,59)</f>
        <v>222</v>
      </c>
      <c r="K152" s="51">
        <f>VLOOKUP($A152,'Data Vlaue (Cr)'!$C:$FB,60)</f>
        <v>721</v>
      </c>
      <c r="L152" s="51">
        <f>VLOOKUP($A152,'Data Vlaue (Cr)'!$C:$FB,62)*100</f>
        <v>-69.22</v>
      </c>
      <c r="M152" s="51">
        <f>VLOOKUP($A152,'Data Vlaue (Cr)'!$C:$FB,63)</f>
        <v>106</v>
      </c>
      <c r="N152" s="51">
        <f>VLOOKUP($A152,'Data Vlaue (Cr)'!$C:$FB,64)</f>
        <v>562</v>
      </c>
      <c r="O152" s="51">
        <f>VLOOKUP($A152,'Data Vlaue (Cr)'!$C:$FB,66)*100</f>
        <v>-81.069999999999993</v>
      </c>
    </row>
    <row r="153" spans="1:15" x14ac:dyDescent="0.25">
      <c r="A153" s="101" t="str">
        <f>'Data Vlaue (Cr)'!C148</f>
        <v>OIL</v>
      </c>
      <c r="B153" s="50">
        <f>VLOOKUP($A153,'Data Vlaue (Cr)'!$C:$FB,8)</f>
        <v>490.5</v>
      </c>
      <c r="C153" s="50">
        <f>VLOOKUP($A153,'Data Vlaue (Cr)'!$C:$FB,11)*100</f>
        <v>9.35</v>
      </c>
      <c r="D153" s="50">
        <f>VLOOKUP($A153,'Data Vlaue (Cr)'!$C:$FB,143)</f>
        <v>4731.63</v>
      </c>
      <c r="E153" s="50">
        <f>VLOOKUP($A153,'Data Vlaue (Cr)'!$C:$FB,144)</f>
        <v>1132.1400000000001</v>
      </c>
      <c r="F153" s="50">
        <f>VLOOKUP($A153,'Data Vlaue (Cr)'!$C:$FB,146)*100</f>
        <v>317.94</v>
      </c>
      <c r="G153" s="49">
        <f>VLOOKUP($A153,'Data Vlaue (Cr)'!$C:$FB,43)</f>
        <v>901</v>
      </c>
      <c r="H153" s="49">
        <f>VLOOKUP($A153,'Data Vlaue (Cr)'!$C:$FB,44)</f>
        <v>443</v>
      </c>
      <c r="I153" s="49">
        <f>VLOOKUP($A153,'Data Vlaue (Cr)'!$C:$FB,46)*100</f>
        <v>103.17</v>
      </c>
      <c r="J153" s="51">
        <f>VLOOKUP($A153,'Data Vlaue (Cr)'!$C:$FB,59)</f>
        <v>2874</v>
      </c>
      <c r="K153" s="51">
        <f>VLOOKUP($A153,'Data Vlaue (Cr)'!$C:$FB,60)</f>
        <v>659</v>
      </c>
      <c r="L153" s="51">
        <f>VLOOKUP($A153,'Data Vlaue (Cr)'!$C:$FB,62)*100</f>
        <v>336</v>
      </c>
      <c r="M153" s="51">
        <f>VLOOKUP($A153,'Data Vlaue (Cr)'!$C:$FB,63)</f>
        <v>856</v>
      </c>
      <c r="N153" s="51">
        <f>VLOOKUP($A153,'Data Vlaue (Cr)'!$C:$FB,64)</f>
        <v>117</v>
      </c>
      <c r="O153" s="51">
        <f>VLOOKUP($A153,'Data Vlaue (Cr)'!$C:$FB,66)*100</f>
        <v>632.80000000000007</v>
      </c>
    </row>
    <row r="154" spans="1:15" x14ac:dyDescent="0.25">
      <c r="A154" s="101" t="str">
        <f>'Data Vlaue (Cr)'!C149</f>
        <v>ONGC</v>
      </c>
      <c r="B154" s="50">
        <f>VLOOKUP($A154,'Data Vlaue (Cr)'!$C:$FB,8)</f>
        <v>268.58</v>
      </c>
      <c r="C154" s="50">
        <f>VLOOKUP($A154,'Data Vlaue (Cr)'!$C:$FB,11)*100</f>
        <v>8.32</v>
      </c>
      <c r="D154" s="50">
        <f>VLOOKUP($A154,'Data Vlaue (Cr)'!$C:$FB,143)</f>
        <v>10014.41</v>
      </c>
      <c r="E154" s="50">
        <f>VLOOKUP($A154,'Data Vlaue (Cr)'!$C:$FB,144)</f>
        <v>5945.92</v>
      </c>
      <c r="F154" s="50">
        <f>VLOOKUP($A154,'Data Vlaue (Cr)'!$C:$FB,146)*100</f>
        <v>68.430000000000007</v>
      </c>
      <c r="G154" s="49">
        <f>VLOOKUP($A154,'Data Vlaue (Cr)'!$C:$FB,43)</f>
        <v>1545</v>
      </c>
      <c r="H154" s="49">
        <f>VLOOKUP($A154,'Data Vlaue (Cr)'!$C:$FB,44)</f>
        <v>2931</v>
      </c>
      <c r="I154" s="49">
        <f>VLOOKUP($A154,'Data Vlaue (Cr)'!$C:$FB,46)*100</f>
        <v>-47.28</v>
      </c>
      <c r="J154" s="51">
        <f>VLOOKUP($A154,'Data Vlaue (Cr)'!$C:$FB,59)</f>
        <v>6246</v>
      </c>
      <c r="K154" s="51">
        <f>VLOOKUP($A154,'Data Vlaue (Cr)'!$C:$FB,60)</f>
        <v>2529</v>
      </c>
      <c r="L154" s="51">
        <f>VLOOKUP($A154,'Data Vlaue (Cr)'!$C:$FB,62)*100</f>
        <v>146.94</v>
      </c>
      <c r="M154" s="51">
        <f>VLOOKUP($A154,'Data Vlaue (Cr)'!$C:$FB,63)</f>
        <v>2159</v>
      </c>
      <c r="N154" s="51">
        <f>VLOOKUP($A154,'Data Vlaue (Cr)'!$C:$FB,64)</f>
        <v>927</v>
      </c>
      <c r="O154" s="51">
        <f>VLOOKUP($A154,'Data Vlaue (Cr)'!$C:$FB,66)*100</f>
        <v>132.80000000000001</v>
      </c>
    </row>
    <row r="155" spans="1:15" x14ac:dyDescent="0.25">
      <c r="A155" s="101" t="str">
        <f>'Data Vlaue (Cr)'!C150</f>
        <v>PAGEIND</v>
      </c>
      <c r="B155" s="50">
        <f>VLOOKUP($A155,'Data Vlaue (Cr)'!$C:$FB,8)</f>
        <v>32615</v>
      </c>
      <c r="C155" s="50">
        <f>VLOOKUP($A155,'Data Vlaue (Cr)'!$C:$FB,11)*100</f>
        <v>0.28999999999999998</v>
      </c>
      <c r="D155" s="50">
        <f>VLOOKUP($A155,'Data Vlaue (Cr)'!$C:$FB,143)</f>
        <v>413.96</v>
      </c>
      <c r="E155" s="50">
        <f>VLOOKUP($A155,'Data Vlaue (Cr)'!$C:$FB,144)</f>
        <v>1207.52</v>
      </c>
      <c r="F155" s="50">
        <f>VLOOKUP($A155,'Data Vlaue (Cr)'!$C:$FB,146)*100</f>
        <v>-65.72</v>
      </c>
      <c r="G155" s="49">
        <f>VLOOKUP($A155,'Data Vlaue (Cr)'!$C:$FB,43)</f>
        <v>104</v>
      </c>
      <c r="H155" s="49">
        <f>VLOOKUP($A155,'Data Vlaue (Cr)'!$C:$FB,44)</f>
        <v>472</v>
      </c>
      <c r="I155" s="49">
        <f>VLOOKUP($A155,'Data Vlaue (Cr)'!$C:$FB,46)*100</f>
        <v>-77.95</v>
      </c>
      <c r="J155" s="51">
        <f>VLOOKUP($A155,'Data Vlaue (Cr)'!$C:$FB,59)</f>
        <v>225</v>
      </c>
      <c r="K155" s="51">
        <f>VLOOKUP($A155,'Data Vlaue (Cr)'!$C:$FB,60)</f>
        <v>487</v>
      </c>
      <c r="L155" s="51">
        <f>VLOOKUP($A155,'Data Vlaue (Cr)'!$C:$FB,62)*100</f>
        <v>-53.779999999999994</v>
      </c>
      <c r="M155" s="51">
        <f>VLOOKUP($A155,'Data Vlaue (Cr)'!$C:$FB,63)</f>
        <v>57</v>
      </c>
      <c r="N155" s="51">
        <f>VLOOKUP($A155,'Data Vlaue (Cr)'!$C:$FB,64)</f>
        <v>198</v>
      </c>
      <c r="O155" s="51">
        <f>VLOOKUP($A155,'Data Vlaue (Cr)'!$C:$FB,66)*100</f>
        <v>-71.34</v>
      </c>
    </row>
    <row r="156" spans="1:15" x14ac:dyDescent="0.25">
      <c r="A156" s="101" t="str">
        <f>'Data Vlaue (Cr)'!C151</f>
        <v>PATANJALI</v>
      </c>
      <c r="B156" s="50">
        <f>VLOOKUP($A156,'Data Vlaue (Cr)'!$C:$FB,8)</f>
        <v>505.75</v>
      </c>
      <c r="C156" s="50">
        <f>VLOOKUP($A156,'Data Vlaue (Cr)'!$C:$FB,11)*100</f>
        <v>0.53</v>
      </c>
      <c r="D156" s="50">
        <f>VLOOKUP($A156,'Data Vlaue (Cr)'!$C:$FB,143)</f>
        <v>444.62</v>
      </c>
      <c r="E156" s="50">
        <f>VLOOKUP($A156,'Data Vlaue (Cr)'!$C:$FB,144)</f>
        <v>826.41</v>
      </c>
      <c r="F156" s="50">
        <f>VLOOKUP($A156,'Data Vlaue (Cr)'!$C:$FB,146)*100</f>
        <v>-46.2</v>
      </c>
      <c r="G156" s="49">
        <f>VLOOKUP($A156,'Data Vlaue (Cr)'!$C:$FB,43)</f>
        <v>251</v>
      </c>
      <c r="H156" s="49">
        <f>VLOOKUP($A156,'Data Vlaue (Cr)'!$C:$FB,44)</f>
        <v>599</v>
      </c>
      <c r="I156" s="49">
        <f>VLOOKUP($A156,'Data Vlaue (Cr)'!$C:$FB,46)*100</f>
        <v>-58.07</v>
      </c>
      <c r="J156" s="51">
        <f>VLOOKUP($A156,'Data Vlaue (Cr)'!$C:$FB,59)</f>
        <v>112</v>
      </c>
      <c r="K156" s="51">
        <f>VLOOKUP($A156,'Data Vlaue (Cr)'!$C:$FB,60)</f>
        <v>114</v>
      </c>
      <c r="L156" s="51">
        <f>VLOOKUP($A156,'Data Vlaue (Cr)'!$C:$FB,62)*100</f>
        <v>-1.24</v>
      </c>
      <c r="M156" s="51">
        <f>VLOOKUP($A156,'Data Vlaue (Cr)'!$C:$FB,63)</f>
        <v>76</v>
      </c>
      <c r="N156" s="51">
        <f>VLOOKUP($A156,'Data Vlaue (Cr)'!$C:$FB,64)</f>
        <v>110</v>
      </c>
      <c r="O156" s="51">
        <f>VLOOKUP($A156,'Data Vlaue (Cr)'!$C:$FB,66)*100</f>
        <v>-30.270000000000003</v>
      </c>
    </row>
    <row r="157" spans="1:15" x14ac:dyDescent="0.25">
      <c r="A157" s="101" t="str">
        <f>'Data Vlaue (Cr)'!C152</f>
        <v>PAYTM</v>
      </c>
      <c r="B157" s="50">
        <f>VLOOKUP($A157,'Data Vlaue (Cr)'!$C:$FB,8)</f>
        <v>1177</v>
      </c>
      <c r="C157" s="50">
        <f>VLOOKUP($A157,'Data Vlaue (Cr)'!$C:$FB,11)*100</f>
        <v>2.81</v>
      </c>
      <c r="D157" s="50">
        <f>VLOOKUP($A157,'Data Vlaue (Cr)'!$C:$FB,143)</f>
        <v>2156.92</v>
      </c>
      <c r="E157" s="50">
        <f>VLOOKUP($A157,'Data Vlaue (Cr)'!$C:$FB,144)</f>
        <v>6555.93</v>
      </c>
      <c r="F157" s="50">
        <f>VLOOKUP($A157,'Data Vlaue (Cr)'!$C:$FB,146)*100</f>
        <v>-67.100000000000009</v>
      </c>
      <c r="G157" s="49">
        <f>VLOOKUP($A157,'Data Vlaue (Cr)'!$C:$FB,43)</f>
        <v>582</v>
      </c>
      <c r="H157" s="49">
        <f>VLOOKUP($A157,'Data Vlaue (Cr)'!$C:$FB,44)</f>
        <v>1839</v>
      </c>
      <c r="I157" s="49">
        <f>VLOOKUP($A157,'Data Vlaue (Cr)'!$C:$FB,46)*100</f>
        <v>-68.34</v>
      </c>
      <c r="J157" s="51">
        <f>VLOOKUP($A157,'Data Vlaue (Cr)'!$C:$FB,59)</f>
        <v>1116</v>
      </c>
      <c r="K157" s="51">
        <f>VLOOKUP($A157,'Data Vlaue (Cr)'!$C:$FB,60)</f>
        <v>2734</v>
      </c>
      <c r="L157" s="51">
        <f>VLOOKUP($A157,'Data Vlaue (Cr)'!$C:$FB,62)*100</f>
        <v>-59.17</v>
      </c>
      <c r="M157" s="51">
        <f>VLOOKUP($A157,'Data Vlaue (Cr)'!$C:$FB,63)</f>
        <v>388</v>
      </c>
      <c r="N157" s="51">
        <f>VLOOKUP($A157,'Data Vlaue (Cr)'!$C:$FB,64)</f>
        <v>1989</v>
      </c>
      <c r="O157" s="51">
        <f>VLOOKUP($A157,'Data Vlaue (Cr)'!$C:$FB,66)*100</f>
        <v>-80.52</v>
      </c>
    </row>
    <row r="158" spans="1:15" x14ac:dyDescent="0.25">
      <c r="A158" s="101" t="str">
        <f>'Data Vlaue (Cr)'!C153</f>
        <v>PERSISTENT</v>
      </c>
      <c r="B158" s="50">
        <f>VLOOKUP($A158,'Data Vlaue (Cr)'!$C:$FB,8)</f>
        <v>6213</v>
      </c>
      <c r="C158" s="50">
        <f>VLOOKUP($A158,'Data Vlaue (Cr)'!$C:$FB,11)*100</f>
        <v>-0.05</v>
      </c>
      <c r="D158" s="50">
        <f>VLOOKUP($A158,'Data Vlaue (Cr)'!$C:$FB,143)</f>
        <v>1658.28</v>
      </c>
      <c r="E158" s="50">
        <f>VLOOKUP($A158,'Data Vlaue (Cr)'!$C:$FB,144)</f>
        <v>2606.09</v>
      </c>
      <c r="F158" s="50">
        <f>VLOOKUP($A158,'Data Vlaue (Cr)'!$C:$FB,146)*100</f>
        <v>-36.370000000000005</v>
      </c>
      <c r="G158" s="49">
        <f>VLOOKUP($A158,'Data Vlaue (Cr)'!$C:$FB,43)</f>
        <v>477</v>
      </c>
      <c r="H158" s="49">
        <f>VLOOKUP($A158,'Data Vlaue (Cr)'!$C:$FB,44)</f>
        <v>743</v>
      </c>
      <c r="I158" s="49">
        <f>VLOOKUP($A158,'Data Vlaue (Cr)'!$C:$FB,46)*100</f>
        <v>-35.83</v>
      </c>
      <c r="J158" s="51">
        <f>VLOOKUP($A158,'Data Vlaue (Cr)'!$C:$FB,59)</f>
        <v>775</v>
      </c>
      <c r="K158" s="51">
        <f>VLOOKUP($A158,'Data Vlaue (Cr)'!$C:$FB,60)</f>
        <v>1135</v>
      </c>
      <c r="L158" s="51">
        <f>VLOOKUP($A158,'Data Vlaue (Cr)'!$C:$FB,62)*100</f>
        <v>-31.77</v>
      </c>
      <c r="M158" s="51">
        <f>VLOOKUP($A158,'Data Vlaue (Cr)'!$C:$FB,63)</f>
        <v>360</v>
      </c>
      <c r="N158" s="51">
        <f>VLOOKUP($A158,'Data Vlaue (Cr)'!$C:$FB,64)</f>
        <v>715</v>
      </c>
      <c r="O158" s="51">
        <f>VLOOKUP($A158,'Data Vlaue (Cr)'!$C:$FB,66)*100</f>
        <v>-49.62</v>
      </c>
    </row>
    <row r="159" spans="1:15" x14ac:dyDescent="0.25">
      <c r="A159" s="101" t="str">
        <f>'Data Vlaue (Cr)'!C154</f>
        <v>PETRONET</v>
      </c>
      <c r="B159" s="50">
        <f>VLOOKUP($A159,'Data Vlaue (Cr)'!$C:$FB,8)</f>
        <v>290.64999999999998</v>
      </c>
      <c r="C159" s="50">
        <f>VLOOKUP($A159,'Data Vlaue (Cr)'!$C:$FB,11)*100</f>
        <v>4.66</v>
      </c>
      <c r="D159" s="50">
        <f>VLOOKUP($A159,'Data Vlaue (Cr)'!$C:$FB,143)</f>
        <v>1164.3800000000001</v>
      </c>
      <c r="E159" s="50">
        <f>VLOOKUP($A159,'Data Vlaue (Cr)'!$C:$FB,144)</f>
        <v>2129.54</v>
      </c>
      <c r="F159" s="50">
        <f>VLOOKUP($A159,'Data Vlaue (Cr)'!$C:$FB,146)*100</f>
        <v>-45.32</v>
      </c>
      <c r="G159" s="49">
        <f>VLOOKUP($A159,'Data Vlaue (Cr)'!$C:$FB,43)</f>
        <v>169</v>
      </c>
      <c r="H159" s="49">
        <f>VLOOKUP($A159,'Data Vlaue (Cr)'!$C:$FB,44)</f>
        <v>714</v>
      </c>
      <c r="I159" s="49">
        <f>VLOOKUP($A159,'Data Vlaue (Cr)'!$C:$FB,46)*100</f>
        <v>-76.25</v>
      </c>
      <c r="J159" s="51">
        <f>VLOOKUP($A159,'Data Vlaue (Cr)'!$C:$FB,59)</f>
        <v>781</v>
      </c>
      <c r="K159" s="51">
        <f>VLOOKUP($A159,'Data Vlaue (Cr)'!$C:$FB,60)</f>
        <v>567</v>
      </c>
      <c r="L159" s="51">
        <f>VLOOKUP($A159,'Data Vlaue (Cr)'!$C:$FB,62)*100</f>
        <v>37.830000000000005</v>
      </c>
      <c r="M159" s="51">
        <f>VLOOKUP($A159,'Data Vlaue (Cr)'!$C:$FB,63)</f>
        <v>194</v>
      </c>
      <c r="N159" s="51">
        <f>VLOOKUP($A159,'Data Vlaue (Cr)'!$C:$FB,64)</f>
        <v>930</v>
      </c>
      <c r="O159" s="51">
        <f>VLOOKUP($A159,'Data Vlaue (Cr)'!$C:$FB,66)*100</f>
        <v>-79.09</v>
      </c>
    </row>
    <row r="160" spans="1:15" x14ac:dyDescent="0.25">
      <c r="A160" s="101" t="str">
        <f>'Data Vlaue (Cr)'!C155</f>
        <v>PFC</v>
      </c>
      <c r="B160" s="50">
        <f>VLOOKUP($A160,'Data Vlaue (Cr)'!$C:$FB,8)</f>
        <v>383.05</v>
      </c>
      <c r="C160" s="50">
        <f>VLOOKUP($A160,'Data Vlaue (Cr)'!$C:$FB,11)*100</f>
        <v>5.92</v>
      </c>
      <c r="D160" s="50">
        <f>VLOOKUP($A160,'Data Vlaue (Cr)'!$C:$FB,143)</f>
        <v>2621.7</v>
      </c>
      <c r="E160" s="50">
        <f>VLOOKUP($A160,'Data Vlaue (Cr)'!$C:$FB,144)</f>
        <v>3745.68</v>
      </c>
      <c r="F160" s="50">
        <f>VLOOKUP($A160,'Data Vlaue (Cr)'!$C:$FB,146)*100</f>
        <v>-30.009999999999998</v>
      </c>
      <c r="G160" s="49">
        <f>VLOOKUP($A160,'Data Vlaue (Cr)'!$C:$FB,43)</f>
        <v>643</v>
      </c>
      <c r="H160" s="49">
        <f>VLOOKUP($A160,'Data Vlaue (Cr)'!$C:$FB,44)</f>
        <v>2021</v>
      </c>
      <c r="I160" s="49">
        <f>VLOOKUP($A160,'Data Vlaue (Cr)'!$C:$FB,46)*100</f>
        <v>-68.179999999999993</v>
      </c>
      <c r="J160" s="51">
        <f>VLOOKUP($A160,'Data Vlaue (Cr)'!$C:$FB,59)</f>
        <v>1447</v>
      </c>
      <c r="K160" s="51">
        <f>VLOOKUP($A160,'Data Vlaue (Cr)'!$C:$FB,60)</f>
        <v>1016</v>
      </c>
      <c r="L160" s="51">
        <f>VLOOKUP($A160,'Data Vlaue (Cr)'!$C:$FB,62)*100</f>
        <v>42.370000000000005</v>
      </c>
      <c r="M160" s="51">
        <f>VLOOKUP($A160,'Data Vlaue (Cr)'!$C:$FB,63)</f>
        <v>507</v>
      </c>
      <c r="N160" s="51">
        <f>VLOOKUP($A160,'Data Vlaue (Cr)'!$C:$FB,64)</f>
        <v>857</v>
      </c>
      <c r="O160" s="51">
        <f>VLOOKUP($A160,'Data Vlaue (Cr)'!$C:$FB,66)*100</f>
        <v>-40.83</v>
      </c>
    </row>
    <row r="161" spans="1:15" x14ac:dyDescent="0.25">
      <c r="A161" s="101" t="str">
        <f>'Data Vlaue (Cr)'!C156</f>
        <v>PGEL</v>
      </c>
      <c r="B161" s="50">
        <f>VLOOKUP($A161,'Data Vlaue (Cr)'!$C:$FB,8)</f>
        <v>540.04999999999995</v>
      </c>
      <c r="C161" s="50">
        <f>VLOOKUP($A161,'Data Vlaue (Cr)'!$C:$FB,11)*100</f>
        <v>4.1500000000000004</v>
      </c>
      <c r="D161" s="50">
        <f>VLOOKUP($A161,'Data Vlaue (Cr)'!$C:$FB,143)</f>
        <v>459.1</v>
      </c>
      <c r="E161" s="50">
        <f>VLOOKUP($A161,'Data Vlaue (Cr)'!$C:$FB,144)</f>
        <v>1062.2</v>
      </c>
      <c r="F161" s="50">
        <f>VLOOKUP($A161,'Data Vlaue (Cr)'!$C:$FB,146)*100</f>
        <v>-56.779999999999994</v>
      </c>
      <c r="G161" s="49">
        <f>VLOOKUP($A161,'Data Vlaue (Cr)'!$C:$FB,43)</f>
        <v>192</v>
      </c>
      <c r="H161" s="49">
        <f>VLOOKUP($A161,'Data Vlaue (Cr)'!$C:$FB,44)</f>
        <v>586</v>
      </c>
      <c r="I161" s="49">
        <f>VLOOKUP($A161,'Data Vlaue (Cr)'!$C:$FB,46)*100</f>
        <v>-67.239999999999995</v>
      </c>
      <c r="J161" s="51">
        <f>VLOOKUP($A161,'Data Vlaue (Cr)'!$C:$FB,59)</f>
        <v>162</v>
      </c>
      <c r="K161" s="51">
        <f>VLOOKUP($A161,'Data Vlaue (Cr)'!$C:$FB,60)</f>
        <v>282</v>
      </c>
      <c r="L161" s="51">
        <f>VLOOKUP($A161,'Data Vlaue (Cr)'!$C:$FB,62)*100</f>
        <v>-42.35</v>
      </c>
      <c r="M161" s="51">
        <f>VLOOKUP($A161,'Data Vlaue (Cr)'!$C:$FB,63)</f>
        <v>99</v>
      </c>
      <c r="N161" s="51">
        <f>VLOOKUP($A161,'Data Vlaue (Cr)'!$C:$FB,64)</f>
        <v>220</v>
      </c>
      <c r="O161" s="51">
        <f>VLOOKUP($A161,'Data Vlaue (Cr)'!$C:$FB,66)*100</f>
        <v>-55.010000000000005</v>
      </c>
    </row>
    <row r="162" spans="1:15" x14ac:dyDescent="0.25">
      <c r="A162" s="101" t="str">
        <f>'Data Vlaue (Cr)'!C157</f>
        <v>PHOENIXLTD</v>
      </c>
      <c r="B162" s="50">
        <f>VLOOKUP($A162,'Data Vlaue (Cr)'!$C:$FB,8)</f>
        <v>1726.2</v>
      </c>
      <c r="C162" s="50">
        <f>VLOOKUP($A162,'Data Vlaue (Cr)'!$C:$FB,11)*100</f>
        <v>-0.12</v>
      </c>
      <c r="D162" s="50">
        <f>VLOOKUP($A162,'Data Vlaue (Cr)'!$C:$FB,143)</f>
        <v>469.38</v>
      </c>
      <c r="E162" s="50">
        <f>VLOOKUP($A162,'Data Vlaue (Cr)'!$C:$FB,144)</f>
        <v>631.70000000000005</v>
      </c>
      <c r="F162" s="50">
        <f>VLOOKUP($A162,'Data Vlaue (Cr)'!$C:$FB,146)*100</f>
        <v>-25.7</v>
      </c>
      <c r="G162" s="49">
        <f>VLOOKUP($A162,'Data Vlaue (Cr)'!$C:$FB,43)</f>
        <v>164</v>
      </c>
      <c r="H162" s="49">
        <f>VLOOKUP($A162,'Data Vlaue (Cr)'!$C:$FB,44)</f>
        <v>325</v>
      </c>
      <c r="I162" s="49">
        <f>VLOOKUP($A162,'Data Vlaue (Cr)'!$C:$FB,46)*100</f>
        <v>-49.34</v>
      </c>
      <c r="J162" s="51">
        <f>VLOOKUP($A162,'Data Vlaue (Cr)'!$C:$FB,59)</f>
        <v>154</v>
      </c>
      <c r="K162" s="51">
        <f>VLOOKUP($A162,'Data Vlaue (Cr)'!$C:$FB,60)</f>
        <v>98</v>
      </c>
      <c r="L162" s="51">
        <f>VLOOKUP($A162,'Data Vlaue (Cr)'!$C:$FB,62)*100</f>
        <v>56.779999999999994</v>
      </c>
      <c r="M162" s="51">
        <f>VLOOKUP($A162,'Data Vlaue (Cr)'!$C:$FB,63)</f>
        <v>136</v>
      </c>
      <c r="N162" s="51">
        <f>VLOOKUP($A162,'Data Vlaue (Cr)'!$C:$FB,64)</f>
        <v>211</v>
      </c>
      <c r="O162" s="51">
        <f>VLOOKUP($A162,'Data Vlaue (Cr)'!$C:$FB,66)*100</f>
        <v>-35.730000000000004</v>
      </c>
    </row>
    <row r="163" spans="1:15" x14ac:dyDescent="0.25">
      <c r="A163" s="101" t="str">
        <f>'Data Vlaue (Cr)'!C158</f>
        <v>PIDILITIND</v>
      </c>
      <c r="B163" s="50">
        <f>VLOOKUP($A163,'Data Vlaue (Cr)'!$C:$FB,8)</f>
        <v>1460.7</v>
      </c>
      <c r="C163" s="50">
        <f>VLOOKUP($A163,'Data Vlaue (Cr)'!$C:$FB,11)*100</f>
        <v>0.92999999999999994</v>
      </c>
      <c r="D163" s="50">
        <f>VLOOKUP($A163,'Data Vlaue (Cr)'!$C:$FB,143)</f>
        <v>973.55</v>
      </c>
      <c r="E163" s="50">
        <f>VLOOKUP($A163,'Data Vlaue (Cr)'!$C:$FB,144)</f>
        <v>750.83</v>
      </c>
      <c r="F163" s="50">
        <f>VLOOKUP($A163,'Data Vlaue (Cr)'!$C:$FB,146)*100</f>
        <v>29.659999999999997</v>
      </c>
      <c r="G163" s="49">
        <f>VLOOKUP($A163,'Data Vlaue (Cr)'!$C:$FB,43)</f>
        <v>400</v>
      </c>
      <c r="H163" s="49">
        <f>VLOOKUP($A163,'Data Vlaue (Cr)'!$C:$FB,44)</f>
        <v>432</v>
      </c>
      <c r="I163" s="49">
        <f>VLOOKUP($A163,'Data Vlaue (Cr)'!$C:$FB,46)*100</f>
        <v>-7.3999999999999995</v>
      </c>
      <c r="J163" s="51">
        <f>VLOOKUP($A163,'Data Vlaue (Cr)'!$C:$FB,59)</f>
        <v>365</v>
      </c>
      <c r="K163" s="51">
        <f>VLOOKUP($A163,'Data Vlaue (Cr)'!$C:$FB,60)</f>
        <v>170</v>
      </c>
      <c r="L163" s="51">
        <f>VLOOKUP($A163,'Data Vlaue (Cr)'!$C:$FB,62)*100</f>
        <v>114.14999999999999</v>
      </c>
      <c r="M163" s="51">
        <f>VLOOKUP($A163,'Data Vlaue (Cr)'!$C:$FB,63)</f>
        <v>205</v>
      </c>
      <c r="N163" s="51">
        <f>VLOOKUP($A163,'Data Vlaue (Cr)'!$C:$FB,64)</f>
        <v>152</v>
      </c>
      <c r="O163" s="51">
        <f>VLOOKUP($A163,'Data Vlaue (Cr)'!$C:$FB,66)*100</f>
        <v>35</v>
      </c>
    </row>
    <row r="164" spans="1:15" x14ac:dyDescent="0.25">
      <c r="A164" s="101" t="str">
        <f>'Data Vlaue (Cr)'!C159</f>
        <v>PIIND</v>
      </c>
      <c r="B164" s="50">
        <f>VLOOKUP($A164,'Data Vlaue (Cr)'!$C:$FB,8)</f>
        <v>3220.8</v>
      </c>
      <c r="C164" s="50">
        <f>VLOOKUP($A164,'Data Vlaue (Cr)'!$C:$FB,11)*100</f>
        <v>2.0099999999999998</v>
      </c>
      <c r="D164" s="50">
        <f>VLOOKUP($A164,'Data Vlaue (Cr)'!$C:$FB,143)</f>
        <v>282.12</v>
      </c>
      <c r="E164" s="50">
        <f>VLOOKUP($A164,'Data Vlaue (Cr)'!$C:$FB,144)</f>
        <v>564.51</v>
      </c>
      <c r="F164" s="50">
        <f>VLOOKUP($A164,'Data Vlaue (Cr)'!$C:$FB,146)*100</f>
        <v>-50.019999999999996</v>
      </c>
      <c r="G164" s="49">
        <f>VLOOKUP($A164,'Data Vlaue (Cr)'!$C:$FB,43)</f>
        <v>93</v>
      </c>
      <c r="H164" s="49">
        <f>VLOOKUP($A164,'Data Vlaue (Cr)'!$C:$FB,44)</f>
        <v>357</v>
      </c>
      <c r="I164" s="49">
        <f>VLOOKUP($A164,'Data Vlaue (Cr)'!$C:$FB,46)*100</f>
        <v>-73.89</v>
      </c>
      <c r="J164" s="51">
        <f>VLOOKUP($A164,'Data Vlaue (Cr)'!$C:$FB,59)</f>
        <v>132</v>
      </c>
      <c r="K164" s="51">
        <f>VLOOKUP($A164,'Data Vlaue (Cr)'!$C:$FB,60)</f>
        <v>140</v>
      </c>
      <c r="L164" s="51">
        <f>VLOOKUP($A164,'Data Vlaue (Cr)'!$C:$FB,62)*100</f>
        <v>-5.52</v>
      </c>
      <c r="M164" s="51">
        <f>VLOOKUP($A164,'Data Vlaue (Cr)'!$C:$FB,63)</f>
        <v>51</v>
      </c>
      <c r="N164" s="51">
        <f>VLOOKUP($A164,'Data Vlaue (Cr)'!$C:$FB,64)</f>
        <v>68</v>
      </c>
      <c r="O164" s="51">
        <f>VLOOKUP($A164,'Data Vlaue (Cr)'!$C:$FB,66)*100</f>
        <v>-25.290000000000003</v>
      </c>
    </row>
    <row r="165" spans="1:15" x14ac:dyDescent="0.25">
      <c r="A165" s="101" t="str">
        <f>'Data Vlaue (Cr)'!C160</f>
        <v>PNB</v>
      </c>
      <c r="B165" s="50">
        <f>VLOOKUP($A165,'Data Vlaue (Cr)'!$C:$FB,8)</f>
        <v>124.5</v>
      </c>
      <c r="C165" s="50">
        <f>VLOOKUP($A165,'Data Vlaue (Cr)'!$C:$FB,11)*100</f>
        <v>1.26</v>
      </c>
      <c r="D165" s="50">
        <f>VLOOKUP($A165,'Data Vlaue (Cr)'!$C:$FB,143)</f>
        <v>2081.36</v>
      </c>
      <c r="E165" s="50">
        <f>VLOOKUP($A165,'Data Vlaue (Cr)'!$C:$FB,144)</f>
        <v>5323.35</v>
      </c>
      <c r="F165" s="50">
        <f>VLOOKUP($A165,'Data Vlaue (Cr)'!$C:$FB,146)*100</f>
        <v>-60.9</v>
      </c>
      <c r="G165" s="49">
        <f>VLOOKUP($A165,'Data Vlaue (Cr)'!$C:$FB,43)</f>
        <v>537</v>
      </c>
      <c r="H165" s="49">
        <f>VLOOKUP($A165,'Data Vlaue (Cr)'!$C:$FB,44)</f>
        <v>2500</v>
      </c>
      <c r="I165" s="49">
        <f>VLOOKUP($A165,'Data Vlaue (Cr)'!$C:$FB,46)*100</f>
        <v>-78.52</v>
      </c>
      <c r="J165" s="51">
        <f>VLOOKUP($A165,'Data Vlaue (Cr)'!$C:$FB,59)</f>
        <v>1083</v>
      </c>
      <c r="K165" s="51">
        <f>VLOOKUP($A165,'Data Vlaue (Cr)'!$C:$FB,60)</f>
        <v>1808</v>
      </c>
      <c r="L165" s="51">
        <f>VLOOKUP($A165,'Data Vlaue (Cr)'!$C:$FB,62)*100</f>
        <v>-40.11</v>
      </c>
      <c r="M165" s="51">
        <f>VLOOKUP($A165,'Data Vlaue (Cr)'!$C:$FB,63)</f>
        <v>424</v>
      </c>
      <c r="N165" s="51">
        <f>VLOOKUP($A165,'Data Vlaue (Cr)'!$C:$FB,64)</f>
        <v>1067</v>
      </c>
      <c r="O165" s="51">
        <f>VLOOKUP($A165,'Data Vlaue (Cr)'!$C:$FB,66)*100</f>
        <v>-60.29</v>
      </c>
    </row>
    <row r="166" spans="1:15" x14ac:dyDescent="0.25">
      <c r="A166" s="101" t="str">
        <f>'Data Vlaue (Cr)'!C161</f>
        <v>PNBHOUSING</v>
      </c>
      <c r="B166" s="50">
        <f>VLOOKUP($A166,'Data Vlaue (Cr)'!$C:$FB,8)</f>
        <v>845.55</v>
      </c>
      <c r="C166" s="50">
        <f>VLOOKUP($A166,'Data Vlaue (Cr)'!$C:$FB,11)*100</f>
        <v>2.44</v>
      </c>
      <c r="D166" s="50">
        <f>VLOOKUP($A166,'Data Vlaue (Cr)'!$C:$FB,143)</f>
        <v>737.85</v>
      </c>
      <c r="E166" s="50">
        <f>VLOOKUP($A166,'Data Vlaue (Cr)'!$C:$FB,144)</f>
        <v>1848.16</v>
      </c>
      <c r="F166" s="50">
        <f>VLOOKUP($A166,'Data Vlaue (Cr)'!$C:$FB,146)*100</f>
        <v>-60.08</v>
      </c>
      <c r="G166" s="49">
        <f>VLOOKUP($A166,'Data Vlaue (Cr)'!$C:$FB,43)</f>
        <v>170</v>
      </c>
      <c r="H166" s="49">
        <f>VLOOKUP($A166,'Data Vlaue (Cr)'!$C:$FB,44)</f>
        <v>823</v>
      </c>
      <c r="I166" s="49">
        <f>VLOOKUP($A166,'Data Vlaue (Cr)'!$C:$FB,46)*100</f>
        <v>-79.38</v>
      </c>
      <c r="J166" s="51">
        <f>VLOOKUP($A166,'Data Vlaue (Cr)'!$C:$FB,59)</f>
        <v>356</v>
      </c>
      <c r="K166" s="51">
        <f>VLOOKUP($A166,'Data Vlaue (Cr)'!$C:$FB,60)</f>
        <v>613</v>
      </c>
      <c r="L166" s="51">
        <f>VLOOKUP($A166,'Data Vlaue (Cr)'!$C:$FB,62)*100</f>
        <v>-41.99</v>
      </c>
      <c r="M166" s="51">
        <f>VLOOKUP($A166,'Data Vlaue (Cr)'!$C:$FB,63)</f>
        <v>199</v>
      </c>
      <c r="N166" s="51">
        <f>VLOOKUP($A166,'Data Vlaue (Cr)'!$C:$FB,64)</f>
        <v>419</v>
      </c>
      <c r="O166" s="51">
        <f>VLOOKUP($A166,'Data Vlaue (Cr)'!$C:$FB,66)*100</f>
        <v>-52.5</v>
      </c>
    </row>
    <row r="167" spans="1:15" x14ac:dyDescent="0.25">
      <c r="A167" s="101" t="str">
        <f>'Data Vlaue (Cr)'!C162</f>
        <v>POLICYBZR</v>
      </c>
      <c r="B167" s="50">
        <f>VLOOKUP($A167,'Data Vlaue (Cr)'!$C:$FB,8)</f>
        <v>1653.1</v>
      </c>
      <c r="C167" s="50">
        <f>VLOOKUP($A167,'Data Vlaue (Cr)'!$C:$FB,11)*100</f>
        <v>1.43</v>
      </c>
      <c r="D167" s="50">
        <f>VLOOKUP($A167,'Data Vlaue (Cr)'!$C:$FB,143)</f>
        <v>517.83000000000004</v>
      </c>
      <c r="E167" s="50">
        <f>VLOOKUP($A167,'Data Vlaue (Cr)'!$C:$FB,144)</f>
        <v>1647.19</v>
      </c>
      <c r="F167" s="50">
        <f>VLOOKUP($A167,'Data Vlaue (Cr)'!$C:$FB,146)*100</f>
        <v>-68.56</v>
      </c>
      <c r="G167" s="49">
        <f>VLOOKUP($A167,'Data Vlaue (Cr)'!$C:$FB,43)</f>
        <v>213</v>
      </c>
      <c r="H167" s="49">
        <f>VLOOKUP($A167,'Data Vlaue (Cr)'!$C:$FB,44)</f>
        <v>917</v>
      </c>
      <c r="I167" s="49">
        <f>VLOOKUP($A167,'Data Vlaue (Cr)'!$C:$FB,46)*100</f>
        <v>-76.739999999999995</v>
      </c>
      <c r="J167" s="51">
        <f>VLOOKUP($A167,'Data Vlaue (Cr)'!$C:$FB,59)</f>
        <v>176</v>
      </c>
      <c r="K167" s="51">
        <f>VLOOKUP($A167,'Data Vlaue (Cr)'!$C:$FB,60)</f>
        <v>312</v>
      </c>
      <c r="L167" s="51">
        <f>VLOOKUP($A167,'Data Vlaue (Cr)'!$C:$FB,62)*100</f>
        <v>-43.37</v>
      </c>
      <c r="M167" s="51">
        <f>VLOOKUP($A167,'Data Vlaue (Cr)'!$C:$FB,63)</f>
        <v>121</v>
      </c>
      <c r="N167" s="51">
        <f>VLOOKUP($A167,'Data Vlaue (Cr)'!$C:$FB,64)</f>
        <v>420</v>
      </c>
      <c r="O167" s="51">
        <f>VLOOKUP($A167,'Data Vlaue (Cr)'!$C:$FB,66)*100</f>
        <v>-71.179999999999993</v>
      </c>
    </row>
    <row r="168" spans="1:15" x14ac:dyDescent="0.25">
      <c r="A168" s="101" t="str">
        <f>'Data Vlaue (Cr)'!C163</f>
        <v>POLYCAB</v>
      </c>
      <c r="B168" s="50">
        <f>VLOOKUP($A168,'Data Vlaue (Cr)'!$C:$FB,8)</f>
        <v>6928</v>
      </c>
      <c r="C168" s="50">
        <f>VLOOKUP($A168,'Data Vlaue (Cr)'!$C:$FB,11)*100</f>
        <v>2.39</v>
      </c>
      <c r="D168" s="50">
        <f>VLOOKUP($A168,'Data Vlaue (Cr)'!$C:$FB,143)</f>
        <v>1277.07</v>
      </c>
      <c r="E168" s="50">
        <f>VLOOKUP($A168,'Data Vlaue (Cr)'!$C:$FB,144)</f>
        <v>3542.08</v>
      </c>
      <c r="F168" s="50">
        <f>VLOOKUP($A168,'Data Vlaue (Cr)'!$C:$FB,146)*100</f>
        <v>-63.949999999999996</v>
      </c>
      <c r="G168" s="49">
        <f>VLOOKUP($A168,'Data Vlaue (Cr)'!$C:$FB,43)</f>
        <v>358</v>
      </c>
      <c r="H168" s="49">
        <f>VLOOKUP($A168,'Data Vlaue (Cr)'!$C:$FB,44)</f>
        <v>1272</v>
      </c>
      <c r="I168" s="49">
        <f>VLOOKUP($A168,'Data Vlaue (Cr)'!$C:$FB,46)*100</f>
        <v>-71.87</v>
      </c>
      <c r="J168" s="51">
        <f>VLOOKUP($A168,'Data Vlaue (Cr)'!$C:$FB,59)</f>
        <v>630</v>
      </c>
      <c r="K168" s="51">
        <f>VLOOKUP($A168,'Data Vlaue (Cr)'!$C:$FB,60)</f>
        <v>1450</v>
      </c>
      <c r="L168" s="51">
        <f>VLOOKUP($A168,'Data Vlaue (Cr)'!$C:$FB,62)*100</f>
        <v>-56.56</v>
      </c>
      <c r="M168" s="51">
        <f>VLOOKUP($A168,'Data Vlaue (Cr)'!$C:$FB,63)</f>
        <v>268</v>
      </c>
      <c r="N168" s="51">
        <f>VLOOKUP($A168,'Data Vlaue (Cr)'!$C:$FB,64)</f>
        <v>806</v>
      </c>
      <c r="O168" s="51">
        <f>VLOOKUP($A168,'Data Vlaue (Cr)'!$C:$FB,66)*100</f>
        <v>-66.77</v>
      </c>
    </row>
    <row r="169" spans="1:15" x14ac:dyDescent="0.25">
      <c r="A169" s="101" t="str">
        <f>'Data Vlaue (Cr)'!C164</f>
        <v>POWERGRID</v>
      </c>
      <c r="B169" s="50">
        <f>VLOOKUP($A169,'Data Vlaue (Cr)'!$C:$FB,8)</f>
        <v>259.8</v>
      </c>
      <c r="C169" s="50">
        <f>VLOOKUP($A169,'Data Vlaue (Cr)'!$C:$FB,11)*100</f>
        <v>2.1399999999999997</v>
      </c>
      <c r="D169" s="50">
        <f>VLOOKUP($A169,'Data Vlaue (Cr)'!$C:$FB,143)</f>
        <v>1230.53</v>
      </c>
      <c r="E169" s="50">
        <f>VLOOKUP($A169,'Data Vlaue (Cr)'!$C:$FB,144)</f>
        <v>2959.56</v>
      </c>
      <c r="F169" s="50">
        <f>VLOOKUP($A169,'Data Vlaue (Cr)'!$C:$FB,146)*100</f>
        <v>-58.42</v>
      </c>
      <c r="G169" s="49">
        <f>VLOOKUP($A169,'Data Vlaue (Cr)'!$C:$FB,43)</f>
        <v>333</v>
      </c>
      <c r="H169" s="49">
        <f>VLOOKUP($A169,'Data Vlaue (Cr)'!$C:$FB,44)</f>
        <v>1922</v>
      </c>
      <c r="I169" s="49">
        <f>VLOOKUP($A169,'Data Vlaue (Cr)'!$C:$FB,46)*100</f>
        <v>-82.67</v>
      </c>
      <c r="J169" s="51">
        <f>VLOOKUP($A169,'Data Vlaue (Cr)'!$C:$FB,59)</f>
        <v>628</v>
      </c>
      <c r="K169" s="51">
        <f>VLOOKUP($A169,'Data Vlaue (Cr)'!$C:$FB,60)</f>
        <v>533</v>
      </c>
      <c r="L169" s="51">
        <f>VLOOKUP($A169,'Data Vlaue (Cr)'!$C:$FB,62)*100</f>
        <v>17.849999999999998</v>
      </c>
      <c r="M169" s="51">
        <f>VLOOKUP($A169,'Data Vlaue (Cr)'!$C:$FB,63)</f>
        <v>235</v>
      </c>
      <c r="N169" s="51">
        <f>VLOOKUP($A169,'Data Vlaue (Cr)'!$C:$FB,64)</f>
        <v>517</v>
      </c>
      <c r="O169" s="51">
        <f>VLOOKUP($A169,'Data Vlaue (Cr)'!$C:$FB,66)*100</f>
        <v>-54.52</v>
      </c>
    </row>
    <row r="170" spans="1:15" x14ac:dyDescent="0.25">
      <c r="A170" s="101" t="str">
        <f>'Data Vlaue (Cr)'!C165</f>
        <v>POWERINDIA</v>
      </c>
      <c r="B170" s="50">
        <f>VLOOKUP($A170,'Data Vlaue (Cr)'!$C:$FB,8)</f>
        <v>17683</v>
      </c>
      <c r="C170" s="50">
        <f>VLOOKUP($A170,'Data Vlaue (Cr)'!$C:$FB,11)*100</f>
        <v>5.83</v>
      </c>
      <c r="D170" s="50">
        <f>VLOOKUP($A170,'Data Vlaue (Cr)'!$C:$FB,143)</f>
        <v>720.32</v>
      </c>
      <c r="E170" s="50">
        <f>VLOOKUP($A170,'Data Vlaue (Cr)'!$C:$FB,144)</f>
        <v>1280.44</v>
      </c>
      <c r="F170" s="50">
        <f>VLOOKUP($A170,'Data Vlaue (Cr)'!$C:$FB,146)*100</f>
        <v>-43.74</v>
      </c>
      <c r="G170" s="49">
        <f>VLOOKUP($A170,'Data Vlaue (Cr)'!$C:$FB,43)</f>
        <v>229</v>
      </c>
      <c r="H170" s="49">
        <f>VLOOKUP($A170,'Data Vlaue (Cr)'!$C:$FB,44)</f>
        <v>434</v>
      </c>
      <c r="I170" s="49">
        <f>VLOOKUP($A170,'Data Vlaue (Cr)'!$C:$FB,46)*100</f>
        <v>-47.32</v>
      </c>
      <c r="J170" s="51">
        <f>VLOOKUP($A170,'Data Vlaue (Cr)'!$C:$FB,59)</f>
        <v>374</v>
      </c>
      <c r="K170" s="51">
        <f>VLOOKUP($A170,'Data Vlaue (Cr)'!$C:$FB,60)</f>
        <v>378</v>
      </c>
      <c r="L170" s="51">
        <f>VLOOKUP($A170,'Data Vlaue (Cr)'!$C:$FB,62)*100</f>
        <v>-1.1499999999999999</v>
      </c>
      <c r="M170" s="51">
        <f>VLOOKUP($A170,'Data Vlaue (Cr)'!$C:$FB,63)</f>
        <v>99</v>
      </c>
      <c r="N170" s="51">
        <f>VLOOKUP($A170,'Data Vlaue (Cr)'!$C:$FB,64)</f>
        <v>561</v>
      </c>
      <c r="O170" s="51">
        <f>VLOOKUP($A170,'Data Vlaue (Cr)'!$C:$FB,66)*100</f>
        <v>-82.320000000000007</v>
      </c>
    </row>
    <row r="171" spans="1:15" x14ac:dyDescent="0.25">
      <c r="A171" s="101" t="str">
        <f>'Data Vlaue (Cr)'!C166</f>
        <v>PPLPHARMA</v>
      </c>
      <c r="B171" s="50">
        <f>VLOOKUP($A171,'Data Vlaue (Cr)'!$C:$FB,8)</f>
        <v>153.96</v>
      </c>
      <c r="C171" s="50">
        <f>VLOOKUP($A171,'Data Vlaue (Cr)'!$C:$FB,11)*100</f>
        <v>0.9900000000000001</v>
      </c>
      <c r="D171" s="50">
        <f>VLOOKUP($A171,'Data Vlaue (Cr)'!$C:$FB,143)</f>
        <v>494.17</v>
      </c>
      <c r="E171" s="50">
        <f>VLOOKUP($A171,'Data Vlaue (Cr)'!$C:$FB,144)</f>
        <v>583.33000000000004</v>
      </c>
      <c r="F171" s="50">
        <f>VLOOKUP($A171,'Data Vlaue (Cr)'!$C:$FB,146)*100</f>
        <v>-15.28</v>
      </c>
      <c r="G171" s="49">
        <f>VLOOKUP($A171,'Data Vlaue (Cr)'!$C:$FB,43)</f>
        <v>140</v>
      </c>
      <c r="H171" s="49">
        <f>VLOOKUP($A171,'Data Vlaue (Cr)'!$C:$FB,44)</f>
        <v>378</v>
      </c>
      <c r="I171" s="49">
        <f>VLOOKUP($A171,'Data Vlaue (Cr)'!$C:$FB,46)*100</f>
        <v>-63.11</v>
      </c>
      <c r="J171" s="51">
        <f>VLOOKUP($A171,'Data Vlaue (Cr)'!$C:$FB,59)</f>
        <v>193</v>
      </c>
      <c r="K171" s="51">
        <f>VLOOKUP($A171,'Data Vlaue (Cr)'!$C:$FB,60)</f>
        <v>104</v>
      </c>
      <c r="L171" s="51">
        <f>VLOOKUP($A171,'Data Vlaue (Cr)'!$C:$FB,62)*100</f>
        <v>86.64</v>
      </c>
      <c r="M171" s="51">
        <f>VLOOKUP($A171,'Data Vlaue (Cr)'!$C:$FB,63)</f>
        <v>149</v>
      </c>
      <c r="N171" s="51">
        <f>VLOOKUP($A171,'Data Vlaue (Cr)'!$C:$FB,64)</f>
        <v>89</v>
      </c>
      <c r="O171" s="51">
        <f>VLOOKUP($A171,'Data Vlaue (Cr)'!$C:$FB,66)*100</f>
        <v>66.259999999999991</v>
      </c>
    </row>
    <row r="172" spans="1:15" x14ac:dyDescent="0.25">
      <c r="A172" s="101" t="str">
        <f>'Data Vlaue (Cr)'!C167</f>
        <v>PREMIERENE</v>
      </c>
      <c r="B172" s="50">
        <f>VLOOKUP($A172,'Data Vlaue (Cr)'!$C:$FB,8)</f>
        <v>715.05</v>
      </c>
      <c r="C172" s="50">
        <f>VLOOKUP($A172,'Data Vlaue (Cr)'!$C:$FB,11)*100</f>
        <v>1.05</v>
      </c>
      <c r="D172" s="50">
        <f>VLOOKUP($A172,'Data Vlaue (Cr)'!$C:$FB,143)</f>
        <v>261.19</v>
      </c>
      <c r="E172" s="50">
        <f>VLOOKUP($A172,'Data Vlaue (Cr)'!$C:$FB,144)</f>
        <v>1450.08</v>
      </c>
      <c r="F172" s="50">
        <f>VLOOKUP($A172,'Data Vlaue (Cr)'!$C:$FB,146)*100</f>
        <v>-81.99</v>
      </c>
      <c r="G172" s="49">
        <f>VLOOKUP($A172,'Data Vlaue (Cr)'!$C:$FB,43)</f>
        <v>125</v>
      </c>
      <c r="H172" s="49">
        <f>VLOOKUP($A172,'Data Vlaue (Cr)'!$C:$FB,44)</f>
        <v>487</v>
      </c>
      <c r="I172" s="49">
        <f>VLOOKUP($A172,'Data Vlaue (Cr)'!$C:$FB,46)*100</f>
        <v>-74.38</v>
      </c>
      <c r="J172" s="51">
        <f>VLOOKUP($A172,'Data Vlaue (Cr)'!$C:$FB,59)</f>
        <v>98</v>
      </c>
      <c r="K172" s="51">
        <f>VLOOKUP($A172,'Data Vlaue (Cr)'!$C:$FB,60)</f>
        <v>684</v>
      </c>
      <c r="L172" s="51">
        <f>VLOOKUP($A172,'Data Vlaue (Cr)'!$C:$FB,62)*100</f>
        <v>-85.72</v>
      </c>
      <c r="M172" s="51">
        <f>VLOOKUP($A172,'Data Vlaue (Cr)'!$C:$FB,63)</f>
        <v>33</v>
      </c>
      <c r="N172" s="51">
        <f>VLOOKUP($A172,'Data Vlaue (Cr)'!$C:$FB,64)</f>
        <v>257</v>
      </c>
      <c r="O172" s="51">
        <f>VLOOKUP($A172,'Data Vlaue (Cr)'!$C:$FB,66)*100</f>
        <v>-86.960000000000008</v>
      </c>
    </row>
    <row r="173" spans="1:15" x14ac:dyDescent="0.25">
      <c r="A173" s="101" t="str">
        <f>'Data Vlaue (Cr)'!C168</f>
        <v>PRESTIGE</v>
      </c>
      <c r="B173" s="50">
        <f>VLOOKUP($A173,'Data Vlaue (Cr)'!$C:$FB,8)</f>
        <v>1422</v>
      </c>
      <c r="C173" s="50">
        <f>VLOOKUP($A173,'Data Vlaue (Cr)'!$C:$FB,11)*100</f>
        <v>2.16</v>
      </c>
      <c r="D173" s="50">
        <f>VLOOKUP($A173,'Data Vlaue (Cr)'!$C:$FB,143)</f>
        <v>350.36</v>
      </c>
      <c r="E173" s="50">
        <f>VLOOKUP($A173,'Data Vlaue (Cr)'!$C:$FB,144)</f>
        <v>1106.81</v>
      </c>
      <c r="F173" s="50">
        <f>VLOOKUP($A173,'Data Vlaue (Cr)'!$C:$FB,146)*100</f>
        <v>-68.349999999999994</v>
      </c>
      <c r="G173" s="49">
        <f>VLOOKUP($A173,'Data Vlaue (Cr)'!$C:$FB,43)</f>
        <v>153</v>
      </c>
      <c r="H173" s="49">
        <f>VLOOKUP($A173,'Data Vlaue (Cr)'!$C:$FB,44)</f>
        <v>507</v>
      </c>
      <c r="I173" s="49">
        <f>VLOOKUP($A173,'Data Vlaue (Cr)'!$C:$FB,46)*100</f>
        <v>-69.849999999999994</v>
      </c>
      <c r="J173" s="51">
        <f>VLOOKUP($A173,'Data Vlaue (Cr)'!$C:$FB,59)</f>
        <v>128</v>
      </c>
      <c r="K173" s="51">
        <f>VLOOKUP($A173,'Data Vlaue (Cr)'!$C:$FB,60)</f>
        <v>266</v>
      </c>
      <c r="L173" s="51">
        <f>VLOOKUP($A173,'Data Vlaue (Cr)'!$C:$FB,62)*100</f>
        <v>-51.790000000000006</v>
      </c>
      <c r="M173" s="51">
        <f>VLOOKUP($A173,'Data Vlaue (Cr)'!$C:$FB,63)</f>
        <v>63</v>
      </c>
      <c r="N173" s="51">
        <f>VLOOKUP($A173,'Data Vlaue (Cr)'!$C:$FB,64)</f>
        <v>352</v>
      </c>
      <c r="O173" s="51">
        <f>VLOOKUP($A173,'Data Vlaue (Cr)'!$C:$FB,66)*100</f>
        <v>-82.11</v>
      </c>
    </row>
    <row r="174" spans="1:15" x14ac:dyDescent="0.25">
      <c r="A174" s="101" t="str">
        <f>'Data Vlaue (Cr)'!C169</f>
        <v>RBLBANK</v>
      </c>
      <c r="B174" s="50">
        <f>VLOOKUP($A174,'Data Vlaue (Cr)'!$C:$FB,8)</f>
        <v>297.35000000000002</v>
      </c>
      <c r="C174" s="50">
        <f>VLOOKUP($A174,'Data Vlaue (Cr)'!$C:$FB,11)*100</f>
        <v>0.67999999999999994</v>
      </c>
      <c r="D174" s="50">
        <f>VLOOKUP($A174,'Data Vlaue (Cr)'!$C:$FB,143)</f>
        <v>863.4</v>
      </c>
      <c r="E174" s="50">
        <f>VLOOKUP($A174,'Data Vlaue (Cr)'!$C:$FB,144)</f>
        <v>3140.06</v>
      </c>
      <c r="F174" s="50">
        <f>VLOOKUP($A174,'Data Vlaue (Cr)'!$C:$FB,146)*100</f>
        <v>-72.5</v>
      </c>
      <c r="G174" s="49">
        <f>VLOOKUP($A174,'Data Vlaue (Cr)'!$C:$FB,43)</f>
        <v>205</v>
      </c>
      <c r="H174" s="49">
        <f>VLOOKUP($A174,'Data Vlaue (Cr)'!$C:$FB,44)</f>
        <v>1731</v>
      </c>
      <c r="I174" s="49">
        <f>VLOOKUP($A174,'Data Vlaue (Cr)'!$C:$FB,46)*100</f>
        <v>-88.160000000000011</v>
      </c>
      <c r="J174" s="51">
        <f>VLOOKUP($A174,'Data Vlaue (Cr)'!$C:$FB,59)</f>
        <v>442</v>
      </c>
      <c r="K174" s="51">
        <f>VLOOKUP($A174,'Data Vlaue (Cr)'!$C:$FB,60)</f>
        <v>792</v>
      </c>
      <c r="L174" s="51">
        <f>VLOOKUP($A174,'Data Vlaue (Cr)'!$C:$FB,62)*100</f>
        <v>-44.16</v>
      </c>
      <c r="M174" s="51">
        <f>VLOOKUP($A174,'Data Vlaue (Cr)'!$C:$FB,63)</f>
        <v>204</v>
      </c>
      <c r="N174" s="51">
        <f>VLOOKUP($A174,'Data Vlaue (Cr)'!$C:$FB,64)</f>
        <v>634</v>
      </c>
      <c r="O174" s="51">
        <f>VLOOKUP($A174,'Data Vlaue (Cr)'!$C:$FB,66)*100</f>
        <v>-67.86999999999999</v>
      </c>
    </row>
    <row r="175" spans="1:15" x14ac:dyDescent="0.25">
      <c r="A175" s="101" t="str">
        <f>'Data Vlaue (Cr)'!C170</f>
        <v>RECLTD</v>
      </c>
      <c r="B175" s="50">
        <f>VLOOKUP($A175,'Data Vlaue (Cr)'!$C:$FB,8)</f>
        <v>377.5</v>
      </c>
      <c r="C175" s="50">
        <f>VLOOKUP($A175,'Data Vlaue (Cr)'!$C:$FB,11)*100</f>
        <v>3.7199999999999998</v>
      </c>
      <c r="D175" s="50">
        <f>VLOOKUP($A175,'Data Vlaue (Cr)'!$C:$FB,143)</f>
        <v>2781.91</v>
      </c>
      <c r="E175" s="50">
        <f>VLOOKUP($A175,'Data Vlaue (Cr)'!$C:$FB,144)</f>
        <v>4607.1499999999996</v>
      </c>
      <c r="F175" s="50">
        <f>VLOOKUP($A175,'Data Vlaue (Cr)'!$C:$FB,146)*100</f>
        <v>-39.619999999999997</v>
      </c>
      <c r="G175" s="49">
        <f>VLOOKUP($A175,'Data Vlaue (Cr)'!$C:$FB,43)</f>
        <v>591</v>
      </c>
      <c r="H175" s="49">
        <f>VLOOKUP($A175,'Data Vlaue (Cr)'!$C:$FB,44)</f>
        <v>2190</v>
      </c>
      <c r="I175" s="49">
        <f>VLOOKUP($A175,'Data Vlaue (Cr)'!$C:$FB,46)*100</f>
        <v>-73.03</v>
      </c>
      <c r="J175" s="51">
        <f>VLOOKUP($A175,'Data Vlaue (Cr)'!$C:$FB,59)</f>
        <v>1542</v>
      </c>
      <c r="K175" s="51">
        <f>VLOOKUP($A175,'Data Vlaue (Cr)'!$C:$FB,60)</f>
        <v>1214</v>
      </c>
      <c r="L175" s="51">
        <f>VLOOKUP($A175,'Data Vlaue (Cr)'!$C:$FB,62)*100</f>
        <v>26.97</v>
      </c>
      <c r="M175" s="51">
        <f>VLOOKUP($A175,'Data Vlaue (Cr)'!$C:$FB,63)</f>
        <v>604</v>
      </c>
      <c r="N175" s="51">
        <f>VLOOKUP($A175,'Data Vlaue (Cr)'!$C:$FB,64)</f>
        <v>1310</v>
      </c>
      <c r="O175" s="51">
        <f>VLOOKUP($A175,'Data Vlaue (Cr)'!$C:$FB,66)*100</f>
        <v>-53.910000000000004</v>
      </c>
    </row>
    <row r="176" spans="1:15" x14ac:dyDescent="0.25">
      <c r="A176" s="101" t="str">
        <f>'Data Vlaue (Cr)'!C171</f>
        <v>RELIANCE</v>
      </c>
      <c r="B176" s="50">
        <f>VLOOKUP($A176,'Data Vlaue (Cr)'!$C:$FB,8)</f>
        <v>1396.7</v>
      </c>
      <c r="C176" s="50">
        <f>VLOOKUP($A176,'Data Vlaue (Cr)'!$C:$FB,11)*100</f>
        <v>1.17</v>
      </c>
      <c r="D176" s="50">
        <f>VLOOKUP($A176,'Data Vlaue (Cr)'!$C:$FB,143)</f>
        <v>13106.03</v>
      </c>
      <c r="E176" s="50">
        <f>VLOOKUP($A176,'Data Vlaue (Cr)'!$C:$FB,144)</f>
        <v>32369.9</v>
      </c>
      <c r="F176" s="50">
        <f>VLOOKUP($A176,'Data Vlaue (Cr)'!$C:$FB,146)*100</f>
        <v>-59.51</v>
      </c>
      <c r="G176" s="49">
        <f>VLOOKUP($A176,'Data Vlaue (Cr)'!$C:$FB,43)</f>
        <v>1715</v>
      </c>
      <c r="H176" s="49">
        <f>VLOOKUP($A176,'Data Vlaue (Cr)'!$C:$FB,44)</f>
        <v>10271</v>
      </c>
      <c r="I176" s="49">
        <f>VLOOKUP($A176,'Data Vlaue (Cr)'!$C:$FB,46)*100</f>
        <v>-83.3</v>
      </c>
      <c r="J176" s="51">
        <f>VLOOKUP($A176,'Data Vlaue (Cr)'!$C:$FB,59)</f>
        <v>7489</v>
      </c>
      <c r="K176" s="51">
        <f>VLOOKUP($A176,'Data Vlaue (Cr)'!$C:$FB,60)</f>
        <v>13560</v>
      </c>
      <c r="L176" s="51">
        <f>VLOOKUP($A176,'Data Vlaue (Cr)'!$C:$FB,62)*100</f>
        <v>-44.78</v>
      </c>
      <c r="M176" s="51">
        <f>VLOOKUP($A176,'Data Vlaue (Cr)'!$C:$FB,63)</f>
        <v>3500</v>
      </c>
      <c r="N176" s="51">
        <f>VLOOKUP($A176,'Data Vlaue (Cr)'!$C:$FB,64)</f>
        <v>8032</v>
      </c>
      <c r="O176" s="51">
        <f>VLOOKUP($A176,'Data Vlaue (Cr)'!$C:$FB,66)*100</f>
        <v>-56.42</v>
      </c>
    </row>
    <row r="177" spans="1:15" x14ac:dyDescent="0.25">
      <c r="A177" s="101" t="str">
        <f>'Data Vlaue (Cr)'!C172</f>
        <v>RVNL</v>
      </c>
      <c r="B177" s="50">
        <f>VLOOKUP($A177,'Data Vlaue (Cr)'!$C:$FB,8)</f>
        <v>342.5</v>
      </c>
      <c r="C177" s="50">
        <f>VLOOKUP($A177,'Data Vlaue (Cr)'!$C:$FB,11)*100</f>
        <v>5.74</v>
      </c>
      <c r="D177" s="50">
        <f>VLOOKUP($A177,'Data Vlaue (Cr)'!$C:$FB,143)</f>
        <v>3347.29</v>
      </c>
      <c r="E177" s="50">
        <f>VLOOKUP($A177,'Data Vlaue (Cr)'!$C:$FB,144)</f>
        <v>2661.45</v>
      </c>
      <c r="F177" s="50">
        <f>VLOOKUP($A177,'Data Vlaue (Cr)'!$C:$FB,146)*100</f>
        <v>25.77</v>
      </c>
      <c r="G177" s="49">
        <f>VLOOKUP($A177,'Data Vlaue (Cr)'!$C:$FB,43)</f>
        <v>555</v>
      </c>
      <c r="H177" s="49">
        <f>VLOOKUP($A177,'Data Vlaue (Cr)'!$C:$FB,44)</f>
        <v>879</v>
      </c>
      <c r="I177" s="49">
        <f>VLOOKUP($A177,'Data Vlaue (Cr)'!$C:$FB,46)*100</f>
        <v>-36.83</v>
      </c>
      <c r="J177" s="51">
        <f>VLOOKUP($A177,'Data Vlaue (Cr)'!$C:$FB,59)</f>
        <v>2151</v>
      </c>
      <c r="K177" s="51">
        <f>VLOOKUP($A177,'Data Vlaue (Cr)'!$C:$FB,60)</f>
        <v>1369</v>
      </c>
      <c r="L177" s="51">
        <f>VLOOKUP($A177,'Data Vlaue (Cr)'!$C:$FB,62)*100</f>
        <v>57.13</v>
      </c>
      <c r="M177" s="51">
        <f>VLOOKUP($A177,'Data Vlaue (Cr)'!$C:$FB,63)</f>
        <v>494</v>
      </c>
      <c r="N177" s="51">
        <f>VLOOKUP($A177,'Data Vlaue (Cr)'!$C:$FB,64)</f>
        <v>413</v>
      </c>
      <c r="O177" s="51">
        <f>VLOOKUP($A177,'Data Vlaue (Cr)'!$C:$FB,66)*100</f>
        <v>19.54</v>
      </c>
    </row>
    <row r="178" spans="1:15" x14ac:dyDescent="0.25">
      <c r="A178" s="101" t="str">
        <f>'Data Vlaue (Cr)'!C173</f>
        <v>SAIL</v>
      </c>
      <c r="B178" s="50">
        <f>VLOOKUP($A178,'Data Vlaue (Cr)'!$C:$FB,8)</f>
        <v>155.74</v>
      </c>
      <c r="C178" s="50">
        <f>VLOOKUP($A178,'Data Vlaue (Cr)'!$C:$FB,11)*100</f>
        <v>0.12</v>
      </c>
      <c r="D178" s="50">
        <f>VLOOKUP($A178,'Data Vlaue (Cr)'!$C:$FB,143)</f>
        <v>1675</v>
      </c>
      <c r="E178" s="50">
        <f>VLOOKUP($A178,'Data Vlaue (Cr)'!$C:$FB,144)</f>
        <v>3423.45</v>
      </c>
      <c r="F178" s="50">
        <f>VLOOKUP($A178,'Data Vlaue (Cr)'!$C:$FB,146)*100</f>
        <v>-51.070000000000007</v>
      </c>
      <c r="G178" s="49">
        <f>VLOOKUP($A178,'Data Vlaue (Cr)'!$C:$FB,43)</f>
        <v>558</v>
      </c>
      <c r="H178" s="49">
        <f>VLOOKUP($A178,'Data Vlaue (Cr)'!$C:$FB,44)</f>
        <v>2065</v>
      </c>
      <c r="I178" s="49">
        <f>VLOOKUP($A178,'Data Vlaue (Cr)'!$C:$FB,46)*100</f>
        <v>-72.960000000000008</v>
      </c>
      <c r="J178" s="51">
        <f>VLOOKUP($A178,'Data Vlaue (Cr)'!$C:$FB,59)</f>
        <v>827</v>
      </c>
      <c r="K178" s="51">
        <f>VLOOKUP($A178,'Data Vlaue (Cr)'!$C:$FB,60)</f>
        <v>926</v>
      </c>
      <c r="L178" s="51">
        <f>VLOOKUP($A178,'Data Vlaue (Cr)'!$C:$FB,62)*100</f>
        <v>-10.69</v>
      </c>
      <c r="M178" s="51">
        <f>VLOOKUP($A178,'Data Vlaue (Cr)'!$C:$FB,63)</f>
        <v>239</v>
      </c>
      <c r="N178" s="51">
        <f>VLOOKUP($A178,'Data Vlaue (Cr)'!$C:$FB,64)</f>
        <v>488</v>
      </c>
      <c r="O178" s="51">
        <f>VLOOKUP($A178,'Data Vlaue (Cr)'!$C:$FB,66)*100</f>
        <v>-50.980000000000004</v>
      </c>
    </row>
    <row r="179" spans="1:15" x14ac:dyDescent="0.25">
      <c r="A179" s="101" t="str">
        <f>'Data Vlaue (Cr)'!C174</f>
        <v>SAMMAANCAP</v>
      </c>
      <c r="B179" s="50">
        <f>VLOOKUP($A179,'Data Vlaue (Cr)'!$C:$FB,8)</f>
        <v>141.83000000000001</v>
      </c>
      <c r="C179" s="50">
        <f>VLOOKUP($A179,'Data Vlaue (Cr)'!$C:$FB,11)*100</f>
        <v>2.21</v>
      </c>
      <c r="D179" s="50">
        <f>VLOOKUP($A179,'Data Vlaue (Cr)'!$C:$FB,143)</f>
        <v>1623.15</v>
      </c>
      <c r="E179" s="50">
        <f>VLOOKUP($A179,'Data Vlaue (Cr)'!$C:$FB,144)</f>
        <v>2710.47</v>
      </c>
      <c r="F179" s="50">
        <f>VLOOKUP($A179,'Data Vlaue (Cr)'!$C:$FB,146)*100</f>
        <v>-40.119999999999997</v>
      </c>
      <c r="G179" s="49">
        <f>VLOOKUP($A179,'Data Vlaue (Cr)'!$C:$FB,43)</f>
        <v>529</v>
      </c>
      <c r="H179" s="49">
        <f>VLOOKUP($A179,'Data Vlaue (Cr)'!$C:$FB,44)</f>
        <v>2451</v>
      </c>
      <c r="I179" s="49">
        <f>VLOOKUP($A179,'Data Vlaue (Cr)'!$C:$FB,46)*100</f>
        <v>-78.430000000000007</v>
      </c>
      <c r="J179" s="51">
        <f>VLOOKUP($A179,'Data Vlaue (Cr)'!$C:$FB,59)</f>
        <v>624</v>
      </c>
      <c r="K179" s="51">
        <f>VLOOKUP($A179,'Data Vlaue (Cr)'!$C:$FB,60)</f>
        <v>182</v>
      </c>
      <c r="L179" s="51">
        <f>VLOOKUP($A179,'Data Vlaue (Cr)'!$C:$FB,62)*100</f>
        <v>243.88</v>
      </c>
      <c r="M179" s="51">
        <f>VLOOKUP($A179,'Data Vlaue (Cr)'!$C:$FB,63)</f>
        <v>432</v>
      </c>
      <c r="N179" s="51">
        <f>VLOOKUP($A179,'Data Vlaue (Cr)'!$C:$FB,64)</f>
        <v>139</v>
      </c>
      <c r="O179" s="51">
        <f>VLOOKUP($A179,'Data Vlaue (Cr)'!$C:$FB,66)*100</f>
        <v>210.56</v>
      </c>
    </row>
    <row r="180" spans="1:15" x14ac:dyDescent="0.25">
      <c r="A180" s="101" t="str">
        <f>'Data Vlaue (Cr)'!C175</f>
        <v>SBICARD</v>
      </c>
      <c r="B180" s="50">
        <f>VLOOKUP($A180,'Data Vlaue (Cr)'!$C:$FB,8)</f>
        <v>782.4</v>
      </c>
      <c r="C180" s="50">
        <f>VLOOKUP($A180,'Data Vlaue (Cr)'!$C:$FB,11)*100</f>
        <v>1.48</v>
      </c>
      <c r="D180" s="50">
        <f>VLOOKUP($A180,'Data Vlaue (Cr)'!$C:$FB,143)</f>
        <v>2125.0300000000002</v>
      </c>
      <c r="E180" s="50">
        <f>VLOOKUP($A180,'Data Vlaue (Cr)'!$C:$FB,144)</f>
        <v>1889.22</v>
      </c>
      <c r="F180" s="50">
        <f>VLOOKUP($A180,'Data Vlaue (Cr)'!$C:$FB,146)*100</f>
        <v>12.479999999999999</v>
      </c>
      <c r="G180" s="49">
        <f>VLOOKUP($A180,'Data Vlaue (Cr)'!$C:$FB,43)</f>
        <v>610</v>
      </c>
      <c r="H180" s="49">
        <f>VLOOKUP($A180,'Data Vlaue (Cr)'!$C:$FB,44)</f>
        <v>1120</v>
      </c>
      <c r="I180" s="49">
        <f>VLOOKUP($A180,'Data Vlaue (Cr)'!$C:$FB,46)*100</f>
        <v>-45.49</v>
      </c>
      <c r="J180" s="51">
        <f>VLOOKUP($A180,'Data Vlaue (Cr)'!$C:$FB,59)</f>
        <v>992</v>
      </c>
      <c r="K180" s="51">
        <f>VLOOKUP($A180,'Data Vlaue (Cr)'!$C:$FB,60)</f>
        <v>368</v>
      </c>
      <c r="L180" s="51">
        <f>VLOOKUP($A180,'Data Vlaue (Cr)'!$C:$FB,62)*100</f>
        <v>169.93</v>
      </c>
      <c r="M180" s="51">
        <f>VLOOKUP($A180,'Data Vlaue (Cr)'!$C:$FB,63)</f>
        <v>447</v>
      </c>
      <c r="N180" s="51">
        <f>VLOOKUP($A180,'Data Vlaue (Cr)'!$C:$FB,64)</f>
        <v>393</v>
      </c>
      <c r="O180" s="51">
        <f>VLOOKUP($A180,'Data Vlaue (Cr)'!$C:$FB,66)*100</f>
        <v>13.74</v>
      </c>
    </row>
    <row r="181" spans="1:15" x14ac:dyDescent="0.25">
      <c r="A181" s="101" t="str">
        <f>'Data Vlaue (Cr)'!C176</f>
        <v>SBILIFE</v>
      </c>
      <c r="B181" s="50">
        <f>VLOOKUP($A181,'Data Vlaue (Cr)'!$C:$FB,8)</f>
        <v>2053.1999999999998</v>
      </c>
      <c r="C181" s="50">
        <f>VLOOKUP($A181,'Data Vlaue (Cr)'!$C:$FB,11)*100</f>
        <v>0.74</v>
      </c>
      <c r="D181" s="50">
        <f>VLOOKUP($A181,'Data Vlaue (Cr)'!$C:$FB,143)</f>
        <v>3789.96</v>
      </c>
      <c r="E181" s="50">
        <f>VLOOKUP($A181,'Data Vlaue (Cr)'!$C:$FB,144)</f>
        <v>1758.01</v>
      </c>
      <c r="F181" s="50">
        <f>VLOOKUP($A181,'Data Vlaue (Cr)'!$C:$FB,146)*100</f>
        <v>115.58</v>
      </c>
      <c r="G181" s="49">
        <f>VLOOKUP($A181,'Data Vlaue (Cr)'!$C:$FB,43)</f>
        <v>646</v>
      </c>
      <c r="H181" s="49">
        <f>VLOOKUP($A181,'Data Vlaue (Cr)'!$C:$FB,44)</f>
        <v>1064</v>
      </c>
      <c r="I181" s="49">
        <f>VLOOKUP($A181,'Data Vlaue (Cr)'!$C:$FB,46)*100</f>
        <v>-39.25</v>
      </c>
      <c r="J181" s="51">
        <f>VLOOKUP($A181,'Data Vlaue (Cr)'!$C:$FB,59)</f>
        <v>2014</v>
      </c>
      <c r="K181" s="51">
        <f>VLOOKUP($A181,'Data Vlaue (Cr)'!$C:$FB,60)</f>
        <v>462</v>
      </c>
      <c r="L181" s="51">
        <f>VLOOKUP($A181,'Data Vlaue (Cr)'!$C:$FB,62)*100</f>
        <v>336.12</v>
      </c>
      <c r="M181" s="51">
        <f>VLOOKUP($A181,'Data Vlaue (Cr)'!$C:$FB,63)</f>
        <v>1038</v>
      </c>
      <c r="N181" s="51">
        <f>VLOOKUP($A181,'Data Vlaue (Cr)'!$C:$FB,64)</f>
        <v>241</v>
      </c>
      <c r="O181" s="51">
        <f>VLOOKUP($A181,'Data Vlaue (Cr)'!$C:$FB,66)*100</f>
        <v>331.09000000000003</v>
      </c>
    </row>
    <row r="182" spans="1:15" x14ac:dyDescent="0.25">
      <c r="A182" s="101" t="str">
        <f>'Data Vlaue (Cr)'!C177</f>
        <v>SBIN</v>
      </c>
      <c r="B182" s="50">
        <f>VLOOKUP($A182,'Data Vlaue (Cr)'!$C:$FB,8)</f>
        <v>1063.5</v>
      </c>
      <c r="C182" s="50">
        <f>VLOOKUP($A182,'Data Vlaue (Cr)'!$C:$FB,11)*100</f>
        <v>0.98</v>
      </c>
      <c r="D182" s="50">
        <f>VLOOKUP($A182,'Data Vlaue (Cr)'!$C:$FB,143)</f>
        <v>9821.41</v>
      </c>
      <c r="E182" s="50">
        <f>VLOOKUP($A182,'Data Vlaue (Cr)'!$C:$FB,144)</f>
        <v>16981.37</v>
      </c>
      <c r="F182" s="50">
        <f>VLOOKUP($A182,'Data Vlaue (Cr)'!$C:$FB,146)*100</f>
        <v>-42.16</v>
      </c>
      <c r="G182" s="49">
        <f>VLOOKUP($A182,'Data Vlaue (Cr)'!$C:$FB,43)</f>
        <v>1607</v>
      </c>
      <c r="H182" s="49">
        <f>VLOOKUP($A182,'Data Vlaue (Cr)'!$C:$FB,44)</f>
        <v>4264</v>
      </c>
      <c r="I182" s="49">
        <f>VLOOKUP($A182,'Data Vlaue (Cr)'!$C:$FB,46)*100</f>
        <v>-62.31</v>
      </c>
      <c r="J182" s="51">
        <f>VLOOKUP($A182,'Data Vlaue (Cr)'!$C:$FB,59)</f>
        <v>4796</v>
      </c>
      <c r="K182" s="51">
        <f>VLOOKUP($A182,'Data Vlaue (Cr)'!$C:$FB,60)</f>
        <v>7476</v>
      </c>
      <c r="L182" s="51">
        <f>VLOOKUP($A182,'Data Vlaue (Cr)'!$C:$FB,62)*100</f>
        <v>-35.85</v>
      </c>
      <c r="M182" s="51">
        <f>VLOOKUP($A182,'Data Vlaue (Cr)'!$C:$FB,63)</f>
        <v>3328</v>
      </c>
      <c r="N182" s="51">
        <f>VLOOKUP($A182,'Data Vlaue (Cr)'!$C:$FB,64)</f>
        <v>5507</v>
      </c>
      <c r="O182" s="51">
        <f>VLOOKUP($A182,'Data Vlaue (Cr)'!$C:$FB,66)*100</f>
        <v>-39.57</v>
      </c>
    </row>
    <row r="183" spans="1:15" x14ac:dyDescent="0.25">
      <c r="A183" s="101" t="str">
        <f>'Data Vlaue (Cr)'!C178</f>
        <v>SHREECEM</v>
      </c>
      <c r="B183" s="50">
        <f>VLOOKUP($A183,'Data Vlaue (Cr)'!$C:$FB,8)</f>
        <v>27480</v>
      </c>
      <c r="C183" s="50">
        <f>VLOOKUP($A183,'Data Vlaue (Cr)'!$C:$FB,11)*100</f>
        <v>0.96</v>
      </c>
      <c r="D183" s="50">
        <f>VLOOKUP($A183,'Data Vlaue (Cr)'!$C:$FB,143)</f>
        <v>233.72</v>
      </c>
      <c r="E183" s="50">
        <f>VLOOKUP($A183,'Data Vlaue (Cr)'!$C:$FB,144)</f>
        <v>968.67</v>
      </c>
      <c r="F183" s="50">
        <f>VLOOKUP($A183,'Data Vlaue (Cr)'!$C:$FB,146)*100</f>
        <v>-75.87</v>
      </c>
      <c r="G183" s="49">
        <f>VLOOKUP($A183,'Data Vlaue (Cr)'!$C:$FB,43)</f>
        <v>149</v>
      </c>
      <c r="H183" s="49">
        <f>VLOOKUP($A183,'Data Vlaue (Cr)'!$C:$FB,44)</f>
        <v>420</v>
      </c>
      <c r="I183" s="49">
        <f>VLOOKUP($A183,'Data Vlaue (Cr)'!$C:$FB,46)*100</f>
        <v>-64.429999999999993</v>
      </c>
      <c r="J183" s="51">
        <f>VLOOKUP($A183,'Data Vlaue (Cr)'!$C:$FB,59)</f>
        <v>43</v>
      </c>
      <c r="K183" s="51">
        <f>VLOOKUP($A183,'Data Vlaue (Cr)'!$C:$FB,60)</f>
        <v>306</v>
      </c>
      <c r="L183" s="51">
        <f>VLOOKUP($A183,'Data Vlaue (Cr)'!$C:$FB,62)*100</f>
        <v>-85.9</v>
      </c>
      <c r="M183" s="51">
        <f>VLOOKUP($A183,'Data Vlaue (Cr)'!$C:$FB,63)</f>
        <v>41</v>
      </c>
      <c r="N183" s="51">
        <f>VLOOKUP($A183,'Data Vlaue (Cr)'!$C:$FB,64)</f>
        <v>238</v>
      </c>
      <c r="O183" s="51">
        <f>VLOOKUP($A183,'Data Vlaue (Cr)'!$C:$FB,66)*100</f>
        <v>-82.91</v>
      </c>
    </row>
    <row r="184" spans="1:15" x14ac:dyDescent="0.25">
      <c r="A184" s="101" t="str">
        <f>'Data Vlaue (Cr)'!C179</f>
        <v>SHRIRAMFIN</v>
      </c>
      <c r="B184" s="50">
        <f>VLOOKUP($A184,'Data Vlaue (Cr)'!$C:$FB,8)</f>
        <v>1018.8</v>
      </c>
      <c r="C184" s="50">
        <f>VLOOKUP($A184,'Data Vlaue (Cr)'!$C:$FB,11)*100</f>
        <v>1.77</v>
      </c>
      <c r="D184" s="50">
        <f>VLOOKUP($A184,'Data Vlaue (Cr)'!$C:$FB,143)</f>
        <v>2948.12</v>
      </c>
      <c r="E184" s="50">
        <f>VLOOKUP($A184,'Data Vlaue (Cr)'!$C:$FB,144)</f>
        <v>7952.95</v>
      </c>
      <c r="F184" s="50">
        <f>VLOOKUP($A184,'Data Vlaue (Cr)'!$C:$FB,146)*100</f>
        <v>-62.93</v>
      </c>
      <c r="G184" s="49">
        <f>VLOOKUP($A184,'Data Vlaue (Cr)'!$C:$FB,43)</f>
        <v>677</v>
      </c>
      <c r="H184" s="49">
        <f>VLOOKUP($A184,'Data Vlaue (Cr)'!$C:$FB,44)</f>
        <v>2731</v>
      </c>
      <c r="I184" s="49">
        <f>VLOOKUP($A184,'Data Vlaue (Cr)'!$C:$FB,46)*100</f>
        <v>-75.209999999999994</v>
      </c>
      <c r="J184" s="51">
        <f>VLOOKUP($A184,'Data Vlaue (Cr)'!$C:$FB,59)</f>
        <v>1373</v>
      </c>
      <c r="K184" s="51">
        <f>VLOOKUP($A184,'Data Vlaue (Cr)'!$C:$FB,60)</f>
        <v>3102</v>
      </c>
      <c r="L184" s="51">
        <f>VLOOKUP($A184,'Data Vlaue (Cr)'!$C:$FB,62)*100</f>
        <v>-55.74</v>
      </c>
      <c r="M184" s="51">
        <f>VLOOKUP($A184,'Data Vlaue (Cr)'!$C:$FB,63)</f>
        <v>866</v>
      </c>
      <c r="N184" s="51">
        <f>VLOOKUP($A184,'Data Vlaue (Cr)'!$C:$FB,64)</f>
        <v>2214</v>
      </c>
      <c r="O184" s="51">
        <f>VLOOKUP($A184,'Data Vlaue (Cr)'!$C:$FB,66)*100</f>
        <v>-60.88</v>
      </c>
    </row>
    <row r="185" spans="1:15" x14ac:dyDescent="0.25">
      <c r="A185" s="101" t="str">
        <f>'Data Vlaue (Cr)'!C180</f>
        <v>SIEMENS</v>
      </c>
      <c r="B185" s="50">
        <f>VLOOKUP($A185,'Data Vlaue (Cr)'!$C:$FB,8)</f>
        <v>2980.8</v>
      </c>
      <c r="C185" s="50">
        <f>VLOOKUP($A185,'Data Vlaue (Cr)'!$C:$FB,11)*100</f>
        <v>3</v>
      </c>
      <c r="D185" s="50">
        <f>VLOOKUP($A185,'Data Vlaue (Cr)'!$C:$FB,143)</f>
        <v>830.43</v>
      </c>
      <c r="E185" s="50">
        <f>VLOOKUP($A185,'Data Vlaue (Cr)'!$C:$FB,144)</f>
        <v>888.02</v>
      </c>
      <c r="F185" s="50">
        <f>VLOOKUP($A185,'Data Vlaue (Cr)'!$C:$FB,146)*100</f>
        <v>-6.4799999999999995</v>
      </c>
      <c r="G185" s="49">
        <f>VLOOKUP($A185,'Data Vlaue (Cr)'!$C:$FB,43)</f>
        <v>176</v>
      </c>
      <c r="H185" s="49">
        <f>VLOOKUP($A185,'Data Vlaue (Cr)'!$C:$FB,44)</f>
        <v>490</v>
      </c>
      <c r="I185" s="49">
        <f>VLOOKUP($A185,'Data Vlaue (Cr)'!$C:$FB,46)*100</f>
        <v>-63.980000000000004</v>
      </c>
      <c r="J185" s="51">
        <f>VLOOKUP($A185,'Data Vlaue (Cr)'!$C:$FB,59)</f>
        <v>500</v>
      </c>
      <c r="K185" s="51">
        <f>VLOOKUP($A185,'Data Vlaue (Cr)'!$C:$FB,60)</f>
        <v>259</v>
      </c>
      <c r="L185" s="51">
        <f>VLOOKUP($A185,'Data Vlaue (Cr)'!$C:$FB,62)*100</f>
        <v>92.600000000000009</v>
      </c>
      <c r="M185" s="51">
        <f>VLOOKUP($A185,'Data Vlaue (Cr)'!$C:$FB,63)</f>
        <v>139</v>
      </c>
      <c r="N185" s="51">
        <f>VLOOKUP($A185,'Data Vlaue (Cr)'!$C:$FB,64)</f>
        <v>152</v>
      </c>
      <c r="O185" s="51">
        <f>VLOOKUP($A185,'Data Vlaue (Cr)'!$C:$FB,66)*100</f>
        <v>-8.57</v>
      </c>
    </row>
    <row r="186" spans="1:15" x14ac:dyDescent="0.25">
      <c r="A186" s="101" t="str">
        <f>'Data Vlaue (Cr)'!C181</f>
        <v>SOLARINDS</v>
      </c>
      <c r="B186" s="50">
        <f>VLOOKUP($A186,'Data Vlaue (Cr)'!$C:$FB,8)</f>
        <v>13916</v>
      </c>
      <c r="C186" s="50">
        <f>VLOOKUP($A186,'Data Vlaue (Cr)'!$C:$FB,11)*100</f>
        <v>9.01</v>
      </c>
      <c r="D186" s="50">
        <f>VLOOKUP($A186,'Data Vlaue (Cr)'!$C:$FB,143)</f>
        <v>2843.08</v>
      </c>
      <c r="E186" s="50">
        <f>VLOOKUP($A186,'Data Vlaue (Cr)'!$C:$FB,144)</f>
        <v>1812.3</v>
      </c>
      <c r="F186" s="50">
        <f>VLOOKUP($A186,'Data Vlaue (Cr)'!$C:$FB,146)*100</f>
        <v>56.879999999999995</v>
      </c>
      <c r="G186" s="49">
        <f>VLOOKUP($A186,'Data Vlaue (Cr)'!$C:$FB,43)</f>
        <v>538</v>
      </c>
      <c r="H186" s="49">
        <f>VLOOKUP($A186,'Data Vlaue (Cr)'!$C:$FB,44)</f>
        <v>1093</v>
      </c>
      <c r="I186" s="49">
        <f>VLOOKUP($A186,'Data Vlaue (Cr)'!$C:$FB,46)*100</f>
        <v>-50.749999999999993</v>
      </c>
      <c r="J186" s="51">
        <f>VLOOKUP($A186,'Data Vlaue (Cr)'!$C:$FB,59)</f>
        <v>1912</v>
      </c>
      <c r="K186" s="51">
        <f>VLOOKUP($A186,'Data Vlaue (Cr)'!$C:$FB,60)</f>
        <v>549</v>
      </c>
      <c r="L186" s="51">
        <f>VLOOKUP($A186,'Data Vlaue (Cr)'!$C:$FB,62)*100</f>
        <v>248.36</v>
      </c>
      <c r="M186" s="51">
        <f>VLOOKUP($A186,'Data Vlaue (Cr)'!$C:$FB,63)</f>
        <v>335</v>
      </c>
      <c r="N186" s="51">
        <f>VLOOKUP($A186,'Data Vlaue (Cr)'!$C:$FB,64)</f>
        <v>316</v>
      </c>
      <c r="O186" s="51">
        <f>VLOOKUP($A186,'Data Vlaue (Cr)'!$C:$FB,66)*100</f>
        <v>5.9499999999999993</v>
      </c>
    </row>
    <row r="187" spans="1:15" x14ac:dyDescent="0.25">
      <c r="A187" s="101" t="str">
        <f>'Data Vlaue (Cr)'!C182</f>
        <v>SONACOMS</v>
      </c>
      <c r="B187" s="50">
        <f>VLOOKUP($A187,'Data Vlaue (Cr)'!$C:$FB,8)</f>
        <v>494.1</v>
      </c>
      <c r="C187" s="50">
        <f>VLOOKUP($A187,'Data Vlaue (Cr)'!$C:$FB,11)*100</f>
        <v>1.29</v>
      </c>
      <c r="D187" s="50">
        <f>VLOOKUP($A187,'Data Vlaue (Cr)'!$C:$FB,143)</f>
        <v>642.72</v>
      </c>
      <c r="E187" s="50">
        <f>VLOOKUP($A187,'Data Vlaue (Cr)'!$C:$FB,144)</f>
        <v>2861.32</v>
      </c>
      <c r="F187" s="50">
        <f>VLOOKUP($A187,'Data Vlaue (Cr)'!$C:$FB,146)*100</f>
        <v>-77.539999999999992</v>
      </c>
      <c r="G187" s="49">
        <f>VLOOKUP($A187,'Data Vlaue (Cr)'!$C:$FB,43)</f>
        <v>151</v>
      </c>
      <c r="H187" s="49">
        <f>VLOOKUP($A187,'Data Vlaue (Cr)'!$C:$FB,44)</f>
        <v>878</v>
      </c>
      <c r="I187" s="49">
        <f>VLOOKUP($A187,'Data Vlaue (Cr)'!$C:$FB,46)*100</f>
        <v>-82.820000000000007</v>
      </c>
      <c r="J187" s="51">
        <f>VLOOKUP($A187,'Data Vlaue (Cr)'!$C:$FB,59)</f>
        <v>358</v>
      </c>
      <c r="K187" s="51">
        <f>VLOOKUP($A187,'Data Vlaue (Cr)'!$C:$FB,60)</f>
        <v>1591</v>
      </c>
      <c r="L187" s="51">
        <f>VLOOKUP($A187,'Data Vlaue (Cr)'!$C:$FB,62)*100</f>
        <v>-77.5</v>
      </c>
      <c r="M187" s="51">
        <f>VLOOKUP($A187,'Data Vlaue (Cr)'!$C:$FB,63)</f>
        <v>120</v>
      </c>
      <c r="N187" s="51">
        <f>VLOOKUP($A187,'Data Vlaue (Cr)'!$C:$FB,64)</f>
        <v>422</v>
      </c>
      <c r="O187" s="51">
        <f>VLOOKUP($A187,'Data Vlaue (Cr)'!$C:$FB,66)*100</f>
        <v>-71.460000000000008</v>
      </c>
    </row>
    <row r="188" spans="1:15" x14ac:dyDescent="0.25">
      <c r="A188" s="101" t="str">
        <f>'Data Vlaue (Cr)'!C183</f>
        <v>SRF</v>
      </c>
      <c r="B188" s="50">
        <f>VLOOKUP($A188,'Data Vlaue (Cr)'!$C:$FB,8)</f>
        <v>2817</v>
      </c>
      <c r="C188" s="50">
        <f>VLOOKUP($A188,'Data Vlaue (Cr)'!$C:$FB,11)*100</f>
        <v>5.0299999999999994</v>
      </c>
      <c r="D188" s="50">
        <f>VLOOKUP($A188,'Data Vlaue (Cr)'!$C:$FB,143)</f>
        <v>1270.98</v>
      </c>
      <c r="E188" s="50">
        <f>VLOOKUP($A188,'Data Vlaue (Cr)'!$C:$FB,144)</f>
        <v>1580.6</v>
      </c>
      <c r="F188" s="50">
        <f>VLOOKUP($A188,'Data Vlaue (Cr)'!$C:$FB,146)*100</f>
        <v>-19.59</v>
      </c>
      <c r="G188" s="49">
        <f>VLOOKUP($A188,'Data Vlaue (Cr)'!$C:$FB,43)</f>
        <v>410</v>
      </c>
      <c r="H188" s="49">
        <f>VLOOKUP($A188,'Data Vlaue (Cr)'!$C:$FB,44)</f>
        <v>889</v>
      </c>
      <c r="I188" s="49">
        <f>VLOOKUP($A188,'Data Vlaue (Cr)'!$C:$FB,46)*100</f>
        <v>-53.959999999999994</v>
      </c>
      <c r="J188" s="51">
        <f>VLOOKUP($A188,'Data Vlaue (Cr)'!$C:$FB,59)</f>
        <v>625</v>
      </c>
      <c r="K188" s="51">
        <f>VLOOKUP($A188,'Data Vlaue (Cr)'!$C:$FB,60)</f>
        <v>493</v>
      </c>
      <c r="L188" s="51">
        <f>VLOOKUP($A188,'Data Vlaue (Cr)'!$C:$FB,62)*100</f>
        <v>26.75</v>
      </c>
      <c r="M188" s="51">
        <f>VLOOKUP($A188,'Data Vlaue (Cr)'!$C:$FB,63)</f>
        <v>227</v>
      </c>
      <c r="N188" s="51">
        <f>VLOOKUP($A188,'Data Vlaue (Cr)'!$C:$FB,64)</f>
        <v>242</v>
      </c>
      <c r="O188" s="51">
        <f>VLOOKUP($A188,'Data Vlaue (Cr)'!$C:$FB,66)*100</f>
        <v>-6.04</v>
      </c>
    </row>
    <row r="189" spans="1:15" x14ac:dyDescent="0.25">
      <c r="A189" s="101" t="str">
        <f>'Data Vlaue (Cr)'!C184</f>
        <v>SUNPHARMA</v>
      </c>
      <c r="B189" s="50">
        <f>VLOOKUP($A189,'Data Vlaue (Cr)'!$C:$FB,8)</f>
        <v>1610.6</v>
      </c>
      <c r="C189" s="50">
        <f>VLOOKUP($A189,'Data Vlaue (Cr)'!$C:$FB,11)*100</f>
        <v>-1.73</v>
      </c>
      <c r="D189" s="50">
        <f>VLOOKUP($A189,'Data Vlaue (Cr)'!$C:$FB,143)</f>
        <v>1436.38</v>
      </c>
      <c r="E189" s="50">
        <f>VLOOKUP($A189,'Data Vlaue (Cr)'!$C:$FB,144)</f>
        <v>3340.64</v>
      </c>
      <c r="F189" s="50">
        <f>VLOOKUP($A189,'Data Vlaue (Cr)'!$C:$FB,146)*100</f>
        <v>-56.999999999999993</v>
      </c>
      <c r="G189" s="49">
        <f>VLOOKUP($A189,'Data Vlaue (Cr)'!$C:$FB,43)</f>
        <v>332</v>
      </c>
      <c r="H189" s="49">
        <f>VLOOKUP($A189,'Data Vlaue (Cr)'!$C:$FB,44)</f>
        <v>1624</v>
      </c>
      <c r="I189" s="49">
        <f>VLOOKUP($A189,'Data Vlaue (Cr)'!$C:$FB,46)*100</f>
        <v>-79.56</v>
      </c>
      <c r="J189" s="51">
        <f>VLOOKUP($A189,'Data Vlaue (Cr)'!$C:$FB,59)</f>
        <v>685</v>
      </c>
      <c r="K189" s="51">
        <f>VLOOKUP($A189,'Data Vlaue (Cr)'!$C:$FB,60)</f>
        <v>830</v>
      </c>
      <c r="L189" s="51">
        <f>VLOOKUP($A189,'Data Vlaue (Cr)'!$C:$FB,62)*100</f>
        <v>-17.54</v>
      </c>
      <c r="M189" s="51">
        <f>VLOOKUP($A189,'Data Vlaue (Cr)'!$C:$FB,63)</f>
        <v>381</v>
      </c>
      <c r="N189" s="51">
        <f>VLOOKUP($A189,'Data Vlaue (Cr)'!$C:$FB,64)</f>
        <v>800</v>
      </c>
      <c r="O189" s="51">
        <f>VLOOKUP($A189,'Data Vlaue (Cr)'!$C:$FB,66)*100</f>
        <v>-52.42</v>
      </c>
    </row>
    <row r="190" spans="1:15" x14ac:dyDescent="0.25">
      <c r="A190" s="101" t="str">
        <f>'Data Vlaue (Cr)'!C185</f>
        <v>SUPREMEIND</v>
      </c>
      <c r="B190" s="50">
        <f>VLOOKUP($A190,'Data Vlaue (Cr)'!$C:$FB,8)</f>
        <v>3512.9</v>
      </c>
      <c r="C190" s="50">
        <f>VLOOKUP($A190,'Data Vlaue (Cr)'!$C:$FB,11)*100</f>
        <v>1.9900000000000002</v>
      </c>
      <c r="D190" s="50">
        <f>VLOOKUP($A190,'Data Vlaue (Cr)'!$C:$FB,143)</f>
        <v>301.33</v>
      </c>
      <c r="E190" s="50">
        <f>VLOOKUP($A190,'Data Vlaue (Cr)'!$C:$FB,144)</f>
        <v>772.37</v>
      </c>
      <c r="F190" s="50">
        <f>VLOOKUP($A190,'Data Vlaue (Cr)'!$C:$FB,146)*100</f>
        <v>-60.99</v>
      </c>
      <c r="G190" s="49">
        <f>VLOOKUP($A190,'Data Vlaue (Cr)'!$C:$FB,43)</f>
        <v>110</v>
      </c>
      <c r="H190" s="49">
        <f>VLOOKUP($A190,'Data Vlaue (Cr)'!$C:$FB,44)</f>
        <v>391</v>
      </c>
      <c r="I190" s="49">
        <f>VLOOKUP($A190,'Data Vlaue (Cr)'!$C:$FB,46)*100</f>
        <v>-71.8</v>
      </c>
      <c r="J190" s="51">
        <f>VLOOKUP($A190,'Data Vlaue (Cr)'!$C:$FB,59)</f>
        <v>151</v>
      </c>
      <c r="K190" s="51">
        <f>VLOOKUP($A190,'Data Vlaue (Cr)'!$C:$FB,60)</f>
        <v>206</v>
      </c>
      <c r="L190" s="51">
        <f>VLOOKUP($A190,'Data Vlaue (Cr)'!$C:$FB,62)*100</f>
        <v>-27.05</v>
      </c>
      <c r="M190" s="51">
        <f>VLOOKUP($A190,'Data Vlaue (Cr)'!$C:$FB,63)</f>
        <v>32</v>
      </c>
      <c r="N190" s="51">
        <f>VLOOKUP($A190,'Data Vlaue (Cr)'!$C:$FB,64)</f>
        <v>187</v>
      </c>
      <c r="O190" s="51">
        <f>VLOOKUP($A190,'Data Vlaue (Cr)'!$C:$FB,66)*100</f>
        <v>-82.83</v>
      </c>
    </row>
    <row r="191" spans="1:15" x14ac:dyDescent="0.25">
      <c r="A191" s="101" t="str">
        <f>'Data Vlaue (Cr)'!C186</f>
        <v>SUZLON</v>
      </c>
      <c r="B191" s="50">
        <f>VLOOKUP($A191,'Data Vlaue (Cr)'!$C:$FB,8)</f>
        <v>47.8</v>
      </c>
      <c r="C191" s="50">
        <f>VLOOKUP($A191,'Data Vlaue (Cr)'!$C:$FB,11)*100</f>
        <v>4.3900000000000006</v>
      </c>
      <c r="D191" s="50">
        <f>VLOOKUP($A191,'Data Vlaue (Cr)'!$C:$FB,143)</f>
        <v>1093.6400000000001</v>
      </c>
      <c r="E191" s="50">
        <f>VLOOKUP($A191,'Data Vlaue (Cr)'!$C:$FB,144)</f>
        <v>2448.37</v>
      </c>
      <c r="F191" s="50">
        <f>VLOOKUP($A191,'Data Vlaue (Cr)'!$C:$FB,146)*100</f>
        <v>-55.33</v>
      </c>
      <c r="G191" s="49">
        <f>VLOOKUP($A191,'Data Vlaue (Cr)'!$C:$FB,43)</f>
        <v>266</v>
      </c>
      <c r="H191" s="49">
        <f>VLOOKUP($A191,'Data Vlaue (Cr)'!$C:$FB,44)</f>
        <v>1616</v>
      </c>
      <c r="I191" s="49">
        <f>VLOOKUP($A191,'Data Vlaue (Cr)'!$C:$FB,46)*100</f>
        <v>-83.52000000000001</v>
      </c>
      <c r="J191" s="51">
        <f>VLOOKUP($A191,'Data Vlaue (Cr)'!$C:$FB,59)</f>
        <v>588</v>
      </c>
      <c r="K191" s="51">
        <f>VLOOKUP($A191,'Data Vlaue (Cr)'!$C:$FB,60)</f>
        <v>493</v>
      </c>
      <c r="L191" s="51">
        <f>VLOOKUP($A191,'Data Vlaue (Cr)'!$C:$FB,62)*100</f>
        <v>19.27</v>
      </c>
      <c r="M191" s="51">
        <f>VLOOKUP($A191,'Data Vlaue (Cr)'!$C:$FB,63)</f>
        <v>196</v>
      </c>
      <c r="N191" s="51">
        <f>VLOOKUP($A191,'Data Vlaue (Cr)'!$C:$FB,64)</f>
        <v>358</v>
      </c>
      <c r="O191" s="51">
        <f>VLOOKUP($A191,'Data Vlaue (Cr)'!$C:$FB,66)*100</f>
        <v>-45.39</v>
      </c>
    </row>
    <row r="192" spans="1:15" x14ac:dyDescent="0.25">
      <c r="A192" s="101" t="str">
        <f>'Data Vlaue (Cr)'!C187</f>
        <v>SWIGGY</v>
      </c>
      <c r="B192" s="50">
        <f>VLOOKUP($A192,'Data Vlaue (Cr)'!$C:$FB,8)</f>
        <v>323.5</v>
      </c>
      <c r="C192" s="50">
        <f>VLOOKUP($A192,'Data Vlaue (Cr)'!$C:$FB,11)*100</f>
        <v>3.5999999999999996</v>
      </c>
      <c r="D192" s="50">
        <f>VLOOKUP($A192,'Data Vlaue (Cr)'!$C:$FB,143)</f>
        <v>638.27</v>
      </c>
      <c r="E192" s="50">
        <f>VLOOKUP($A192,'Data Vlaue (Cr)'!$C:$FB,144)</f>
        <v>1074.78</v>
      </c>
      <c r="F192" s="50">
        <f>VLOOKUP($A192,'Data Vlaue (Cr)'!$C:$FB,146)*100</f>
        <v>-40.61</v>
      </c>
      <c r="G192" s="49">
        <f>VLOOKUP($A192,'Data Vlaue (Cr)'!$C:$FB,43)</f>
        <v>326</v>
      </c>
      <c r="H192" s="49">
        <f>VLOOKUP($A192,'Data Vlaue (Cr)'!$C:$FB,44)</f>
        <v>666</v>
      </c>
      <c r="I192" s="49">
        <f>VLOOKUP($A192,'Data Vlaue (Cr)'!$C:$FB,46)*100</f>
        <v>-51.09</v>
      </c>
      <c r="J192" s="51">
        <f>VLOOKUP($A192,'Data Vlaue (Cr)'!$C:$FB,59)</f>
        <v>189</v>
      </c>
      <c r="K192" s="51">
        <f>VLOOKUP($A192,'Data Vlaue (Cr)'!$C:$FB,60)</f>
        <v>180</v>
      </c>
      <c r="L192" s="51">
        <f>VLOOKUP($A192,'Data Vlaue (Cr)'!$C:$FB,62)*100</f>
        <v>4.8599999999999994</v>
      </c>
      <c r="M192" s="51">
        <f>VLOOKUP($A192,'Data Vlaue (Cr)'!$C:$FB,63)</f>
        <v>116</v>
      </c>
      <c r="N192" s="51">
        <f>VLOOKUP($A192,'Data Vlaue (Cr)'!$C:$FB,64)</f>
        <v>247</v>
      </c>
      <c r="O192" s="51">
        <f>VLOOKUP($A192,'Data Vlaue (Cr)'!$C:$FB,66)*100</f>
        <v>-53.16</v>
      </c>
    </row>
    <row r="193" spans="1:15" x14ac:dyDescent="0.25">
      <c r="A193" s="101" t="str">
        <f>'Data Vlaue (Cr)'!C188</f>
        <v>SYNGENE</v>
      </c>
      <c r="B193" s="50">
        <f>VLOOKUP($A193,'Data Vlaue (Cr)'!$C:$FB,8)</f>
        <v>480.3</v>
      </c>
      <c r="C193" s="50">
        <f>VLOOKUP($A193,'Data Vlaue (Cr)'!$C:$FB,11)*100</f>
        <v>-1.92</v>
      </c>
      <c r="D193" s="50">
        <f>VLOOKUP($A193,'Data Vlaue (Cr)'!$C:$FB,143)</f>
        <v>881.29</v>
      </c>
      <c r="E193" s="50">
        <f>VLOOKUP($A193,'Data Vlaue (Cr)'!$C:$FB,144)</f>
        <v>3471.82</v>
      </c>
      <c r="F193" s="50">
        <f>VLOOKUP($A193,'Data Vlaue (Cr)'!$C:$FB,146)*100</f>
        <v>-74.62</v>
      </c>
      <c r="G193" s="49">
        <f>VLOOKUP($A193,'Data Vlaue (Cr)'!$C:$FB,43)</f>
        <v>151</v>
      </c>
      <c r="H193" s="49">
        <f>VLOOKUP($A193,'Data Vlaue (Cr)'!$C:$FB,44)</f>
        <v>729</v>
      </c>
      <c r="I193" s="49">
        <f>VLOOKUP($A193,'Data Vlaue (Cr)'!$C:$FB,46)*100</f>
        <v>-79.31</v>
      </c>
      <c r="J193" s="51">
        <f>VLOOKUP($A193,'Data Vlaue (Cr)'!$C:$FB,59)</f>
        <v>348</v>
      </c>
      <c r="K193" s="51">
        <f>VLOOKUP($A193,'Data Vlaue (Cr)'!$C:$FB,60)</f>
        <v>940</v>
      </c>
      <c r="L193" s="51">
        <f>VLOOKUP($A193,'Data Vlaue (Cr)'!$C:$FB,62)*100</f>
        <v>-62.99</v>
      </c>
      <c r="M193" s="51">
        <f>VLOOKUP($A193,'Data Vlaue (Cr)'!$C:$FB,63)</f>
        <v>348</v>
      </c>
      <c r="N193" s="51">
        <f>VLOOKUP($A193,'Data Vlaue (Cr)'!$C:$FB,64)</f>
        <v>1558</v>
      </c>
      <c r="O193" s="51">
        <f>VLOOKUP($A193,'Data Vlaue (Cr)'!$C:$FB,66)*100</f>
        <v>-77.63</v>
      </c>
    </row>
    <row r="194" spans="1:15" x14ac:dyDescent="0.25">
      <c r="A194" s="101" t="str">
        <f>'Data Vlaue (Cr)'!C189</f>
        <v>TATACONSUM</v>
      </c>
      <c r="B194" s="50">
        <f>VLOOKUP($A194,'Data Vlaue (Cr)'!$C:$FB,8)</f>
        <v>1131.8</v>
      </c>
      <c r="C194" s="50">
        <f>VLOOKUP($A194,'Data Vlaue (Cr)'!$C:$FB,11)*100</f>
        <v>-4.68</v>
      </c>
      <c r="D194" s="50">
        <f>VLOOKUP($A194,'Data Vlaue (Cr)'!$C:$FB,143)</f>
        <v>4746.3</v>
      </c>
      <c r="E194" s="50">
        <f>VLOOKUP($A194,'Data Vlaue (Cr)'!$C:$FB,144)</f>
        <v>3713.12</v>
      </c>
      <c r="F194" s="50">
        <f>VLOOKUP($A194,'Data Vlaue (Cr)'!$C:$FB,146)*100</f>
        <v>27.83</v>
      </c>
      <c r="G194" s="49">
        <f>VLOOKUP($A194,'Data Vlaue (Cr)'!$C:$FB,43)</f>
        <v>758</v>
      </c>
      <c r="H194" s="49">
        <f>VLOOKUP($A194,'Data Vlaue (Cr)'!$C:$FB,44)</f>
        <v>1178</v>
      </c>
      <c r="I194" s="49">
        <f>VLOOKUP($A194,'Data Vlaue (Cr)'!$C:$FB,46)*100</f>
        <v>-35.67</v>
      </c>
      <c r="J194" s="51">
        <f>VLOOKUP($A194,'Data Vlaue (Cr)'!$C:$FB,59)</f>
        <v>2179</v>
      </c>
      <c r="K194" s="51">
        <f>VLOOKUP($A194,'Data Vlaue (Cr)'!$C:$FB,60)</f>
        <v>1682</v>
      </c>
      <c r="L194" s="51">
        <f>VLOOKUP($A194,'Data Vlaue (Cr)'!$C:$FB,62)*100</f>
        <v>29.509999999999998</v>
      </c>
      <c r="M194" s="51">
        <f>VLOOKUP($A194,'Data Vlaue (Cr)'!$C:$FB,63)</f>
        <v>1697</v>
      </c>
      <c r="N194" s="51">
        <f>VLOOKUP($A194,'Data Vlaue (Cr)'!$C:$FB,64)</f>
        <v>644</v>
      </c>
      <c r="O194" s="51">
        <f>VLOOKUP($A194,'Data Vlaue (Cr)'!$C:$FB,66)*100</f>
        <v>163.35999999999999</v>
      </c>
    </row>
    <row r="195" spans="1:15" x14ac:dyDescent="0.25">
      <c r="A195" s="101" t="str">
        <f>'Data Vlaue (Cr)'!C190</f>
        <v>TATAELXSI</v>
      </c>
      <c r="B195" s="50">
        <f>VLOOKUP($A195,'Data Vlaue (Cr)'!$C:$FB,8)</f>
        <v>5391</v>
      </c>
      <c r="C195" s="50">
        <f>VLOOKUP($A195,'Data Vlaue (Cr)'!$C:$FB,11)*100</f>
        <v>-0.44</v>
      </c>
      <c r="D195" s="50">
        <f>VLOOKUP($A195,'Data Vlaue (Cr)'!$C:$FB,143)</f>
        <v>516.96</v>
      </c>
      <c r="E195" s="50">
        <f>VLOOKUP($A195,'Data Vlaue (Cr)'!$C:$FB,144)</f>
        <v>1578.27</v>
      </c>
      <c r="F195" s="50">
        <f>VLOOKUP($A195,'Data Vlaue (Cr)'!$C:$FB,146)*100</f>
        <v>-67.25</v>
      </c>
      <c r="G195" s="49">
        <f>VLOOKUP($A195,'Data Vlaue (Cr)'!$C:$FB,43)</f>
        <v>90</v>
      </c>
      <c r="H195" s="49">
        <f>VLOOKUP($A195,'Data Vlaue (Cr)'!$C:$FB,44)</f>
        <v>402</v>
      </c>
      <c r="I195" s="49">
        <f>VLOOKUP($A195,'Data Vlaue (Cr)'!$C:$FB,46)*100</f>
        <v>-77.55</v>
      </c>
      <c r="J195" s="51">
        <f>VLOOKUP($A195,'Data Vlaue (Cr)'!$C:$FB,59)</f>
        <v>285</v>
      </c>
      <c r="K195" s="51">
        <f>VLOOKUP($A195,'Data Vlaue (Cr)'!$C:$FB,60)</f>
        <v>752</v>
      </c>
      <c r="L195" s="51">
        <f>VLOOKUP($A195,'Data Vlaue (Cr)'!$C:$FB,62)*100</f>
        <v>-62.129999999999995</v>
      </c>
      <c r="M195" s="51">
        <f>VLOOKUP($A195,'Data Vlaue (Cr)'!$C:$FB,63)</f>
        <v>119</v>
      </c>
      <c r="N195" s="51">
        <f>VLOOKUP($A195,'Data Vlaue (Cr)'!$C:$FB,64)</f>
        <v>375</v>
      </c>
      <c r="O195" s="51">
        <f>VLOOKUP($A195,'Data Vlaue (Cr)'!$C:$FB,66)*100</f>
        <v>-68.22</v>
      </c>
    </row>
    <row r="196" spans="1:15" x14ac:dyDescent="0.25">
      <c r="A196" s="101" t="str">
        <f>'Data Vlaue (Cr)'!C191</f>
        <v>TATAPOWER</v>
      </c>
      <c r="B196" s="50">
        <f>VLOOKUP($A196,'Data Vlaue (Cr)'!$C:$FB,8)</f>
        <v>355.05</v>
      </c>
      <c r="C196" s="50">
        <f>VLOOKUP($A196,'Data Vlaue (Cr)'!$C:$FB,11)*100</f>
        <v>2.1</v>
      </c>
      <c r="D196" s="50">
        <f>VLOOKUP($A196,'Data Vlaue (Cr)'!$C:$FB,143)</f>
        <v>1273.01</v>
      </c>
      <c r="E196" s="50">
        <f>VLOOKUP($A196,'Data Vlaue (Cr)'!$C:$FB,144)</f>
        <v>3796.5</v>
      </c>
      <c r="F196" s="50">
        <f>VLOOKUP($A196,'Data Vlaue (Cr)'!$C:$FB,146)*100</f>
        <v>-66.47</v>
      </c>
      <c r="G196" s="49">
        <f>VLOOKUP($A196,'Data Vlaue (Cr)'!$C:$FB,43)</f>
        <v>251</v>
      </c>
      <c r="H196" s="49">
        <f>VLOOKUP($A196,'Data Vlaue (Cr)'!$C:$FB,44)</f>
        <v>1763</v>
      </c>
      <c r="I196" s="49">
        <f>VLOOKUP($A196,'Data Vlaue (Cr)'!$C:$FB,46)*100</f>
        <v>-85.79</v>
      </c>
      <c r="J196" s="51">
        <f>VLOOKUP($A196,'Data Vlaue (Cr)'!$C:$FB,59)</f>
        <v>685</v>
      </c>
      <c r="K196" s="51">
        <f>VLOOKUP($A196,'Data Vlaue (Cr)'!$C:$FB,60)</f>
        <v>1029</v>
      </c>
      <c r="L196" s="51">
        <f>VLOOKUP($A196,'Data Vlaue (Cr)'!$C:$FB,62)*100</f>
        <v>-33.39</v>
      </c>
      <c r="M196" s="51">
        <f>VLOOKUP($A196,'Data Vlaue (Cr)'!$C:$FB,63)</f>
        <v>301</v>
      </c>
      <c r="N196" s="51">
        <f>VLOOKUP($A196,'Data Vlaue (Cr)'!$C:$FB,64)</f>
        <v>896</v>
      </c>
      <c r="O196" s="51">
        <f>VLOOKUP($A196,'Data Vlaue (Cr)'!$C:$FB,66)*100</f>
        <v>-66.400000000000006</v>
      </c>
    </row>
    <row r="197" spans="1:15" x14ac:dyDescent="0.25">
      <c r="A197" s="101" t="str">
        <f>'Data Vlaue (Cr)'!C192</f>
        <v>TATASTEEL</v>
      </c>
      <c r="B197" s="50">
        <f>VLOOKUP($A197,'Data Vlaue (Cr)'!$C:$FB,8)</f>
        <v>193.85</v>
      </c>
      <c r="C197" s="50">
        <f>VLOOKUP($A197,'Data Vlaue (Cr)'!$C:$FB,11)*100</f>
        <v>0.82000000000000006</v>
      </c>
      <c r="D197" s="50">
        <f>VLOOKUP($A197,'Data Vlaue (Cr)'!$C:$FB,143)</f>
        <v>5585.24</v>
      </c>
      <c r="E197" s="50">
        <f>VLOOKUP($A197,'Data Vlaue (Cr)'!$C:$FB,144)</f>
        <v>9319.1299999999992</v>
      </c>
      <c r="F197" s="50">
        <f>VLOOKUP($A197,'Data Vlaue (Cr)'!$C:$FB,146)*100</f>
        <v>-40.07</v>
      </c>
      <c r="G197" s="49">
        <f>VLOOKUP($A197,'Data Vlaue (Cr)'!$C:$FB,43)</f>
        <v>963</v>
      </c>
      <c r="H197" s="49">
        <f>VLOOKUP($A197,'Data Vlaue (Cr)'!$C:$FB,44)</f>
        <v>3072</v>
      </c>
      <c r="I197" s="49">
        <f>VLOOKUP($A197,'Data Vlaue (Cr)'!$C:$FB,46)*100</f>
        <v>-68.650000000000006</v>
      </c>
      <c r="J197" s="51">
        <f>VLOOKUP($A197,'Data Vlaue (Cr)'!$C:$FB,59)</f>
        <v>2971</v>
      </c>
      <c r="K197" s="51">
        <f>VLOOKUP($A197,'Data Vlaue (Cr)'!$C:$FB,60)</f>
        <v>4079</v>
      </c>
      <c r="L197" s="51">
        <f>VLOOKUP($A197,'Data Vlaue (Cr)'!$C:$FB,62)*100</f>
        <v>-27.16</v>
      </c>
      <c r="M197" s="51">
        <f>VLOOKUP($A197,'Data Vlaue (Cr)'!$C:$FB,63)</f>
        <v>1544</v>
      </c>
      <c r="N197" s="51">
        <f>VLOOKUP($A197,'Data Vlaue (Cr)'!$C:$FB,64)</f>
        <v>2260</v>
      </c>
      <c r="O197" s="51">
        <f>VLOOKUP($A197,'Data Vlaue (Cr)'!$C:$FB,66)*100</f>
        <v>-31.7</v>
      </c>
    </row>
    <row r="198" spans="1:15" x14ac:dyDescent="0.25">
      <c r="A198" s="101" t="str">
        <f>'Data Vlaue (Cr)'!C193</f>
        <v>TATATECH</v>
      </c>
      <c r="B198" s="50">
        <f>VLOOKUP($A198,'Data Vlaue (Cr)'!$C:$FB,8)</f>
        <v>660.65</v>
      </c>
      <c r="C198" s="50">
        <f>VLOOKUP($A198,'Data Vlaue (Cr)'!$C:$FB,11)*100</f>
        <v>1.4200000000000002</v>
      </c>
      <c r="D198" s="50">
        <f>VLOOKUP($A198,'Data Vlaue (Cr)'!$C:$FB,143)</f>
        <v>278.74</v>
      </c>
      <c r="E198" s="50">
        <f>VLOOKUP($A198,'Data Vlaue (Cr)'!$C:$FB,144)</f>
        <v>1101.6600000000001</v>
      </c>
      <c r="F198" s="50">
        <f>VLOOKUP($A198,'Data Vlaue (Cr)'!$C:$FB,146)*100</f>
        <v>-74.7</v>
      </c>
      <c r="G198" s="49">
        <f>VLOOKUP($A198,'Data Vlaue (Cr)'!$C:$FB,43)</f>
        <v>94</v>
      </c>
      <c r="H198" s="49">
        <f>VLOOKUP($A198,'Data Vlaue (Cr)'!$C:$FB,44)</f>
        <v>611</v>
      </c>
      <c r="I198" s="49">
        <f>VLOOKUP($A198,'Data Vlaue (Cr)'!$C:$FB,46)*100</f>
        <v>-84.64</v>
      </c>
      <c r="J198" s="51">
        <f>VLOOKUP($A198,'Data Vlaue (Cr)'!$C:$FB,59)</f>
        <v>125</v>
      </c>
      <c r="K198" s="51">
        <f>VLOOKUP($A198,'Data Vlaue (Cr)'!$C:$FB,60)</f>
        <v>332</v>
      </c>
      <c r="L198" s="51">
        <f>VLOOKUP($A198,'Data Vlaue (Cr)'!$C:$FB,62)*100</f>
        <v>-62.32</v>
      </c>
      <c r="M198" s="51">
        <f>VLOOKUP($A198,'Data Vlaue (Cr)'!$C:$FB,63)</f>
        <v>56</v>
      </c>
      <c r="N198" s="51">
        <f>VLOOKUP($A198,'Data Vlaue (Cr)'!$C:$FB,64)</f>
        <v>160</v>
      </c>
      <c r="O198" s="51">
        <f>VLOOKUP($A198,'Data Vlaue (Cr)'!$C:$FB,66)*100</f>
        <v>-64.78</v>
      </c>
    </row>
    <row r="199" spans="1:15" x14ac:dyDescent="0.25">
      <c r="A199" s="101" t="str">
        <f>'Data Vlaue (Cr)'!C194</f>
        <v>TCS</v>
      </c>
      <c r="B199" s="50">
        <f>VLOOKUP($A199,'Data Vlaue (Cr)'!$C:$FB,8)</f>
        <v>3200.1</v>
      </c>
      <c r="C199" s="50">
        <f>VLOOKUP($A199,'Data Vlaue (Cr)'!$C:$FB,11)*100</f>
        <v>1.3299999999999998</v>
      </c>
      <c r="D199" s="50">
        <f>VLOOKUP($A199,'Data Vlaue (Cr)'!$C:$FB,143)</f>
        <v>4147.33</v>
      </c>
      <c r="E199" s="50">
        <f>VLOOKUP($A199,'Data Vlaue (Cr)'!$C:$FB,144)</f>
        <v>9265.64</v>
      </c>
      <c r="F199" s="50">
        <f>VLOOKUP($A199,'Data Vlaue (Cr)'!$C:$FB,146)*100</f>
        <v>-55.24</v>
      </c>
      <c r="G199" s="49">
        <f>VLOOKUP($A199,'Data Vlaue (Cr)'!$C:$FB,43)</f>
        <v>851</v>
      </c>
      <c r="H199" s="49">
        <f>VLOOKUP($A199,'Data Vlaue (Cr)'!$C:$FB,44)</f>
        <v>3641</v>
      </c>
      <c r="I199" s="49">
        <f>VLOOKUP($A199,'Data Vlaue (Cr)'!$C:$FB,46)*100</f>
        <v>-76.64</v>
      </c>
      <c r="J199" s="51">
        <f>VLOOKUP($A199,'Data Vlaue (Cr)'!$C:$FB,59)</f>
        <v>2019</v>
      </c>
      <c r="K199" s="51">
        <f>VLOOKUP($A199,'Data Vlaue (Cr)'!$C:$FB,60)</f>
        <v>3128</v>
      </c>
      <c r="L199" s="51">
        <f>VLOOKUP($A199,'Data Vlaue (Cr)'!$C:$FB,62)*100</f>
        <v>-35.449999999999996</v>
      </c>
      <c r="M199" s="51">
        <f>VLOOKUP($A199,'Data Vlaue (Cr)'!$C:$FB,63)</f>
        <v>1234</v>
      </c>
      <c r="N199" s="51">
        <f>VLOOKUP($A199,'Data Vlaue (Cr)'!$C:$FB,64)</f>
        <v>2530</v>
      </c>
      <c r="O199" s="51">
        <f>VLOOKUP($A199,'Data Vlaue (Cr)'!$C:$FB,66)*100</f>
        <v>-51.22</v>
      </c>
    </row>
    <row r="200" spans="1:15" x14ac:dyDescent="0.25">
      <c r="A200" s="101" t="str">
        <f>'Data Vlaue (Cr)'!C195</f>
        <v>TECHM</v>
      </c>
      <c r="B200" s="50">
        <f>VLOOKUP($A200,'Data Vlaue (Cr)'!$C:$FB,8)</f>
        <v>1762.9</v>
      </c>
      <c r="C200" s="50">
        <f>VLOOKUP($A200,'Data Vlaue (Cr)'!$C:$FB,11)*100</f>
        <v>1.02</v>
      </c>
      <c r="D200" s="50">
        <f>VLOOKUP($A200,'Data Vlaue (Cr)'!$C:$FB,143)</f>
        <v>2837.86</v>
      </c>
      <c r="E200" s="50">
        <f>VLOOKUP($A200,'Data Vlaue (Cr)'!$C:$FB,144)</f>
        <v>4601.47</v>
      </c>
      <c r="F200" s="50">
        <f>VLOOKUP($A200,'Data Vlaue (Cr)'!$C:$FB,146)*100</f>
        <v>-38.33</v>
      </c>
      <c r="G200" s="49">
        <f>VLOOKUP($A200,'Data Vlaue (Cr)'!$C:$FB,43)</f>
        <v>585</v>
      </c>
      <c r="H200" s="49">
        <f>VLOOKUP($A200,'Data Vlaue (Cr)'!$C:$FB,44)</f>
        <v>1366</v>
      </c>
      <c r="I200" s="49">
        <f>VLOOKUP($A200,'Data Vlaue (Cr)'!$C:$FB,46)*100</f>
        <v>-57.16</v>
      </c>
      <c r="J200" s="51">
        <f>VLOOKUP($A200,'Data Vlaue (Cr)'!$C:$FB,59)</f>
        <v>1438</v>
      </c>
      <c r="K200" s="51">
        <f>VLOOKUP($A200,'Data Vlaue (Cr)'!$C:$FB,60)</f>
        <v>2269</v>
      </c>
      <c r="L200" s="51">
        <f>VLOOKUP($A200,'Data Vlaue (Cr)'!$C:$FB,62)*100</f>
        <v>-36.64</v>
      </c>
      <c r="M200" s="51">
        <f>VLOOKUP($A200,'Data Vlaue (Cr)'!$C:$FB,63)</f>
        <v>784</v>
      </c>
      <c r="N200" s="51">
        <f>VLOOKUP($A200,'Data Vlaue (Cr)'!$C:$FB,64)</f>
        <v>1026</v>
      </c>
      <c r="O200" s="51">
        <f>VLOOKUP($A200,'Data Vlaue (Cr)'!$C:$FB,66)*100</f>
        <v>-23.61</v>
      </c>
    </row>
    <row r="201" spans="1:15" x14ac:dyDescent="0.25">
      <c r="A201" s="101" t="str">
        <f>'Data Vlaue (Cr)'!C196</f>
        <v>TIINDIA</v>
      </c>
      <c r="B201" s="50">
        <f>VLOOKUP($A201,'Data Vlaue (Cr)'!$C:$FB,8)</f>
        <v>2280.6999999999998</v>
      </c>
      <c r="C201" s="50">
        <f>VLOOKUP($A201,'Data Vlaue (Cr)'!$C:$FB,11)*100</f>
        <v>4.17</v>
      </c>
      <c r="D201" s="50">
        <f>VLOOKUP($A201,'Data Vlaue (Cr)'!$C:$FB,143)</f>
        <v>642.45000000000005</v>
      </c>
      <c r="E201" s="50">
        <f>VLOOKUP($A201,'Data Vlaue (Cr)'!$C:$FB,144)</f>
        <v>1176.8900000000001</v>
      </c>
      <c r="F201" s="50">
        <f>VLOOKUP($A201,'Data Vlaue (Cr)'!$C:$FB,146)*100</f>
        <v>-45.410000000000004</v>
      </c>
      <c r="G201" s="49">
        <f>VLOOKUP($A201,'Data Vlaue (Cr)'!$C:$FB,43)</f>
        <v>239</v>
      </c>
      <c r="H201" s="49">
        <f>VLOOKUP($A201,'Data Vlaue (Cr)'!$C:$FB,44)</f>
        <v>473</v>
      </c>
      <c r="I201" s="49">
        <f>VLOOKUP($A201,'Data Vlaue (Cr)'!$C:$FB,46)*100</f>
        <v>-49.5</v>
      </c>
      <c r="J201" s="51">
        <f>VLOOKUP($A201,'Data Vlaue (Cr)'!$C:$FB,59)</f>
        <v>304</v>
      </c>
      <c r="K201" s="51">
        <f>VLOOKUP($A201,'Data Vlaue (Cr)'!$C:$FB,60)</f>
        <v>381</v>
      </c>
      <c r="L201" s="51">
        <f>VLOOKUP($A201,'Data Vlaue (Cr)'!$C:$FB,62)*100</f>
        <v>-20.190000000000001</v>
      </c>
      <c r="M201" s="51">
        <f>VLOOKUP($A201,'Data Vlaue (Cr)'!$C:$FB,63)</f>
        <v>93</v>
      </c>
      <c r="N201" s="51">
        <f>VLOOKUP($A201,'Data Vlaue (Cr)'!$C:$FB,64)</f>
        <v>342</v>
      </c>
      <c r="O201" s="51">
        <f>VLOOKUP($A201,'Data Vlaue (Cr)'!$C:$FB,66)*100</f>
        <v>-72.680000000000007</v>
      </c>
    </row>
    <row r="202" spans="1:15" x14ac:dyDescent="0.25">
      <c r="A202" s="101" t="str">
        <f>'Data Vlaue (Cr)'!C197</f>
        <v>TITAN</v>
      </c>
      <c r="B202" s="50">
        <f>VLOOKUP($A202,'Data Vlaue (Cr)'!$C:$FB,8)</f>
        <v>3975.2</v>
      </c>
      <c r="C202" s="50">
        <f>VLOOKUP($A202,'Data Vlaue (Cr)'!$C:$FB,11)*100</f>
        <v>-0.54999999999999993</v>
      </c>
      <c r="D202" s="50">
        <f>VLOOKUP($A202,'Data Vlaue (Cr)'!$C:$FB,143)</f>
        <v>1417.6</v>
      </c>
      <c r="E202" s="50">
        <f>VLOOKUP($A202,'Data Vlaue (Cr)'!$C:$FB,144)</f>
        <v>4392.1499999999996</v>
      </c>
      <c r="F202" s="50">
        <f>VLOOKUP($A202,'Data Vlaue (Cr)'!$C:$FB,146)*100</f>
        <v>-67.72</v>
      </c>
      <c r="G202" s="49">
        <f>VLOOKUP($A202,'Data Vlaue (Cr)'!$C:$FB,43)</f>
        <v>351</v>
      </c>
      <c r="H202" s="49">
        <f>VLOOKUP($A202,'Data Vlaue (Cr)'!$C:$FB,44)</f>
        <v>1387</v>
      </c>
      <c r="I202" s="49">
        <f>VLOOKUP($A202,'Data Vlaue (Cr)'!$C:$FB,46)*100</f>
        <v>-74.69</v>
      </c>
      <c r="J202" s="51">
        <f>VLOOKUP($A202,'Data Vlaue (Cr)'!$C:$FB,59)</f>
        <v>623</v>
      </c>
      <c r="K202" s="51">
        <f>VLOOKUP($A202,'Data Vlaue (Cr)'!$C:$FB,60)</f>
        <v>1666</v>
      </c>
      <c r="L202" s="51">
        <f>VLOOKUP($A202,'Data Vlaue (Cr)'!$C:$FB,62)*100</f>
        <v>-62.62</v>
      </c>
      <c r="M202" s="51">
        <f>VLOOKUP($A202,'Data Vlaue (Cr)'!$C:$FB,63)</f>
        <v>412</v>
      </c>
      <c r="N202" s="51">
        <f>VLOOKUP($A202,'Data Vlaue (Cr)'!$C:$FB,64)</f>
        <v>1248</v>
      </c>
      <c r="O202" s="51">
        <f>VLOOKUP($A202,'Data Vlaue (Cr)'!$C:$FB,66)*100</f>
        <v>-66.95</v>
      </c>
    </row>
    <row r="203" spans="1:15" x14ac:dyDescent="0.25">
      <c r="A203" s="101" t="str">
        <f>'Data Vlaue (Cr)'!C198</f>
        <v>TMPV</v>
      </c>
      <c r="B203" s="50">
        <f>VLOOKUP($A203,'Data Vlaue (Cr)'!$C:$FB,8)</f>
        <v>340.45</v>
      </c>
      <c r="C203" s="50">
        <f>VLOOKUP($A203,'Data Vlaue (Cr)'!$C:$FB,11)*100</f>
        <v>-0.03</v>
      </c>
      <c r="D203" s="50">
        <f>VLOOKUP($A203,'Data Vlaue (Cr)'!$C:$FB,143)</f>
        <v>2476.6799999999998</v>
      </c>
      <c r="E203" s="50">
        <f>VLOOKUP($A203,'Data Vlaue (Cr)'!$C:$FB,144)</f>
        <v>4595.13</v>
      </c>
      <c r="F203" s="50">
        <f>VLOOKUP($A203,'Data Vlaue (Cr)'!$C:$FB,146)*100</f>
        <v>-46.1</v>
      </c>
      <c r="G203" s="49">
        <f>VLOOKUP($A203,'Data Vlaue (Cr)'!$C:$FB,43)</f>
        <v>421</v>
      </c>
      <c r="H203" s="49">
        <f>VLOOKUP($A203,'Data Vlaue (Cr)'!$C:$FB,44)</f>
        <v>1677</v>
      </c>
      <c r="I203" s="49">
        <f>VLOOKUP($A203,'Data Vlaue (Cr)'!$C:$FB,46)*100</f>
        <v>-74.89</v>
      </c>
      <c r="J203" s="51">
        <f>VLOOKUP($A203,'Data Vlaue (Cr)'!$C:$FB,59)</f>
        <v>1020</v>
      </c>
      <c r="K203" s="51">
        <f>VLOOKUP($A203,'Data Vlaue (Cr)'!$C:$FB,60)</f>
        <v>1558</v>
      </c>
      <c r="L203" s="51">
        <f>VLOOKUP($A203,'Data Vlaue (Cr)'!$C:$FB,62)*100</f>
        <v>-34.54</v>
      </c>
      <c r="M203" s="51">
        <f>VLOOKUP($A203,'Data Vlaue (Cr)'!$C:$FB,63)</f>
        <v>925</v>
      </c>
      <c r="N203" s="51">
        <f>VLOOKUP($A203,'Data Vlaue (Cr)'!$C:$FB,64)</f>
        <v>1266</v>
      </c>
      <c r="O203" s="51">
        <f>VLOOKUP($A203,'Data Vlaue (Cr)'!$C:$FB,66)*100</f>
        <v>-26.93</v>
      </c>
    </row>
    <row r="204" spans="1:15" x14ac:dyDescent="0.25">
      <c r="A204" s="101" t="str">
        <f>'Data Vlaue (Cr)'!C199</f>
        <v>TORNTPHARM</v>
      </c>
      <c r="B204" s="50">
        <f>VLOOKUP($A204,'Data Vlaue (Cr)'!$C:$FB,8)</f>
        <v>3958.7</v>
      </c>
      <c r="C204" s="50">
        <f>VLOOKUP($A204,'Data Vlaue (Cr)'!$C:$FB,11)*100</f>
        <v>-0.97</v>
      </c>
      <c r="D204" s="50">
        <f>VLOOKUP($A204,'Data Vlaue (Cr)'!$C:$FB,143)</f>
        <v>307.25</v>
      </c>
      <c r="E204" s="50">
        <f>VLOOKUP($A204,'Data Vlaue (Cr)'!$C:$FB,144)</f>
        <v>1288.76</v>
      </c>
      <c r="F204" s="50">
        <f>VLOOKUP($A204,'Data Vlaue (Cr)'!$C:$FB,146)*100</f>
        <v>-76.160000000000011</v>
      </c>
      <c r="G204" s="49">
        <f>VLOOKUP($A204,'Data Vlaue (Cr)'!$C:$FB,43)</f>
        <v>169</v>
      </c>
      <c r="H204" s="49">
        <f>VLOOKUP($A204,'Data Vlaue (Cr)'!$C:$FB,44)</f>
        <v>775</v>
      </c>
      <c r="I204" s="49">
        <f>VLOOKUP($A204,'Data Vlaue (Cr)'!$C:$FB,46)*100</f>
        <v>-78.25</v>
      </c>
      <c r="J204" s="51">
        <f>VLOOKUP($A204,'Data Vlaue (Cr)'!$C:$FB,59)</f>
        <v>94</v>
      </c>
      <c r="K204" s="51">
        <f>VLOOKUP($A204,'Data Vlaue (Cr)'!$C:$FB,60)</f>
        <v>225</v>
      </c>
      <c r="L204" s="51">
        <f>VLOOKUP($A204,'Data Vlaue (Cr)'!$C:$FB,62)*100</f>
        <v>-57.98</v>
      </c>
      <c r="M204" s="51">
        <f>VLOOKUP($A204,'Data Vlaue (Cr)'!$C:$FB,63)</f>
        <v>41</v>
      </c>
      <c r="N204" s="51">
        <f>VLOOKUP($A204,'Data Vlaue (Cr)'!$C:$FB,64)</f>
        <v>279</v>
      </c>
      <c r="O204" s="51">
        <f>VLOOKUP($A204,'Data Vlaue (Cr)'!$C:$FB,66)*100</f>
        <v>-85.49</v>
      </c>
    </row>
    <row r="205" spans="1:15" x14ac:dyDescent="0.25">
      <c r="A205" s="101" t="str">
        <f>'Data Vlaue (Cr)'!C200</f>
        <v>TORNTPOWER</v>
      </c>
      <c r="B205" s="50">
        <f>VLOOKUP($A205,'Data Vlaue (Cr)'!$C:$FB,8)</f>
        <v>1332.9</v>
      </c>
      <c r="C205" s="50">
        <f>VLOOKUP($A205,'Data Vlaue (Cr)'!$C:$FB,11)*100</f>
        <v>1.77</v>
      </c>
      <c r="D205" s="50">
        <f>VLOOKUP($A205,'Data Vlaue (Cr)'!$C:$FB,143)</f>
        <v>190.68</v>
      </c>
      <c r="E205" s="50">
        <f>VLOOKUP($A205,'Data Vlaue (Cr)'!$C:$FB,144)</f>
        <v>462.13</v>
      </c>
      <c r="F205" s="50">
        <f>VLOOKUP($A205,'Data Vlaue (Cr)'!$C:$FB,146)*100</f>
        <v>-58.74</v>
      </c>
      <c r="G205" s="49">
        <f>VLOOKUP($A205,'Data Vlaue (Cr)'!$C:$FB,43)</f>
        <v>87</v>
      </c>
      <c r="H205" s="49">
        <f>VLOOKUP($A205,'Data Vlaue (Cr)'!$C:$FB,44)</f>
        <v>267</v>
      </c>
      <c r="I205" s="49">
        <f>VLOOKUP($A205,'Data Vlaue (Cr)'!$C:$FB,46)*100</f>
        <v>-67.52</v>
      </c>
      <c r="J205" s="51">
        <f>VLOOKUP($A205,'Data Vlaue (Cr)'!$C:$FB,59)</f>
        <v>74</v>
      </c>
      <c r="K205" s="51">
        <f>VLOOKUP($A205,'Data Vlaue (Cr)'!$C:$FB,60)</f>
        <v>126</v>
      </c>
      <c r="L205" s="51">
        <f>VLOOKUP($A205,'Data Vlaue (Cr)'!$C:$FB,62)*100</f>
        <v>-41.349999999999994</v>
      </c>
      <c r="M205" s="51">
        <f>VLOOKUP($A205,'Data Vlaue (Cr)'!$C:$FB,63)</f>
        <v>26</v>
      </c>
      <c r="N205" s="51">
        <f>VLOOKUP($A205,'Data Vlaue (Cr)'!$C:$FB,64)</f>
        <v>75</v>
      </c>
      <c r="O205" s="51">
        <f>VLOOKUP($A205,'Data Vlaue (Cr)'!$C:$FB,66)*100</f>
        <v>-65.05</v>
      </c>
    </row>
    <row r="206" spans="1:15" x14ac:dyDescent="0.25">
      <c r="A206" s="101" t="str">
        <f>'Data Vlaue (Cr)'!C201</f>
        <v>TRENT</v>
      </c>
      <c r="B206" s="50">
        <f>VLOOKUP($A206,'Data Vlaue (Cr)'!$C:$FB,8)</f>
        <v>3864</v>
      </c>
      <c r="C206" s="50">
        <f>VLOOKUP($A206,'Data Vlaue (Cr)'!$C:$FB,11)*100</f>
        <v>1.82</v>
      </c>
      <c r="D206" s="50">
        <f>VLOOKUP($A206,'Data Vlaue (Cr)'!$C:$FB,143)</f>
        <v>1532.43</v>
      </c>
      <c r="E206" s="50">
        <f>VLOOKUP($A206,'Data Vlaue (Cr)'!$C:$FB,144)</f>
        <v>5251.27</v>
      </c>
      <c r="F206" s="50">
        <f>VLOOKUP($A206,'Data Vlaue (Cr)'!$C:$FB,146)*100</f>
        <v>-70.820000000000007</v>
      </c>
      <c r="G206" s="49">
        <f>VLOOKUP($A206,'Data Vlaue (Cr)'!$C:$FB,43)</f>
        <v>301</v>
      </c>
      <c r="H206" s="49">
        <f>VLOOKUP($A206,'Data Vlaue (Cr)'!$C:$FB,44)</f>
        <v>2195</v>
      </c>
      <c r="I206" s="49">
        <f>VLOOKUP($A206,'Data Vlaue (Cr)'!$C:$FB,46)*100</f>
        <v>-86.31</v>
      </c>
      <c r="J206" s="51">
        <f>VLOOKUP($A206,'Data Vlaue (Cr)'!$C:$FB,59)</f>
        <v>856</v>
      </c>
      <c r="K206" s="51">
        <f>VLOOKUP($A206,'Data Vlaue (Cr)'!$C:$FB,60)</f>
        <v>1767</v>
      </c>
      <c r="L206" s="51">
        <f>VLOOKUP($A206,'Data Vlaue (Cr)'!$C:$FB,62)*100</f>
        <v>-51.570000000000007</v>
      </c>
      <c r="M206" s="51">
        <f>VLOOKUP($A206,'Data Vlaue (Cr)'!$C:$FB,63)</f>
        <v>325</v>
      </c>
      <c r="N206" s="51">
        <f>VLOOKUP($A206,'Data Vlaue (Cr)'!$C:$FB,64)</f>
        <v>1237</v>
      </c>
      <c r="O206" s="51">
        <f>VLOOKUP($A206,'Data Vlaue (Cr)'!$C:$FB,66)*100</f>
        <v>-73.740000000000009</v>
      </c>
    </row>
    <row r="207" spans="1:15" x14ac:dyDescent="0.25">
      <c r="A207" s="101" t="str">
        <f>'Data Vlaue (Cr)'!C202</f>
        <v>TVSMOTOR</v>
      </c>
      <c r="B207" s="50">
        <f>VLOOKUP($A207,'Data Vlaue (Cr)'!$C:$FB,8)</f>
        <v>3728.4</v>
      </c>
      <c r="C207" s="50">
        <f>VLOOKUP($A207,'Data Vlaue (Cr)'!$C:$FB,11)*100</f>
        <v>4.5</v>
      </c>
      <c r="D207" s="50">
        <f>VLOOKUP($A207,'Data Vlaue (Cr)'!$C:$FB,143)</f>
        <v>10335.52</v>
      </c>
      <c r="E207" s="50">
        <f>VLOOKUP($A207,'Data Vlaue (Cr)'!$C:$FB,144)</f>
        <v>2848.08</v>
      </c>
      <c r="F207" s="50">
        <f>VLOOKUP($A207,'Data Vlaue (Cr)'!$C:$FB,146)*100</f>
        <v>262.89</v>
      </c>
      <c r="G207" s="49">
        <f>VLOOKUP($A207,'Data Vlaue (Cr)'!$C:$FB,43)</f>
        <v>1683</v>
      </c>
      <c r="H207" s="49">
        <f>VLOOKUP($A207,'Data Vlaue (Cr)'!$C:$FB,44)</f>
        <v>1405</v>
      </c>
      <c r="I207" s="49">
        <f>VLOOKUP($A207,'Data Vlaue (Cr)'!$C:$FB,46)*100</f>
        <v>19.84</v>
      </c>
      <c r="J207" s="51">
        <f>VLOOKUP($A207,'Data Vlaue (Cr)'!$C:$FB,59)</f>
        <v>6241</v>
      </c>
      <c r="K207" s="51">
        <f>VLOOKUP($A207,'Data Vlaue (Cr)'!$C:$FB,60)</f>
        <v>897</v>
      </c>
      <c r="L207" s="51">
        <f>VLOOKUP($A207,'Data Vlaue (Cr)'!$C:$FB,62)*100</f>
        <v>595.85</v>
      </c>
      <c r="M207" s="51">
        <f>VLOOKUP($A207,'Data Vlaue (Cr)'!$C:$FB,63)</f>
        <v>2417</v>
      </c>
      <c r="N207" s="51">
        <f>VLOOKUP($A207,'Data Vlaue (Cr)'!$C:$FB,64)</f>
        <v>666</v>
      </c>
      <c r="O207" s="51">
        <f>VLOOKUP($A207,'Data Vlaue (Cr)'!$C:$FB,66)*100</f>
        <v>263.01</v>
      </c>
    </row>
    <row r="208" spans="1:15" x14ac:dyDescent="0.25">
      <c r="A208" s="101" t="str">
        <f>'Data Vlaue (Cr)'!C203</f>
        <v>ULTRACEMCO</v>
      </c>
      <c r="B208" s="50">
        <f>VLOOKUP($A208,'Data Vlaue (Cr)'!$C:$FB,8)</f>
        <v>12767</v>
      </c>
      <c r="C208" s="50">
        <f>VLOOKUP($A208,'Data Vlaue (Cr)'!$C:$FB,11)*100</f>
        <v>1.41</v>
      </c>
      <c r="D208" s="50">
        <f>VLOOKUP($A208,'Data Vlaue (Cr)'!$C:$FB,143)</f>
        <v>2081.61</v>
      </c>
      <c r="E208" s="50">
        <f>VLOOKUP($A208,'Data Vlaue (Cr)'!$C:$FB,144)</f>
        <v>9618.66</v>
      </c>
      <c r="F208" s="50">
        <f>VLOOKUP($A208,'Data Vlaue (Cr)'!$C:$FB,146)*100</f>
        <v>-78.36</v>
      </c>
      <c r="G208" s="49">
        <f>VLOOKUP($A208,'Data Vlaue (Cr)'!$C:$FB,43)</f>
        <v>426</v>
      </c>
      <c r="H208" s="49">
        <f>VLOOKUP($A208,'Data Vlaue (Cr)'!$C:$FB,44)</f>
        <v>2334</v>
      </c>
      <c r="I208" s="49">
        <f>VLOOKUP($A208,'Data Vlaue (Cr)'!$C:$FB,46)*100</f>
        <v>-81.739999999999995</v>
      </c>
      <c r="J208" s="51">
        <f>VLOOKUP($A208,'Data Vlaue (Cr)'!$C:$FB,59)</f>
        <v>1058</v>
      </c>
      <c r="K208" s="51">
        <f>VLOOKUP($A208,'Data Vlaue (Cr)'!$C:$FB,60)</f>
        <v>5328</v>
      </c>
      <c r="L208" s="51">
        <f>VLOOKUP($A208,'Data Vlaue (Cr)'!$C:$FB,62)*100</f>
        <v>-80.150000000000006</v>
      </c>
      <c r="M208" s="51">
        <f>VLOOKUP($A208,'Data Vlaue (Cr)'!$C:$FB,63)</f>
        <v>569</v>
      </c>
      <c r="N208" s="51">
        <f>VLOOKUP($A208,'Data Vlaue (Cr)'!$C:$FB,64)</f>
        <v>1915</v>
      </c>
      <c r="O208" s="51">
        <f>VLOOKUP($A208,'Data Vlaue (Cr)'!$C:$FB,66)*100</f>
        <v>-70.309999999999988</v>
      </c>
    </row>
    <row r="209" spans="1:15" x14ac:dyDescent="0.25">
      <c r="A209" s="101" t="str">
        <f>'Data Vlaue (Cr)'!C204</f>
        <v>UNIONBANK</v>
      </c>
      <c r="B209" s="50">
        <f>VLOOKUP($A209,'Data Vlaue (Cr)'!$C:$FB,8)</f>
        <v>181.93</v>
      </c>
      <c r="C209" s="50">
        <f>VLOOKUP($A209,'Data Vlaue (Cr)'!$C:$FB,11)*100</f>
        <v>3.84</v>
      </c>
      <c r="D209" s="50">
        <f>VLOOKUP($A209,'Data Vlaue (Cr)'!$C:$FB,143)</f>
        <v>2725.22</v>
      </c>
      <c r="E209" s="50">
        <f>VLOOKUP($A209,'Data Vlaue (Cr)'!$C:$FB,144)</f>
        <v>1959.75</v>
      </c>
      <c r="F209" s="50">
        <f>VLOOKUP($A209,'Data Vlaue (Cr)'!$C:$FB,146)*100</f>
        <v>39.06</v>
      </c>
      <c r="G209" s="49">
        <f>VLOOKUP($A209,'Data Vlaue (Cr)'!$C:$FB,43)</f>
        <v>528</v>
      </c>
      <c r="H209" s="49">
        <f>VLOOKUP($A209,'Data Vlaue (Cr)'!$C:$FB,44)</f>
        <v>837</v>
      </c>
      <c r="I209" s="49">
        <f>VLOOKUP($A209,'Data Vlaue (Cr)'!$C:$FB,46)*100</f>
        <v>-36.85</v>
      </c>
      <c r="J209" s="51">
        <f>VLOOKUP($A209,'Data Vlaue (Cr)'!$C:$FB,59)</f>
        <v>1644</v>
      </c>
      <c r="K209" s="51">
        <f>VLOOKUP($A209,'Data Vlaue (Cr)'!$C:$FB,60)</f>
        <v>798</v>
      </c>
      <c r="L209" s="51">
        <f>VLOOKUP($A209,'Data Vlaue (Cr)'!$C:$FB,62)*100</f>
        <v>106.08</v>
      </c>
      <c r="M209" s="51">
        <f>VLOOKUP($A209,'Data Vlaue (Cr)'!$C:$FB,63)</f>
        <v>503</v>
      </c>
      <c r="N209" s="51">
        <f>VLOOKUP($A209,'Data Vlaue (Cr)'!$C:$FB,64)</f>
        <v>394</v>
      </c>
      <c r="O209" s="51">
        <f>VLOOKUP($A209,'Data Vlaue (Cr)'!$C:$FB,66)*100</f>
        <v>27.900000000000002</v>
      </c>
    </row>
    <row r="210" spans="1:15" x14ac:dyDescent="0.25">
      <c r="A210" s="101" t="str">
        <f>'Data Vlaue (Cr)'!C205</f>
        <v>UNITDSPR</v>
      </c>
      <c r="B210" s="50">
        <f>VLOOKUP($A210,'Data Vlaue (Cr)'!$C:$FB,8)</f>
        <v>1326.7</v>
      </c>
      <c r="C210" s="50">
        <f>VLOOKUP($A210,'Data Vlaue (Cr)'!$C:$FB,11)*100</f>
        <v>1.1599999999999999</v>
      </c>
      <c r="D210" s="50">
        <f>VLOOKUP($A210,'Data Vlaue (Cr)'!$C:$FB,143)</f>
        <v>833.5</v>
      </c>
      <c r="E210" s="50">
        <f>VLOOKUP($A210,'Data Vlaue (Cr)'!$C:$FB,144)</f>
        <v>2086.11</v>
      </c>
      <c r="F210" s="50">
        <f>VLOOKUP($A210,'Data Vlaue (Cr)'!$C:$FB,146)*100</f>
        <v>-60.050000000000004</v>
      </c>
      <c r="G210" s="49">
        <f>VLOOKUP($A210,'Data Vlaue (Cr)'!$C:$FB,43)</f>
        <v>289</v>
      </c>
      <c r="H210" s="49">
        <f>VLOOKUP($A210,'Data Vlaue (Cr)'!$C:$FB,44)</f>
        <v>1098</v>
      </c>
      <c r="I210" s="49">
        <f>VLOOKUP($A210,'Data Vlaue (Cr)'!$C:$FB,46)*100</f>
        <v>-73.69</v>
      </c>
      <c r="J210" s="51">
        <f>VLOOKUP($A210,'Data Vlaue (Cr)'!$C:$FB,59)</f>
        <v>378</v>
      </c>
      <c r="K210" s="51">
        <f>VLOOKUP($A210,'Data Vlaue (Cr)'!$C:$FB,60)</f>
        <v>545</v>
      </c>
      <c r="L210" s="51">
        <f>VLOOKUP($A210,'Data Vlaue (Cr)'!$C:$FB,62)*100</f>
        <v>-30.64</v>
      </c>
      <c r="M210" s="51">
        <f>VLOOKUP($A210,'Data Vlaue (Cr)'!$C:$FB,63)</f>
        <v>153</v>
      </c>
      <c r="N210" s="51">
        <f>VLOOKUP($A210,'Data Vlaue (Cr)'!$C:$FB,64)</f>
        <v>424</v>
      </c>
      <c r="O210" s="51">
        <f>VLOOKUP($A210,'Data Vlaue (Cr)'!$C:$FB,66)*100</f>
        <v>-64</v>
      </c>
    </row>
    <row r="211" spans="1:15" x14ac:dyDescent="0.25">
      <c r="A211" s="101" t="str">
        <f>'Data Vlaue (Cr)'!C206</f>
        <v>UNOMINDA</v>
      </c>
      <c r="B211" s="50">
        <f>VLOOKUP($A211,'Data Vlaue (Cr)'!$C:$FB,8)</f>
        <v>1148.5999999999999</v>
      </c>
      <c r="C211" s="50">
        <f>VLOOKUP($A211,'Data Vlaue (Cr)'!$C:$FB,11)*100</f>
        <v>0.31</v>
      </c>
      <c r="D211" s="50">
        <f>VLOOKUP($A211,'Data Vlaue (Cr)'!$C:$FB,143)</f>
        <v>129.22999999999999</v>
      </c>
      <c r="E211" s="50">
        <f>VLOOKUP($A211,'Data Vlaue (Cr)'!$C:$FB,144)</f>
        <v>609.54999999999995</v>
      </c>
      <c r="F211" s="50">
        <f>VLOOKUP($A211,'Data Vlaue (Cr)'!$C:$FB,146)*100</f>
        <v>-78.8</v>
      </c>
      <c r="G211" s="49">
        <f>VLOOKUP($A211,'Data Vlaue (Cr)'!$C:$FB,43)</f>
        <v>72</v>
      </c>
      <c r="H211" s="49">
        <f>VLOOKUP($A211,'Data Vlaue (Cr)'!$C:$FB,44)</f>
        <v>282</v>
      </c>
      <c r="I211" s="49">
        <f>VLOOKUP($A211,'Data Vlaue (Cr)'!$C:$FB,46)*100</f>
        <v>-74.489999999999995</v>
      </c>
      <c r="J211" s="51">
        <f>VLOOKUP($A211,'Data Vlaue (Cr)'!$C:$FB,59)</f>
        <v>37</v>
      </c>
      <c r="K211" s="51">
        <f>VLOOKUP($A211,'Data Vlaue (Cr)'!$C:$FB,60)</f>
        <v>242</v>
      </c>
      <c r="L211" s="51">
        <f>VLOOKUP($A211,'Data Vlaue (Cr)'!$C:$FB,62)*100</f>
        <v>-84.71</v>
      </c>
      <c r="M211" s="51">
        <f>VLOOKUP($A211,'Data Vlaue (Cr)'!$C:$FB,63)</f>
        <v>18</v>
      </c>
      <c r="N211" s="51">
        <f>VLOOKUP($A211,'Data Vlaue (Cr)'!$C:$FB,64)</f>
        <v>71</v>
      </c>
      <c r="O211" s="51">
        <f>VLOOKUP($A211,'Data Vlaue (Cr)'!$C:$FB,66)*100</f>
        <v>-74.62</v>
      </c>
    </row>
    <row r="212" spans="1:15" x14ac:dyDescent="0.25">
      <c r="A212" s="101" t="str">
        <f>'Data Vlaue (Cr)'!C207</f>
        <v>UPL</v>
      </c>
      <c r="B212" s="50">
        <f>VLOOKUP($A212,'Data Vlaue (Cr)'!$C:$FB,8)</f>
        <v>715.1</v>
      </c>
      <c r="C212" s="50">
        <f>VLOOKUP($A212,'Data Vlaue (Cr)'!$C:$FB,11)*100</f>
        <v>-0.2</v>
      </c>
      <c r="D212" s="50">
        <f>VLOOKUP($A212,'Data Vlaue (Cr)'!$C:$FB,143)</f>
        <v>667.83</v>
      </c>
      <c r="E212" s="50">
        <f>VLOOKUP($A212,'Data Vlaue (Cr)'!$C:$FB,144)</f>
        <v>5729.01</v>
      </c>
      <c r="F212" s="50">
        <f>VLOOKUP($A212,'Data Vlaue (Cr)'!$C:$FB,146)*100</f>
        <v>-88.34</v>
      </c>
      <c r="G212" s="49">
        <f>VLOOKUP($A212,'Data Vlaue (Cr)'!$C:$FB,43)</f>
        <v>187</v>
      </c>
      <c r="H212" s="49">
        <f>VLOOKUP($A212,'Data Vlaue (Cr)'!$C:$FB,44)</f>
        <v>2916</v>
      </c>
      <c r="I212" s="49">
        <f>VLOOKUP($A212,'Data Vlaue (Cr)'!$C:$FB,46)*100</f>
        <v>-93.57</v>
      </c>
      <c r="J212" s="51">
        <f>VLOOKUP($A212,'Data Vlaue (Cr)'!$C:$FB,59)</f>
        <v>306</v>
      </c>
      <c r="K212" s="51">
        <f>VLOOKUP($A212,'Data Vlaue (Cr)'!$C:$FB,60)</f>
        <v>1882</v>
      </c>
      <c r="L212" s="51">
        <f>VLOOKUP($A212,'Data Vlaue (Cr)'!$C:$FB,62)*100</f>
        <v>-83.75</v>
      </c>
      <c r="M212" s="51">
        <f>VLOOKUP($A212,'Data Vlaue (Cr)'!$C:$FB,63)</f>
        <v>157</v>
      </c>
      <c r="N212" s="51">
        <f>VLOOKUP($A212,'Data Vlaue (Cr)'!$C:$FB,64)</f>
        <v>867</v>
      </c>
      <c r="O212" s="51">
        <f>VLOOKUP($A212,'Data Vlaue (Cr)'!$C:$FB,66)*100</f>
        <v>-81.87</v>
      </c>
    </row>
    <row r="213" spans="1:15" x14ac:dyDescent="0.25">
      <c r="A213" s="101" t="str">
        <f>'Data Vlaue (Cr)'!C208</f>
        <v>VBL</v>
      </c>
      <c r="B213" s="50">
        <f>VLOOKUP($A213,'Data Vlaue (Cr)'!$C:$FB,8)</f>
        <v>468.4</v>
      </c>
      <c r="C213" s="50">
        <f>VLOOKUP($A213,'Data Vlaue (Cr)'!$C:$FB,11)*100</f>
        <v>-0.69</v>
      </c>
      <c r="D213" s="50">
        <f>VLOOKUP($A213,'Data Vlaue (Cr)'!$C:$FB,143)</f>
        <v>732.43</v>
      </c>
      <c r="E213" s="50">
        <f>VLOOKUP($A213,'Data Vlaue (Cr)'!$C:$FB,144)</f>
        <v>2146.96</v>
      </c>
      <c r="F213" s="50">
        <f>VLOOKUP($A213,'Data Vlaue (Cr)'!$C:$FB,146)*100</f>
        <v>-65.89</v>
      </c>
      <c r="G213" s="49">
        <f>VLOOKUP($A213,'Data Vlaue (Cr)'!$C:$FB,43)</f>
        <v>274</v>
      </c>
      <c r="H213" s="49">
        <f>VLOOKUP($A213,'Data Vlaue (Cr)'!$C:$FB,44)</f>
        <v>1253</v>
      </c>
      <c r="I213" s="49">
        <f>VLOOKUP($A213,'Data Vlaue (Cr)'!$C:$FB,46)*100</f>
        <v>-78.100000000000009</v>
      </c>
      <c r="J213" s="51">
        <f>VLOOKUP($A213,'Data Vlaue (Cr)'!$C:$FB,59)</f>
        <v>244</v>
      </c>
      <c r="K213" s="51">
        <f>VLOOKUP($A213,'Data Vlaue (Cr)'!$C:$FB,60)</f>
        <v>346</v>
      </c>
      <c r="L213" s="51">
        <f>VLOOKUP($A213,'Data Vlaue (Cr)'!$C:$FB,62)*100</f>
        <v>-29.509999999999998</v>
      </c>
      <c r="M213" s="51">
        <f>VLOOKUP($A213,'Data Vlaue (Cr)'!$C:$FB,63)</f>
        <v>204</v>
      </c>
      <c r="N213" s="51">
        <f>VLOOKUP($A213,'Data Vlaue (Cr)'!$C:$FB,64)</f>
        <v>525</v>
      </c>
      <c r="O213" s="51">
        <f>VLOOKUP($A213,'Data Vlaue (Cr)'!$C:$FB,66)*100</f>
        <v>-61.08</v>
      </c>
    </row>
    <row r="214" spans="1:15" x14ac:dyDescent="0.25">
      <c r="A214" s="101" t="str">
        <f>'Data Vlaue (Cr)'!C209</f>
        <v>VEDL</v>
      </c>
      <c r="B214" s="50">
        <f>VLOOKUP($A214,'Data Vlaue (Cr)'!$C:$FB,8)</f>
        <v>737.1</v>
      </c>
      <c r="C214" s="50">
        <f>VLOOKUP($A214,'Data Vlaue (Cr)'!$C:$FB,11)*100</f>
        <v>4.49</v>
      </c>
      <c r="D214" s="50">
        <f>VLOOKUP($A214,'Data Vlaue (Cr)'!$C:$FB,143)</f>
        <v>20086.18</v>
      </c>
      <c r="E214" s="50">
        <f>VLOOKUP($A214,'Data Vlaue (Cr)'!$C:$FB,144)</f>
        <v>13540.81</v>
      </c>
      <c r="F214" s="50">
        <f>VLOOKUP($A214,'Data Vlaue (Cr)'!$C:$FB,146)*100</f>
        <v>48.339999999999996</v>
      </c>
      <c r="G214" s="49">
        <f>VLOOKUP($A214,'Data Vlaue (Cr)'!$C:$FB,43)</f>
        <v>2837</v>
      </c>
      <c r="H214" s="49">
        <f>VLOOKUP($A214,'Data Vlaue (Cr)'!$C:$FB,44)</f>
        <v>3680</v>
      </c>
      <c r="I214" s="49">
        <f>VLOOKUP($A214,'Data Vlaue (Cr)'!$C:$FB,46)*100</f>
        <v>-22.919999999999998</v>
      </c>
      <c r="J214" s="51">
        <f>VLOOKUP($A214,'Data Vlaue (Cr)'!$C:$FB,59)</f>
        <v>12378</v>
      </c>
      <c r="K214" s="51">
        <f>VLOOKUP($A214,'Data Vlaue (Cr)'!$C:$FB,60)</f>
        <v>7306</v>
      </c>
      <c r="L214" s="51">
        <f>VLOOKUP($A214,'Data Vlaue (Cr)'!$C:$FB,62)*100</f>
        <v>69.410000000000011</v>
      </c>
      <c r="M214" s="51">
        <f>VLOOKUP($A214,'Data Vlaue (Cr)'!$C:$FB,63)</f>
        <v>4465</v>
      </c>
      <c r="N214" s="51">
        <f>VLOOKUP($A214,'Data Vlaue (Cr)'!$C:$FB,64)</f>
        <v>3199</v>
      </c>
      <c r="O214" s="51">
        <f>VLOOKUP($A214,'Data Vlaue (Cr)'!$C:$FB,66)*100</f>
        <v>39.57</v>
      </c>
    </row>
    <row r="215" spans="1:15" x14ac:dyDescent="0.25">
      <c r="A215" s="101" t="str">
        <f>'Data Vlaue (Cr)'!C210</f>
        <v>VOLTAS</v>
      </c>
      <c r="B215" s="50">
        <f>VLOOKUP($A215,'Data Vlaue (Cr)'!$C:$FB,8)</f>
        <v>1372.9</v>
      </c>
      <c r="C215" s="50">
        <f>VLOOKUP($A215,'Data Vlaue (Cr)'!$C:$FB,11)*100</f>
        <v>3.18</v>
      </c>
      <c r="D215" s="50">
        <f>VLOOKUP($A215,'Data Vlaue (Cr)'!$C:$FB,143)</f>
        <v>1066.1099999999999</v>
      </c>
      <c r="E215" s="50">
        <f>VLOOKUP($A215,'Data Vlaue (Cr)'!$C:$FB,144)</f>
        <v>1976.6</v>
      </c>
      <c r="F215" s="50">
        <f>VLOOKUP($A215,'Data Vlaue (Cr)'!$C:$FB,146)*100</f>
        <v>-46.06</v>
      </c>
      <c r="G215" s="49">
        <f>VLOOKUP($A215,'Data Vlaue (Cr)'!$C:$FB,43)</f>
        <v>396</v>
      </c>
      <c r="H215" s="49">
        <f>VLOOKUP($A215,'Data Vlaue (Cr)'!$C:$FB,44)</f>
        <v>711</v>
      </c>
      <c r="I215" s="49">
        <f>VLOOKUP($A215,'Data Vlaue (Cr)'!$C:$FB,46)*100</f>
        <v>-44.29</v>
      </c>
      <c r="J215" s="51">
        <f>VLOOKUP($A215,'Data Vlaue (Cr)'!$C:$FB,59)</f>
        <v>484</v>
      </c>
      <c r="K215" s="51">
        <f>VLOOKUP($A215,'Data Vlaue (Cr)'!$C:$FB,60)</f>
        <v>875</v>
      </c>
      <c r="L215" s="51">
        <f>VLOOKUP($A215,'Data Vlaue (Cr)'!$C:$FB,62)*100</f>
        <v>-44.769999999999996</v>
      </c>
      <c r="M215" s="51">
        <f>VLOOKUP($A215,'Data Vlaue (Cr)'!$C:$FB,63)</f>
        <v>167</v>
      </c>
      <c r="N215" s="51">
        <f>VLOOKUP($A215,'Data Vlaue (Cr)'!$C:$FB,64)</f>
        <v>425</v>
      </c>
      <c r="O215" s="51">
        <f>VLOOKUP($A215,'Data Vlaue (Cr)'!$C:$FB,66)*100</f>
        <v>-60.58</v>
      </c>
    </row>
    <row r="216" spans="1:15" x14ac:dyDescent="0.25">
      <c r="A216" s="101" t="str">
        <f>'Data Vlaue (Cr)'!C211</f>
        <v>WAAREEENER</v>
      </c>
      <c r="B216" s="50">
        <f>VLOOKUP($A216,'Data Vlaue (Cr)'!$C:$FB,8)</f>
        <v>2749.6</v>
      </c>
      <c r="C216" s="50">
        <f>VLOOKUP($A216,'Data Vlaue (Cr)'!$C:$FB,11)*100</f>
        <v>2.02</v>
      </c>
      <c r="D216" s="50">
        <f>VLOOKUP($A216,'Data Vlaue (Cr)'!$C:$FB,143)</f>
        <v>718.87</v>
      </c>
      <c r="E216" s="50">
        <f>VLOOKUP($A216,'Data Vlaue (Cr)'!$C:$FB,144)</f>
        <v>2223.13</v>
      </c>
      <c r="F216" s="50">
        <f>VLOOKUP($A216,'Data Vlaue (Cr)'!$C:$FB,146)*100</f>
        <v>-67.66</v>
      </c>
      <c r="G216" s="49">
        <f>VLOOKUP($A216,'Data Vlaue (Cr)'!$C:$FB,43)</f>
        <v>164</v>
      </c>
      <c r="H216" s="49">
        <f>VLOOKUP($A216,'Data Vlaue (Cr)'!$C:$FB,44)</f>
        <v>557</v>
      </c>
      <c r="I216" s="49">
        <f>VLOOKUP($A216,'Data Vlaue (Cr)'!$C:$FB,46)*100</f>
        <v>-70.489999999999995</v>
      </c>
      <c r="J216" s="51">
        <f>VLOOKUP($A216,'Data Vlaue (Cr)'!$C:$FB,59)</f>
        <v>398</v>
      </c>
      <c r="K216" s="51">
        <f>VLOOKUP($A216,'Data Vlaue (Cr)'!$C:$FB,60)</f>
        <v>1104</v>
      </c>
      <c r="L216" s="51">
        <f>VLOOKUP($A216,'Data Vlaue (Cr)'!$C:$FB,62)*100</f>
        <v>-63.9</v>
      </c>
      <c r="M216" s="51">
        <f>VLOOKUP($A216,'Data Vlaue (Cr)'!$C:$FB,63)</f>
        <v>142</v>
      </c>
      <c r="N216" s="51">
        <f>VLOOKUP($A216,'Data Vlaue (Cr)'!$C:$FB,64)</f>
        <v>618</v>
      </c>
      <c r="O216" s="51">
        <f>VLOOKUP($A216,'Data Vlaue (Cr)'!$C:$FB,66)*100</f>
        <v>-77.02</v>
      </c>
    </row>
    <row r="217" spans="1:15" x14ac:dyDescent="0.25">
      <c r="A217" s="101" t="str">
        <f>'Data Vlaue (Cr)'!C212</f>
        <v>WIPRO</v>
      </c>
      <c r="B217" s="50">
        <f>VLOOKUP($A217,'Data Vlaue (Cr)'!$C:$FB,8)</f>
        <v>237.35</v>
      </c>
      <c r="C217" s="50">
        <f>VLOOKUP($A217,'Data Vlaue (Cr)'!$C:$FB,11)*100</f>
        <v>1.0900000000000001</v>
      </c>
      <c r="D217" s="50">
        <f>VLOOKUP($A217,'Data Vlaue (Cr)'!$C:$FB,143)</f>
        <v>1739.82</v>
      </c>
      <c r="E217" s="50">
        <f>VLOOKUP($A217,'Data Vlaue (Cr)'!$C:$FB,144)</f>
        <v>3407.18</v>
      </c>
      <c r="F217" s="50">
        <f>VLOOKUP($A217,'Data Vlaue (Cr)'!$C:$FB,146)*100</f>
        <v>-48.94</v>
      </c>
      <c r="G217" s="49">
        <f>VLOOKUP($A217,'Data Vlaue (Cr)'!$C:$FB,43)</f>
        <v>387</v>
      </c>
      <c r="H217" s="49">
        <f>VLOOKUP($A217,'Data Vlaue (Cr)'!$C:$FB,44)</f>
        <v>1800</v>
      </c>
      <c r="I217" s="49">
        <f>VLOOKUP($A217,'Data Vlaue (Cr)'!$C:$FB,46)*100</f>
        <v>-78.510000000000005</v>
      </c>
      <c r="J217" s="51">
        <f>VLOOKUP($A217,'Data Vlaue (Cr)'!$C:$FB,59)</f>
        <v>894</v>
      </c>
      <c r="K217" s="51">
        <f>VLOOKUP($A217,'Data Vlaue (Cr)'!$C:$FB,60)</f>
        <v>932</v>
      </c>
      <c r="L217" s="51">
        <f>VLOOKUP($A217,'Data Vlaue (Cr)'!$C:$FB,62)*100</f>
        <v>-4.09</v>
      </c>
      <c r="M217" s="51">
        <f>VLOOKUP($A217,'Data Vlaue (Cr)'!$C:$FB,63)</f>
        <v>416</v>
      </c>
      <c r="N217" s="51">
        <f>VLOOKUP($A217,'Data Vlaue (Cr)'!$C:$FB,64)</f>
        <v>658</v>
      </c>
      <c r="O217" s="51">
        <f>VLOOKUP($A217,'Data Vlaue (Cr)'!$C:$FB,66)*100</f>
        <v>-36.770000000000003</v>
      </c>
    </row>
    <row r="218" spans="1:15" x14ac:dyDescent="0.25">
      <c r="A218" s="101" t="str">
        <f>'Data Vlaue (Cr)'!C213</f>
        <v>YESBANK</v>
      </c>
      <c r="B218" s="50">
        <f>VLOOKUP($A218,'Data Vlaue (Cr)'!$C:$FB,8)</f>
        <v>21.48</v>
      </c>
      <c r="C218" s="50">
        <f>VLOOKUP($A218,'Data Vlaue (Cr)'!$C:$FB,11)*100</f>
        <v>2.19</v>
      </c>
      <c r="D218" s="50">
        <f>VLOOKUP($A218,'Data Vlaue (Cr)'!$C:$FB,143)</f>
        <v>1183.82</v>
      </c>
      <c r="E218" s="50">
        <f>VLOOKUP($A218,'Data Vlaue (Cr)'!$C:$FB,144)</f>
        <v>2913.47</v>
      </c>
      <c r="F218" s="50">
        <f>VLOOKUP($A218,'Data Vlaue (Cr)'!$C:$FB,146)*100</f>
        <v>-59.37</v>
      </c>
      <c r="G218" s="49">
        <f>VLOOKUP($A218,'Data Vlaue (Cr)'!$C:$FB,43)</f>
        <v>245</v>
      </c>
      <c r="H218" s="49">
        <f>VLOOKUP($A218,'Data Vlaue (Cr)'!$C:$FB,44)</f>
        <v>1664</v>
      </c>
      <c r="I218" s="49">
        <f>VLOOKUP($A218,'Data Vlaue (Cr)'!$C:$FB,46)*100</f>
        <v>-85.25</v>
      </c>
      <c r="J218" s="51">
        <f>VLOOKUP($A218,'Data Vlaue (Cr)'!$C:$FB,59)</f>
        <v>634</v>
      </c>
      <c r="K218" s="51">
        <f>VLOOKUP($A218,'Data Vlaue (Cr)'!$C:$FB,60)</f>
        <v>827</v>
      </c>
      <c r="L218" s="51">
        <f>VLOOKUP($A218,'Data Vlaue (Cr)'!$C:$FB,62)*100</f>
        <v>-23.369999999999997</v>
      </c>
      <c r="M218" s="51">
        <f>VLOOKUP($A218,'Data Vlaue (Cr)'!$C:$FB,63)</f>
        <v>256</v>
      </c>
      <c r="N218" s="51">
        <f>VLOOKUP($A218,'Data Vlaue (Cr)'!$C:$FB,64)</f>
        <v>422</v>
      </c>
      <c r="O218" s="51">
        <f>VLOOKUP($A218,'Data Vlaue (Cr)'!$C:$FB,66)*100</f>
        <v>-39.44</v>
      </c>
    </row>
    <row r="219" spans="1:15" x14ac:dyDescent="0.25">
      <c r="A219" s="101"/>
      <c r="B219" s="50"/>
      <c r="C219" s="50"/>
      <c r="D219" s="50"/>
      <c r="E219" s="50"/>
      <c r="F219" s="50"/>
      <c r="G219" s="49"/>
      <c r="H219" s="49"/>
      <c r="I219" s="49"/>
      <c r="J219" s="51"/>
      <c r="K219" s="51"/>
      <c r="L219" s="51"/>
      <c r="M219" s="51"/>
      <c r="N219" s="51"/>
      <c r="O219" s="51"/>
    </row>
    <row r="220" spans="1:15" x14ac:dyDescent="0.25">
      <c r="A220" s="101" t="str">
        <f>'Data Vlaue (Cr)'!C214</f>
        <v>ZYDUSLIFE</v>
      </c>
      <c r="B220" s="50">
        <f>VLOOKUP($A220,'Data Vlaue (Cr)'!$C:$FB,8)</f>
        <v>896.9</v>
      </c>
      <c r="C220" s="50">
        <f>VLOOKUP($A220,'Data Vlaue (Cr)'!$C:$FB,11)*100</f>
        <v>0.4</v>
      </c>
      <c r="D220" s="50">
        <f>VLOOKUP($A220,'Data Vlaue (Cr)'!$C:$FB,143)</f>
        <v>288.52999999999997</v>
      </c>
      <c r="E220" s="50">
        <f>VLOOKUP($A220,'Data Vlaue (Cr)'!$C:$FB,144)</f>
        <v>1059.06</v>
      </c>
      <c r="F220" s="50">
        <f>VLOOKUP($A220,'Data Vlaue (Cr)'!$C:$FB,146)*100</f>
        <v>-72.760000000000005</v>
      </c>
      <c r="G220" s="49">
        <f>VLOOKUP($A220,'Data Vlaue (Cr)'!$C:$FB,43)</f>
        <v>94</v>
      </c>
      <c r="H220" s="49">
        <f>VLOOKUP($A220,'Data Vlaue (Cr)'!$C:$FB,44)</f>
        <v>640</v>
      </c>
      <c r="I220" s="49">
        <f>VLOOKUP($A220,'Data Vlaue (Cr)'!$C:$FB,46)*100</f>
        <v>-85.27</v>
      </c>
      <c r="J220" s="51">
        <f>VLOOKUP($A220,'Data Vlaue (Cr)'!$C:$FB,59)</f>
        <v>103</v>
      </c>
      <c r="K220" s="51">
        <f>VLOOKUP($A220,'Data Vlaue (Cr)'!$C:$FB,60)</f>
        <v>240</v>
      </c>
      <c r="L220" s="51">
        <f>VLOOKUP($A220,'Data Vlaue (Cr)'!$C:$FB,62)*100</f>
        <v>-57.110000000000007</v>
      </c>
      <c r="M220" s="51">
        <f>VLOOKUP($A220,'Data Vlaue (Cr)'!$C:$FB,63)</f>
        <v>85</v>
      </c>
      <c r="N220" s="51">
        <f>VLOOKUP($A220,'Data Vlaue (Cr)'!$C:$FB,64)</f>
        <v>168</v>
      </c>
      <c r="O220" s="51">
        <f>VLOOKUP($A220,'Data Vlaue (Cr)'!$C:$FB,66)*100</f>
        <v>-49.47</v>
      </c>
    </row>
    <row r="221" spans="1:15" x14ac:dyDescent="0.25">
      <c r="A221" s="101">
        <f>'Data Vlaue (Cr)'!C215</f>
        <v>0</v>
      </c>
      <c r="B221" s="50"/>
      <c r="C221" s="50"/>
      <c r="D221" s="50"/>
      <c r="E221" s="50"/>
      <c r="F221" s="50"/>
      <c r="G221" s="49"/>
      <c r="H221" s="49"/>
      <c r="I221" s="49"/>
      <c r="J221" s="51"/>
      <c r="K221" s="51"/>
      <c r="L221" s="51"/>
      <c r="M221" s="51"/>
      <c r="N221" s="51"/>
      <c r="O221" s="51"/>
    </row>
    <row r="222" spans="1:15" x14ac:dyDescent="0.25">
      <c r="A222" s="101"/>
      <c r="B222" s="50"/>
      <c r="C222" s="50"/>
      <c r="D222" s="50"/>
      <c r="E222" s="50"/>
      <c r="F222" s="50"/>
      <c r="G222" s="49"/>
      <c r="H222" s="49"/>
      <c r="I222" s="49"/>
      <c r="J222" s="51"/>
      <c r="K222" s="51"/>
      <c r="L222" s="51"/>
      <c r="M222" s="51"/>
      <c r="N222" s="51"/>
      <c r="O222" s="51"/>
    </row>
    <row r="223" spans="1:15" x14ac:dyDescent="0.25">
      <c r="A223" s="101"/>
      <c r="B223" s="50"/>
      <c r="C223" s="50"/>
      <c r="D223" s="50"/>
      <c r="E223" s="50"/>
      <c r="F223" s="50"/>
      <c r="G223" s="49"/>
      <c r="H223" s="49"/>
      <c r="I223" s="49"/>
      <c r="J223" s="51"/>
      <c r="K223" s="51"/>
      <c r="L223" s="51"/>
      <c r="M223" s="51"/>
      <c r="N223" s="51"/>
      <c r="O223" s="51"/>
    </row>
    <row r="224" spans="1:15" x14ac:dyDescent="0.25">
      <c r="A224" s="101"/>
      <c r="B224" s="50"/>
      <c r="C224" s="50"/>
      <c r="D224" s="50"/>
      <c r="E224" s="50"/>
      <c r="F224" s="50"/>
      <c r="G224" s="49"/>
      <c r="H224" s="49"/>
      <c r="I224" s="49"/>
      <c r="J224" s="51"/>
      <c r="K224" s="51"/>
      <c r="L224" s="51"/>
      <c r="M224" s="51"/>
      <c r="N224" s="51"/>
      <c r="O224" s="51"/>
    </row>
    <row r="225" spans="1:15" x14ac:dyDescent="0.25">
      <c r="A225" s="101"/>
      <c r="B225" s="50"/>
      <c r="C225" s="50"/>
      <c r="D225" s="50"/>
      <c r="E225" s="50"/>
      <c r="F225" s="50"/>
      <c r="G225" s="49"/>
      <c r="H225" s="49"/>
      <c r="I225" s="49"/>
      <c r="J225" s="51"/>
      <c r="K225" s="51"/>
      <c r="L225" s="51"/>
      <c r="M225" s="51"/>
      <c r="N225" s="51"/>
      <c r="O225" s="51"/>
    </row>
    <row r="226" spans="1:15" x14ac:dyDescent="0.25">
      <c r="A226" s="101"/>
      <c r="B226" s="50"/>
      <c r="C226" s="50"/>
      <c r="D226" s="50"/>
      <c r="E226" s="50"/>
      <c r="F226" s="50"/>
      <c r="G226" s="49"/>
      <c r="H226" s="49"/>
      <c r="I226" s="49"/>
      <c r="J226" s="51"/>
      <c r="K226" s="51"/>
      <c r="L226" s="51"/>
      <c r="M226" s="51"/>
      <c r="N226" s="51"/>
      <c r="O226" s="51"/>
    </row>
    <row r="227" spans="1:15" x14ac:dyDescent="0.25">
      <c r="A227" s="101"/>
      <c r="B227" s="50"/>
      <c r="C227" s="50"/>
      <c r="D227" s="50"/>
      <c r="E227" s="50"/>
      <c r="F227" s="50"/>
      <c r="G227" s="49"/>
      <c r="H227" s="49"/>
      <c r="I227" s="49"/>
      <c r="J227" s="51"/>
      <c r="K227" s="51"/>
      <c r="L227" s="51"/>
      <c r="M227" s="51"/>
      <c r="N227" s="51"/>
      <c r="O227" s="51"/>
    </row>
    <row r="228" spans="1:15" x14ac:dyDescent="0.25">
      <c r="A228" s="101"/>
      <c r="B228" s="50"/>
      <c r="C228" s="50"/>
      <c r="D228" s="50"/>
      <c r="E228" s="50"/>
      <c r="F228" s="50"/>
      <c r="G228" s="49"/>
      <c r="H228" s="49"/>
      <c r="I228" s="49"/>
      <c r="J228" s="51"/>
      <c r="K228" s="51"/>
      <c r="L228" s="51"/>
      <c r="M228" s="51"/>
      <c r="N228" s="51"/>
      <c r="O228" s="51"/>
    </row>
    <row r="229" spans="1:15" x14ac:dyDescent="0.25">
      <c r="A229" s="101"/>
      <c r="B229" s="50"/>
      <c r="C229" s="50"/>
      <c r="D229" s="50"/>
      <c r="E229" s="50"/>
      <c r="F229" s="50"/>
      <c r="G229" s="49"/>
      <c r="H229" s="49"/>
      <c r="I229" s="49"/>
      <c r="J229" s="51"/>
      <c r="K229" s="51"/>
      <c r="L229" s="51"/>
      <c r="M229" s="51"/>
      <c r="N229" s="51"/>
      <c r="O229" s="51"/>
    </row>
    <row r="230" spans="1:15" x14ac:dyDescent="0.25">
      <c r="A230" s="101"/>
      <c r="B230" s="50"/>
      <c r="C230" s="50"/>
      <c r="D230" s="50"/>
      <c r="E230" s="50"/>
      <c r="F230" s="50"/>
      <c r="G230" s="49"/>
      <c r="H230" s="49"/>
      <c r="I230" s="49"/>
      <c r="J230" s="51"/>
      <c r="K230" s="51"/>
      <c r="L230" s="51"/>
      <c r="M230" s="51"/>
      <c r="N230" s="51"/>
      <c r="O230" s="51"/>
    </row>
    <row r="231" spans="1:15" x14ac:dyDescent="0.25">
      <c r="A231" s="101"/>
      <c r="B231" s="17"/>
      <c r="C231" s="17"/>
      <c r="D231" s="17"/>
      <c r="E231" s="17"/>
      <c r="F231" s="17"/>
      <c r="G231" s="17"/>
      <c r="H231" s="17"/>
      <c r="I231" s="17"/>
      <c r="J231" s="17"/>
      <c r="K231" s="17"/>
      <c r="L231" s="17"/>
      <c r="M231" s="17"/>
      <c r="N231" s="17"/>
      <c r="O231" s="17"/>
    </row>
    <row r="232" spans="1:15" x14ac:dyDescent="0.25">
      <c r="A232" s="130" t="s">
        <v>398</v>
      </c>
      <c r="B232" s="130"/>
      <c r="C232" s="130"/>
      <c r="D232" s="131">
        <f>SUM(D7:D231)</f>
        <v>8920925.9699999951</v>
      </c>
      <c r="E232" s="131">
        <f>SUM(E7:E231)</f>
        <v>82601427.310000032</v>
      </c>
      <c r="F232" s="132">
        <f>(D232-E232)/E232</f>
        <v>-0.89200034115003723</v>
      </c>
      <c r="G232" s="131">
        <f>SUM(G7:G231)</f>
        <v>132479</v>
      </c>
      <c r="H232" s="131">
        <f>SUM(H7:H231)</f>
        <v>396018</v>
      </c>
      <c r="I232" s="132">
        <f>(G232-H232)/H232</f>
        <v>-0.66547227651268381</v>
      </c>
      <c r="J232" s="131">
        <f>SUM(J7:J231)</f>
        <v>4595976</v>
      </c>
      <c r="K232" s="131">
        <f>SUM(K7:K231)</f>
        <v>43751880</v>
      </c>
      <c r="L232" s="132">
        <f>(J232-K232)/K232</f>
        <v>-0.89495363399241357</v>
      </c>
      <c r="M232" s="131">
        <f>SUM(M7:M231)</f>
        <v>4166252</v>
      </c>
      <c r="N232" s="131">
        <f>SUM(N7:N231)</f>
        <v>39518901</v>
      </c>
      <c r="O232" s="132">
        <f>(M232-N232)/N232</f>
        <v>-0.8945757120118295</v>
      </c>
    </row>
  </sheetData>
  <autoFilter ref="A6:O6">
    <sortState ref="A7:O154">
      <sortCondition ref="A6"/>
    </sortState>
  </autoFilter>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29"/>
  <sheetViews>
    <sheetView workbookViewId="0">
      <pane ySplit="6" topLeftCell="A207" activePane="bottomLeft" state="frozen"/>
      <selection pane="bottomLeft" activeCell="O219" sqref="O219"/>
    </sheetView>
  </sheetViews>
  <sheetFormatPr defaultRowHeight="15" x14ac:dyDescent="0.25"/>
  <cols>
    <col min="1" max="1" width="14.5703125" bestFit="1" customWidth="1"/>
    <col min="2" max="3" width="9.28515625" bestFit="1" customWidth="1"/>
    <col min="4" max="4" width="12.140625" bestFit="1" customWidth="1"/>
    <col min="5" max="5" width="12.7109375" customWidth="1"/>
    <col min="6" max="6" width="10.28515625" bestFit="1" customWidth="1"/>
    <col min="7" max="8" width="12.5703125" customWidth="1"/>
    <col min="9" max="9" width="9.28515625" bestFit="1" customWidth="1"/>
    <col min="10" max="11" width="12.140625" bestFit="1" customWidth="1"/>
    <col min="12" max="12" width="9.28515625" bestFit="1" customWidth="1"/>
    <col min="13" max="14" width="11.28515625" bestFit="1" customWidth="1"/>
    <col min="15" max="15" width="9.28515625" bestFit="1" customWidth="1"/>
  </cols>
  <sheetData>
    <row r="2" spans="1:15" ht="23.25" customHeight="1" thickBot="1" x14ac:dyDescent="0.3"/>
    <row r="3" spans="1:15" ht="20.25" customHeight="1" thickBot="1" x14ac:dyDescent="0.3">
      <c r="A3" s="301" t="s">
        <v>315</v>
      </c>
      <c r="B3" s="298"/>
      <c r="C3" s="298"/>
      <c r="D3" s="298"/>
      <c r="E3" s="298"/>
      <c r="F3" s="298"/>
      <c r="G3" s="298"/>
      <c r="H3" s="298"/>
      <c r="I3" s="298"/>
      <c r="J3" s="298"/>
      <c r="K3" s="298"/>
      <c r="L3" s="298"/>
      <c r="M3" s="298"/>
      <c r="N3" s="298"/>
      <c r="O3" s="299"/>
    </row>
    <row r="4" spans="1:15" x14ac:dyDescent="0.25">
      <c r="A4" s="302" t="s">
        <v>330</v>
      </c>
      <c r="B4" s="302" t="s">
        <v>308</v>
      </c>
      <c r="C4" s="302"/>
      <c r="D4" s="302" t="s">
        <v>361</v>
      </c>
      <c r="E4" s="302"/>
      <c r="F4" s="302"/>
      <c r="G4" s="302"/>
      <c r="H4" s="302"/>
      <c r="I4" s="302"/>
      <c r="J4" s="302"/>
      <c r="K4" s="302"/>
      <c r="L4" s="302"/>
      <c r="M4" s="302"/>
      <c r="N4" s="302"/>
      <c r="O4" s="302"/>
    </row>
    <row r="5" spans="1:15" x14ac:dyDescent="0.25">
      <c r="A5" s="303"/>
      <c r="B5" s="303" t="s">
        <v>312</v>
      </c>
      <c r="C5" s="303"/>
      <c r="D5" s="303" t="s">
        <v>315</v>
      </c>
      <c r="E5" s="303"/>
      <c r="F5" s="303"/>
      <c r="G5" s="303" t="s">
        <v>362</v>
      </c>
      <c r="H5" s="303"/>
      <c r="I5" s="303"/>
      <c r="J5" s="303" t="s">
        <v>363</v>
      </c>
      <c r="K5" s="303"/>
      <c r="L5" s="303"/>
      <c r="M5" s="303" t="s">
        <v>364</v>
      </c>
      <c r="N5" s="303"/>
      <c r="O5" s="303"/>
    </row>
    <row r="6" spans="1:15" x14ac:dyDescent="0.25">
      <c r="A6" s="34" t="s">
        <v>318</v>
      </c>
      <c r="B6" s="21">
        <f>'Total Value'!B6</f>
        <v>46050</v>
      </c>
      <c r="C6" s="34" t="s">
        <v>328</v>
      </c>
      <c r="D6" s="21">
        <f>B6</f>
        <v>46050</v>
      </c>
      <c r="E6" s="34" t="s">
        <v>322</v>
      </c>
      <c r="F6" s="34" t="s">
        <v>328</v>
      </c>
      <c r="G6" s="21">
        <f>D6</f>
        <v>46050</v>
      </c>
      <c r="H6" s="34" t="s">
        <v>322</v>
      </c>
      <c r="I6" s="34" t="s">
        <v>328</v>
      </c>
      <c r="J6" s="21">
        <f>D6</f>
        <v>46050</v>
      </c>
      <c r="K6" s="34" t="s">
        <v>322</v>
      </c>
      <c r="L6" s="34" t="s">
        <v>328</v>
      </c>
      <c r="M6" s="21">
        <f>D6</f>
        <v>46050</v>
      </c>
      <c r="N6" s="34" t="s">
        <v>322</v>
      </c>
      <c r="O6" s="34" t="s">
        <v>328</v>
      </c>
    </row>
    <row r="7" spans="1:15" x14ac:dyDescent="0.25">
      <c r="A7" s="101" t="str">
        <f>'Data Vlaue (Cr)'!C2</f>
        <v>360ONE</v>
      </c>
      <c r="B7" s="50">
        <f>VLOOKUP($A7,'Data shares'!$C:$FB,7)</f>
        <v>1139.9000000000001</v>
      </c>
      <c r="C7" s="50">
        <f>VLOOKUP($A7,'Data shares'!$C:$FB,10)*100</f>
        <v>2.35</v>
      </c>
      <c r="D7" s="49">
        <f>VLOOKUP($A7,'Data shares'!$C:$FB,66)</f>
        <v>1708500</v>
      </c>
      <c r="E7" s="49">
        <f>VLOOKUP($A7,'Data shares'!$C:$FB,67)</f>
        <v>3693000</v>
      </c>
      <c r="F7" s="50">
        <f>VLOOKUP($A7,'Data shares'!$C:$FB,69)*100</f>
        <v>-53.74</v>
      </c>
      <c r="G7" s="49">
        <f>VLOOKUP($A7,'Data shares'!$C:$FB,42)</f>
        <v>996000</v>
      </c>
      <c r="H7" s="49">
        <f>VLOOKUP($A7,'Data shares'!$C:$FB,43)</f>
        <v>2284000</v>
      </c>
      <c r="I7" s="50">
        <f>VLOOKUP($A7,'Data shares'!$C:$FB,45)*100</f>
        <v>-56.389999999999993</v>
      </c>
      <c r="J7" s="49">
        <f>VLOOKUP($A7,'Data shares'!$C:$FB,58)</f>
        <v>497000</v>
      </c>
      <c r="K7" s="49">
        <f>VLOOKUP($A7,'Data shares'!$C:$FB,59)</f>
        <v>981000</v>
      </c>
      <c r="L7" s="50">
        <f>VLOOKUP($A7,'Data shares'!$C:$FB,61)*100</f>
        <v>-49.34</v>
      </c>
      <c r="M7" s="49">
        <f>VLOOKUP($A7,'Data shares'!$C:$FB,62)</f>
        <v>215500</v>
      </c>
      <c r="N7" s="49">
        <f>VLOOKUP($A7,'Data shares'!$C:$FB,63)</f>
        <v>428000</v>
      </c>
      <c r="O7" s="140">
        <f>VLOOKUP($A7,'Data shares'!$C:$FB,65)*100</f>
        <v>-49.65</v>
      </c>
    </row>
    <row r="8" spans="1:15" x14ac:dyDescent="0.25">
      <c r="A8" s="101" t="str">
        <f>'Data Vlaue (Cr)'!C3</f>
        <v>ABB</v>
      </c>
      <c r="B8" s="50">
        <f>VLOOKUP($A8,'Data shares'!$C:$FB,7)</f>
        <v>5043.5</v>
      </c>
      <c r="C8" s="50">
        <f>VLOOKUP($A8,'Data shares'!$C:$FB,10)*100</f>
        <v>7.1400000000000006</v>
      </c>
      <c r="D8" s="49">
        <f>VLOOKUP($A8,'Data shares'!$C:$FB,66)</f>
        <v>7370750</v>
      </c>
      <c r="E8" s="49">
        <f>VLOOKUP($A8,'Data shares'!$C:$FB,67)</f>
        <v>3087375</v>
      </c>
      <c r="F8" s="50">
        <f>VLOOKUP($A8,'Data shares'!$C:$FB,69)*100</f>
        <v>138.74</v>
      </c>
      <c r="G8" s="49">
        <f>VLOOKUP($A8,'Data shares'!$C:$FB,42)</f>
        <v>966500</v>
      </c>
      <c r="H8" s="49">
        <f>VLOOKUP($A8,'Data shares'!$C:$FB,43)</f>
        <v>1400375</v>
      </c>
      <c r="I8" s="50">
        <f>VLOOKUP($A8,'Data shares'!$C:$FB,45)*100</f>
        <v>-30.98</v>
      </c>
      <c r="J8" s="49">
        <f>VLOOKUP($A8,'Data shares'!$C:$FB,58)</f>
        <v>4818250</v>
      </c>
      <c r="K8" s="49">
        <f>VLOOKUP($A8,'Data shares'!$C:$FB,59)</f>
        <v>908375</v>
      </c>
      <c r="L8" s="50">
        <f>VLOOKUP($A8,'Data shares'!$C:$FB,61)*100</f>
        <v>430.42999999999995</v>
      </c>
      <c r="M8" s="49">
        <f>VLOOKUP($A8,'Data shares'!$C:$FB,62)</f>
        <v>1586000</v>
      </c>
      <c r="N8" s="49">
        <f>VLOOKUP($A8,'Data shares'!$C:$FB,63)</f>
        <v>778625</v>
      </c>
      <c r="O8" s="140">
        <f>VLOOKUP($A8,'Data shares'!$C:$FB,65)*100</f>
        <v>103.69</v>
      </c>
    </row>
    <row r="9" spans="1:15" x14ac:dyDescent="0.25">
      <c r="A9" s="101" t="str">
        <f>'Data Vlaue (Cr)'!C4</f>
        <v>ABCAPITAL</v>
      </c>
      <c r="B9" s="50">
        <f>VLOOKUP($A9,'Data shares'!$C:$FB,7)</f>
        <v>348.3</v>
      </c>
      <c r="C9" s="50">
        <f>VLOOKUP($A9,'Data shares'!$C:$FB,10)*100</f>
        <v>-0.16999999999999998</v>
      </c>
      <c r="D9" s="49">
        <f>VLOOKUP($A9,'Data shares'!$C:$FB,66)</f>
        <v>32212100</v>
      </c>
      <c r="E9" s="49">
        <f>VLOOKUP($A9,'Data shares'!$C:$FB,67)</f>
        <v>76805600</v>
      </c>
      <c r="F9" s="50">
        <f>VLOOKUP($A9,'Data shares'!$C:$FB,69)*100</f>
        <v>-58.06</v>
      </c>
      <c r="G9" s="49">
        <f>VLOOKUP($A9,'Data shares'!$C:$FB,42)</f>
        <v>8934200</v>
      </c>
      <c r="H9" s="49">
        <f>VLOOKUP($A9,'Data shares'!$C:$FB,43)</f>
        <v>30779900</v>
      </c>
      <c r="I9" s="50">
        <f>VLOOKUP($A9,'Data shares'!$C:$FB,45)*100</f>
        <v>-70.97</v>
      </c>
      <c r="J9" s="49">
        <f>VLOOKUP($A9,'Data shares'!$C:$FB,58)</f>
        <v>15568200</v>
      </c>
      <c r="K9" s="49">
        <f>VLOOKUP($A9,'Data shares'!$C:$FB,59)</f>
        <v>21941800</v>
      </c>
      <c r="L9" s="50">
        <f>VLOOKUP($A9,'Data shares'!$C:$FB,61)*100</f>
        <v>-29.049999999999997</v>
      </c>
      <c r="M9" s="49">
        <f>VLOOKUP($A9,'Data shares'!$C:$FB,62)</f>
        <v>7709700</v>
      </c>
      <c r="N9" s="49">
        <f>VLOOKUP($A9,'Data shares'!$C:$FB,63)</f>
        <v>24083900</v>
      </c>
      <c r="O9" s="140">
        <f>VLOOKUP($A9,'Data shares'!$C:$FB,65)*100</f>
        <v>-67.989999999999995</v>
      </c>
    </row>
    <row r="10" spans="1:15" x14ac:dyDescent="0.25">
      <c r="A10" s="101" t="str">
        <f>'Data Vlaue (Cr)'!C5</f>
        <v>ADANIENSOL</v>
      </c>
      <c r="B10" s="50">
        <f>VLOOKUP($A10,'Data shares'!$C:$FB,7)</f>
        <v>882</v>
      </c>
      <c r="C10" s="50">
        <f>VLOOKUP($A10,'Data shares'!$C:$FB,10)*100</f>
        <v>3.8699999999999997</v>
      </c>
      <c r="D10" s="49">
        <f>VLOOKUP($A10,'Data shares'!$C:$FB,66)</f>
        <v>11807775</v>
      </c>
      <c r="E10" s="49">
        <f>VLOOKUP($A10,'Data shares'!$C:$FB,67)</f>
        <v>28283850</v>
      </c>
      <c r="F10" s="50">
        <f>VLOOKUP($A10,'Data shares'!$C:$FB,69)*100</f>
        <v>-58.25</v>
      </c>
      <c r="G10" s="49">
        <f>VLOOKUP($A10,'Data shares'!$C:$FB,42)</f>
        <v>3511350</v>
      </c>
      <c r="H10" s="49">
        <f>VLOOKUP($A10,'Data shares'!$C:$FB,43)</f>
        <v>11705175</v>
      </c>
      <c r="I10" s="50">
        <f>VLOOKUP($A10,'Data shares'!$C:$FB,45)*100</f>
        <v>-70</v>
      </c>
      <c r="J10" s="49">
        <f>VLOOKUP($A10,'Data shares'!$C:$FB,58)</f>
        <v>5582250</v>
      </c>
      <c r="K10" s="49">
        <f>VLOOKUP($A10,'Data shares'!$C:$FB,59)</f>
        <v>9842175</v>
      </c>
      <c r="L10" s="50">
        <f>VLOOKUP($A10,'Data shares'!$C:$FB,61)*100</f>
        <v>-43.28</v>
      </c>
      <c r="M10" s="49">
        <f>VLOOKUP($A10,'Data shares'!$C:$FB,62)</f>
        <v>2714175</v>
      </c>
      <c r="N10" s="49">
        <f>VLOOKUP($A10,'Data shares'!$C:$FB,63)</f>
        <v>6736500</v>
      </c>
      <c r="O10" s="140">
        <f>VLOOKUP($A10,'Data shares'!$C:$FB,65)*100</f>
        <v>-59.709999999999994</v>
      </c>
    </row>
    <row r="11" spans="1:15" x14ac:dyDescent="0.25">
      <c r="A11" s="101" t="str">
        <f>'Data Vlaue (Cr)'!C6</f>
        <v>ADANIENT</v>
      </c>
      <c r="B11" s="50">
        <f>VLOOKUP($A11,'Data shares'!$C:$FB,7)</f>
        <v>1994.7</v>
      </c>
      <c r="C11" s="50">
        <f>VLOOKUP($A11,'Data shares'!$C:$FB,10)*100</f>
        <v>1.7999999999999998</v>
      </c>
      <c r="D11" s="49">
        <f>VLOOKUP($A11,'Data shares'!$C:$FB,66)</f>
        <v>17955681</v>
      </c>
      <c r="E11" s="49">
        <f>VLOOKUP($A11,'Data shares'!$C:$FB,67)</f>
        <v>79643823</v>
      </c>
      <c r="F11" s="50">
        <f>VLOOKUP($A11,'Data shares'!$C:$FB,69)*100</f>
        <v>-77.459999999999994</v>
      </c>
      <c r="G11" s="49">
        <f>VLOOKUP($A11,'Data shares'!$C:$FB,42)</f>
        <v>2976906</v>
      </c>
      <c r="H11" s="49">
        <f>VLOOKUP($A11,'Data shares'!$C:$FB,43)</f>
        <v>19855413</v>
      </c>
      <c r="I11" s="50">
        <f>VLOOKUP($A11,'Data shares'!$C:$FB,45)*100</f>
        <v>-85.009999999999991</v>
      </c>
      <c r="J11" s="49">
        <f>VLOOKUP($A11,'Data shares'!$C:$FB,58)</f>
        <v>8907852</v>
      </c>
      <c r="K11" s="49">
        <f>VLOOKUP($A11,'Data shares'!$C:$FB,59)</f>
        <v>38793096</v>
      </c>
      <c r="L11" s="50">
        <f>VLOOKUP($A11,'Data shares'!$C:$FB,61)*100</f>
        <v>-77.039999999999992</v>
      </c>
      <c r="M11" s="49">
        <f>VLOOKUP($A11,'Data shares'!$C:$FB,62)</f>
        <v>6070923</v>
      </c>
      <c r="N11" s="49">
        <f>VLOOKUP($A11,'Data shares'!$C:$FB,63)</f>
        <v>20995314</v>
      </c>
      <c r="O11" s="140">
        <f>VLOOKUP($A11,'Data shares'!$C:$FB,65)*100</f>
        <v>-71.08</v>
      </c>
    </row>
    <row r="12" spans="1:15" x14ac:dyDescent="0.25">
      <c r="A12" s="101" t="str">
        <f>'Data Vlaue (Cr)'!C7</f>
        <v>ADANIGREEN</v>
      </c>
      <c r="B12" s="50">
        <f>VLOOKUP($A12,'Data shares'!$C:$FB,7)</f>
        <v>822.9</v>
      </c>
      <c r="C12" s="50">
        <f>VLOOKUP($A12,'Data shares'!$C:$FB,10)*100</f>
        <v>2.98</v>
      </c>
      <c r="D12" s="49">
        <f>VLOOKUP($A12,'Data shares'!$C:$FB,66)</f>
        <v>22661400</v>
      </c>
      <c r="E12" s="49">
        <f>VLOOKUP($A12,'Data shares'!$C:$FB,67)</f>
        <v>97858200</v>
      </c>
      <c r="F12" s="50">
        <f>VLOOKUP($A12,'Data shares'!$C:$FB,69)*100</f>
        <v>-76.84</v>
      </c>
      <c r="G12" s="49">
        <f>VLOOKUP($A12,'Data shares'!$C:$FB,42)</f>
        <v>4390800</v>
      </c>
      <c r="H12" s="49">
        <f>VLOOKUP($A12,'Data shares'!$C:$FB,43)</f>
        <v>26002200</v>
      </c>
      <c r="I12" s="50">
        <f>VLOOKUP($A12,'Data shares'!$C:$FB,45)*100</f>
        <v>-83.11</v>
      </c>
      <c r="J12" s="49">
        <f>VLOOKUP($A12,'Data shares'!$C:$FB,58)</f>
        <v>12103800</v>
      </c>
      <c r="K12" s="49">
        <f>VLOOKUP($A12,'Data shares'!$C:$FB,59)</f>
        <v>45177000</v>
      </c>
      <c r="L12" s="50">
        <f>VLOOKUP($A12,'Data shares'!$C:$FB,61)*100</f>
        <v>-73.209999999999994</v>
      </c>
      <c r="M12" s="49">
        <f>VLOOKUP($A12,'Data shares'!$C:$FB,62)</f>
        <v>6166800</v>
      </c>
      <c r="N12" s="49">
        <f>VLOOKUP($A12,'Data shares'!$C:$FB,63)</f>
        <v>26679000</v>
      </c>
      <c r="O12" s="140">
        <f>VLOOKUP($A12,'Data shares'!$C:$FB,65)*100</f>
        <v>-76.89</v>
      </c>
    </row>
    <row r="13" spans="1:15" x14ac:dyDescent="0.25">
      <c r="A13" s="101" t="str">
        <f>'Data Vlaue (Cr)'!C8</f>
        <v>ADANIPORTS</v>
      </c>
      <c r="B13" s="50">
        <f>VLOOKUP($A13,'Data shares'!$C:$FB,7)</f>
        <v>1381.9</v>
      </c>
      <c r="C13" s="50">
        <f>VLOOKUP($A13,'Data shares'!$C:$FB,10)*100</f>
        <v>1.32</v>
      </c>
      <c r="D13" s="49">
        <f>VLOOKUP($A13,'Data shares'!$C:$FB,66)</f>
        <v>15748150</v>
      </c>
      <c r="E13" s="49">
        <f>VLOOKUP($A13,'Data shares'!$C:$FB,67)</f>
        <v>58003675</v>
      </c>
      <c r="F13" s="50">
        <f>VLOOKUP($A13,'Data shares'!$C:$FB,69)*100</f>
        <v>-72.850000000000009</v>
      </c>
      <c r="G13" s="49">
        <f>VLOOKUP($A13,'Data shares'!$C:$FB,42)</f>
        <v>3582450</v>
      </c>
      <c r="H13" s="49">
        <f>VLOOKUP($A13,'Data shares'!$C:$FB,43)</f>
        <v>16405550</v>
      </c>
      <c r="I13" s="50">
        <f>VLOOKUP($A13,'Data shares'!$C:$FB,45)*100</f>
        <v>-78.16</v>
      </c>
      <c r="J13" s="49">
        <f>VLOOKUP($A13,'Data shares'!$C:$FB,58)</f>
        <v>7506900</v>
      </c>
      <c r="K13" s="49">
        <f>VLOOKUP($A13,'Data shares'!$C:$FB,59)</f>
        <v>23655950</v>
      </c>
      <c r="L13" s="50">
        <f>VLOOKUP($A13,'Data shares'!$C:$FB,61)*100</f>
        <v>-68.27</v>
      </c>
      <c r="M13" s="49">
        <f>VLOOKUP($A13,'Data shares'!$C:$FB,62)</f>
        <v>4658800</v>
      </c>
      <c r="N13" s="49">
        <f>VLOOKUP($A13,'Data shares'!$C:$FB,63)</f>
        <v>17942175</v>
      </c>
      <c r="O13" s="140">
        <f>VLOOKUP($A13,'Data shares'!$C:$FB,65)*100</f>
        <v>-74.03</v>
      </c>
    </row>
    <row r="14" spans="1:15" x14ac:dyDescent="0.25">
      <c r="A14" s="101" t="str">
        <f>'Data Vlaue (Cr)'!C9</f>
        <v>ALKEM</v>
      </c>
      <c r="B14" s="50">
        <f>VLOOKUP($A14,'Data shares'!$C:$FB,7)</f>
        <v>5722.5</v>
      </c>
      <c r="C14" s="50">
        <f>VLOOKUP($A14,'Data shares'!$C:$FB,10)*100</f>
        <v>-0.54999999999999993</v>
      </c>
      <c r="D14" s="49">
        <f>VLOOKUP($A14,'Data shares'!$C:$FB,66)</f>
        <v>335000</v>
      </c>
      <c r="E14" s="49">
        <f>VLOOKUP($A14,'Data shares'!$C:$FB,67)</f>
        <v>2296875</v>
      </c>
      <c r="F14" s="50">
        <f>VLOOKUP($A14,'Data shares'!$C:$FB,69)*100</f>
        <v>-85.41</v>
      </c>
      <c r="G14" s="49">
        <f>VLOOKUP($A14,'Data shares'!$C:$FB,42)</f>
        <v>132250</v>
      </c>
      <c r="H14" s="49">
        <f>VLOOKUP($A14,'Data shares'!$C:$FB,43)</f>
        <v>688875</v>
      </c>
      <c r="I14" s="50">
        <f>VLOOKUP($A14,'Data shares'!$C:$FB,45)*100</f>
        <v>-80.800000000000011</v>
      </c>
      <c r="J14" s="49">
        <f>VLOOKUP($A14,'Data shares'!$C:$FB,58)</f>
        <v>109375</v>
      </c>
      <c r="K14" s="49">
        <f>VLOOKUP($A14,'Data shares'!$C:$FB,59)</f>
        <v>589000</v>
      </c>
      <c r="L14" s="50">
        <f>VLOOKUP($A14,'Data shares'!$C:$FB,61)*100</f>
        <v>-81.430000000000007</v>
      </c>
      <c r="M14" s="49">
        <f>VLOOKUP($A14,'Data shares'!$C:$FB,62)</f>
        <v>93375</v>
      </c>
      <c r="N14" s="49">
        <f>VLOOKUP($A14,'Data shares'!$C:$FB,63)</f>
        <v>1019000</v>
      </c>
      <c r="O14" s="140">
        <f>VLOOKUP($A14,'Data shares'!$C:$FB,65)*100</f>
        <v>-90.84</v>
      </c>
    </row>
    <row r="15" spans="1:15" x14ac:dyDescent="0.25">
      <c r="A15" s="101" t="str">
        <f>'Data Vlaue (Cr)'!C10</f>
        <v>AMBER</v>
      </c>
      <c r="B15" s="50">
        <f>VLOOKUP($A15,'Data shares'!$C:$FB,7)</f>
        <v>5614</v>
      </c>
      <c r="C15" s="50">
        <f>VLOOKUP($A15,'Data shares'!$C:$FB,10)*100</f>
        <v>1.8900000000000001</v>
      </c>
      <c r="D15" s="49">
        <f>VLOOKUP($A15,'Data shares'!$C:$FB,66)</f>
        <v>437800</v>
      </c>
      <c r="E15" s="49">
        <f>VLOOKUP($A15,'Data shares'!$C:$FB,67)</f>
        <v>2451000</v>
      </c>
      <c r="F15" s="50">
        <f>VLOOKUP($A15,'Data shares'!$C:$FB,69)*100</f>
        <v>-82.14</v>
      </c>
      <c r="G15" s="49">
        <f>VLOOKUP($A15,'Data shares'!$C:$FB,42)</f>
        <v>221200</v>
      </c>
      <c r="H15" s="49">
        <f>VLOOKUP($A15,'Data shares'!$C:$FB,43)</f>
        <v>1449700</v>
      </c>
      <c r="I15" s="50">
        <f>VLOOKUP($A15,'Data shares'!$C:$FB,45)*100</f>
        <v>-84.740000000000009</v>
      </c>
      <c r="J15" s="49">
        <f>VLOOKUP($A15,'Data shares'!$C:$FB,58)</f>
        <v>156400</v>
      </c>
      <c r="K15" s="49">
        <f>VLOOKUP($A15,'Data shares'!$C:$FB,59)</f>
        <v>528400</v>
      </c>
      <c r="L15" s="50">
        <f>VLOOKUP($A15,'Data shares'!$C:$FB,61)*100</f>
        <v>-70.399999999999991</v>
      </c>
      <c r="M15" s="49">
        <f>VLOOKUP($A15,'Data shares'!$C:$FB,62)</f>
        <v>60200</v>
      </c>
      <c r="N15" s="49">
        <f>VLOOKUP($A15,'Data shares'!$C:$FB,63)</f>
        <v>472900</v>
      </c>
      <c r="O15" s="140">
        <f>VLOOKUP($A15,'Data shares'!$C:$FB,65)*100</f>
        <v>-87.27000000000001</v>
      </c>
    </row>
    <row r="16" spans="1:15" x14ac:dyDescent="0.25">
      <c r="A16" s="101" t="str">
        <f>'Data Vlaue (Cr)'!C11</f>
        <v>AMBUJACEM</v>
      </c>
      <c r="B16" s="50">
        <f>VLOOKUP($A16,'Data shares'!$C:$FB,7)</f>
        <v>533.95000000000005</v>
      </c>
      <c r="C16" s="50">
        <f>VLOOKUP($A16,'Data shares'!$C:$FB,10)*100</f>
        <v>0.32</v>
      </c>
      <c r="D16" s="49">
        <f>VLOOKUP($A16,'Data shares'!$C:$FB,66)</f>
        <v>11273850</v>
      </c>
      <c r="E16" s="49">
        <f>VLOOKUP($A16,'Data shares'!$C:$FB,67)</f>
        <v>68856900</v>
      </c>
      <c r="F16" s="50">
        <f>VLOOKUP($A16,'Data shares'!$C:$FB,69)*100</f>
        <v>-83.63000000000001</v>
      </c>
      <c r="G16" s="49">
        <f>VLOOKUP($A16,'Data shares'!$C:$FB,42)</f>
        <v>3140550</v>
      </c>
      <c r="H16" s="49">
        <f>VLOOKUP($A16,'Data shares'!$C:$FB,43)</f>
        <v>33334350</v>
      </c>
      <c r="I16" s="50">
        <f>VLOOKUP($A16,'Data shares'!$C:$FB,45)*100</f>
        <v>-90.58</v>
      </c>
      <c r="J16" s="49">
        <f>VLOOKUP($A16,'Data shares'!$C:$FB,58)</f>
        <v>5127150</v>
      </c>
      <c r="K16" s="49">
        <f>VLOOKUP($A16,'Data shares'!$C:$FB,59)</f>
        <v>17158050</v>
      </c>
      <c r="L16" s="50">
        <f>VLOOKUP($A16,'Data shares'!$C:$FB,61)*100</f>
        <v>-70.12</v>
      </c>
      <c r="M16" s="49">
        <f>VLOOKUP($A16,'Data shares'!$C:$FB,62)</f>
        <v>3006150</v>
      </c>
      <c r="N16" s="49">
        <f>VLOOKUP($A16,'Data shares'!$C:$FB,63)</f>
        <v>18364500</v>
      </c>
      <c r="O16" s="140">
        <f>VLOOKUP($A16,'Data shares'!$C:$FB,65)*100</f>
        <v>-83.63000000000001</v>
      </c>
    </row>
    <row r="17" spans="1:15" x14ac:dyDescent="0.25">
      <c r="A17" s="101" t="str">
        <f>'Data Vlaue (Cr)'!C12</f>
        <v>ANGELONE</v>
      </c>
      <c r="B17" s="50">
        <f>VLOOKUP($A17,'Data shares'!$C:$FB,7)</f>
        <v>2615.1</v>
      </c>
      <c r="C17" s="50">
        <f>VLOOKUP($A17,'Data shares'!$C:$FB,10)*100</f>
        <v>2.83</v>
      </c>
      <c r="D17" s="49">
        <f>VLOOKUP($A17,'Data shares'!$C:$FB,66)</f>
        <v>5631000</v>
      </c>
      <c r="E17" s="49">
        <f>VLOOKUP($A17,'Data shares'!$C:$FB,67)</f>
        <v>7826750</v>
      </c>
      <c r="F17" s="50">
        <f>VLOOKUP($A17,'Data shares'!$C:$FB,69)*100</f>
        <v>-28.050000000000004</v>
      </c>
      <c r="G17" s="49">
        <f>VLOOKUP($A17,'Data shares'!$C:$FB,42)</f>
        <v>785500</v>
      </c>
      <c r="H17" s="49">
        <f>VLOOKUP($A17,'Data shares'!$C:$FB,43)</f>
        <v>2177000</v>
      </c>
      <c r="I17" s="50">
        <f>VLOOKUP($A17,'Data shares'!$C:$FB,45)*100</f>
        <v>-63.92</v>
      </c>
      <c r="J17" s="49">
        <f>VLOOKUP($A17,'Data shares'!$C:$FB,58)</f>
        <v>3581000</v>
      </c>
      <c r="K17" s="49">
        <f>VLOOKUP($A17,'Data shares'!$C:$FB,59)</f>
        <v>2941250</v>
      </c>
      <c r="L17" s="50">
        <f>VLOOKUP($A17,'Data shares'!$C:$FB,61)*100</f>
        <v>21.75</v>
      </c>
      <c r="M17" s="49">
        <f>VLOOKUP($A17,'Data shares'!$C:$FB,62)</f>
        <v>1264500</v>
      </c>
      <c r="N17" s="49">
        <f>VLOOKUP($A17,'Data shares'!$C:$FB,63)</f>
        <v>2708500</v>
      </c>
      <c r="O17" s="140">
        <f>VLOOKUP($A17,'Data shares'!$C:$FB,65)*100</f>
        <v>-53.31</v>
      </c>
    </row>
    <row r="18" spans="1:15" x14ac:dyDescent="0.25">
      <c r="A18" s="101" t="str">
        <f>'Data Vlaue (Cr)'!C13</f>
        <v>APLAPOLLO</v>
      </c>
      <c r="B18" s="50">
        <f>VLOOKUP($A18,'Data shares'!$C:$FB,7)</f>
        <v>2091</v>
      </c>
      <c r="C18" s="50">
        <f>VLOOKUP($A18,'Data shares'!$C:$FB,10)*100</f>
        <v>1.48</v>
      </c>
      <c r="D18" s="49">
        <f>VLOOKUP($A18,'Data shares'!$C:$FB,66)</f>
        <v>4948300</v>
      </c>
      <c r="E18" s="49">
        <f>VLOOKUP($A18,'Data shares'!$C:$FB,67)</f>
        <v>25030250</v>
      </c>
      <c r="F18" s="50">
        <f>VLOOKUP($A18,'Data shares'!$C:$FB,69)*100</f>
        <v>-80.23</v>
      </c>
      <c r="G18" s="49">
        <f>VLOOKUP($A18,'Data shares'!$C:$FB,42)</f>
        <v>1439550</v>
      </c>
      <c r="H18" s="49">
        <f>VLOOKUP($A18,'Data shares'!$C:$FB,43)</f>
        <v>11552100</v>
      </c>
      <c r="I18" s="50">
        <f>VLOOKUP($A18,'Data shares'!$C:$FB,45)*100</f>
        <v>-87.539999999999992</v>
      </c>
      <c r="J18" s="49">
        <f>VLOOKUP($A18,'Data shares'!$C:$FB,58)</f>
        <v>2648800</v>
      </c>
      <c r="K18" s="49">
        <f>VLOOKUP($A18,'Data shares'!$C:$FB,59)</f>
        <v>9697800</v>
      </c>
      <c r="L18" s="50">
        <f>VLOOKUP($A18,'Data shares'!$C:$FB,61)*100</f>
        <v>-72.69</v>
      </c>
      <c r="M18" s="49">
        <f>VLOOKUP($A18,'Data shares'!$C:$FB,62)</f>
        <v>859950</v>
      </c>
      <c r="N18" s="49">
        <f>VLOOKUP($A18,'Data shares'!$C:$FB,63)</f>
        <v>3780350</v>
      </c>
      <c r="O18" s="140">
        <f>VLOOKUP($A18,'Data shares'!$C:$FB,65)*100</f>
        <v>-77.25</v>
      </c>
    </row>
    <row r="19" spans="1:15" x14ac:dyDescent="0.25">
      <c r="A19" s="101" t="str">
        <f>'Data Vlaue (Cr)'!C14</f>
        <v>APOLLOHOSP</v>
      </c>
      <c r="B19" s="50">
        <f>VLOOKUP($A19,'Data shares'!$C:$FB,7)</f>
        <v>6877.5</v>
      </c>
      <c r="C19" s="50">
        <f>VLOOKUP($A19,'Data shares'!$C:$FB,10)*100</f>
        <v>1.24</v>
      </c>
      <c r="D19" s="49">
        <f>VLOOKUP($A19,'Data shares'!$C:$FB,66)</f>
        <v>2540875</v>
      </c>
      <c r="E19" s="49">
        <f>VLOOKUP($A19,'Data shares'!$C:$FB,67)</f>
        <v>5283625</v>
      </c>
      <c r="F19" s="50">
        <f>VLOOKUP($A19,'Data shares'!$C:$FB,69)*100</f>
        <v>-51.910000000000004</v>
      </c>
      <c r="G19" s="49">
        <f>VLOOKUP($A19,'Data shares'!$C:$FB,42)</f>
        <v>420625</v>
      </c>
      <c r="H19" s="49">
        <f>VLOOKUP($A19,'Data shares'!$C:$FB,43)</f>
        <v>1942750</v>
      </c>
      <c r="I19" s="50">
        <f>VLOOKUP($A19,'Data shares'!$C:$FB,45)*100</f>
        <v>-78.349999999999994</v>
      </c>
      <c r="J19" s="49">
        <f>VLOOKUP($A19,'Data shares'!$C:$FB,58)</f>
        <v>1618125</v>
      </c>
      <c r="K19" s="49">
        <f>VLOOKUP($A19,'Data shares'!$C:$FB,59)</f>
        <v>2212375</v>
      </c>
      <c r="L19" s="50">
        <f>VLOOKUP($A19,'Data shares'!$C:$FB,61)*100</f>
        <v>-26.86</v>
      </c>
      <c r="M19" s="49">
        <f>VLOOKUP($A19,'Data shares'!$C:$FB,62)</f>
        <v>502125</v>
      </c>
      <c r="N19" s="49">
        <f>VLOOKUP($A19,'Data shares'!$C:$FB,63)</f>
        <v>1128500</v>
      </c>
      <c r="O19" s="140">
        <f>VLOOKUP($A19,'Data shares'!$C:$FB,65)*100</f>
        <v>-55.510000000000005</v>
      </c>
    </row>
    <row r="20" spans="1:15" x14ac:dyDescent="0.25">
      <c r="A20" s="101" t="str">
        <f>'Data Vlaue (Cr)'!C15</f>
        <v>ASHOKLEY</v>
      </c>
      <c r="B20" s="50">
        <f>VLOOKUP($A20,'Data shares'!$C:$FB,7)</f>
        <v>195.33</v>
      </c>
      <c r="C20" s="50">
        <f>VLOOKUP($A20,'Data shares'!$C:$FB,10)*100</f>
        <v>1.21</v>
      </c>
      <c r="D20" s="49">
        <f>VLOOKUP($A20,'Data shares'!$C:$FB,66)</f>
        <v>169515000</v>
      </c>
      <c r="E20" s="49">
        <f>VLOOKUP($A20,'Data shares'!$C:$FB,67)</f>
        <v>212150000</v>
      </c>
      <c r="F20" s="50">
        <f>VLOOKUP($A20,'Data shares'!$C:$FB,69)*100</f>
        <v>-20.100000000000001</v>
      </c>
      <c r="G20" s="49">
        <f>VLOOKUP($A20,'Data shares'!$C:$FB,42)</f>
        <v>49035000</v>
      </c>
      <c r="H20" s="49">
        <f>VLOOKUP($A20,'Data shares'!$C:$FB,43)</f>
        <v>76010000</v>
      </c>
      <c r="I20" s="50">
        <f>VLOOKUP($A20,'Data shares'!$C:$FB,45)*100</f>
        <v>-35.49</v>
      </c>
      <c r="J20" s="49">
        <f>VLOOKUP($A20,'Data shares'!$C:$FB,58)</f>
        <v>88750000</v>
      </c>
      <c r="K20" s="49">
        <f>VLOOKUP($A20,'Data shares'!$C:$FB,59)</f>
        <v>91570000</v>
      </c>
      <c r="L20" s="50">
        <f>VLOOKUP($A20,'Data shares'!$C:$FB,61)*100</f>
        <v>-3.08</v>
      </c>
      <c r="M20" s="49">
        <f>VLOOKUP($A20,'Data shares'!$C:$FB,62)</f>
        <v>31730000</v>
      </c>
      <c r="N20" s="49">
        <f>VLOOKUP($A20,'Data shares'!$C:$FB,63)</f>
        <v>44570000</v>
      </c>
      <c r="O20" s="140">
        <f>VLOOKUP($A20,'Data shares'!$C:$FB,65)*100</f>
        <v>-28.810000000000002</v>
      </c>
    </row>
    <row r="21" spans="1:15" x14ac:dyDescent="0.25">
      <c r="A21" s="101" t="str">
        <f>'Data Vlaue (Cr)'!C16</f>
        <v>ASIANPAINT</v>
      </c>
      <c r="B21" s="50">
        <f>VLOOKUP($A21,'Data shares'!$C:$FB,7)</f>
        <v>2511.8000000000002</v>
      </c>
      <c r="C21" s="50">
        <f>VLOOKUP($A21,'Data shares'!$C:$FB,10)*100</f>
        <v>-4.2299999999999995</v>
      </c>
      <c r="D21" s="49">
        <f>VLOOKUP($A21,'Data shares'!$C:$FB,66)</f>
        <v>49490250</v>
      </c>
      <c r="E21" s="49">
        <f>VLOOKUP($A21,'Data shares'!$C:$FB,67)</f>
        <v>66213750</v>
      </c>
      <c r="F21" s="50">
        <f>VLOOKUP($A21,'Data shares'!$C:$FB,69)*100</f>
        <v>-25.259999999999998</v>
      </c>
      <c r="G21" s="49">
        <f>VLOOKUP($A21,'Data shares'!$C:$FB,42)</f>
        <v>5946250</v>
      </c>
      <c r="H21" s="49">
        <f>VLOOKUP($A21,'Data shares'!$C:$FB,43)</f>
        <v>11851000</v>
      </c>
      <c r="I21" s="50">
        <f>VLOOKUP($A21,'Data shares'!$C:$FB,45)*100</f>
        <v>-49.82</v>
      </c>
      <c r="J21" s="49">
        <f>VLOOKUP($A21,'Data shares'!$C:$FB,58)</f>
        <v>25592000</v>
      </c>
      <c r="K21" s="49">
        <f>VLOOKUP($A21,'Data shares'!$C:$FB,59)</f>
        <v>27665000</v>
      </c>
      <c r="L21" s="50">
        <f>VLOOKUP($A21,'Data shares'!$C:$FB,61)*100</f>
        <v>-7.4899999999999993</v>
      </c>
      <c r="M21" s="49">
        <f>VLOOKUP($A21,'Data shares'!$C:$FB,62)</f>
        <v>17952000</v>
      </c>
      <c r="N21" s="49">
        <f>VLOOKUP($A21,'Data shares'!$C:$FB,63)</f>
        <v>26697750</v>
      </c>
      <c r="O21" s="140">
        <f>VLOOKUP($A21,'Data shares'!$C:$FB,65)*100</f>
        <v>-32.76</v>
      </c>
    </row>
    <row r="22" spans="1:15" x14ac:dyDescent="0.25">
      <c r="A22" s="101" t="str">
        <f>'Data Vlaue (Cr)'!C17</f>
        <v>ASTRAL</v>
      </c>
      <c r="B22" s="50">
        <f>VLOOKUP($A22,'Data shares'!$C:$FB,7)</f>
        <v>1452.9</v>
      </c>
      <c r="C22" s="50">
        <f>VLOOKUP($A22,'Data shares'!$C:$FB,10)*100</f>
        <v>3.74</v>
      </c>
      <c r="D22" s="49">
        <f>VLOOKUP($A22,'Data shares'!$C:$FB,66)</f>
        <v>4845425</v>
      </c>
      <c r="E22" s="49">
        <f>VLOOKUP($A22,'Data shares'!$C:$FB,67)</f>
        <v>6482950</v>
      </c>
      <c r="F22" s="50">
        <f>VLOOKUP($A22,'Data shares'!$C:$FB,69)*100</f>
        <v>-25.259999999999998</v>
      </c>
      <c r="G22" s="49">
        <f>VLOOKUP($A22,'Data shares'!$C:$FB,42)</f>
        <v>1834725</v>
      </c>
      <c r="H22" s="49">
        <f>VLOOKUP($A22,'Data shares'!$C:$FB,43)</f>
        <v>3526225</v>
      </c>
      <c r="I22" s="50">
        <f>VLOOKUP($A22,'Data shares'!$C:$FB,45)*100</f>
        <v>-47.97</v>
      </c>
      <c r="J22" s="49">
        <f>VLOOKUP($A22,'Data shares'!$C:$FB,58)</f>
        <v>1929925</v>
      </c>
      <c r="K22" s="49">
        <f>VLOOKUP($A22,'Data shares'!$C:$FB,59)</f>
        <v>1919300</v>
      </c>
      <c r="L22" s="50">
        <f>VLOOKUP($A22,'Data shares'!$C:$FB,61)*100</f>
        <v>0.54999999999999993</v>
      </c>
      <c r="M22" s="49">
        <f>VLOOKUP($A22,'Data shares'!$C:$FB,62)</f>
        <v>1080775</v>
      </c>
      <c r="N22" s="49">
        <f>VLOOKUP($A22,'Data shares'!$C:$FB,63)</f>
        <v>1037425</v>
      </c>
      <c r="O22" s="140">
        <f>VLOOKUP($A22,'Data shares'!$C:$FB,65)*100</f>
        <v>4.18</v>
      </c>
    </row>
    <row r="23" spans="1:15" x14ac:dyDescent="0.25">
      <c r="A23" s="101" t="str">
        <f>'Data Vlaue (Cr)'!C18</f>
        <v>AUBANK</v>
      </c>
      <c r="B23" s="50">
        <f>VLOOKUP($A23,'Data shares'!$C:$FB,7)</f>
        <v>962.35</v>
      </c>
      <c r="C23" s="50">
        <f>VLOOKUP($A23,'Data shares'!$C:$FB,10)*100</f>
        <v>-0.12</v>
      </c>
      <c r="D23" s="49">
        <f>VLOOKUP($A23,'Data shares'!$C:$FB,66)</f>
        <v>10608000</v>
      </c>
      <c r="E23" s="49">
        <f>VLOOKUP($A23,'Data shares'!$C:$FB,67)</f>
        <v>34776000</v>
      </c>
      <c r="F23" s="50">
        <f>VLOOKUP($A23,'Data shares'!$C:$FB,69)*100</f>
        <v>-69.5</v>
      </c>
      <c r="G23" s="49">
        <f>VLOOKUP($A23,'Data shares'!$C:$FB,42)</f>
        <v>3361000</v>
      </c>
      <c r="H23" s="49">
        <f>VLOOKUP($A23,'Data shares'!$C:$FB,43)</f>
        <v>13096000</v>
      </c>
      <c r="I23" s="50">
        <f>VLOOKUP($A23,'Data shares'!$C:$FB,45)*100</f>
        <v>-74.339999999999989</v>
      </c>
      <c r="J23" s="49">
        <f>VLOOKUP($A23,'Data shares'!$C:$FB,58)</f>
        <v>4816000</v>
      </c>
      <c r="K23" s="49">
        <f>VLOOKUP($A23,'Data shares'!$C:$FB,59)</f>
        <v>11114000</v>
      </c>
      <c r="L23" s="50">
        <f>VLOOKUP($A23,'Data shares'!$C:$FB,61)*100</f>
        <v>-56.67</v>
      </c>
      <c r="M23" s="49">
        <f>VLOOKUP($A23,'Data shares'!$C:$FB,62)</f>
        <v>2431000</v>
      </c>
      <c r="N23" s="49">
        <f>VLOOKUP($A23,'Data shares'!$C:$FB,63)</f>
        <v>10566000</v>
      </c>
      <c r="O23" s="140">
        <f>VLOOKUP($A23,'Data shares'!$C:$FB,65)*100</f>
        <v>-76.990000000000009</v>
      </c>
    </row>
    <row r="24" spans="1:15" x14ac:dyDescent="0.25">
      <c r="A24" s="101" t="str">
        <f>'Data Vlaue (Cr)'!C19</f>
        <v>AUROPHARMA</v>
      </c>
      <c r="B24" s="50">
        <f>VLOOKUP($A24,'Data shares'!$C:$FB,7)</f>
        <v>1139.9000000000001</v>
      </c>
      <c r="C24" s="50">
        <f>VLOOKUP($A24,'Data shares'!$C:$FB,10)*100</f>
        <v>0.89999999999999991</v>
      </c>
      <c r="D24" s="49">
        <f>VLOOKUP($A24,'Data shares'!$C:$FB,66)</f>
        <v>2922150</v>
      </c>
      <c r="E24" s="49">
        <f>VLOOKUP($A24,'Data shares'!$C:$FB,67)</f>
        <v>12656050</v>
      </c>
      <c r="F24" s="50">
        <f>VLOOKUP($A24,'Data shares'!$C:$FB,69)*100</f>
        <v>-76.91</v>
      </c>
      <c r="G24" s="49">
        <f>VLOOKUP($A24,'Data shares'!$C:$FB,42)</f>
        <v>1249050</v>
      </c>
      <c r="H24" s="49">
        <f>VLOOKUP($A24,'Data shares'!$C:$FB,43)</f>
        <v>8305000</v>
      </c>
      <c r="I24" s="50">
        <f>VLOOKUP($A24,'Data shares'!$C:$FB,45)*100</f>
        <v>-84.960000000000008</v>
      </c>
      <c r="J24" s="49">
        <f>VLOOKUP($A24,'Data shares'!$C:$FB,58)</f>
        <v>1102200</v>
      </c>
      <c r="K24" s="49">
        <f>VLOOKUP($A24,'Data shares'!$C:$FB,59)</f>
        <v>2519000</v>
      </c>
      <c r="L24" s="50">
        <f>VLOOKUP($A24,'Data shares'!$C:$FB,61)*100</f>
        <v>-56.24</v>
      </c>
      <c r="M24" s="49">
        <f>VLOOKUP($A24,'Data shares'!$C:$FB,62)</f>
        <v>570900</v>
      </c>
      <c r="N24" s="49">
        <f>VLOOKUP($A24,'Data shares'!$C:$FB,63)</f>
        <v>1832050</v>
      </c>
      <c r="O24" s="140">
        <f>VLOOKUP($A24,'Data shares'!$C:$FB,65)*100</f>
        <v>-68.84</v>
      </c>
    </row>
    <row r="25" spans="1:15" x14ac:dyDescent="0.25">
      <c r="A25" s="101" t="str">
        <f>'Data Vlaue (Cr)'!C20</f>
        <v>AXISBANK</v>
      </c>
      <c r="B25" s="50">
        <f>VLOOKUP($A25,'Data shares'!$C:$FB,7)</f>
        <v>1319.8</v>
      </c>
      <c r="C25" s="50">
        <f>VLOOKUP($A25,'Data shares'!$C:$FB,10)*100</f>
        <v>0.3</v>
      </c>
      <c r="D25" s="49">
        <f>VLOOKUP($A25,'Data shares'!$C:$FB,66)</f>
        <v>107959375</v>
      </c>
      <c r="E25" s="49">
        <f>VLOOKUP($A25,'Data shares'!$C:$FB,67)</f>
        <v>389712500</v>
      </c>
      <c r="F25" s="50">
        <f>VLOOKUP($A25,'Data shares'!$C:$FB,69)*100</f>
        <v>-72.3</v>
      </c>
      <c r="G25" s="49">
        <f>VLOOKUP($A25,'Data shares'!$C:$FB,42)</f>
        <v>16814375</v>
      </c>
      <c r="H25" s="49">
        <f>VLOOKUP($A25,'Data shares'!$C:$FB,43)</f>
        <v>69125000</v>
      </c>
      <c r="I25" s="50">
        <f>VLOOKUP($A25,'Data shares'!$C:$FB,45)*100</f>
        <v>-75.680000000000007</v>
      </c>
      <c r="J25" s="49">
        <f>VLOOKUP($A25,'Data shares'!$C:$FB,58)</f>
        <v>54004375</v>
      </c>
      <c r="K25" s="49">
        <f>VLOOKUP($A25,'Data shares'!$C:$FB,59)</f>
        <v>217629375</v>
      </c>
      <c r="L25" s="50">
        <f>VLOOKUP($A25,'Data shares'!$C:$FB,61)*100</f>
        <v>-75.19</v>
      </c>
      <c r="M25" s="49">
        <f>VLOOKUP($A25,'Data shares'!$C:$FB,62)</f>
        <v>37140625</v>
      </c>
      <c r="N25" s="49">
        <f>VLOOKUP($A25,'Data shares'!$C:$FB,63)</f>
        <v>102958125</v>
      </c>
      <c r="O25" s="140">
        <f>VLOOKUP($A25,'Data shares'!$C:$FB,65)*100</f>
        <v>-63.93</v>
      </c>
    </row>
    <row r="26" spans="1:15" x14ac:dyDescent="0.25">
      <c r="A26" s="101" t="str">
        <f>'Data Vlaue (Cr)'!C21</f>
        <v>BAJAJ-AUTO</v>
      </c>
      <c r="B26" s="50">
        <f>VLOOKUP($A26,'Data shares'!$C:$FB,7)</f>
        <v>9433.5</v>
      </c>
      <c r="C26" s="50">
        <f>VLOOKUP($A26,'Data shares'!$C:$FB,10)*100</f>
        <v>-0.62</v>
      </c>
      <c r="D26" s="49">
        <f>VLOOKUP($A26,'Data shares'!$C:$FB,66)</f>
        <v>3556350</v>
      </c>
      <c r="E26" s="49">
        <f>VLOOKUP($A26,'Data shares'!$C:$FB,67)</f>
        <v>4695075</v>
      </c>
      <c r="F26" s="50">
        <f>VLOOKUP($A26,'Data shares'!$C:$FB,69)*100</f>
        <v>-24.25</v>
      </c>
      <c r="G26" s="49">
        <f>VLOOKUP($A26,'Data shares'!$C:$FB,42)</f>
        <v>642975</v>
      </c>
      <c r="H26" s="49">
        <f>VLOOKUP($A26,'Data shares'!$C:$FB,43)</f>
        <v>1189425</v>
      </c>
      <c r="I26" s="50">
        <f>VLOOKUP($A26,'Data shares'!$C:$FB,45)*100</f>
        <v>-45.94</v>
      </c>
      <c r="J26" s="49">
        <f>VLOOKUP($A26,'Data shares'!$C:$FB,58)</f>
        <v>1376100</v>
      </c>
      <c r="K26" s="49">
        <f>VLOOKUP($A26,'Data shares'!$C:$FB,59)</f>
        <v>2164575</v>
      </c>
      <c r="L26" s="50">
        <f>VLOOKUP($A26,'Data shares'!$C:$FB,61)*100</f>
        <v>-36.43</v>
      </c>
      <c r="M26" s="49">
        <f>VLOOKUP($A26,'Data shares'!$C:$FB,62)</f>
        <v>1537275</v>
      </c>
      <c r="N26" s="49">
        <f>VLOOKUP($A26,'Data shares'!$C:$FB,63)</f>
        <v>1341075</v>
      </c>
      <c r="O26" s="140">
        <f>VLOOKUP($A26,'Data shares'!$C:$FB,65)*100</f>
        <v>14.63</v>
      </c>
    </row>
    <row r="27" spans="1:15" x14ac:dyDescent="0.25">
      <c r="A27" s="101" t="str">
        <f>'Data Vlaue (Cr)'!C22</f>
        <v>BAJAJFINSV</v>
      </c>
      <c r="B27" s="50">
        <f>VLOOKUP($A27,'Data shares'!$C:$FB,7)</f>
        <v>1940.3</v>
      </c>
      <c r="C27" s="50">
        <f>VLOOKUP($A27,'Data shares'!$C:$FB,10)*100</f>
        <v>1.18</v>
      </c>
      <c r="D27" s="49">
        <f>VLOOKUP($A27,'Data shares'!$C:$FB,66)</f>
        <v>4200250</v>
      </c>
      <c r="E27" s="49">
        <f>VLOOKUP($A27,'Data shares'!$C:$FB,67)</f>
        <v>19514250</v>
      </c>
      <c r="F27" s="50">
        <f>VLOOKUP($A27,'Data shares'!$C:$FB,69)*100</f>
        <v>-78.48</v>
      </c>
      <c r="G27" s="49">
        <f>VLOOKUP($A27,'Data shares'!$C:$FB,42)</f>
        <v>1352250</v>
      </c>
      <c r="H27" s="49">
        <f>VLOOKUP($A27,'Data shares'!$C:$FB,43)</f>
        <v>10168750</v>
      </c>
      <c r="I27" s="50">
        <f>VLOOKUP($A27,'Data shares'!$C:$FB,45)*100</f>
        <v>-86.7</v>
      </c>
      <c r="J27" s="49">
        <f>VLOOKUP($A27,'Data shares'!$C:$FB,58)</f>
        <v>1815750</v>
      </c>
      <c r="K27" s="49">
        <f>VLOOKUP($A27,'Data shares'!$C:$FB,59)</f>
        <v>4855500</v>
      </c>
      <c r="L27" s="50">
        <f>VLOOKUP($A27,'Data shares'!$C:$FB,61)*100</f>
        <v>-62.6</v>
      </c>
      <c r="M27" s="49">
        <f>VLOOKUP($A27,'Data shares'!$C:$FB,62)</f>
        <v>1032250</v>
      </c>
      <c r="N27" s="49">
        <f>VLOOKUP($A27,'Data shares'!$C:$FB,63)</f>
        <v>4490000</v>
      </c>
      <c r="O27" s="140">
        <f>VLOOKUP($A27,'Data shares'!$C:$FB,65)*100</f>
        <v>-77.010000000000005</v>
      </c>
    </row>
    <row r="28" spans="1:15" x14ac:dyDescent="0.25">
      <c r="A28" s="101" t="str">
        <f>'Data Vlaue (Cr)'!C23</f>
        <v>BAJAJHLDNG</v>
      </c>
      <c r="B28" s="50">
        <f>VLOOKUP($A28,'Data shares'!$C:$FB,7)</f>
        <v>10704</v>
      </c>
      <c r="C28" s="50">
        <f>VLOOKUP($A28,'Data shares'!$C:$FB,10)*100</f>
        <v>0.89999999999999991</v>
      </c>
      <c r="D28" s="49">
        <f>VLOOKUP($A28,'Data shares'!$C:$FB,66)</f>
        <v>92600</v>
      </c>
      <c r="E28" s="49">
        <f>VLOOKUP($A28,'Data shares'!$C:$FB,67)</f>
        <v>637250</v>
      </c>
      <c r="F28" s="50">
        <f>VLOOKUP($A28,'Data shares'!$C:$FB,69)*100</f>
        <v>-85.47</v>
      </c>
      <c r="G28" s="49">
        <f>VLOOKUP($A28,'Data shares'!$C:$FB,42)</f>
        <v>33400</v>
      </c>
      <c r="H28" s="49">
        <f>VLOOKUP($A28,'Data shares'!$C:$FB,43)</f>
        <v>189100</v>
      </c>
      <c r="I28" s="50">
        <f>VLOOKUP($A28,'Data shares'!$C:$FB,45)*100</f>
        <v>-82.34</v>
      </c>
      <c r="J28" s="49">
        <f>VLOOKUP($A28,'Data shares'!$C:$FB,58)</f>
        <v>43400</v>
      </c>
      <c r="K28" s="49">
        <f>VLOOKUP($A28,'Data shares'!$C:$FB,59)</f>
        <v>151450</v>
      </c>
      <c r="L28" s="50">
        <f>VLOOKUP($A28,'Data shares'!$C:$FB,61)*100</f>
        <v>-71.34</v>
      </c>
      <c r="M28" s="49">
        <f>VLOOKUP($A28,'Data shares'!$C:$FB,62)</f>
        <v>15800</v>
      </c>
      <c r="N28" s="49">
        <f>VLOOKUP($A28,'Data shares'!$C:$FB,63)</f>
        <v>296700</v>
      </c>
      <c r="O28" s="140">
        <f>VLOOKUP($A28,'Data shares'!$C:$FB,65)*100</f>
        <v>-94.67</v>
      </c>
    </row>
    <row r="29" spans="1:15" x14ac:dyDescent="0.25">
      <c r="A29" s="101" t="str">
        <f>'Data Vlaue (Cr)'!C24</f>
        <v>BAJFINANCE</v>
      </c>
      <c r="B29" s="50">
        <f>VLOOKUP($A29,'Data shares'!$C:$FB,7)</f>
        <v>935.15</v>
      </c>
      <c r="C29" s="50">
        <f>VLOOKUP($A29,'Data shares'!$C:$FB,10)*100</f>
        <v>2.2399999999999998</v>
      </c>
      <c r="D29" s="49">
        <f>VLOOKUP($A29,'Data shares'!$C:$FB,66)</f>
        <v>32041500</v>
      </c>
      <c r="E29" s="49">
        <f>VLOOKUP($A29,'Data shares'!$C:$FB,67)</f>
        <v>96206250</v>
      </c>
      <c r="F29" s="50">
        <f>VLOOKUP($A29,'Data shares'!$C:$FB,69)*100</f>
        <v>-66.69</v>
      </c>
      <c r="G29" s="49">
        <f>VLOOKUP($A29,'Data shares'!$C:$FB,42)</f>
        <v>6682500</v>
      </c>
      <c r="H29" s="49">
        <f>VLOOKUP($A29,'Data shares'!$C:$FB,43)</f>
        <v>45214500</v>
      </c>
      <c r="I29" s="50">
        <f>VLOOKUP($A29,'Data shares'!$C:$FB,45)*100</f>
        <v>-85.22</v>
      </c>
      <c r="J29" s="49">
        <f>VLOOKUP($A29,'Data shares'!$C:$FB,58)</f>
        <v>17435250</v>
      </c>
      <c r="K29" s="49">
        <f>VLOOKUP($A29,'Data shares'!$C:$FB,59)</f>
        <v>28551750</v>
      </c>
      <c r="L29" s="50">
        <f>VLOOKUP($A29,'Data shares'!$C:$FB,61)*100</f>
        <v>-38.93</v>
      </c>
      <c r="M29" s="49">
        <f>VLOOKUP($A29,'Data shares'!$C:$FB,62)</f>
        <v>7923750</v>
      </c>
      <c r="N29" s="49">
        <f>VLOOKUP($A29,'Data shares'!$C:$FB,63)</f>
        <v>22440000</v>
      </c>
      <c r="O29" s="140">
        <f>VLOOKUP($A29,'Data shares'!$C:$FB,65)*100</f>
        <v>-64.69</v>
      </c>
    </row>
    <row r="30" spans="1:15" x14ac:dyDescent="0.25">
      <c r="A30" s="101" t="str">
        <f>'Data Vlaue (Cr)'!C25</f>
        <v>BANDHANBNK</v>
      </c>
      <c r="B30" s="50">
        <f>VLOOKUP($A30,'Data shares'!$C:$FB,7)</f>
        <v>153.35</v>
      </c>
      <c r="C30" s="50">
        <f>VLOOKUP($A30,'Data shares'!$C:$FB,10)*100</f>
        <v>2.91</v>
      </c>
      <c r="D30" s="49">
        <f>VLOOKUP($A30,'Data shares'!$C:$FB,66)</f>
        <v>66733200</v>
      </c>
      <c r="E30" s="49">
        <f>VLOOKUP($A30,'Data shares'!$C:$FB,67)</f>
        <v>182170800</v>
      </c>
      <c r="F30" s="50">
        <f>VLOOKUP($A30,'Data shares'!$C:$FB,69)*100</f>
        <v>-63.370000000000005</v>
      </c>
      <c r="G30" s="49">
        <f>VLOOKUP($A30,'Data shares'!$C:$FB,42)</f>
        <v>20581200</v>
      </c>
      <c r="H30" s="49">
        <f>VLOOKUP($A30,'Data shares'!$C:$FB,43)</f>
        <v>117234000</v>
      </c>
      <c r="I30" s="50">
        <f>VLOOKUP($A30,'Data shares'!$C:$FB,45)*100</f>
        <v>-82.44</v>
      </c>
      <c r="J30" s="49">
        <f>VLOOKUP($A30,'Data shares'!$C:$FB,58)</f>
        <v>34948800</v>
      </c>
      <c r="K30" s="49">
        <f>VLOOKUP($A30,'Data shares'!$C:$FB,59)</f>
        <v>34995600</v>
      </c>
      <c r="L30" s="50">
        <f>VLOOKUP($A30,'Data shares'!$C:$FB,61)*100</f>
        <v>-0.13</v>
      </c>
      <c r="M30" s="49">
        <f>VLOOKUP($A30,'Data shares'!$C:$FB,62)</f>
        <v>11203200</v>
      </c>
      <c r="N30" s="49">
        <f>VLOOKUP($A30,'Data shares'!$C:$FB,63)</f>
        <v>29941200</v>
      </c>
      <c r="O30" s="140">
        <f>VLOOKUP($A30,'Data shares'!$C:$FB,65)*100</f>
        <v>-62.580000000000005</v>
      </c>
    </row>
    <row r="31" spans="1:15" x14ac:dyDescent="0.25">
      <c r="A31" s="101" t="str">
        <f>'Data Vlaue (Cr)'!C26</f>
        <v>BANKBARODA</v>
      </c>
      <c r="B31" s="50">
        <f>VLOOKUP($A31,'Data shares'!$C:$FB,7)</f>
        <v>306.2</v>
      </c>
      <c r="C31" s="50">
        <f>VLOOKUP($A31,'Data shares'!$C:$FB,10)*100</f>
        <v>1.39</v>
      </c>
      <c r="D31" s="49">
        <f>VLOOKUP($A31,'Data shares'!$C:$FB,66)</f>
        <v>67590900</v>
      </c>
      <c r="E31" s="49">
        <f>VLOOKUP($A31,'Data shares'!$C:$FB,67)</f>
        <v>126251775</v>
      </c>
      <c r="F31" s="50">
        <f>VLOOKUP($A31,'Data shares'!$C:$FB,69)*100</f>
        <v>-46.46</v>
      </c>
      <c r="G31" s="49">
        <f>VLOOKUP($A31,'Data shares'!$C:$FB,42)</f>
        <v>19009575</v>
      </c>
      <c r="H31" s="49">
        <f>VLOOKUP($A31,'Data shares'!$C:$FB,43)</f>
        <v>49871250</v>
      </c>
      <c r="I31" s="50">
        <f>VLOOKUP($A31,'Data shares'!$C:$FB,45)*100</f>
        <v>-61.88</v>
      </c>
      <c r="J31" s="49">
        <f>VLOOKUP($A31,'Data shares'!$C:$FB,58)</f>
        <v>33406425</v>
      </c>
      <c r="K31" s="49">
        <f>VLOOKUP($A31,'Data shares'!$C:$FB,59)</f>
        <v>44623800</v>
      </c>
      <c r="L31" s="50">
        <f>VLOOKUP($A31,'Data shares'!$C:$FB,61)*100</f>
        <v>-25.14</v>
      </c>
      <c r="M31" s="49">
        <f>VLOOKUP($A31,'Data shares'!$C:$FB,62)</f>
        <v>15174900</v>
      </c>
      <c r="N31" s="49">
        <f>VLOOKUP($A31,'Data shares'!$C:$FB,63)</f>
        <v>31756725</v>
      </c>
      <c r="O31" s="140">
        <f>VLOOKUP($A31,'Data shares'!$C:$FB,65)*100</f>
        <v>-52.22</v>
      </c>
    </row>
    <row r="32" spans="1:15" x14ac:dyDescent="0.25">
      <c r="A32" s="101" t="str">
        <f>'Data Vlaue (Cr)'!C27</f>
        <v>BANKINDIA</v>
      </c>
      <c r="B32" s="50">
        <f>VLOOKUP($A32,'Data shares'!$C:$FB,7)</f>
        <v>167.34</v>
      </c>
      <c r="C32" s="50">
        <f>VLOOKUP($A32,'Data shares'!$C:$FB,10)*100</f>
        <v>2.56</v>
      </c>
      <c r="D32" s="49">
        <f>VLOOKUP($A32,'Data shares'!$C:$FB,66)</f>
        <v>63736400</v>
      </c>
      <c r="E32" s="49">
        <f>VLOOKUP($A32,'Data shares'!$C:$FB,67)</f>
        <v>81504800</v>
      </c>
      <c r="F32" s="50">
        <f>VLOOKUP($A32,'Data shares'!$C:$FB,69)*100</f>
        <v>-21.8</v>
      </c>
      <c r="G32" s="49">
        <f>VLOOKUP($A32,'Data shares'!$C:$FB,42)</f>
        <v>19531200</v>
      </c>
      <c r="H32" s="49">
        <f>VLOOKUP($A32,'Data shares'!$C:$FB,43)</f>
        <v>42993600</v>
      </c>
      <c r="I32" s="50">
        <f>VLOOKUP($A32,'Data shares'!$C:$FB,45)*100</f>
        <v>-54.569999999999993</v>
      </c>
      <c r="J32" s="49">
        <f>VLOOKUP($A32,'Data shares'!$C:$FB,58)</f>
        <v>26582400</v>
      </c>
      <c r="K32" s="49">
        <f>VLOOKUP($A32,'Data shares'!$C:$FB,59)</f>
        <v>24752000</v>
      </c>
      <c r="L32" s="50">
        <f>VLOOKUP($A32,'Data shares'!$C:$FB,61)*100</f>
        <v>7.39</v>
      </c>
      <c r="M32" s="49">
        <f>VLOOKUP($A32,'Data shares'!$C:$FB,62)</f>
        <v>17622800</v>
      </c>
      <c r="N32" s="49">
        <f>VLOOKUP($A32,'Data shares'!$C:$FB,63)</f>
        <v>13759200</v>
      </c>
      <c r="O32" s="140">
        <f>VLOOKUP($A32,'Data shares'!$C:$FB,65)*100</f>
        <v>28.08</v>
      </c>
    </row>
    <row r="33" spans="1:15" x14ac:dyDescent="0.25">
      <c r="A33" s="101" t="str">
        <f>'Data Vlaue (Cr)'!C28</f>
        <v>BANKNIFTY</v>
      </c>
      <c r="B33" s="50">
        <f>VLOOKUP($A33,'Data shares'!$C:$FB,7)</f>
        <v>59598.8</v>
      </c>
      <c r="C33" s="50">
        <f>VLOOKUP($A33,'Data shares'!$C:$FB,10)*100</f>
        <v>0.66</v>
      </c>
      <c r="D33" s="49">
        <f>VLOOKUP($A33,'Data shares'!$C:$FB,66)</f>
        <v>55663590</v>
      </c>
      <c r="E33" s="49">
        <f>VLOOKUP($A33,'Data shares'!$C:$FB,67)</f>
        <v>2290711800</v>
      </c>
      <c r="F33" s="50">
        <f>VLOOKUP($A33,'Data shares'!$C:$FB,69)*100</f>
        <v>-97.570000000000007</v>
      </c>
      <c r="G33" s="49">
        <f>VLOOKUP($A33,'Data shares'!$C:$FB,42)</f>
        <v>1036890</v>
      </c>
      <c r="H33" s="49">
        <f>VLOOKUP($A33,'Data shares'!$C:$FB,43)</f>
        <v>2348310</v>
      </c>
      <c r="I33" s="50">
        <f>VLOOKUP($A33,'Data shares'!$C:$FB,45)*100</f>
        <v>-55.85</v>
      </c>
      <c r="J33" s="49">
        <f>VLOOKUP($A33,'Data shares'!$C:$FB,58)</f>
        <v>28086600</v>
      </c>
      <c r="K33" s="49">
        <f>VLOOKUP($A33,'Data shares'!$C:$FB,59)</f>
        <v>1232352300</v>
      </c>
      <c r="L33" s="50">
        <f>VLOOKUP($A33,'Data shares'!$C:$FB,61)*100</f>
        <v>-97.72</v>
      </c>
      <c r="M33" s="49">
        <f>VLOOKUP($A33,'Data shares'!$C:$FB,62)</f>
        <v>26540100</v>
      </c>
      <c r="N33" s="49">
        <f>VLOOKUP($A33,'Data shares'!$C:$FB,63)</f>
        <v>1056011190</v>
      </c>
      <c r="O33" s="140">
        <f>VLOOKUP($A33,'Data shares'!$C:$FB,65)*100</f>
        <v>-97.49</v>
      </c>
    </row>
    <row r="34" spans="1:15" x14ac:dyDescent="0.25">
      <c r="A34" s="101" t="str">
        <f>'Data Vlaue (Cr)'!C29</f>
        <v>BDL</v>
      </c>
      <c r="B34" s="50">
        <f>VLOOKUP($A34,'Data shares'!$C:$FB,7)</f>
        <v>1570</v>
      </c>
      <c r="C34" s="50">
        <f>VLOOKUP($A34,'Data shares'!$C:$FB,10)*100</f>
        <v>6.8500000000000005</v>
      </c>
      <c r="D34" s="49">
        <f>VLOOKUP($A34,'Data shares'!$C:$FB,66)</f>
        <v>14856100</v>
      </c>
      <c r="E34" s="49">
        <f>VLOOKUP($A34,'Data shares'!$C:$FB,67)</f>
        <v>13368250</v>
      </c>
      <c r="F34" s="50">
        <f>VLOOKUP($A34,'Data shares'!$C:$FB,69)*100</f>
        <v>11.129999999999999</v>
      </c>
      <c r="G34" s="49">
        <f>VLOOKUP($A34,'Data shares'!$C:$FB,42)</f>
        <v>3045350</v>
      </c>
      <c r="H34" s="49">
        <f>VLOOKUP($A34,'Data shares'!$C:$FB,43)</f>
        <v>6147400</v>
      </c>
      <c r="I34" s="50">
        <f>VLOOKUP($A34,'Data shares'!$C:$FB,45)*100</f>
        <v>-50.460000000000008</v>
      </c>
      <c r="J34" s="49">
        <f>VLOOKUP($A34,'Data shares'!$C:$FB,58)</f>
        <v>9658600</v>
      </c>
      <c r="K34" s="49">
        <f>VLOOKUP($A34,'Data shares'!$C:$FB,59)</f>
        <v>5113850</v>
      </c>
      <c r="L34" s="50">
        <f>VLOOKUP($A34,'Data shares'!$C:$FB,61)*100</f>
        <v>88.87</v>
      </c>
      <c r="M34" s="49">
        <f>VLOOKUP($A34,'Data shares'!$C:$FB,62)</f>
        <v>2152150</v>
      </c>
      <c r="N34" s="49">
        <f>VLOOKUP($A34,'Data shares'!$C:$FB,63)</f>
        <v>2107000</v>
      </c>
      <c r="O34" s="140">
        <f>VLOOKUP($A34,'Data shares'!$C:$FB,65)*100</f>
        <v>2.1399999999999997</v>
      </c>
    </row>
    <row r="35" spans="1:15" x14ac:dyDescent="0.25">
      <c r="A35" s="101" t="str">
        <f>'Data Vlaue (Cr)'!C30</f>
        <v>BEL</v>
      </c>
      <c r="B35" s="50">
        <f>VLOOKUP($A35,'Data shares'!$C:$FB,7)</f>
        <v>453</v>
      </c>
      <c r="C35" s="50">
        <f>VLOOKUP($A35,'Data shares'!$C:$FB,10)*100</f>
        <v>8.91</v>
      </c>
      <c r="D35" s="49">
        <f>VLOOKUP($A35,'Data shares'!$C:$FB,66)</f>
        <v>633298500</v>
      </c>
      <c r="E35" s="49">
        <f>VLOOKUP($A35,'Data shares'!$C:$FB,67)</f>
        <v>185040525</v>
      </c>
      <c r="F35" s="50">
        <f>VLOOKUP($A35,'Data shares'!$C:$FB,69)*100</f>
        <v>242.25</v>
      </c>
      <c r="G35" s="49">
        <f>VLOOKUP($A35,'Data shares'!$C:$FB,42)</f>
        <v>94034325</v>
      </c>
      <c r="H35" s="49">
        <f>VLOOKUP($A35,'Data shares'!$C:$FB,43)</f>
        <v>70687125</v>
      </c>
      <c r="I35" s="50">
        <f>VLOOKUP($A35,'Data shares'!$C:$FB,45)*100</f>
        <v>33.03</v>
      </c>
      <c r="J35" s="49">
        <f>VLOOKUP($A35,'Data shares'!$C:$FB,58)</f>
        <v>391621350</v>
      </c>
      <c r="K35" s="49">
        <f>VLOOKUP($A35,'Data shares'!$C:$FB,59)</f>
        <v>77997375</v>
      </c>
      <c r="L35" s="50">
        <f>VLOOKUP($A35,'Data shares'!$C:$FB,61)*100</f>
        <v>402.09999999999997</v>
      </c>
      <c r="M35" s="49">
        <f>VLOOKUP($A35,'Data shares'!$C:$FB,62)</f>
        <v>147642825</v>
      </c>
      <c r="N35" s="49">
        <f>VLOOKUP($A35,'Data shares'!$C:$FB,63)</f>
        <v>36356025</v>
      </c>
      <c r="O35" s="140">
        <f>VLOOKUP($A35,'Data shares'!$C:$FB,65)*100</f>
        <v>306.10000000000002</v>
      </c>
    </row>
    <row r="36" spans="1:15" x14ac:dyDescent="0.25">
      <c r="A36" s="101" t="str">
        <f>'Data Vlaue (Cr)'!C31</f>
        <v>BHARATFORG</v>
      </c>
      <c r="B36" s="50">
        <f>VLOOKUP($A36,'Data shares'!$C:$FB,7)</f>
        <v>1459.1</v>
      </c>
      <c r="C36" s="50">
        <f>VLOOKUP($A36,'Data shares'!$C:$FB,10)*100</f>
        <v>2.86</v>
      </c>
      <c r="D36" s="49">
        <f>VLOOKUP($A36,'Data shares'!$C:$FB,66)</f>
        <v>9592500</v>
      </c>
      <c r="E36" s="49">
        <f>VLOOKUP($A36,'Data shares'!$C:$FB,67)</f>
        <v>10868000</v>
      </c>
      <c r="F36" s="50">
        <f>VLOOKUP($A36,'Data shares'!$C:$FB,69)*100</f>
        <v>-11.74</v>
      </c>
      <c r="G36" s="49">
        <f>VLOOKUP($A36,'Data shares'!$C:$FB,42)</f>
        <v>2604000</v>
      </c>
      <c r="H36" s="49">
        <f>VLOOKUP($A36,'Data shares'!$C:$FB,43)</f>
        <v>4590500</v>
      </c>
      <c r="I36" s="50">
        <f>VLOOKUP($A36,'Data shares'!$C:$FB,45)*100</f>
        <v>-43.269999999999996</v>
      </c>
      <c r="J36" s="49">
        <f>VLOOKUP($A36,'Data shares'!$C:$FB,58)</f>
        <v>5598000</v>
      </c>
      <c r="K36" s="49">
        <f>VLOOKUP($A36,'Data shares'!$C:$FB,59)</f>
        <v>4158000</v>
      </c>
      <c r="L36" s="50">
        <f>VLOOKUP($A36,'Data shares'!$C:$FB,61)*100</f>
        <v>34.630000000000003</v>
      </c>
      <c r="M36" s="49">
        <f>VLOOKUP($A36,'Data shares'!$C:$FB,62)</f>
        <v>1390500</v>
      </c>
      <c r="N36" s="49">
        <f>VLOOKUP($A36,'Data shares'!$C:$FB,63)</f>
        <v>2119500</v>
      </c>
      <c r="O36" s="140">
        <f>VLOOKUP($A36,'Data shares'!$C:$FB,65)*100</f>
        <v>-34.39</v>
      </c>
    </row>
    <row r="37" spans="1:15" x14ac:dyDescent="0.25">
      <c r="A37" s="101" t="str">
        <f>'Data Vlaue (Cr)'!C32</f>
        <v>BHARTIARTL</v>
      </c>
      <c r="B37" s="50">
        <f>VLOOKUP($A37,'Data shares'!$C:$FB,7)</f>
        <v>1957.7</v>
      </c>
      <c r="C37" s="50">
        <f>VLOOKUP($A37,'Data shares'!$C:$FB,10)*100</f>
        <v>-0.8</v>
      </c>
      <c r="D37" s="49">
        <f>VLOOKUP($A37,'Data shares'!$C:$FB,66)</f>
        <v>24696675</v>
      </c>
      <c r="E37" s="49">
        <f>VLOOKUP($A37,'Data shares'!$C:$FB,67)</f>
        <v>46023225</v>
      </c>
      <c r="F37" s="50">
        <f>VLOOKUP($A37,'Data shares'!$C:$FB,69)*100</f>
        <v>-46.339999999999996</v>
      </c>
      <c r="G37" s="49">
        <f>VLOOKUP($A37,'Data shares'!$C:$FB,42)</f>
        <v>7118825</v>
      </c>
      <c r="H37" s="49">
        <f>VLOOKUP($A37,'Data shares'!$C:$FB,43)</f>
        <v>25571625</v>
      </c>
      <c r="I37" s="50">
        <f>VLOOKUP($A37,'Data shares'!$C:$FB,45)*100</f>
        <v>-72.16</v>
      </c>
      <c r="J37" s="49">
        <f>VLOOKUP($A37,'Data shares'!$C:$FB,58)</f>
        <v>11901125</v>
      </c>
      <c r="K37" s="49">
        <f>VLOOKUP($A37,'Data shares'!$C:$FB,59)</f>
        <v>13281475</v>
      </c>
      <c r="L37" s="50">
        <f>VLOOKUP($A37,'Data shares'!$C:$FB,61)*100</f>
        <v>-10.39</v>
      </c>
      <c r="M37" s="49">
        <f>VLOOKUP($A37,'Data shares'!$C:$FB,62)</f>
        <v>5676725</v>
      </c>
      <c r="N37" s="49">
        <f>VLOOKUP($A37,'Data shares'!$C:$FB,63)</f>
        <v>7170125</v>
      </c>
      <c r="O37" s="140">
        <f>VLOOKUP($A37,'Data shares'!$C:$FB,65)*100</f>
        <v>-20.830000000000002</v>
      </c>
    </row>
    <row r="38" spans="1:15" x14ac:dyDescent="0.25">
      <c r="A38" s="101" t="str">
        <f>'Data Vlaue (Cr)'!C33</f>
        <v>BHEL</v>
      </c>
      <c r="B38" s="50">
        <f>VLOOKUP($A38,'Data shares'!$C:$FB,7)</f>
        <v>259.64999999999998</v>
      </c>
      <c r="C38" s="50">
        <f>VLOOKUP($A38,'Data shares'!$C:$FB,10)*100</f>
        <v>4.82</v>
      </c>
      <c r="D38" s="49">
        <f>VLOOKUP($A38,'Data shares'!$C:$FB,66)</f>
        <v>133111125</v>
      </c>
      <c r="E38" s="49">
        <f>VLOOKUP($A38,'Data shares'!$C:$FB,67)</f>
        <v>163432500</v>
      </c>
      <c r="F38" s="50">
        <f>VLOOKUP($A38,'Data shares'!$C:$FB,69)*100</f>
        <v>-18.55</v>
      </c>
      <c r="G38" s="49">
        <f>VLOOKUP($A38,'Data shares'!$C:$FB,42)</f>
        <v>27307875</v>
      </c>
      <c r="H38" s="49">
        <f>VLOOKUP($A38,'Data shares'!$C:$FB,43)</f>
        <v>67158000</v>
      </c>
      <c r="I38" s="50">
        <f>VLOOKUP($A38,'Data shares'!$C:$FB,45)*100</f>
        <v>-59.34</v>
      </c>
      <c r="J38" s="49">
        <f>VLOOKUP($A38,'Data shares'!$C:$FB,58)</f>
        <v>82094250</v>
      </c>
      <c r="K38" s="49">
        <f>VLOOKUP($A38,'Data shares'!$C:$FB,59)</f>
        <v>56702625</v>
      </c>
      <c r="L38" s="50">
        <f>VLOOKUP($A38,'Data shares'!$C:$FB,61)*100</f>
        <v>44.78</v>
      </c>
      <c r="M38" s="49">
        <f>VLOOKUP($A38,'Data shares'!$C:$FB,62)</f>
        <v>23709000</v>
      </c>
      <c r="N38" s="49">
        <f>VLOOKUP($A38,'Data shares'!$C:$FB,63)</f>
        <v>39571875</v>
      </c>
      <c r="O38" s="140">
        <f>VLOOKUP($A38,'Data shares'!$C:$FB,65)*100</f>
        <v>-40.089999999999996</v>
      </c>
    </row>
    <row r="39" spans="1:15" x14ac:dyDescent="0.25">
      <c r="A39" s="101" t="str">
        <f>'Data Vlaue (Cr)'!C34</f>
        <v>BIOCON</v>
      </c>
      <c r="B39" s="50">
        <f>VLOOKUP($A39,'Data shares'!$C:$FB,7)</f>
        <v>370.5</v>
      </c>
      <c r="C39" s="50">
        <f>VLOOKUP($A39,'Data shares'!$C:$FB,10)*100</f>
        <v>1.44</v>
      </c>
      <c r="D39" s="49">
        <f>VLOOKUP($A39,'Data shares'!$C:$FB,66)</f>
        <v>19767500</v>
      </c>
      <c r="E39" s="49">
        <f>VLOOKUP($A39,'Data shares'!$C:$FB,67)</f>
        <v>78322500</v>
      </c>
      <c r="F39" s="50">
        <f>VLOOKUP($A39,'Data shares'!$C:$FB,69)*100</f>
        <v>-74.760000000000005</v>
      </c>
      <c r="G39" s="49">
        <f>VLOOKUP($A39,'Data shares'!$C:$FB,42)</f>
        <v>5705000</v>
      </c>
      <c r="H39" s="49">
        <f>VLOOKUP($A39,'Data shares'!$C:$FB,43)</f>
        <v>43482500</v>
      </c>
      <c r="I39" s="50">
        <f>VLOOKUP($A39,'Data shares'!$C:$FB,45)*100</f>
        <v>-86.88</v>
      </c>
      <c r="J39" s="49">
        <f>VLOOKUP($A39,'Data shares'!$C:$FB,58)</f>
        <v>10147500</v>
      </c>
      <c r="K39" s="49">
        <f>VLOOKUP($A39,'Data shares'!$C:$FB,59)</f>
        <v>20657500</v>
      </c>
      <c r="L39" s="50">
        <f>VLOOKUP($A39,'Data shares'!$C:$FB,61)*100</f>
        <v>-50.88</v>
      </c>
      <c r="M39" s="49">
        <f>VLOOKUP($A39,'Data shares'!$C:$FB,62)</f>
        <v>3915000</v>
      </c>
      <c r="N39" s="49">
        <f>VLOOKUP($A39,'Data shares'!$C:$FB,63)</f>
        <v>14182500</v>
      </c>
      <c r="O39" s="140">
        <f>VLOOKUP($A39,'Data shares'!$C:$FB,65)*100</f>
        <v>-72.399999999999991</v>
      </c>
    </row>
    <row r="40" spans="1:15" x14ac:dyDescent="0.25">
      <c r="A40" s="101" t="str">
        <f>'Data Vlaue (Cr)'!C35</f>
        <v>BLUESTARCO</v>
      </c>
      <c r="B40" s="50">
        <f>VLOOKUP($A40,'Data shares'!$C:$FB,7)</f>
        <v>1701.5</v>
      </c>
      <c r="C40" s="50">
        <f>VLOOKUP($A40,'Data shares'!$C:$FB,10)*100</f>
        <v>2.04</v>
      </c>
      <c r="D40" s="49">
        <f>VLOOKUP($A40,'Data shares'!$C:$FB,66)</f>
        <v>1390350</v>
      </c>
      <c r="E40" s="49">
        <f>VLOOKUP($A40,'Data shares'!$C:$FB,67)</f>
        <v>4286425</v>
      </c>
      <c r="F40" s="50">
        <f>VLOOKUP($A40,'Data shares'!$C:$FB,69)*100</f>
        <v>-67.56</v>
      </c>
      <c r="G40" s="49">
        <f>VLOOKUP($A40,'Data shares'!$C:$FB,42)</f>
        <v>741000</v>
      </c>
      <c r="H40" s="49">
        <f>VLOOKUP($A40,'Data shares'!$C:$FB,43)</f>
        <v>1432925</v>
      </c>
      <c r="I40" s="50">
        <f>VLOOKUP($A40,'Data shares'!$C:$FB,45)*100</f>
        <v>-48.29</v>
      </c>
      <c r="J40" s="49">
        <f>VLOOKUP($A40,'Data shares'!$C:$FB,58)</f>
        <v>339950</v>
      </c>
      <c r="K40" s="49">
        <f>VLOOKUP($A40,'Data shares'!$C:$FB,59)</f>
        <v>655525</v>
      </c>
      <c r="L40" s="50">
        <f>VLOOKUP($A40,'Data shares'!$C:$FB,61)*100</f>
        <v>-48.14</v>
      </c>
      <c r="M40" s="49">
        <f>VLOOKUP($A40,'Data shares'!$C:$FB,62)</f>
        <v>309400</v>
      </c>
      <c r="N40" s="49">
        <f>VLOOKUP($A40,'Data shares'!$C:$FB,63)</f>
        <v>2197975</v>
      </c>
      <c r="O40" s="140">
        <f>VLOOKUP($A40,'Data shares'!$C:$FB,65)*100</f>
        <v>-85.92</v>
      </c>
    </row>
    <row r="41" spans="1:15" x14ac:dyDescent="0.25">
      <c r="A41" s="101" t="str">
        <f>'Data Vlaue (Cr)'!C36</f>
        <v>BOSCHLTD</v>
      </c>
      <c r="B41" s="50">
        <f>VLOOKUP($A41,'Data shares'!$C:$FB,7)</f>
        <v>36185</v>
      </c>
      <c r="C41" s="50">
        <f>VLOOKUP($A41,'Data shares'!$C:$FB,10)*100</f>
        <v>2.48</v>
      </c>
      <c r="D41" s="49">
        <f>VLOOKUP($A41,'Data shares'!$C:$FB,66)</f>
        <v>138625</v>
      </c>
      <c r="E41" s="49">
        <f>VLOOKUP($A41,'Data shares'!$C:$FB,67)</f>
        <v>647975</v>
      </c>
      <c r="F41" s="50">
        <f>VLOOKUP($A41,'Data shares'!$C:$FB,69)*100</f>
        <v>-78.61</v>
      </c>
      <c r="G41" s="49">
        <f>VLOOKUP($A41,'Data shares'!$C:$FB,42)</f>
        <v>40875</v>
      </c>
      <c r="H41" s="49">
        <f>VLOOKUP($A41,'Data shares'!$C:$FB,43)</f>
        <v>146000</v>
      </c>
      <c r="I41" s="50">
        <f>VLOOKUP($A41,'Data shares'!$C:$FB,45)*100</f>
        <v>-72</v>
      </c>
      <c r="J41" s="49">
        <f>VLOOKUP($A41,'Data shares'!$C:$FB,58)</f>
        <v>73175</v>
      </c>
      <c r="K41" s="49">
        <f>VLOOKUP($A41,'Data shares'!$C:$FB,59)</f>
        <v>414475</v>
      </c>
      <c r="L41" s="50">
        <f>VLOOKUP($A41,'Data shares'!$C:$FB,61)*100</f>
        <v>-82.35</v>
      </c>
      <c r="M41" s="49">
        <f>VLOOKUP($A41,'Data shares'!$C:$FB,62)</f>
        <v>24575</v>
      </c>
      <c r="N41" s="49">
        <f>VLOOKUP($A41,'Data shares'!$C:$FB,63)</f>
        <v>87500</v>
      </c>
      <c r="O41" s="140">
        <f>VLOOKUP($A41,'Data shares'!$C:$FB,65)*100</f>
        <v>-71.91</v>
      </c>
    </row>
    <row r="42" spans="1:15" x14ac:dyDescent="0.25">
      <c r="A42" s="101" t="str">
        <f>'Data Vlaue (Cr)'!C37</f>
        <v>BPCL</v>
      </c>
      <c r="B42" s="50">
        <f>VLOOKUP($A42,'Data shares'!$C:$FB,7)</f>
        <v>362.35</v>
      </c>
      <c r="C42" s="50">
        <f>VLOOKUP($A42,'Data shares'!$C:$FB,10)*100</f>
        <v>1.39</v>
      </c>
      <c r="D42" s="49">
        <f>VLOOKUP($A42,'Data shares'!$C:$FB,66)</f>
        <v>45081350</v>
      </c>
      <c r="E42" s="49">
        <f>VLOOKUP($A42,'Data shares'!$C:$FB,67)</f>
        <v>100730925</v>
      </c>
      <c r="F42" s="50">
        <f>VLOOKUP($A42,'Data shares'!$C:$FB,69)*100</f>
        <v>-55.25</v>
      </c>
      <c r="G42" s="49">
        <f>VLOOKUP($A42,'Data shares'!$C:$FB,42)</f>
        <v>11354275</v>
      </c>
      <c r="H42" s="49">
        <f>VLOOKUP($A42,'Data shares'!$C:$FB,43)</f>
        <v>51652175</v>
      </c>
      <c r="I42" s="50">
        <f>VLOOKUP($A42,'Data shares'!$C:$FB,45)*100</f>
        <v>-78.02</v>
      </c>
      <c r="J42" s="49">
        <f>VLOOKUP($A42,'Data shares'!$C:$FB,58)</f>
        <v>22552525</v>
      </c>
      <c r="K42" s="49">
        <f>VLOOKUP($A42,'Data shares'!$C:$FB,59)</f>
        <v>30598675</v>
      </c>
      <c r="L42" s="50">
        <f>VLOOKUP($A42,'Data shares'!$C:$FB,61)*100</f>
        <v>-26.3</v>
      </c>
      <c r="M42" s="49">
        <f>VLOOKUP($A42,'Data shares'!$C:$FB,62)</f>
        <v>11174550</v>
      </c>
      <c r="N42" s="49">
        <f>VLOOKUP($A42,'Data shares'!$C:$FB,63)</f>
        <v>18480075</v>
      </c>
      <c r="O42" s="140">
        <f>VLOOKUP($A42,'Data shares'!$C:$FB,65)*100</f>
        <v>-39.53</v>
      </c>
    </row>
    <row r="43" spans="1:15" x14ac:dyDescent="0.25">
      <c r="A43" s="101" t="str">
        <f>'Data Vlaue (Cr)'!C38</f>
        <v>BRITANNIA</v>
      </c>
      <c r="B43" s="50">
        <f>VLOOKUP($A43,'Data shares'!$C:$FB,7)</f>
        <v>5748.5</v>
      </c>
      <c r="C43" s="50">
        <f>VLOOKUP($A43,'Data shares'!$C:$FB,10)*100</f>
        <v>-2.34</v>
      </c>
      <c r="D43" s="49">
        <f>VLOOKUP($A43,'Data shares'!$C:$FB,66)</f>
        <v>2175625</v>
      </c>
      <c r="E43" s="49">
        <f>VLOOKUP($A43,'Data shares'!$C:$FB,67)</f>
        <v>3032000</v>
      </c>
      <c r="F43" s="50">
        <f>VLOOKUP($A43,'Data shares'!$C:$FB,69)*100</f>
        <v>-28.24</v>
      </c>
      <c r="G43" s="49">
        <f>VLOOKUP($A43,'Data shares'!$C:$FB,42)</f>
        <v>500625</v>
      </c>
      <c r="H43" s="49">
        <f>VLOOKUP($A43,'Data shares'!$C:$FB,43)</f>
        <v>1730000</v>
      </c>
      <c r="I43" s="50">
        <f>VLOOKUP($A43,'Data shares'!$C:$FB,45)*100</f>
        <v>-71.06</v>
      </c>
      <c r="J43" s="49">
        <f>VLOOKUP($A43,'Data shares'!$C:$FB,58)</f>
        <v>1096250</v>
      </c>
      <c r="K43" s="49">
        <f>VLOOKUP($A43,'Data shares'!$C:$FB,59)</f>
        <v>778750</v>
      </c>
      <c r="L43" s="50">
        <f>VLOOKUP($A43,'Data shares'!$C:$FB,61)*100</f>
        <v>40.770000000000003</v>
      </c>
      <c r="M43" s="49">
        <f>VLOOKUP($A43,'Data shares'!$C:$FB,62)</f>
        <v>578750</v>
      </c>
      <c r="N43" s="49">
        <f>VLOOKUP($A43,'Data shares'!$C:$FB,63)</f>
        <v>523250</v>
      </c>
      <c r="O43" s="140">
        <f>VLOOKUP($A43,'Data shares'!$C:$FB,65)*100</f>
        <v>10.61</v>
      </c>
    </row>
    <row r="44" spans="1:15" x14ac:dyDescent="0.25">
      <c r="A44" s="101" t="str">
        <f>'Data Vlaue (Cr)'!C39</f>
        <v>BSE</v>
      </c>
      <c r="B44" s="50">
        <f>VLOOKUP($A44,'Data shares'!$C:$FB,7)</f>
        <v>2821.5</v>
      </c>
      <c r="C44" s="50">
        <f>VLOOKUP($A44,'Data shares'!$C:$FB,10)*100</f>
        <v>2.1800000000000002</v>
      </c>
      <c r="D44" s="49">
        <f>VLOOKUP($A44,'Data shares'!$C:$FB,66)</f>
        <v>18267375</v>
      </c>
      <c r="E44" s="49">
        <f>VLOOKUP($A44,'Data shares'!$C:$FB,67)</f>
        <v>37440750</v>
      </c>
      <c r="F44" s="50">
        <f>VLOOKUP($A44,'Data shares'!$C:$FB,69)*100</f>
        <v>-51.21</v>
      </c>
      <c r="G44" s="49">
        <f>VLOOKUP($A44,'Data shares'!$C:$FB,42)</f>
        <v>3354750</v>
      </c>
      <c r="H44" s="49">
        <f>VLOOKUP($A44,'Data shares'!$C:$FB,43)</f>
        <v>11458500</v>
      </c>
      <c r="I44" s="50">
        <f>VLOOKUP($A44,'Data shares'!$C:$FB,45)*100</f>
        <v>-70.72</v>
      </c>
      <c r="J44" s="49">
        <f>VLOOKUP($A44,'Data shares'!$C:$FB,58)</f>
        <v>10697250</v>
      </c>
      <c r="K44" s="49">
        <f>VLOOKUP($A44,'Data shares'!$C:$FB,59)</f>
        <v>17152875</v>
      </c>
      <c r="L44" s="50">
        <f>VLOOKUP($A44,'Data shares'!$C:$FB,61)*100</f>
        <v>-37.64</v>
      </c>
      <c r="M44" s="49">
        <f>VLOOKUP($A44,'Data shares'!$C:$FB,62)</f>
        <v>4215375</v>
      </c>
      <c r="N44" s="49">
        <f>VLOOKUP($A44,'Data shares'!$C:$FB,63)</f>
        <v>8829375</v>
      </c>
      <c r="O44" s="140">
        <f>VLOOKUP($A44,'Data shares'!$C:$FB,65)*100</f>
        <v>-52.26</v>
      </c>
    </row>
    <row r="45" spans="1:15" x14ac:dyDescent="0.25">
      <c r="A45" s="101" t="str">
        <f>'Data Vlaue (Cr)'!C40</f>
        <v>CAMS</v>
      </c>
      <c r="B45" s="50">
        <f>VLOOKUP($A45,'Data shares'!$C:$FB,7)</f>
        <v>709.4</v>
      </c>
      <c r="C45" s="50">
        <f>VLOOKUP($A45,'Data shares'!$C:$FB,10)*100</f>
        <v>1.68</v>
      </c>
      <c r="D45" s="49">
        <f>VLOOKUP($A45,'Data shares'!$C:$FB,66)</f>
        <v>4704000</v>
      </c>
      <c r="E45" s="49">
        <f>VLOOKUP($A45,'Data shares'!$C:$FB,67)</f>
        <v>18195000</v>
      </c>
      <c r="F45" s="50">
        <f>VLOOKUP($A45,'Data shares'!$C:$FB,69)*100</f>
        <v>-74.150000000000006</v>
      </c>
      <c r="G45" s="49">
        <f>VLOOKUP($A45,'Data shares'!$C:$FB,42)</f>
        <v>1168500</v>
      </c>
      <c r="H45" s="49">
        <f>VLOOKUP($A45,'Data shares'!$C:$FB,43)</f>
        <v>7672500</v>
      </c>
      <c r="I45" s="50">
        <f>VLOOKUP($A45,'Data shares'!$C:$FB,45)*100</f>
        <v>-84.77</v>
      </c>
      <c r="J45" s="49">
        <f>VLOOKUP($A45,'Data shares'!$C:$FB,58)</f>
        <v>2283000</v>
      </c>
      <c r="K45" s="49">
        <f>VLOOKUP($A45,'Data shares'!$C:$FB,59)</f>
        <v>7050000</v>
      </c>
      <c r="L45" s="50">
        <f>VLOOKUP($A45,'Data shares'!$C:$FB,61)*100</f>
        <v>-67.62</v>
      </c>
      <c r="M45" s="49">
        <f>VLOOKUP($A45,'Data shares'!$C:$FB,62)</f>
        <v>1252500</v>
      </c>
      <c r="N45" s="49">
        <f>VLOOKUP($A45,'Data shares'!$C:$FB,63)</f>
        <v>3472500</v>
      </c>
      <c r="O45" s="140">
        <f>VLOOKUP($A45,'Data shares'!$C:$FB,65)*100</f>
        <v>-63.93</v>
      </c>
    </row>
    <row r="46" spans="1:15" x14ac:dyDescent="0.25">
      <c r="A46" s="101" t="str">
        <f>'Data Vlaue (Cr)'!C41</f>
        <v>CANBK</v>
      </c>
      <c r="B46" s="50">
        <f>VLOOKUP($A46,'Data shares'!$C:$FB,7)</f>
        <v>157.74</v>
      </c>
      <c r="C46" s="50">
        <f>VLOOKUP($A46,'Data shares'!$C:$FB,10)*100</f>
        <v>1.95</v>
      </c>
      <c r="D46" s="49">
        <f>VLOOKUP($A46,'Data shares'!$C:$FB,66)</f>
        <v>267536250</v>
      </c>
      <c r="E46" s="49">
        <f>VLOOKUP($A46,'Data shares'!$C:$FB,67)</f>
        <v>318998250</v>
      </c>
      <c r="F46" s="50">
        <f>VLOOKUP($A46,'Data shares'!$C:$FB,69)*100</f>
        <v>-16.13</v>
      </c>
      <c r="G46" s="49">
        <f>VLOOKUP($A46,'Data shares'!$C:$FB,42)</f>
        <v>71030250</v>
      </c>
      <c r="H46" s="49">
        <f>VLOOKUP($A46,'Data shares'!$C:$FB,43)</f>
        <v>121945500</v>
      </c>
      <c r="I46" s="50">
        <f>VLOOKUP($A46,'Data shares'!$C:$FB,45)*100</f>
        <v>-41.75</v>
      </c>
      <c r="J46" s="49">
        <f>VLOOKUP($A46,'Data shares'!$C:$FB,58)</f>
        <v>125415000</v>
      </c>
      <c r="K46" s="49">
        <f>VLOOKUP($A46,'Data shares'!$C:$FB,59)</f>
        <v>110396250</v>
      </c>
      <c r="L46" s="50">
        <f>VLOOKUP($A46,'Data shares'!$C:$FB,61)*100</f>
        <v>13.600000000000001</v>
      </c>
      <c r="M46" s="49">
        <f>VLOOKUP($A46,'Data shares'!$C:$FB,62)</f>
        <v>71091000</v>
      </c>
      <c r="N46" s="49">
        <f>VLOOKUP($A46,'Data shares'!$C:$FB,63)</f>
        <v>86656500</v>
      </c>
      <c r="O46" s="140">
        <f>VLOOKUP($A46,'Data shares'!$C:$FB,65)*100</f>
        <v>-17.96</v>
      </c>
    </row>
    <row r="47" spans="1:15" x14ac:dyDescent="0.25">
      <c r="A47" s="101" t="str">
        <f>'Data Vlaue (Cr)'!C42</f>
        <v>CDSL</v>
      </c>
      <c r="B47" s="50">
        <f>VLOOKUP($A47,'Data shares'!$C:$FB,7)</f>
        <v>1356.9</v>
      </c>
      <c r="C47" s="50">
        <f>VLOOKUP($A47,'Data shares'!$C:$FB,10)*100</f>
        <v>2.63</v>
      </c>
      <c r="D47" s="49">
        <f>VLOOKUP($A47,'Data shares'!$C:$FB,66)</f>
        <v>12143375</v>
      </c>
      <c r="E47" s="49">
        <f>VLOOKUP($A47,'Data shares'!$C:$FB,67)</f>
        <v>25509875</v>
      </c>
      <c r="F47" s="50">
        <f>VLOOKUP($A47,'Data shares'!$C:$FB,69)*100</f>
        <v>-52.400000000000006</v>
      </c>
      <c r="G47" s="49">
        <f>VLOOKUP($A47,'Data shares'!$C:$FB,42)</f>
        <v>2169800</v>
      </c>
      <c r="H47" s="49">
        <f>VLOOKUP($A47,'Data shares'!$C:$FB,43)</f>
        <v>11451300</v>
      </c>
      <c r="I47" s="50">
        <f>VLOOKUP($A47,'Data shares'!$C:$FB,45)*100</f>
        <v>-81.05</v>
      </c>
      <c r="J47" s="49">
        <f>VLOOKUP($A47,'Data shares'!$C:$FB,58)</f>
        <v>7550125</v>
      </c>
      <c r="K47" s="49">
        <f>VLOOKUP($A47,'Data shares'!$C:$FB,59)</f>
        <v>7255150</v>
      </c>
      <c r="L47" s="50">
        <f>VLOOKUP($A47,'Data shares'!$C:$FB,61)*100</f>
        <v>4.07</v>
      </c>
      <c r="M47" s="49">
        <f>VLOOKUP($A47,'Data shares'!$C:$FB,62)</f>
        <v>2423450</v>
      </c>
      <c r="N47" s="49">
        <f>VLOOKUP($A47,'Data shares'!$C:$FB,63)</f>
        <v>6803425</v>
      </c>
      <c r="O47" s="140">
        <f>VLOOKUP($A47,'Data shares'!$C:$FB,65)*100</f>
        <v>-64.38000000000001</v>
      </c>
    </row>
    <row r="48" spans="1:15" x14ac:dyDescent="0.25">
      <c r="A48" s="101" t="str">
        <f>'Data Vlaue (Cr)'!C43</f>
        <v>CGPOWER</v>
      </c>
      <c r="B48" s="50">
        <f>VLOOKUP($A48,'Data shares'!$C:$FB,7)</f>
        <v>581.95000000000005</v>
      </c>
      <c r="C48" s="50">
        <f>VLOOKUP($A48,'Data shares'!$C:$FB,10)*100</f>
        <v>9.67</v>
      </c>
      <c r="D48" s="49">
        <f>VLOOKUP($A48,'Data shares'!$C:$FB,66)</f>
        <v>87938450</v>
      </c>
      <c r="E48" s="49">
        <f>VLOOKUP($A48,'Data shares'!$C:$FB,67)</f>
        <v>69323450</v>
      </c>
      <c r="F48" s="50">
        <f>VLOOKUP($A48,'Data shares'!$C:$FB,69)*100</f>
        <v>26.85</v>
      </c>
      <c r="G48" s="49">
        <f>VLOOKUP($A48,'Data shares'!$C:$FB,42)</f>
        <v>12276550</v>
      </c>
      <c r="H48" s="49">
        <f>VLOOKUP($A48,'Data shares'!$C:$FB,43)</f>
        <v>24857400</v>
      </c>
      <c r="I48" s="50">
        <f>VLOOKUP($A48,'Data shares'!$C:$FB,45)*100</f>
        <v>-50.61</v>
      </c>
      <c r="J48" s="49">
        <f>VLOOKUP($A48,'Data shares'!$C:$FB,58)</f>
        <v>56698400</v>
      </c>
      <c r="K48" s="49">
        <f>VLOOKUP($A48,'Data shares'!$C:$FB,59)</f>
        <v>26210600</v>
      </c>
      <c r="L48" s="50">
        <f>VLOOKUP($A48,'Data shares'!$C:$FB,61)*100</f>
        <v>116.32000000000001</v>
      </c>
      <c r="M48" s="49">
        <f>VLOOKUP($A48,'Data shares'!$C:$FB,62)</f>
        <v>18963500</v>
      </c>
      <c r="N48" s="49">
        <f>VLOOKUP($A48,'Data shares'!$C:$FB,63)</f>
        <v>18255450</v>
      </c>
      <c r="O48" s="140">
        <f>VLOOKUP($A48,'Data shares'!$C:$FB,65)*100</f>
        <v>3.88</v>
      </c>
    </row>
    <row r="49" spans="1:15" x14ac:dyDescent="0.25">
      <c r="A49" s="101" t="str">
        <f>'Data Vlaue (Cr)'!C44</f>
        <v>CHOLAFIN</v>
      </c>
      <c r="B49" s="50">
        <f>VLOOKUP($A49,'Data shares'!$C:$FB,7)</f>
        <v>1636.8</v>
      </c>
      <c r="C49" s="50">
        <f>VLOOKUP($A49,'Data shares'!$C:$FB,10)*100</f>
        <v>-0.18</v>
      </c>
      <c r="D49" s="49">
        <f>VLOOKUP($A49,'Data shares'!$C:$FB,66)</f>
        <v>3774375</v>
      </c>
      <c r="E49" s="49">
        <f>VLOOKUP($A49,'Data shares'!$C:$FB,67)</f>
        <v>13685625</v>
      </c>
      <c r="F49" s="50">
        <f>VLOOKUP($A49,'Data shares'!$C:$FB,69)*100</f>
        <v>-72.42</v>
      </c>
      <c r="G49" s="49">
        <f>VLOOKUP($A49,'Data shares'!$C:$FB,42)</f>
        <v>1741250</v>
      </c>
      <c r="H49" s="49">
        <f>VLOOKUP($A49,'Data shares'!$C:$FB,43)</f>
        <v>7170625</v>
      </c>
      <c r="I49" s="50">
        <f>VLOOKUP($A49,'Data shares'!$C:$FB,45)*100</f>
        <v>-75.72</v>
      </c>
      <c r="J49" s="49">
        <f>VLOOKUP($A49,'Data shares'!$C:$FB,58)</f>
        <v>1109375</v>
      </c>
      <c r="K49" s="49">
        <f>VLOOKUP($A49,'Data shares'!$C:$FB,59)</f>
        <v>3567500</v>
      </c>
      <c r="L49" s="50">
        <f>VLOOKUP($A49,'Data shares'!$C:$FB,61)*100</f>
        <v>-68.899999999999991</v>
      </c>
      <c r="M49" s="49">
        <f>VLOOKUP($A49,'Data shares'!$C:$FB,62)</f>
        <v>923750</v>
      </c>
      <c r="N49" s="49">
        <f>VLOOKUP($A49,'Data shares'!$C:$FB,63)</f>
        <v>2947500</v>
      </c>
      <c r="O49" s="140">
        <f>VLOOKUP($A49,'Data shares'!$C:$FB,65)*100</f>
        <v>-68.66</v>
      </c>
    </row>
    <row r="50" spans="1:15" x14ac:dyDescent="0.25">
      <c r="A50" s="101" t="str">
        <f>'Data Vlaue (Cr)'!C45</f>
        <v>CIPLA</v>
      </c>
      <c r="B50" s="50">
        <f>VLOOKUP($A50,'Data shares'!$C:$FB,7)</f>
        <v>1328.4</v>
      </c>
      <c r="C50" s="50">
        <f>VLOOKUP($A50,'Data shares'!$C:$FB,10)*100</f>
        <v>1.17</v>
      </c>
      <c r="D50" s="49">
        <f>VLOOKUP($A50,'Data shares'!$C:$FB,66)</f>
        <v>7660875</v>
      </c>
      <c r="E50" s="49">
        <f>VLOOKUP($A50,'Data shares'!$C:$FB,67)</f>
        <v>27522000</v>
      </c>
      <c r="F50" s="50">
        <f>VLOOKUP($A50,'Data shares'!$C:$FB,69)*100</f>
        <v>-72.16</v>
      </c>
      <c r="G50" s="49">
        <f>VLOOKUP($A50,'Data shares'!$C:$FB,42)</f>
        <v>1754625</v>
      </c>
      <c r="H50" s="49">
        <f>VLOOKUP($A50,'Data shares'!$C:$FB,43)</f>
        <v>8895750</v>
      </c>
      <c r="I50" s="50">
        <f>VLOOKUP($A50,'Data shares'!$C:$FB,45)*100</f>
        <v>-80.28</v>
      </c>
      <c r="J50" s="49">
        <f>VLOOKUP($A50,'Data shares'!$C:$FB,58)</f>
        <v>3869625</v>
      </c>
      <c r="K50" s="49">
        <f>VLOOKUP($A50,'Data shares'!$C:$FB,59)</f>
        <v>9757875</v>
      </c>
      <c r="L50" s="50">
        <f>VLOOKUP($A50,'Data shares'!$C:$FB,61)*100</f>
        <v>-60.34</v>
      </c>
      <c r="M50" s="49">
        <f>VLOOKUP($A50,'Data shares'!$C:$FB,62)</f>
        <v>2036625</v>
      </c>
      <c r="N50" s="49">
        <f>VLOOKUP($A50,'Data shares'!$C:$FB,63)</f>
        <v>8868375</v>
      </c>
      <c r="O50" s="140">
        <f>VLOOKUP($A50,'Data shares'!$C:$FB,65)*100</f>
        <v>-77.03</v>
      </c>
    </row>
    <row r="51" spans="1:15" x14ac:dyDescent="0.25">
      <c r="A51" s="101" t="str">
        <f>'Data Vlaue (Cr)'!C46</f>
        <v>COALINDIA</v>
      </c>
      <c r="B51" s="50">
        <f>VLOOKUP($A51,'Data shares'!$C:$FB,7)</f>
        <v>444.05</v>
      </c>
      <c r="C51" s="50">
        <f>VLOOKUP($A51,'Data shares'!$C:$FB,10)*100</f>
        <v>5</v>
      </c>
      <c r="D51" s="49">
        <f>VLOOKUP($A51,'Data shares'!$C:$FB,66)</f>
        <v>139904550</v>
      </c>
      <c r="E51" s="49">
        <f>VLOOKUP($A51,'Data shares'!$C:$FB,67)</f>
        <v>89721000</v>
      </c>
      <c r="F51" s="50">
        <f>VLOOKUP($A51,'Data shares'!$C:$FB,69)*100</f>
        <v>55.93</v>
      </c>
      <c r="G51" s="49">
        <f>VLOOKUP($A51,'Data shares'!$C:$FB,42)</f>
        <v>21197700</v>
      </c>
      <c r="H51" s="49">
        <f>VLOOKUP($A51,'Data shares'!$C:$FB,43)</f>
        <v>31702050</v>
      </c>
      <c r="I51" s="50">
        <f>VLOOKUP($A51,'Data shares'!$C:$FB,45)*100</f>
        <v>-33.129999999999995</v>
      </c>
      <c r="J51" s="49">
        <f>VLOOKUP($A51,'Data shares'!$C:$FB,58)</f>
        <v>91319400</v>
      </c>
      <c r="K51" s="49">
        <f>VLOOKUP($A51,'Data shares'!$C:$FB,59)</f>
        <v>38279250</v>
      </c>
      <c r="L51" s="50">
        <f>VLOOKUP($A51,'Data shares'!$C:$FB,61)*100</f>
        <v>138.56</v>
      </c>
      <c r="M51" s="49">
        <f>VLOOKUP($A51,'Data shares'!$C:$FB,62)</f>
        <v>27387450</v>
      </c>
      <c r="N51" s="49">
        <f>VLOOKUP($A51,'Data shares'!$C:$FB,63)</f>
        <v>19739700</v>
      </c>
      <c r="O51" s="140">
        <f>VLOOKUP($A51,'Data shares'!$C:$FB,65)*100</f>
        <v>38.74</v>
      </c>
    </row>
    <row r="52" spans="1:15" x14ac:dyDescent="0.25">
      <c r="A52" s="101" t="str">
        <f>'Data Vlaue (Cr)'!C47</f>
        <v>COFORGE</v>
      </c>
      <c r="B52" s="50">
        <f>VLOOKUP($A52,'Data shares'!$C:$FB,7)</f>
        <v>1694.2</v>
      </c>
      <c r="C52" s="50">
        <f>VLOOKUP($A52,'Data shares'!$C:$FB,10)*100</f>
        <v>1.7999999999999998</v>
      </c>
      <c r="D52" s="49">
        <f>VLOOKUP($A52,'Data shares'!$C:$FB,66)</f>
        <v>9853875</v>
      </c>
      <c r="E52" s="49">
        <f>VLOOKUP($A52,'Data shares'!$C:$FB,67)</f>
        <v>28062000</v>
      </c>
      <c r="F52" s="50">
        <f>VLOOKUP($A52,'Data shares'!$C:$FB,69)*100</f>
        <v>-64.89</v>
      </c>
      <c r="G52" s="49">
        <f>VLOOKUP($A52,'Data shares'!$C:$FB,42)</f>
        <v>1834500</v>
      </c>
      <c r="H52" s="49">
        <f>VLOOKUP($A52,'Data shares'!$C:$FB,43)</f>
        <v>8954625</v>
      </c>
      <c r="I52" s="50">
        <f>VLOOKUP($A52,'Data shares'!$C:$FB,45)*100</f>
        <v>-79.510000000000005</v>
      </c>
      <c r="J52" s="49">
        <f>VLOOKUP($A52,'Data shares'!$C:$FB,58)</f>
        <v>4123500</v>
      </c>
      <c r="K52" s="49">
        <f>VLOOKUP($A52,'Data shares'!$C:$FB,59)</f>
        <v>12733125</v>
      </c>
      <c r="L52" s="50">
        <f>VLOOKUP($A52,'Data shares'!$C:$FB,61)*100</f>
        <v>-67.62</v>
      </c>
      <c r="M52" s="49">
        <f>VLOOKUP($A52,'Data shares'!$C:$FB,62)</f>
        <v>3895875</v>
      </c>
      <c r="N52" s="49">
        <f>VLOOKUP($A52,'Data shares'!$C:$FB,63)</f>
        <v>6374250</v>
      </c>
      <c r="O52" s="140">
        <f>VLOOKUP($A52,'Data shares'!$C:$FB,65)*100</f>
        <v>-38.879999999999995</v>
      </c>
    </row>
    <row r="53" spans="1:15" x14ac:dyDescent="0.25">
      <c r="A53" s="101" t="str">
        <f>'Data Vlaue (Cr)'!C48</f>
        <v>COLPAL</v>
      </c>
      <c r="B53" s="50">
        <f>VLOOKUP($A53,'Data shares'!$C:$FB,7)</f>
        <v>2154.4</v>
      </c>
      <c r="C53" s="50">
        <f>VLOOKUP($A53,'Data shares'!$C:$FB,10)*100</f>
        <v>0.02</v>
      </c>
      <c r="D53" s="49">
        <f>VLOOKUP($A53,'Data shares'!$C:$FB,66)</f>
        <v>2545425</v>
      </c>
      <c r="E53" s="49">
        <f>VLOOKUP($A53,'Data shares'!$C:$FB,67)</f>
        <v>5704875</v>
      </c>
      <c r="F53" s="50">
        <f>VLOOKUP($A53,'Data shares'!$C:$FB,69)*100</f>
        <v>-55.379999999999995</v>
      </c>
      <c r="G53" s="49">
        <f>VLOOKUP($A53,'Data shares'!$C:$FB,42)</f>
        <v>736650</v>
      </c>
      <c r="H53" s="49">
        <f>VLOOKUP($A53,'Data shares'!$C:$FB,43)</f>
        <v>2928150</v>
      </c>
      <c r="I53" s="50">
        <f>VLOOKUP($A53,'Data shares'!$C:$FB,45)*100</f>
        <v>-74.839999999999989</v>
      </c>
      <c r="J53" s="49">
        <f>VLOOKUP($A53,'Data shares'!$C:$FB,58)</f>
        <v>1077075</v>
      </c>
      <c r="K53" s="49">
        <f>VLOOKUP($A53,'Data shares'!$C:$FB,59)</f>
        <v>1771650</v>
      </c>
      <c r="L53" s="50">
        <f>VLOOKUP($A53,'Data shares'!$C:$FB,61)*100</f>
        <v>-39.200000000000003</v>
      </c>
      <c r="M53" s="49">
        <f>VLOOKUP($A53,'Data shares'!$C:$FB,62)</f>
        <v>731700</v>
      </c>
      <c r="N53" s="49">
        <f>VLOOKUP($A53,'Data shares'!$C:$FB,63)</f>
        <v>1005075</v>
      </c>
      <c r="O53" s="140">
        <f>VLOOKUP($A53,'Data shares'!$C:$FB,65)*100</f>
        <v>-27.200000000000003</v>
      </c>
    </row>
    <row r="54" spans="1:15" x14ac:dyDescent="0.25">
      <c r="A54" s="101" t="str">
        <f>'Data Vlaue (Cr)'!C49</f>
        <v>CONCOR</v>
      </c>
      <c r="B54" s="50">
        <f>VLOOKUP($A54,'Data shares'!$C:$FB,7)</f>
        <v>496.35</v>
      </c>
      <c r="C54" s="50">
        <f>VLOOKUP($A54,'Data shares'!$C:$FB,10)*100</f>
        <v>2.27</v>
      </c>
      <c r="D54" s="49">
        <f>VLOOKUP($A54,'Data shares'!$C:$FB,66)</f>
        <v>16000000</v>
      </c>
      <c r="E54" s="49">
        <f>VLOOKUP($A54,'Data shares'!$C:$FB,67)</f>
        <v>39598750</v>
      </c>
      <c r="F54" s="50">
        <f>VLOOKUP($A54,'Data shares'!$C:$FB,69)*100</f>
        <v>-59.589999999999996</v>
      </c>
      <c r="G54" s="49">
        <f>VLOOKUP($A54,'Data shares'!$C:$FB,42)</f>
        <v>3517500</v>
      </c>
      <c r="H54" s="49">
        <f>VLOOKUP($A54,'Data shares'!$C:$FB,43)</f>
        <v>22372500</v>
      </c>
      <c r="I54" s="50">
        <f>VLOOKUP($A54,'Data shares'!$C:$FB,45)*100</f>
        <v>-84.28</v>
      </c>
      <c r="J54" s="49">
        <f>VLOOKUP($A54,'Data shares'!$C:$FB,58)</f>
        <v>9170000</v>
      </c>
      <c r="K54" s="49">
        <f>VLOOKUP($A54,'Data shares'!$C:$FB,59)</f>
        <v>9105000</v>
      </c>
      <c r="L54" s="50">
        <f>VLOOKUP($A54,'Data shares'!$C:$FB,61)*100</f>
        <v>0.71000000000000008</v>
      </c>
      <c r="M54" s="49">
        <f>VLOOKUP($A54,'Data shares'!$C:$FB,62)</f>
        <v>3312500</v>
      </c>
      <c r="N54" s="49">
        <f>VLOOKUP($A54,'Data shares'!$C:$FB,63)</f>
        <v>8121250</v>
      </c>
      <c r="O54" s="140">
        <f>VLOOKUP($A54,'Data shares'!$C:$FB,65)*100</f>
        <v>-59.209999999999994</v>
      </c>
    </row>
    <row r="55" spans="1:15" x14ac:dyDescent="0.25">
      <c r="A55" s="101" t="str">
        <f>'Data Vlaue (Cr)'!C50</f>
        <v>CROMPTON</v>
      </c>
      <c r="B55" s="50">
        <f>VLOOKUP($A55,'Data shares'!$C:$FB,7)</f>
        <v>225.4</v>
      </c>
      <c r="C55" s="50">
        <f>VLOOKUP($A55,'Data shares'!$C:$FB,10)*100</f>
        <v>1.46</v>
      </c>
      <c r="D55" s="49">
        <f>VLOOKUP($A55,'Data shares'!$C:$FB,66)</f>
        <v>16848000</v>
      </c>
      <c r="E55" s="49">
        <f>VLOOKUP($A55,'Data shares'!$C:$FB,67)</f>
        <v>58194000</v>
      </c>
      <c r="F55" s="50">
        <f>VLOOKUP($A55,'Data shares'!$C:$FB,69)*100</f>
        <v>-71.05</v>
      </c>
      <c r="G55" s="49">
        <f>VLOOKUP($A55,'Data shares'!$C:$FB,42)</f>
        <v>5020200</v>
      </c>
      <c r="H55" s="49">
        <f>VLOOKUP($A55,'Data shares'!$C:$FB,43)</f>
        <v>32495400</v>
      </c>
      <c r="I55" s="50">
        <f>VLOOKUP($A55,'Data shares'!$C:$FB,45)*100</f>
        <v>-84.55</v>
      </c>
      <c r="J55" s="49">
        <f>VLOOKUP($A55,'Data shares'!$C:$FB,58)</f>
        <v>8717400</v>
      </c>
      <c r="K55" s="49">
        <f>VLOOKUP($A55,'Data shares'!$C:$FB,59)</f>
        <v>10587600</v>
      </c>
      <c r="L55" s="50">
        <f>VLOOKUP($A55,'Data shares'!$C:$FB,61)*100</f>
        <v>-17.66</v>
      </c>
      <c r="M55" s="49">
        <f>VLOOKUP($A55,'Data shares'!$C:$FB,62)</f>
        <v>3110400</v>
      </c>
      <c r="N55" s="49">
        <f>VLOOKUP($A55,'Data shares'!$C:$FB,63)</f>
        <v>15111000</v>
      </c>
      <c r="O55" s="140">
        <f>VLOOKUP($A55,'Data shares'!$C:$FB,65)*100</f>
        <v>-79.42</v>
      </c>
    </row>
    <row r="56" spans="1:15" x14ac:dyDescent="0.25">
      <c r="A56" s="101" t="str">
        <f>'Data Vlaue (Cr)'!C51</f>
        <v>CUMMINSIND</v>
      </c>
      <c r="B56" s="50">
        <f>VLOOKUP($A56,'Data shares'!$C:$FB,7)</f>
        <v>4024</v>
      </c>
      <c r="C56" s="50">
        <f>VLOOKUP($A56,'Data shares'!$C:$FB,10)*100</f>
        <v>2.44</v>
      </c>
      <c r="D56" s="49">
        <f>VLOOKUP($A56,'Data shares'!$C:$FB,66)</f>
        <v>1408600</v>
      </c>
      <c r="E56" s="49">
        <f>VLOOKUP($A56,'Data shares'!$C:$FB,67)</f>
        <v>4511000</v>
      </c>
      <c r="F56" s="50">
        <f>VLOOKUP($A56,'Data shares'!$C:$FB,69)*100</f>
        <v>-68.77</v>
      </c>
      <c r="G56" s="49">
        <f>VLOOKUP($A56,'Data shares'!$C:$FB,42)</f>
        <v>498000</v>
      </c>
      <c r="H56" s="49">
        <f>VLOOKUP($A56,'Data shares'!$C:$FB,43)</f>
        <v>2193800</v>
      </c>
      <c r="I56" s="50">
        <f>VLOOKUP($A56,'Data shares'!$C:$FB,45)*100</f>
        <v>-77.3</v>
      </c>
      <c r="J56" s="49">
        <f>VLOOKUP($A56,'Data shares'!$C:$FB,58)</f>
        <v>632200</v>
      </c>
      <c r="K56" s="49">
        <f>VLOOKUP($A56,'Data shares'!$C:$FB,59)</f>
        <v>1311000</v>
      </c>
      <c r="L56" s="50">
        <f>VLOOKUP($A56,'Data shares'!$C:$FB,61)*100</f>
        <v>-51.78</v>
      </c>
      <c r="M56" s="49">
        <f>VLOOKUP($A56,'Data shares'!$C:$FB,62)</f>
        <v>278400</v>
      </c>
      <c r="N56" s="49">
        <f>VLOOKUP($A56,'Data shares'!$C:$FB,63)</f>
        <v>1006200</v>
      </c>
      <c r="O56" s="140">
        <f>VLOOKUP($A56,'Data shares'!$C:$FB,65)*100</f>
        <v>-72.330000000000013</v>
      </c>
    </row>
    <row r="57" spans="1:15" x14ac:dyDescent="0.25">
      <c r="A57" s="101" t="str">
        <f>'Data Vlaue (Cr)'!C52</f>
        <v>DABUR</v>
      </c>
      <c r="B57" s="50">
        <f>VLOOKUP($A57,'Data shares'!$C:$FB,7)</f>
        <v>515.75</v>
      </c>
      <c r="C57" s="50">
        <f>VLOOKUP($A57,'Data shares'!$C:$FB,10)*100</f>
        <v>0.45999999999999996</v>
      </c>
      <c r="D57" s="49">
        <f>VLOOKUP($A57,'Data shares'!$C:$FB,66)</f>
        <v>18403750</v>
      </c>
      <c r="E57" s="49">
        <f>VLOOKUP($A57,'Data shares'!$C:$FB,67)</f>
        <v>21502500</v>
      </c>
      <c r="F57" s="50">
        <f>VLOOKUP($A57,'Data shares'!$C:$FB,69)*100</f>
        <v>-14.41</v>
      </c>
      <c r="G57" s="49">
        <f>VLOOKUP($A57,'Data shares'!$C:$FB,42)</f>
        <v>4827500</v>
      </c>
      <c r="H57" s="49">
        <f>VLOOKUP($A57,'Data shares'!$C:$FB,43)</f>
        <v>11392500</v>
      </c>
      <c r="I57" s="50">
        <f>VLOOKUP($A57,'Data shares'!$C:$FB,45)*100</f>
        <v>-57.63</v>
      </c>
      <c r="J57" s="49">
        <f>VLOOKUP($A57,'Data shares'!$C:$FB,58)</f>
        <v>8963750</v>
      </c>
      <c r="K57" s="49">
        <f>VLOOKUP($A57,'Data shares'!$C:$FB,59)</f>
        <v>6253750</v>
      </c>
      <c r="L57" s="50">
        <f>VLOOKUP($A57,'Data shares'!$C:$FB,61)*100</f>
        <v>43.33</v>
      </c>
      <c r="M57" s="49">
        <f>VLOOKUP($A57,'Data shares'!$C:$FB,62)</f>
        <v>4612500</v>
      </c>
      <c r="N57" s="49">
        <f>VLOOKUP($A57,'Data shares'!$C:$FB,63)</f>
        <v>3856250</v>
      </c>
      <c r="O57" s="140">
        <f>VLOOKUP($A57,'Data shares'!$C:$FB,65)*100</f>
        <v>19.61</v>
      </c>
    </row>
    <row r="58" spans="1:15" x14ac:dyDescent="0.25">
      <c r="A58" s="101" t="str">
        <f>'Data Vlaue (Cr)'!C53</f>
        <v>DALBHARAT</v>
      </c>
      <c r="B58" s="50">
        <f>VLOOKUP($A58,'Data shares'!$C:$FB,7)</f>
        <v>2074.4</v>
      </c>
      <c r="C58" s="50">
        <f>VLOOKUP($A58,'Data shares'!$C:$FB,10)*100</f>
        <v>-1.55</v>
      </c>
      <c r="D58" s="49">
        <f>VLOOKUP($A58,'Data shares'!$C:$FB,66)</f>
        <v>1412450</v>
      </c>
      <c r="E58" s="49">
        <f>VLOOKUP($A58,'Data shares'!$C:$FB,67)</f>
        <v>4783675</v>
      </c>
      <c r="F58" s="50">
        <f>VLOOKUP($A58,'Data shares'!$C:$FB,69)*100</f>
        <v>-70.47</v>
      </c>
      <c r="G58" s="49">
        <f>VLOOKUP($A58,'Data shares'!$C:$FB,42)</f>
        <v>677950</v>
      </c>
      <c r="H58" s="49">
        <f>VLOOKUP($A58,'Data shares'!$C:$FB,43)</f>
        <v>2103400</v>
      </c>
      <c r="I58" s="50">
        <f>VLOOKUP($A58,'Data shares'!$C:$FB,45)*100</f>
        <v>-67.77</v>
      </c>
      <c r="J58" s="49">
        <f>VLOOKUP($A58,'Data shares'!$C:$FB,58)</f>
        <v>347100</v>
      </c>
      <c r="K58" s="49">
        <f>VLOOKUP($A58,'Data shares'!$C:$FB,59)</f>
        <v>1530100</v>
      </c>
      <c r="L58" s="50">
        <f>VLOOKUP($A58,'Data shares'!$C:$FB,61)*100</f>
        <v>-77.319999999999993</v>
      </c>
      <c r="M58" s="49">
        <f>VLOOKUP($A58,'Data shares'!$C:$FB,62)</f>
        <v>387400</v>
      </c>
      <c r="N58" s="49">
        <f>VLOOKUP($A58,'Data shares'!$C:$FB,63)</f>
        <v>1150175</v>
      </c>
      <c r="O58" s="140">
        <f>VLOOKUP($A58,'Data shares'!$C:$FB,65)*100</f>
        <v>-66.320000000000007</v>
      </c>
    </row>
    <row r="59" spans="1:15" x14ac:dyDescent="0.25">
      <c r="A59" s="101" t="str">
        <f>'Data Vlaue (Cr)'!C54</f>
        <v>DELHIVERY</v>
      </c>
      <c r="B59" s="50">
        <f>VLOOKUP($A59,'Data shares'!$C:$FB,7)</f>
        <v>407.75</v>
      </c>
      <c r="C59" s="50">
        <f>VLOOKUP($A59,'Data shares'!$C:$FB,10)*100</f>
        <v>1.8499999999999999</v>
      </c>
      <c r="D59" s="49">
        <f>VLOOKUP($A59,'Data shares'!$C:$FB,66)</f>
        <v>20069400</v>
      </c>
      <c r="E59" s="49">
        <f>VLOOKUP($A59,'Data shares'!$C:$FB,67)</f>
        <v>45056550</v>
      </c>
      <c r="F59" s="50">
        <f>VLOOKUP($A59,'Data shares'!$C:$FB,69)*100</f>
        <v>-55.46</v>
      </c>
      <c r="G59" s="49">
        <f>VLOOKUP($A59,'Data shares'!$C:$FB,42)</f>
        <v>9013800</v>
      </c>
      <c r="H59" s="49">
        <f>VLOOKUP($A59,'Data shares'!$C:$FB,43)</f>
        <v>21194050</v>
      </c>
      <c r="I59" s="50">
        <f>VLOOKUP($A59,'Data shares'!$C:$FB,45)*100</f>
        <v>-57.47</v>
      </c>
      <c r="J59" s="49">
        <f>VLOOKUP($A59,'Data shares'!$C:$FB,58)</f>
        <v>7285325</v>
      </c>
      <c r="K59" s="49">
        <f>VLOOKUP($A59,'Data shares'!$C:$FB,59)</f>
        <v>17521300</v>
      </c>
      <c r="L59" s="50">
        <f>VLOOKUP($A59,'Data shares'!$C:$FB,61)*100</f>
        <v>-58.42</v>
      </c>
      <c r="M59" s="49">
        <f>VLOOKUP($A59,'Data shares'!$C:$FB,62)</f>
        <v>3770275</v>
      </c>
      <c r="N59" s="49">
        <f>VLOOKUP($A59,'Data shares'!$C:$FB,63)</f>
        <v>6341200</v>
      </c>
      <c r="O59" s="140">
        <f>VLOOKUP($A59,'Data shares'!$C:$FB,65)*100</f>
        <v>-40.54</v>
      </c>
    </row>
    <row r="60" spans="1:15" x14ac:dyDescent="0.25">
      <c r="A60" s="101" t="str">
        <f>'Data Vlaue (Cr)'!C55</f>
        <v>DIVISLAB</v>
      </c>
      <c r="B60" s="50">
        <f>VLOOKUP($A60,'Data shares'!$C:$FB,7)</f>
        <v>6188</v>
      </c>
      <c r="C60" s="50">
        <f>VLOOKUP($A60,'Data shares'!$C:$FB,10)*100</f>
        <v>2.1800000000000002</v>
      </c>
      <c r="D60" s="49">
        <f>VLOOKUP($A60,'Data shares'!$C:$FB,66)</f>
        <v>1400100</v>
      </c>
      <c r="E60" s="49">
        <f>VLOOKUP($A60,'Data shares'!$C:$FB,67)</f>
        <v>3134100</v>
      </c>
      <c r="F60" s="50">
        <f>VLOOKUP($A60,'Data shares'!$C:$FB,69)*100</f>
        <v>-55.33</v>
      </c>
      <c r="G60" s="49">
        <f>VLOOKUP($A60,'Data shares'!$C:$FB,42)</f>
        <v>351900</v>
      </c>
      <c r="H60" s="49">
        <f>VLOOKUP($A60,'Data shares'!$C:$FB,43)</f>
        <v>1149600</v>
      </c>
      <c r="I60" s="50">
        <f>VLOOKUP($A60,'Data shares'!$C:$FB,45)*100</f>
        <v>-69.39</v>
      </c>
      <c r="J60" s="49">
        <f>VLOOKUP($A60,'Data shares'!$C:$FB,58)</f>
        <v>716800</v>
      </c>
      <c r="K60" s="49">
        <f>VLOOKUP($A60,'Data shares'!$C:$FB,59)</f>
        <v>1138400</v>
      </c>
      <c r="L60" s="50">
        <f>VLOOKUP($A60,'Data shares'!$C:$FB,61)*100</f>
        <v>-37.03</v>
      </c>
      <c r="M60" s="49">
        <f>VLOOKUP($A60,'Data shares'!$C:$FB,62)</f>
        <v>331400</v>
      </c>
      <c r="N60" s="49">
        <f>VLOOKUP($A60,'Data shares'!$C:$FB,63)</f>
        <v>846100</v>
      </c>
      <c r="O60" s="140">
        <f>VLOOKUP($A60,'Data shares'!$C:$FB,65)*100</f>
        <v>-60.83</v>
      </c>
    </row>
    <row r="61" spans="1:15" x14ac:dyDescent="0.25">
      <c r="A61" s="101" t="str">
        <f>'Data Vlaue (Cr)'!C56</f>
        <v>DIXON</v>
      </c>
      <c r="B61" s="50">
        <f>VLOOKUP($A61,'Data shares'!$C:$FB,7)</f>
        <v>10279</v>
      </c>
      <c r="C61" s="50">
        <f>VLOOKUP($A61,'Data shares'!$C:$FB,10)*100</f>
        <v>0.92999999999999994</v>
      </c>
      <c r="D61" s="49">
        <f>VLOOKUP($A61,'Data shares'!$C:$FB,66)</f>
        <v>3072000</v>
      </c>
      <c r="E61" s="49">
        <f>VLOOKUP($A61,'Data shares'!$C:$FB,67)</f>
        <v>11831400</v>
      </c>
      <c r="F61" s="50">
        <f>VLOOKUP($A61,'Data shares'!$C:$FB,69)*100</f>
        <v>-74.039999999999992</v>
      </c>
      <c r="G61" s="49">
        <f>VLOOKUP($A61,'Data shares'!$C:$FB,42)</f>
        <v>608050</v>
      </c>
      <c r="H61" s="49">
        <f>VLOOKUP($A61,'Data shares'!$C:$FB,43)</f>
        <v>2791900</v>
      </c>
      <c r="I61" s="50">
        <f>VLOOKUP($A61,'Data shares'!$C:$FB,45)*100</f>
        <v>-78.22</v>
      </c>
      <c r="J61" s="49">
        <f>VLOOKUP($A61,'Data shares'!$C:$FB,58)</f>
        <v>1626600</v>
      </c>
      <c r="K61" s="49">
        <f>VLOOKUP($A61,'Data shares'!$C:$FB,59)</f>
        <v>5620350</v>
      </c>
      <c r="L61" s="50">
        <f>VLOOKUP($A61,'Data shares'!$C:$FB,61)*100</f>
        <v>-71.06</v>
      </c>
      <c r="M61" s="49">
        <f>VLOOKUP($A61,'Data shares'!$C:$FB,62)</f>
        <v>837350</v>
      </c>
      <c r="N61" s="49">
        <f>VLOOKUP($A61,'Data shares'!$C:$FB,63)</f>
        <v>3419150</v>
      </c>
      <c r="O61" s="140">
        <f>VLOOKUP($A61,'Data shares'!$C:$FB,65)*100</f>
        <v>-75.510000000000005</v>
      </c>
    </row>
    <row r="62" spans="1:15" x14ac:dyDescent="0.25">
      <c r="A62" s="101" t="str">
        <f>'Data Vlaue (Cr)'!C57</f>
        <v>DLF</v>
      </c>
      <c r="B62" s="50">
        <f>VLOOKUP($A62,'Data shares'!$C:$FB,7)</f>
        <v>625.54999999999995</v>
      </c>
      <c r="C62" s="50">
        <f>VLOOKUP($A62,'Data shares'!$C:$FB,10)*100</f>
        <v>2.62</v>
      </c>
      <c r="D62" s="49">
        <f>VLOOKUP($A62,'Data shares'!$C:$FB,66)</f>
        <v>43168950</v>
      </c>
      <c r="E62" s="49">
        <f>VLOOKUP($A62,'Data shares'!$C:$FB,67)</f>
        <v>83361300</v>
      </c>
      <c r="F62" s="50">
        <f>VLOOKUP($A62,'Data shares'!$C:$FB,69)*100</f>
        <v>-48.209999999999994</v>
      </c>
      <c r="G62" s="49">
        <f>VLOOKUP($A62,'Data shares'!$C:$FB,42)</f>
        <v>12273525</v>
      </c>
      <c r="H62" s="49">
        <f>VLOOKUP($A62,'Data shares'!$C:$FB,43)</f>
        <v>38285775</v>
      </c>
      <c r="I62" s="50">
        <f>VLOOKUP($A62,'Data shares'!$C:$FB,45)*100</f>
        <v>-67.94</v>
      </c>
      <c r="J62" s="49">
        <f>VLOOKUP($A62,'Data shares'!$C:$FB,58)</f>
        <v>21379050</v>
      </c>
      <c r="K62" s="49">
        <f>VLOOKUP($A62,'Data shares'!$C:$FB,59)</f>
        <v>27567375</v>
      </c>
      <c r="L62" s="50">
        <f>VLOOKUP($A62,'Data shares'!$C:$FB,61)*100</f>
        <v>-22.45</v>
      </c>
      <c r="M62" s="49">
        <f>VLOOKUP($A62,'Data shares'!$C:$FB,62)</f>
        <v>9516375</v>
      </c>
      <c r="N62" s="49">
        <f>VLOOKUP($A62,'Data shares'!$C:$FB,63)</f>
        <v>17508150</v>
      </c>
      <c r="O62" s="140">
        <f>VLOOKUP($A62,'Data shares'!$C:$FB,65)*100</f>
        <v>-45.65</v>
      </c>
    </row>
    <row r="63" spans="1:15" x14ac:dyDescent="0.25">
      <c r="A63" s="101" t="str">
        <f>'Data Vlaue (Cr)'!C58</f>
        <v>DMART</v>
      </c>
      <c r="B63" s="50">
        <f>VLOOKUP($A63,'Data shares'!$C:$FB,7)</f>
        <v>3735.7</v>
      </c>
      <c r="C63" s="50">
        <f>VLOOKUP($A63,'Data shares'!$C:$FB,10)*100</f>
        <v>1.77</v>
      </c>
      <c r="D63" s="49">
        <f>VLOOKUP($A63,'Data shares'!$C:$FB,66)</f>
        <v>3515100</v>
      </c>
      <c r="E63" s="49">
        <f>VLOOKUP($A63,'Data shares'!$C:$FB,67)</f>
        <v>6192450</v>
      </c>
      <c r="F63" s="50">
        <f>VLOOKUP($A63,'Data shares'!$C:$FB,69)*100</f>
        <v>-43.24</v>
      </c>
      <c r="G63" s="49">
        <f>VLOOKUP($A63,'Data shares'!$C:$FB,42)</f>
        <v>518100</v>
      </c>
      <c r="H63" s="49">
        <f>VLOOKUP($A63,'Data shares'!$C:$FB,43)</f>
        <v>2049600</v>
      </c>
      <c r="I63" s="50">
        <f>VLOOKUP($A63,'Data shares'!$C:$FB,45)*100</f>
        <v>-74.72</v>
      </c>
      <c r="J63" s="49">
        <f>VLOOKUP($A63,'Data shares'!$C:$FB,58)</f>
        <v>2418150</v>
      </c>
      <c r="K63" s="49">
        <f>VLOOKUP($A63,'Data shares'!$C:$FB,59)</f>
        <v>2945100</v>
      </c>
      <c r="L63" s="50">
        <f>VLOOKUP($A63,'Data shares'!$C:$FB,61)*100</f>
        <v>-17.89</v>
      </c>
      <c r="M63" s="49">
        <f>VLOOKUP($A63,'Data shares'!$C:$FB,62)</f>
        <v>578850</v>
      </c>
      <c r="N63" s="49">
        <f>VLOOKUP($A63,'Data shares'!$C:$FB,63)</f>
        <v>1197750</v>
      </c>
      <c r="O63" s="140">
        <f>VLOOKUP($A63,'Data shares'!$C:$FB,65)*100</f>
        <v>-51.67</v>
      </c>
    </row>
    <row r="64" spans="1:15" x14ac:dyDescent="0.25">
      <c r="A64" s="101" t="str">
        <f>'Data Vlaue (Cr)'!C59</f>
        <v>DRREDDY</v>
      </c>
      <c r="B64" s="50">
        <f>VLOOKUP($A64,'Data shares'!$C:$FB,7)</f>
        <v>1222.5</v>
      </c>
      <c r="C64" s="50">
        <f>VLOOKUP($A64,'Data shares'!$C:$FB,10)*100</f>
        <v>-1.4000000000000001</v>
      </c>
      <c r="D64" s="49">
        <f>VLOOKUP($A64,'Data shares'!$C:$FB,66)</f>
        <v>10651250</v>
      </c>
      <c r="E64" s="49">
        <f>VLOOKUP($A64,'Data shares'!$C:$FB,67)</f>
        <v>25051250</v>
      </c>
      <c r="F64" s="50">
        <f>VLOOKUP($A64,'Data shares'!$C:$FB,69)*100</f>
        <v>-57.48</v>
      </c>
      <c r="G64" s="49">
        <f>VLOOKUP($A64,'Data shares'!$C:$FB,42)</f>
        <v>2381250</v>
      </c>
      <c r="H64" s="49">
        <f>VLOOKUP($A64,'Data shares'!$C:$FB,43)</f>
        <v>8030625</v>
      </c>
      <c r="I64" s="50">
        <f>VLOOKUP($A64,'Data shares'!$C:$FB,45)*100</f>
        <v>-70.349999999999994</v>
      </c>
      <c r="J64" s="49">
        <f>VLOOKUP($A64,'Data shares'!$C:$FB,58)</f>
        <v>4137500</v>
      </c>
      <c r="K64" s="49">
        <f>VLOOKUP($A64,'Data shares'!$C:$FB,59)</f>
        <v>9404375</v>
      </c>
      <c r="L64" s="50">
        <f>VLOOKUP($A64,'Data shares'!$C:$FB,61)*100</f>
        <v>-56.000000000000007</v>
      </c>
      <c r="M64" s="49">
        <f>VLOOKUP($A64,'Data shares'!$C:$FB,62)</f>
        <v>4132500</v>
      </c>
      <c r="N64" s="49">
        <f>VLOOKUP($A64,'Data shares'!$C:$FB,63)</f>
        <v>7616250</v>
      </c>
      <c r="O64" s="140">
        <f>VLOOKUP($A64,'Data shares'!$C:$FB,65)*100</f>
        <v>-45.739999999999995</v>
      </c>
    </row>
    <row r="65" spans="1:15" x14ac:dyDescent="0.25">
      <c r="A65" s="101" t="str">
        <f>'Data Vlaue (Cr)'!C60</f>
        <v>EICHERMOT</v>
      </c>
      <c r="B65" s="50">
        <f>VLOOKUP($A65,'Data shares'!$C:$FB,7)</f>
        <v>7071</v>
      </c>
      <c r="C65" s="50">
        <f>VLOOKUP($A65,'Data shares'!$C:$FB,10)*100</f>
        <v>-1.31</v>
      </c>
      <c r="D65" s="49">
        <f>VLOOKUP($A65,'Data shares'!$C:$FB,66)</f>
        <v>6874900</v>
      </c>
      <c r="E65" s="49">
        <f>VLOOKUP($A65,'Data shares'!$C:$FB,67)</f>
        <v>4875300</v>
      </c>
      <c r="F65" s="50">
        <f>VLOOKUP($A65,'Data shares'!$C:$FB,69)*100</f>
        <v>41.010000000000005</v>
      </c>
      <c r="G65" s="49">
        <f>VLOOKUP($A65,'Data shares'!$C:$FB,42)</f>
        <v>1167600</v>
      </c>
      <c r="H65" s="49">
        <f>VLOOKUP($A65,'Data shares'!$C:$FB,43)</f>
        <v>1334400</v>
      </c>
      <c r="I65" s="50">
        <f>VLOOKUP($A65,'Data shares'!$C:$FB,45)*100</f>
        <v>-12.5</v>
      </c>
      <c r="J65" s="49">
        <f>VLOOKUP($A65,'Data shares'!$C:$FB,58)</f>
        <v>2500700</v>
      </c>
      <c r="K65" s="49">
        <f>VLOOKUP($A65,'Data shares'!$C:$FB,59)</f>
        <v>2558300</v>
      </c>
      <c r="L65" s="50">
        <f>VLOOKUP($A65,'Data shares'!$C:$FB,61)*100</f>
        <v>-2.25</v>
      </c>
      <c r="M65" s="49">
        <f>VLOOKUP($A65,'Data shares'!$C:$FB,62)</f>
        <v>3206600</v>
      </c>
      <c r="N65" s="49">
        <f>VLOOKUP($A65,'Data shares'!$C:$FB,63)</f>
        <v>982600</v>
      </c>
      <c r="O65" s="140">
        <f>VLOOKUP($A65,'Data shares'!$C:$FB,65)*100</f>
        <v>226.33999999999997</v>
      </c>
    </row>
    <row r="66" spans="1:15" x14ac:dyDescent="0.25">
      <c r="A66" s="101" t="str">
        <f>'Data Vlaue (Cr)'!C61</f>
        <v>ETERNAL</v>
      </c>
      <c r="B66" s="50">
        <f>VLOOKUP($A66,'Data shares'!$C:$FB,7)</f>
        <v>266.3</v>
      </c>
      <c r="C66" s="50">
        <f>VLOOKUP($A66,'Data shares'!$C:$FB,10)*100</f>
        <v>4.9000000000000004</v>
      </c>
      <c r="D66" s="49">
        <f>VLOOKUP($A66,'Data shares'!$C:$FB,66)</f>
        <v>291337075</v>
      </c>
      <c r="E66" s="49">
        <f>VLOOKUP($A66,'Data shares'!$C:$FB,67)</f>
        <v>495425075</v>
      </c>
      <c r="F66" s="50">
        <f>VLOOKUP($A66,'Data shares'!$C:$FB,69)*100</f>
        <v>-41.19</v>
      </c>
      <c r="G66" s="49">
        <f>VLOOKUP($A66,'Data shares'!$C:$FB,42)</f>
        <v>71210125</v>
      </c>
      <c r="H66" s="49">
        <f>VLOOKUP($A66,'Data shares'!$C:$FB,43)</f>
        <v>164448950</v>
      </c>
      <c r="I66" s="50">
        <f>VLOOKUP($A66,'Data shares'!$C:$FB,45)*100</f>
        <v>-56.699999999999996</v>
      </c>
      <c r="J66" s="49">
        <f>VLOOKUP($A66,'Data shares'!$C:$FB,58)</f>
        <v>141404175</v>
      </c>
      <c r="K66" s="49">
        <f>VLOOKUP($A66,'Data shares'!$C:$FB,59)</f>
        <v>203246525</v>
      </c>
      <c r="L66" s="50">
        <f>VLOOKUP($A66,'Data shares'!$C:$FB,61)*100</f>
        <v>-30.43</v>
      </c>
      <c r="M66" s="49">
        <f>VLOOKUP($A66,'Data shares'!$C:$FB,62)</f>
        <v>78722775</v>
      </c>
      <c r="N66" s="49">
        <f>VLOOKUP($A66,'Data shares'!$C:$FB,63)</f>
        <v>127729600</v>
      </c>
      <c r="O66" s="140">
        <f>VLOOKUP($A66,'Data shares'!$C:$FB,65)*100</f>
        <v>-38.369999999999997</v>
      </c>
    </row>
    <row r="67" spans="1:15" x14ac:dyDescent="0.25">
      <c r="A67" s="101" t="str">
        <f>'Data Vlaue (Cr)'!C62</f>
        <v>EXIDEIND</v>
      </c>
      <c r="B67" s="50">
        <f>VLOOKUP($A67,'Data shares'!$C:$FB,7)</f>
        <v>321.14999999999998</v>
      </c>
      <c r="C67" s="50">
        <f>VLOOKUP($A67,'Data shares'!$C:$FB,10)*100</f>
        <v>-0.65</v>
      </c>
      <c r="D67" s="49">
        <f>VLOOKUP($A67,'Data shares'!$C:$FB,66)</f>
        <v>15634800</v>
      </c>
      <c r="E67" s="49">
        <f>VLOOKUP($A67,'Data shares'!$C:$FB,67)</f>
        <v>52356600</v>
      </c>
      <c r="F67" s="50">
        <f>VLOOKUP($A67,'Data shares'!$C:$FB,69)*100</f>
        <v>-70.14</v>
      </c>
      <c r="G67" s="49">
        <f>VLOOKUP($A67,'Data shares'!$C:$FB,42)</f>
        <v>4714200</v>
      </c>
      <c r="H67" s="49">
        <f>VLOOKUP($A67,'Data shares'!$C:$FB,43)</f>
        <v>32146200</v>
      </c>
      <c r="I67" s="50">
        <f>VLOOKUP($A67,'Data shares'!$C:$FB,45)*100</f>
        <v>-85.34</v>
      </c>
      <c r="J67" s="49">
        <f>VLOOKUP($A67,'Data shares'!$C:$FB,58)</f>
        <v>6870600</v>
      </c>
      <c r="K67" s="49">
        <f>VLOOKUP($A67,'Data shares'!$C:$FB,59)</f>
        <v>10566000</v>
      </c>
      <c r="L67" s="50">
        <f>VLOOKUP($A67,'Data shares'!$C:$FB,61)*100</f>
        <v>-34.97</v>
      </c>
      <c r="M67" s="49">
        <f>VLOOKUP($A67,'Data shares'!$C:$FB,62)</f>
        <v>4050000</v>
      </c>
      <c r="N67" s="49">
        <f>VLOOKUP($A67,'Data shares'!$C:$FB,63)</f>
        <v>9644400</v>
      </c>
      <c r="O67" s="140">
        <f>VLOOKUP($A67,'Data shares'!$C:$FB,65)*100</f>
        <v>-58.01</v>
      </c>
    </row>
    <row r="68" spans="1:15" x14ac:dyDescent="0.25">
      <c r="A68" s="101" t="str">
        <f>'Data Vlaue (Cr)'!C63</f>
        <v>FEDERALBNK</v>
      </c>
      <c r="B68" s="50">
        <f>VLOOKUP($A68,'Data shares'!$C:$FB,7)</f>
        <v>284.45</v>
      </c>
      <c r="C68" s="50">
        <f>VLOOKUP($A68,'Data shares'!$C:$FB,10)*100</f>
        <v>-0.18</v>
      </c>
      <c r="D68" s="49">
        <f>VLOOKUP($A68,'Data shares'!$C:$FB,66)</f>
        <v>71345000</v>
      </c>
      <c r="E68" s="49">
        <f>VLOOKUP($A68,'Data shares'!$C:$FB,67)</f>
        <v>137905000</v>
      </c>
      <c r="F68" s="50">
        <f>VLOOKUP($A68,'Data shares'!$C:$FB,69)*100</f>
        <v>-48.27</v>
      </c>
      <c r="G68" s="49">
        <f>VLOOKUP($A68,'Data shares'!$C:$FB,42)</f>
        <v>15945000</v>
      </c>
      <c r="H68" s="49">
        <f>VLOOKUP($A68,'Data shares'!$C:$FB,43)</f>
        <v>47495000</v>
      </c>
      <c r="I68" s="50">
        <f>VLOOKUP($A68,'Data shares'!$C:$FB,45)*100</f>
        <v>-66.430000000000007</v>
      </c>
      <c r="J68" s="49">
        <f>VLOOKUP($A68,'Data shares'!$C:$FB,58)</f>
        <v>34780000</v>
      </c>
      <c r="K68" s="49">
        <f>VLOOKUP($A68,'Data shares'!$C:$FB,59)</f>
        <v>52455000</v>
      </c>
      <c r="L68" s="50">
        <f>VLOOKUP($A68,'Data shares'!$C:$FB,61)*100</f>
        <v>-33.700000000000003</v>
      </c>
      <c r="M68" s="49">
        <f>VLOOKUP($A68,'Data shares'!$C:$FB,62)</f>
        <v>20620000</v>
      </c>
      <c r="N68" s="49">
        <f>VLOOKUP($A68,'Data shares'!$C:$FB,63)</f>
        <v>37955000</v>
      </c>
      <c r="O68" s="140">
        <f>VLOOKUP($A68,'Data shares'!$C:$FB,65)*100</f>
        <v>-45.67</v>
      </c>
    </row>
    <row r="69" spans="1:15" x14ac:dyDescent="0.25">
      <c r="A69" s="101" t="str">
        <f>'Data Vlaue (Cr)'!C64</f>
        <v>FINNIFTY</v>
      </c>
      <c r="B69" s="50">
        <f>VLOOKUP($A69,'Data shares'!$C:$FB,7)</f>
        <v>27335.200000000001</v>
      </c>
      <c r="C69" s="50">
        <f>VLOOKUP($A69,'Data shares'!$C:$FB,10)*100</f>
        <v>1.02</v>
      </c>
      <c r="D69" s="49">
        <f>VLOOKUP($A69,'Data shares'!$C:$FB,66)</f>
        <v>1073220</v>
      </c>
      <c r="E69" s="49">
        <f>VLOOKUP($A69,'Data shares'!$C:$FB,67)</f>
        <v>244676640</v>
      </c>
      <c r="F69" s="50">
        <f>VLOOKUP($A69,'Data shares'!$C:$FB,69)*100</f>
        <v>-99.56</v>
      </c>
      <c r="G69" s="49">
        <f>VLOOKUP($A69,'Data shares'!$C:$FB,42)</f>
        <v>20460</v>
      </c>
      <c r="H69" s="49">
        <f>VLOOKUP($A69,'Data shares'!$C:$FB,43)</f>
        <v>128520</v>
      </c>
      <c r="I69" s="50">
        <f>VLOOKUP($A69,'Data shares'!$C:$FB,45)*100</f>
        <v>-84.08</v>
      </c>
      <c r="J69" s="49">
        <f>VLOOKUP($A69,'Data shares'!$C:$FB,58)</f>
        <v>456840</v>
      </c>
      <c r="K69" s="49">
        <f>VLOOKUP($A69,'Data shares'!$C:$FB,59)</f>
        <v>127693680</v>
      </c>
      <c r="L69" s="50">
        <f>VLOOKUP($A69,'Data shares'!$C:$FB,61)*100</f>
        <v>-99.64</v>
      </c>
      <c r="M69" s="49">
        <f>VLOOKUP($A69,'Data shares'!$C:$FB,62)</f>
        <v>595920</v>
      </c>
      <c r="N69" s="49">
        <f>VLOOKUP($A69,'Data shares'!$C:$FB,63)</f>
        <v>116854440</v>
      </c>
      <c r="O69" s="140">
        <f>VLOOKUP($A69,'Data shares'!$C:$FB,65)*100</f>
        <v>-99.49</v>
      </c>
    </row>
    <row r="70" spans="1:15" x14ac:dyDescent="0.25">
      <c r="A70" s="101" t="str">
        <f>'Data Vlaue (Cr)'!C65</f>
        <v>FORTIS</v>
      </c>
      <c r="B70" s="50">
        <f>VLOOKUP($A70,'Data shares'!$C:$FB,7)</f>
        <v>849.05</v>
      </c>
      <c r="C70" s="50">
        <f>VLOOKUP($A70,'Data shares'!$C:$FB,10)*100</f>
        <v>1.26</v>
      </c>
      <c r="D70" s="49">
        <f>VLOOKUP($A70,'Data shares'!$C:$FB,66)</f>
        <v>3692875</v>
      </c>
      <c r="E70" s="49">
        <f>VLOOKUP($A70,'Data shares'!$C:$FB,67)</f>
        <v>13476475</v>
      </c>
      <c r="F70" s="50">
        <f>VLOOKUP($A70,'Data shares'!$C:$FB,69)*100</f>
        <v>-72.599999999999994</v>
      </c>
      <c r="G70" s="49">
        <f>VLOOKUP($A70,'Data shares'!$C:$FB,42)</f>
        <v>1656950</v>
      </c>
      <c r="H70" s="49">
        <f>VLOOKUP($A70,'Data shares'!$C:$FB,43)</f>
        <v>7481850</v>
      </c>
      <c r="I70" s="50">
        <f>VLOOKUP($A70,'Data shares'!$C:$FB,45)*100</f>
        <v>-77.849999999999994</v>
      </c>
      <c r="J70" s="49">
        <f>VLOOKUP($A70,'Data shares'!$C:$FB,58)</f>
        <v>1391900</v>
      </c>
      <c r="K70" s="49">
        <f>VLOOKUP($A70,'Data shares'!$C:$FB,59)</f>
        <v>2763650</v>
      </c>
      <c r="L70" s="50">
        <f>VLOOKUP($A70,'Data shares'!$C:$FB,61)*100</f>
        <v>-49.64</v>
      </c>
      <c r="M70" s="49">
        <f>VLOOKUP($A70,'Data shares'!$C:$FB,62)</f>
        <v>644025</v>
      </c>
      <c r="N70" s="49">
        <f>VLOOKUP($A70,'Data shares'!$C:$FB,63)</f>
        <v>3230975</v>
      </c>
      <c r="O70" s="140">
        <f>VLOOKUP($A70,'Data shares'!$C:$FB,65)*100</f>
        <v>-80.069999999999993</v>
      </c>
    </row>
    <row r="71" spans="1:15" x14ac:dyDescent="0.25">
      <c r="A71" s="101" t="str">
        <f>'Data Vlaue (Cr)'!C66</f>
        <v>GAIL</v>
      </c>
      <c r="B71" s="50">
        <f>VLOOKUP($A71,'Data shares'!$C:$FB,7)</f>
        <v>168.14</v>
      </c>
      <c r="C71" s="50">
        <f>VLOOKUP($A71,'Data shares'!$C:$FB,10)*100</f>
        <v>5.0999999999999996</v>
      </c>
      <c r="D71" s="49">
        <f>VLOOKUP($A71,'Data shares'!$C:$FB,66)</f>
        <v>110105100</v>
      </c>
      <c r="E71" s="49">
        <f>VLOOKUP($A71,'Data shares'!$C:$FB,67)</f>
        <v>152781300</v>
      </c>
      <c r="F71" s="50">
        <f>VLOOKUP($A71,'Data shares'!$C:$FB,69)*100</f>
        <v>-27.93</v>
      </c>
      <c r="G71" s="49">
        <f>VLOOKUP($A71,'Data shares'!$C:$FB,42)</f>
        <v>24541650</v>
      </c>
      <c r="H71" s="49">
        <f>VLOOKUP($A71,'Data shares'!$C:$FB,43)</f>
        <v>87529050</v>
      </c>
      <c r="I71" s="50">
        <f>VLOOKUP($A71,'Data shares'!$C:$FB,45)*100</f>
        <v>-71.960000000000008</v>
      </c>
      <c r="J71" s="49">
        <f>VLOOKUP($A71,'Data shares'!$C:$FB,58)</f>
        <v>62199900</v>
      </c>
      <c r="K71" s="49">
        <f>VLOOKUP($A71,'Data shares'!$C:$FB,59)</f>
        <v>35346150</v>
      </c>
      <c r="L71" s="50">
        <f>VLOOKUP($A71,'Data shares'!$C:$FB,61)*100</f>
        <v>75.97</v>
      </c>
      <c r="M71" s="49">
        <f>VLOOKUP($A71,'Data shares'!$C:$FB,62)</f>
        <v>23363550</v>
      </c>
      <c r="N71" s="49">
        <f>VLOOKUP($A71,'Data shares'!$C:$FB,63)</f>
        <v>29906100</v>
      </c>
      <c r="O71" s="140">
        <f>VLOOKUP($A71,'Data shares'!$C:$FB,65)*100</f>
        <v>-21.88</v>
      </c>
    </row>
    <row r="72" spans="1:15" x14ac:dyDescent="0.25">
      <c r="A72" s="101" t="str">
        <f>'Data Vlaue (Cr)'!C67</f>
        <v>GLENMARK</v>
      </c>
      <c r="B72" s="50">
        <f>VLOOKUP($A72,'Data shares'!$C:$FB,7)</f>
        <v>1993.5</v>
      </c>
      <c r="C72" s="50">
        <f>VLOOKUP($A72,'Data shares'!$C:$FB,10)*100</f>
        <v>-0.31</v>
      </c>
      <c r="D72" s="49">
        <f>VLOOKUP($A72,'Data shares'!$C:$FB,66)</f>
        <v>2760375</v>
      </c>
      <c r="E72" s="49">
        <f>VLOOKUP($A72,'Data shares'!$C:$FB,67)</f>
        <v>11940000</v>
      </c>
      <c r="F72" s="50">
        <f>VLOOKUP($A72,'Data shares'!$C:$FB,69)*100</f>
        <v>-76.88000000000001</v>
      </c>
      <c r="G72" s="49">
        <f>VLOOKUP($A72,'Data shares'!$C:$FB,42)</f>
        <v>961500</v>
      </c>
      <c r="H72" s="49">
        <f>VLOOKUP($A72,'Data shares'!$C:$FB,43)</f>
        <v>7508625</v>
      </c>
      <c r="I72" s="50">
        <f>VLOOKUP($A72,'Data shares'!$C:$FB,45)*100</f>
        <v>-87.19</v>
      </c>
      <c r="J72" s="49">
        <f>VLOOKUP($A72,'Data shares'!$C:$FB,58)</f>
        <v>1144875</v>
      </c>
      <c r="K72" s="49">
        <f>VLOOKUP($A72,'Data shares'!$C:$FB,59)</f>
        <v>2853750</v>
      </c>
      <c r="L72" s="50">
        <f>VLOOKUP($A72,'Data shares'!$C:$FB,61)*100</f>
        <v>-59.88</v>
      </c>
      <c r="M72" s="49">
        <f>VLOOKUP($A72,'Data shares'!$C:$FB,62)</f>
        <v>654000</v>
      </c>
      <c r="N72" s="49">
        <f>VLOOKUP($A72,'Data shares'!$C:$FB,63)</f>
        <v>1577625</v>
      </c>
      <c r="O72" s="140">
        <f>VLOOKUP($A72,'Data shares'!$C:$FB,65)*100</f>
        <v>-58.550000000000004</v>
      </c>
    </row>
    <row r="73" spans="1:15" x14ac:dyDescent="0.25">
      <c r="A73" s="101" t="str">
        <f>'Data Vlaue (Cr)'!C68</f>
        <v>GMRAIRPORT</v>
      </c>
      <c r="B73" s="50">
        <f>VLOOKUP($A73,'Data shares'!$C:$FB,7)</f>
        <v>93.91</v>
      </c>
      <c r="C73" s="50">
        <f>VLOOKUP($A73,'Data shares'!$C:$FB,10)*100</f>
        <v>1.37</v>
      </c>
      <c r="D73" s="49">
        <f>VLOOKUP($A73,'Data shares'!$C:$FB,66)</f>
        <v>80812350</v>
      </c>
      <c r="E73" s="49">
        <f>VLOOKUP($A73,'Data shares'!$C:$FB,67)</f>
        <v>268767675</v>
      </c>
      <c r="F73" s="50">
        <f>VLOOKUP($A73,'Data shares'!$C:$FB,69)*100</f>
        <v>-69.930000000000007</v>
      </c>
      <c r="G73" s="49">
        <f>VLOOKUP($A73,'Data shares'!$C:$FB,42)</f>
        <v>18720900</v>
      </c>
      <c r="H73" s="49">
        <f>VLOOKUP($A73,'Data shares'!$C:$FB,43)</f>
        <v>132148350</v>
      </c>
      <c r="I73" s="50">
        <f>VLOOKUP($A73,'Data shares'!$C:$FB,45)*100</f>
        <v>-85.83</v>
      </c>
      <c r="J73" s="49">
        <f>VLOOKUP($A73,'Data shares'!$C:$FB,58)</f>
        <v>51370875</v>
      </c>
      <c r="K73" s="49">
        <f>VLOOKUP($A73,'Data shares'!$C:$FB,59)</f>
        <v>81893475</v>
      </c>
      <c r="L73" s="50">
        <f>VLOOKUP($A73,'Data shares'!$C:$FB,61)*100</f>
        <v>-37.269999999999996</v>
      </c>
      <c r="M73" s="49">
        <f>VLOOKUP($A73,'Data shares'!$C:$FB,62)</f>
        <v>10720575</v>
      </c>
      <c r="N73" s="49">
        <f>VLOOKUP($A73,'Data shares'!$C:$FB,63)</f>
        <v>54725850</v>
      </c>
      <c r="O73" s="140">
        <f>VLOOKUP($A73,'Data shares'!$C:$FB,65)*100</f>
        <v>-80.41</v>
      </c>
    </row>
    <row r="74" spans="1:15" x14ac:dyDescent="0.25">
      <c r="A74" s="101" t="str">
        <f>'Data Vlaue (Cr)'!C69</f>
        <v>GODREJCP</v>
      </c>
      <c r="B74" s="50">
        <f>VLOOKUP($A74,'Data shares'!$C:$FB,7)</f>
        <v>1171.8</v>
      </c>
      <c r="C74" s="50">
        <f>VLOOKUP($A74,'Data shares'!$C:$FB,10)*100</f>
        <v>-0.18</v>
      </c>
      <c r="D74" s="49">
        <f>VLOOKUP($A74,'Data shares'!$C:$FB,66)</f>
        <v>6128000</v>
      </c>
      <c r="E74" s="49">
        <f>VLOOKUP($A74,'Data shares'!$C:$FB,67)</f>
        <v>23313500</v>
      </c>
      <c r="F74" s="50">
        <f>VLOOKUP($A74,'Data shares'!$C:$FB,69)*100</f>
        <v>-73.709999999999994</v>
      </c>
      <c r="G74" s="49">
        <f>VLOOKUP($A74,'Data shares'!$C:$FB,42)</f>
        <v>1226000</v>
      </c>
      <c r="H74" s="49">
        <f>VLOOKUP($A74,'Data shares'!$C:$FB,43)</f>
        <v>9778000</v>
      </c>
      <c r="I74" s="50">
        <f>VLOOKUP($A74,'Data shares'!$C:$FB,45)*100</f>
        <v>-87.460000000000008</v>
      </c>
      <c r="J74" s="49">
        <f>VLOOKUP($A74,'Data shares'!$C:$FB,58)</f>
        <v>2569500</v>
      </c>
      <c r="K74" s="49">
        <f>VLOOKUP($A74,'Data shares'!$C:$FB,59)</f>
        <v>5683000</v>
      </c>
      <c r="L74" s="50">
        <f>VLOOKUP($A74,'Data shares'!$C:$FB,61)*100</f>
        <v>-54.790000000000006</v>
      </c>
      <c r="M74" s="49">
        <f>VLOOKUP($A74,'Data shares'!$C:$FB,62)</f>
        <v>2332500</v>
      </c>
      <c r="N74" s="49">
        <f>VLOOKUP($A74,'Data shares'!$C:$FB,63)</f>
        <v>7852500</v>
      </c>
      <c r="O74" s="140">
        <f>VLOOKUP($A74,'Data shares'!$C:$FB,65)*100</f>
        <v>-70.3</v>
      </c>
    </row>
    <row r="75" spans="1:15" x14ac:dyDescent="0.25">
      <c r="A75" s="101" t="str">
        <f>'Data Vlaue (Cr)'!C70</f>
        <v>GODREJPROP</v>
      </c>
      <c r="B75" s="50">
        <f>VLOOKUP($A75,'Data shares'!$C:$FB,7)</f>
        <v>1550.3</v>
      </c>
      <c r="C75" s="50">
        <f>VLOOKUP($A75,'Data shares'!$C:$FB,10)*100</f>
        <v>2.13</v>
      </c>
      <c r="D75" s="49">
        <f>VLOOKUP($A75,'Data shares'!$C:$FB,66)</f>
        <v>9728950</v>
      </c>
      <c r="E75" s="49">
        <f>VLOOKUP($A75,'Data shares'!$C:$FB,67)</f>
        <v>27090800</v>
      </c>
      <c r="F75" s="50">
        <f>VLOOKUP($A75,'Data shares'!$C:$FB,69)*100</f>
        <v>-64.09</v>
      </c>
      <c r="G75" s="49">
        <f>VLOOKUP($A75,'Data shares'!$C:$FB,42)</f>
        <v>2673275</v>
      </c>
      <c r="H75" s="49">
        <f>VLOOKUP($A75,'Data shares'!$C:$FB,43)</f>
        <v>10043550</v>
      </c>
      <c r="I75" s="50">
        <f>VLOOKUP($A75,'Data shares'!$C:$FB,45)*100</f>
        <v>-73.38</v>
      </c>
      <c r="J75" s="49">
        <f>VLOOKUP($A75,'Data shares'!$C:$FB,58)</f>
        <v>5330050</v>
      </c>
      <c r="K75" s="49">
        <f>VLOOKUP($A75,'Data shares'!$C:$FB,59)</f>
        <v>10074625</v>
      </c>
      <c r="L75" s="50">
        <f>VLOOKUP($A75,'Data shares'!$C:$FB,61)*100</f>
        <v>-47.089999999999996</v>
      </c>
      <c r="M75" s="49">
        <f>VLOOKUP($A75,'Data shares'!$C:$FB,62)</f>
        <v>1725625</v>
      </c>
      <c r="N75" s="49">
        <f>VLOOKUP($A75,'Data shares'!$C:$FB,63)</f>
        <v>6972625</v>
      </c>
      <c r="O75" s="140">
        <f>VLOOKUP($A75,'Data shares'!$C:$FB,65)*100</f>
        <v>-75.25</v>
      </c>
    </row>
    <row r="76" spans="1:15" x14ac:dyDescent="0.25">
      <c r="A76" s="101" t="str">
        <f>'Data Vlaue (Cr)'!C71</f>
        <v>GRASIM</v>
      </c>
      <c r="B76" s="50">
        <f>VLOOKUP($A76,'Data shares'!$C:$FB,7)</f>
        <v>2839.1</v>
      </c>
      <c r="C76" s="50">
        <f>VLOOKUP($A76,'Data shares'!$C:$FB,10)*100</f>
        <v>-0.6</v>
      </c>
      <c r="D76" s="49">
        <f>VLOOKUP($A76,'Data shares'!$C:$FB,66)</f>
        <v>3221750</v>
      </c>
      <c r="E76" s="49">
        <f>VLOOKUP($A76,'Data shares'!$C:$FB,67)</f>
        <v>13785000</v>
      </c>
      <c r="F76" s="50">
        <f>VLOOKUP($A76,'Data shares'!$C:$FB,69)*100</f>
        <v>-76.63</v>
      </c>
      <c r="G76" s="49">
        <f>VLOOKUP($A76,'Data shares'!$C:$FB,42)</f>
        <v>1001000</v>
      </c>
      <c r="H76" s="49">
        <f>VLOOKUP($A76,'Data shares'!$C:$FB,43)</f>
        <v>6540500</v>
      </c>
      <c r="I76" s="50">
        <f>VLOOKUP($A76,'Data shares'!$C:$FB,45)*100</f>
        <v>-84.7</v>
      </c>
      <c r="J76" s="49">
        <f>VLOOKUP($A76,'Data shares'!$C:$FB,58)</f>
        <v>1370500</v>
      </c>
      <c r="K76" s="49">
        <f>VLOOKUP($A76,'Data shares'!$C:$FB,59)</f>
        <v>4260750</v>
      </c>
      <c r="L76" s="50">
        <f>VLOOKUP($A76,'Data shares'!$C:$FB,61)*100</f>
        <v>-67.83</v>
      </c>
      <c r="M76" s="49">
        <f>VLOOKUP($A76,'Data shares'!$C:$FB,62)</f>
        <v>850250</v>
      </c>
      <c r="N76" s="49">
        <f>VLOOKUP($A76,'Data shares'!$C:$FB,63)</f>
        <v>2983750</v>
      </c>
      <c r="O76" s="140">
        <f>VLOOKUP($A76,'Data shares'!$C:$FB,65)*100</f>
        <v>-71.5</v>
      </c>
    </row>
    <row r="77" spans="1:15" x14ac:dyDescent="0.25">
      <c r="A77" s="101" t="str">
        <f>'Data Vlaue (Cr)'!C72</f>
        <v>HAL</v>
      </c>
      <c r="B77" s="50">
        <f>VLOOKUP($A77,'Data shares'!$C:$FB,7)</f>
        <v>4624</v>
      </c>
      <c r="C77" s="50">
        <f>VLOOKUP($A77,'Data shares'!$C:$FB,10)*100</f>
        <v>6.34</v>
      </c>
      <c r="D77" s="49">
        <f>VLOOKUP($A77,'Data shares'!$C:$FB,66)</f>
        <v>21934950</v>
      </c>
      <c r="E77" s="49">
        <f>VLOOKUP($A77,'Data shares'!$C:$FB,67)</f>
        <v>19661850</v>
      </c>
      <c r="F77" s="50">
        <f>VLOOKUP($A77,'Data shares'!$C:$FB,69)*100</f>
        <v>11.559999999999999</v>
      </c>
      <c r="G77" s="49">
        <f>VLOOKUP($A77,'Data shares'!$C:$FB,42)</f>
        <v>3375300</v>
      </c>
      <c r="H77" s="49">
        <f>VLOOKUP($A77,'Data shares'!$C:$FB,43)</f>
        <v>7002900</v>
      </c>
      <c r="I77" s="50">
        <f>VLOOKUP($A77,'Data shares'!$C:$FB,45)*100</f>
        <v>-51.800000000000004</v>
      </c>
      <c r="J77" s="49">
        <f>VLOOKUP($A77,'Data shares'!$C:$FB,58)</f>
        <v>14855850</v>
      </c>
      <c r="K77" s="49">
        <f>VLOOKUP($A77,'Data shares'!$C:$FB,59)</f>
        <v>8632200</v>
      </c>
      <c r="L77" s="50">
        <f>VLOOKUP($A77,'Data shares'!$C:$FB,61)*100</f>
        <v>72.099999999999994</v>
      </c>
      <c r="M77" s="49">
        <f>VLOOKUP($A77,'Data shares'!$C:$FB,62)</f>
        <v>3703800</v>
      </c>
      <c r="N77" s="49">
        <f>VLOOKUP($A77,'Data shares'!$C:$FB,63)</f>
        <v>4026750</v>
      </c>
      <c r="O77" s="140">
        <f>VLOOKUP($A77,'Data shares'!$C:$FB,65)*100</f>
        <v>-8.02</v>
      </c>
    </row>
    <row r="78" spans="1:15" x14ac:dyDescent="0.25">
      <c r="A78" s="101" t="str">
        <f>'Data Vlaue (Cr)'!C73</f>
        <v>HAVELLS</v>
      </c>
      <c r="B78" s="50">
        <f>VLOOKUP($A78,'Data shares'!$C:$FB,7)</f>
        <v>1286.8</v>
      </c>
      <c r="C78" s="50">
        <f>VLOOKUP($A78,'Data shares'!$C:$FB,10)*100</f>
        <v>-0.16</v>
      </c>
      <c r="D78" s="49">
        <f>VLOOKUP($A78,'Data shares'!$C:$FB,66)</f>
        <v>3292000</v>
      </c>
      <c r="E78" s="49">
        <f>VLOOKUP($A78,'Data shares'!$C:$FB,67)</f>
        <v>16292500</v>
      </c>
      <c r="F78" s="50">
        <f>VLOOKUP($A78,'Data shares'!$C:$FB,69)*100</f>
        <v>-79.790000000000006</v>
      </c>
      <c r="G78" s="49">
        <f>VLOOKUP($A78,'Data shares'!$C:$FB,42)</f>
        <v>1175000</v>
      </c>
      <c r="H78" s="49">
        <f>VLOOKUP($A78,'Data shares'!$C:$FB,43)</f>
        <v>7175500</v>
      </c>
      <c r="I78" s="50">
        <f>VLOOKUP($A78,'Data shares'!$C:$FB,45)*100</f>
        <v>-83.62</v>
      </c>
      <c r="J78" s="49">
        <f>VLOOKUP($A78,'Data shares'!$C:$FB,58)</f>
        <v>1396000</v>
      </c>
      <c r="K78" s="49">
        <f>VLOOKUP($A78,'Data shares'!$C:$FB,59)</f>
        <v>4504500</v>
      </c>
      <c r="L78" s="50">
        <f>VLOOKUP($A78,'Data shares'!$C:$FB,61)*100</f>
        <v>-69.010000000000005</v>
      </c>
      <c r="M78" s="49">
        <f>VLOOKUP($A78,'Data shares'!$C:$FB,62)</f>
        <v>721000</v>
      </c>
      <c r="N78" s="49">
        <f>VLOOKUP($A78,'Data shares'!$C:$FB,63)</f>
        <v>4612500</v>
      </c>
      <c r="O78" s="140">
        <f>VLOOKUP($A78,'Data shares'!$C:$FB,65)*100</f>
        <v>-84.37</v>
      </c>
    </row>
    <row r="79" spans="1:15" x14ac:dyDescent="0.25">
      <c r="A79" s="101" t="str">
        <f>'Data Vlaue (Cr)'!C74</f>
        <v>HCLTECH</v>
      </c>
      <c r="B79" s="50">
        <f>VLOOKUP($A79,'Data shares'!$C:$FB,7)</f>
        <v>1729.6</v>
      </c>
      <c r="C79" s="50">
        <f>VLOOKUP($A79,'Data shares'!$C:$FB,10)*100</f>
        <v>0.54999999999999993</v>
      </c>
      <c r="D79" s="49">
        <f>VLOOKUP($A79,'Data shares'!$C:$FB,66)</f>
        <v>10789100</v>
      </c>
      <c r="E79" s="49">
        <f>VLOOKUP($A79,'Data shares'!$C:$FB,67)</f>
        <v>19979750</v>
      </c>
      <c r="F79" s="50">
        <f>VLOOKUP($A79,'Data shares'!$C:$FB,69)*100</f>
        <v>-46</v>
      </c>
      <c r="G79" s="49">
        <f>VLOOKUP($A79,'Data shares'!$C:$FB,42)</f>
        <v>2313500</v>
      </c>
      <c r="H79" s="49">
        <f>VLOOKUP($A79,'Data shares'!$C:$FB,43)</f>
        <v>6486900</v>
      </c>
      <c r="I79" s="50">
        <f>VLOOKUP($A79,'Data shares'!$C:$FB,45)*100</f>
        <v>-64.34</v>
      </c>
      <c r="J79" s="49">
        <f>VLOOKUP($A79,'Data shares'!$C:$FB,58)</f>
        <v>5441800</v>
      </c>
      <c r="K79" s="49">
        <f>VLOOKUP($A79,'Data shares'!$C:$FB,59)</f>
        <v>8381450</v>
      </c>
      <c r="L79" s="50">
        <f>VLOOKUP($A79,'Data shares'!$C:$FB,61)*100</f>
        <v>-35.07</v>
      </c>
      <c r="M79" s="49">
        <f>VLOOKUP($A79,'Data shares'!$C:$FB,62)</f>
        <v>3033800</v>
      </c>
      <c r="N79" s="49">
        <f>VLOOKUP($A79,'Data shares'!$C:$FB,63)</f>
        <v>5111400</v>
      </c>
      <c r="O79" s="140">
        <f>VLOOKUP($A79,'Data shares'!$C:$FB,65)*100</f>
        <v>-40.65</v>
      </c>
    </row>
    <row r="80" spans="1:15" x14ac:dyDescent="0.25">
      <c r="A80" s="101" t="str">
        <f>'Data Vlaue (Cr)'!C75</f>
        <v>HDFCAMC</v>
      </c>
      <c r="B80" s="50">
        <f>VLOOKUP($A80,'Data shares'!$C:$FB,7)</f>
        <v>2477.6</v>
      </c>
      <c r="C80" s="50">
        <f>VLOOKUP($A80,'Data shares'!$C:$FB,10)*100</f>
        <v>1.67</v>
      </c>
      <c r="D80" s="49">
        <f>VLOOKUP($A80,'Data shares'!$C:$FB,66)</f>
        <v>2917500</v>
      </c>
      <c r="E80" s="49">
        <f>VLOOKUP($A80,'Data shares'!$C:$FB,67)</f>
        <v>5674800</v>
      </c>
      <c r="F80" s="50">
        <f>VLOOKUP($A80,'Data shares'!$C:$FB,69)*100</f>
        <v>-48.59</v>
      </c>
      <c r="G80" s="49">
        <f>VLOOKUP($A80,'Data shares'!$C:$FB,42)</f>
        <v>1109100</v>
      </c>
      <c r="H80" s="49">
        <f>VLOOKUP($A80,'Data shares'!$C:$FB,43)</f>
        <v>2547900</v>
      </c>
      <c r="I80" s="50">
        <f>VLOOKUP($A80,'Data shares'!$C:$FB,45)*100</f>
        <v>-56.47</v>
      </c>
      <c r="J80" s="49">
        <f>VLOOKUP($A80,'Data shares'!$C:$FB,58)</f>
        <v>1396500</v>
      </c>
      <c r="K80" s="49">
        <f>VLOOKUP($A80,'Data shares'!$C:$FB,59)</f>
        <v>1830900</v>
      </c>
      <c r="L80" s="50">
        <f>VLOOKUP($A80,'Data shares'!$C:$FB,61)*100</f>
        <v>-23.73</v>
      </c>
      <c r="M80" s="49">
        <f>VLOOKUP($A80,'Data shares'!$C:$FB,62)</f>
        <v>411900</v>
      </c>
      <c r="N80" s="49">
        <f>VLOOKUP($A80,'Data shares'!$C:$FB,63)</f>
        <v>1296000</v>
      </c>
      <c r="O80" s="140">
        <f>VLOOKUP($A80,'Data shares'!$C:$FB,65)*100</f>
        <v>-68.22</v>
      </c>
    </row>
    <row r="81" spans="1:15" x14ac:dyDescent="0.25">
      <c r="A81" s="101" t="str">
        <f>'Data Vlaue (Cr)'!C76</f>
        <v>HDFCBANK</v>
      </c>
      <c r="B81" s="50">
        <f>VLOOKUP($A81,'Data shares'!$C:$FB,7)</f>
        <v>932.7</v>
      </c>
      <c r="C81" s="50">
        <f>VLOOKUP($A81,'Data shares'!$C:$FB,10)*100</f>
        <v>0.67999999999999994</v>
      </c>
      <c r="D81" s="49">
        <f>VLOOKUP($A81,'Data shares'!$C:$FB,66)</f>
        <v>135216950</v>
      </c>
      <c r="E81" s="49">
        <f>VLOOKUP($A81,'Data shares'!$C:$FB,67)</f>
        <v>240249900</v>
      </c>
      <c r="F81" s="50">
        <f>VLOOKUP($A81,'Data shares'!$C:$FB,69)*100</f>
        <v>-43.72</v>
      </c>
      <c r="G81" s="49">
        <f>VLOOKUP($A81,'Data shares'!$C:$FB,42)</f>
        <v>29603200</v>
      </c>
      <c r="H81" s="49">
        <f>VLOOKUP($A81,'Data shares'!$C:$FB,43)</f>
        <v>103294950</v>
      </c>
      <c r="I81" s="50">
        <f>VLOOKUP($A81,'Data shares'!$C:$FB,45)*100</f>
        <v>-71.34</v>
      </c>
      <c r="J81" s="49">
        <f>VLOOKUP($A81,'Data shares'!$C:$FB,58)</f>
        <v>66180950</v>
      </c>
      <c r="K81" s="49">
        <f>VLOOKUP($A81,'Data shares'!$C:$FB,59)</f>
        <v>83163300</v>
      </c>
      <c r="L81" s="50">
        <f>VLOOKUP($A81,'Data shares'!$C:$FB,61)*100</f>
        <v>-20.419999999999998</v>
      </c>
      <c r="M81" s="49">
        <f>VLOOKUP($A81,'Data shares'!$C:$FB,62)</f>
        <v>39432800</v>
      </c>
      <c r="N81" s="49">
        <f>VLOOKUP($A81,'Data shares'!$C:$FB,63)</f>
        <v>53791650</v>
      </c>
      <c r="O81" s="140">
        <f>VLOOKUP($A81,'Data shares'!$C:$FB,65)*100</f>
        <v>-26.69</v>
      </c>
    </row>
    <row r="82" spans="1:15" x14ac:dyDescent="0.25">
      <c r="A82" s="101" t="str">
        <f>'Data Vlaue (Cr)'!C77</f>
        <v>HDFCLIFE</v>
      </c>
      <c r="B82" s="50">
        <f>VLOOKUP($A82,'Data shares'!$C:$FB,7)</f>
        <v>728.6</v>
      </c>
      <c r="C82" s="50">
        <f>VLOOKUP($A82,'Data shares'!$C:$FB,10)*100</f>
        <v>1.1900000000000002</v>
      </c>
      <c r="D82" s="49">
        <f>VLOOKUP($A82,'Data shares'!$C:$FB,66)</f>
        <v>16353700</v>
      </c>
      <c r="E82" s="49">
        <f>VLOOKUP($A82,'Data shares'!$C:$FB,67)</f>
        <v>28641800</v>
      </c>
      <c r="F82" s="50">
        <f>VLOOKUP($A82,'Data shares'!$C:$FB,69)*100</f>
        <v>-42.9</v>
      </c>
      <c r="G82" s="49">
        <f>VLOOKUP($A82,'Data shares'!$C:$FB,42)</f>
        <v>3069000</v>
      </c>
      <c r="H82" s="49">
        <f>VLOOKUP($A82,'Data shares'!$C:$FB,43)</f>
        <v>14846700</v>
      </c>
      <c r="I82" s="50">
        <f>VLOOKUP($A82,'Data shares'!$C:$FB,45)*100</f>
        <v>-79.33</v>
      </c>
      <c r="J82" s="49">
        <f>VLOOKUP($A82,'Data shares'!$C:$FB,58)</f>
        <v>10128800</v>
      </c>
      <c r="K82" s="49">
        <f>VLOOKUP($A82,'Data shares'!$C:$FB,59)</f>
        <v>8346800</v>
      </c>
      <c r="L82" s="50">
        <f>VLOOKUP($A82,'Data shares'!$C:$FB,61)*100</f>
        <v>21.349999999999998</v>
      </c>
      <c r="M82" s="49">
        <f>VLOOKUP($A82,'Data shares'!$C:$FB,62)</f>
        <v>3155900</v>
      </c>
      <c r="N82" s="49">
        <f>VLOOKUP($A82,'Data shares'!$C:$FB,63)</f>
        <v>5448300</v>
      </c>
      <c r="O82" s="140">
        <f>VLOOKUP($A82,'Data shares'!$C:$FB,65)*100</f>
        <v>-42.08</v>
      </c>
    </row>
    <row r="83" spans="1:15" x14ac:dyDescent="0.25">
      <c r="A83" s="101" t="str">
        <f>'Data Vlaue (Cr)'!C78</f>
        <v>HEROMOTOCO</v>
      </c>
      <c r="B83" s="50">
        <f>VLOOKUP($A83,'Data shares'!$C:$FB,7)</f>
        <v>5512.5</v>
      </c>
      <c r="C83" s="50">
        <f>VLOOKUP($A83,'Data shares'!$C:$FB,10)*100</f>
        <v>2.46</v>
      </c>
      <c r="D83" s="49">
        <f>VLOOKUP($A83,'Data shares'!$C:$FB,66)</f>
        <v>4766550</v>
      </c>
      <c r="E83" s="49">
        <f>VLOOKUP($A83,'Data shares'!$C:$FB,67)</f>
        <v>7159500</v>
      </c>
      <c r="F83" s="50">
        <f>VLOOKUP($A83,'Data shares'!$C:$FB,69)*100</f>
        <v>-33.42</v>
      </c>
      <c r="G83" s="49">
        <f>VLOOKUP($A83,'Data shares'!$C:$FB,42)</f>
        <v>1039650</v>
      </c>
      <c r="H83" s="49">
        <f>VLOOKUP($A83,'Data shares'!$C:$FB,43)</f>
        <v>2130450</v>
      </c>
      <c r="I83" s="50">
        <f>VLOOKUP($A83,'Data shares'!$C:$FB,45)*100</f>
        <v>-51.2</v>
      </c>
      <c r="J83" s="49">
        <f>VLOOKUP($A83,'Data shares'!$C:$FB,58)</f>
        <v>2560650</v>
      </c>
      <c r="K83" s="49">
        <f>VLOOKUP($A83,'Data shares'!$C:$FB,59)</f>
        <v>3319950</v>
      </c>
      <c r="L83" s="50">
        <f>VLOOKUP($A83,'Data shares'!$C:$FB,61)*100</f>
        <v>-22.869999999999997</v>
      </c>
      <c r="M83" s="49">
        <f>VLOOKUP($A83,'Data shares'!$C:$FB,62)</f>
        <v>1166250</v>
      </c>
      <c r="N83" s="49">
        <f>VLOOKUP($A83,'Data shares'!$C:$FB,63)</f>
        <v>1709100</v>
      </c>
      <c r="O83" s="140">
        <f>VLOOKUP($A83,'Data shares'!$C:$FB,65)*100</f>
        <v>-31.759999999999998</v>
      </c>
    </row>
    <row r="84" spans="1:15" x14ac:dyDescent="0.25">
      <c r="A84" s="101" t="str">
        <f>'Data Vlaue (Cr)'!C79</f>
        <v>HINDALCO</v>
      </c>
      <c r="B84" s="50">
        <f>VLOOKUP($A84,'Data shares'!$C:$FB,7)</f>
        <v>998.2</v>
      </c>
      <c r="C84" s="50">
        <f>VLOOKUP($A84,'Data shares'!$C:$FB,10)*100</f>
        <v>3.7800000000000002</v>
      </c>
      <c r="D84" s="49">
        <f>VLOOKUP($A84,'Data shares'!$C:$FB,66)</f>
        <v>74535300</v>
      </c>
      <c r="E84" s="49">
        <f>VLOOKUP($A84,'Data shares'!$C:$FB,67)</f>
        <v>69287400</v>
      </c>
      <c r="F84" s="50">
        <f>VLOOKUP($A84,'Data shares'!$C:$FB,69)*100</f>
        <v>7.57</v>
      </c>
      <c r="G84" s="49">
        <f>VLOOKUP($A84,'Data shares'!$C:$FB,42)</f>
        <v>18457600</v>
      </c>
      <c r="H84" s="49">
        <f>VLOOKUP($A84,'Data shares'!$C:$FB,43)</f>
        <v>30888200</v>
      </c>
      <c r="I84" s="50">
        <f>VLOOKUP($A84,'Data shares'!$C:$FB,45)*100</f>
        <v>-40.239999999999995</v>
      </c>
      <c r="J84" s="49">
        <f>VLOOKUP($A84,'Data shares'!$C:$FB,58)</f>
        <v>39139100</v>
      </c>
      <c r="K84" s="49">
        <f>VLOOKUP($A84,'Data shares'!$C:$FB,59)</f>
        <v>24843000</v>
      </c>
      <c r="L84" s="50">
        <f>VLOOKUP($A84,'Data shares'!$C:$FB,61)*100</f>
        <v>57.550000000000004</v>
      </c>
      <c r="M84" s="49">
        <f>VLOOKUP($A84,'Data shares'!$C:$FB,62)</f>
        <v>16938600</v>
      </c>
      <c r="N84" s="49">
        <f>VLOOKUP($A84,'Data shares'!$C:$FB,63)</f>
        <v>13556200</v>
      </c>
      <c r="O84" s="140">
        <f>VLOOKUP($A84,'Data shares'!$C:$FB,65)*100</f>
        <v>24.95</v>
      </c>
    </row>
    <row r="85" spans="1:15" x14ac:dyDescent="0.25">
      <c r="A85" s="101" t="str">
        <f>'Data Vlaue (Cr)'!C80</f>
        <v>HINDPETRO</v>
      </c>
      <c r="B85" s="50">
        <f>VLOOKUP($A85,'Data shares'!$C:$FB,7)</f>
        <v>433.25</v>
      </c>
      <c r="C85" s="50">
        <f>VLOOKUP($A85,'Data shares'!$C:$FB,10)*100</f>
        <v>3.3099999999999996</v>
      </c>
      <c r="D85" s="49">
        <f>VLOOKUP($A85,'Data shares'!$C:$FB,66)</f>
        <v>39799350</v>
      </c>
      <c r="E85" s="49">
        <f>VLOOKUP($A85,'Data shares'!$C:$FB,67)</f>
        <v>51260850</v>
      </c>
      <c r="F85" s="50">
        <f>VLOOKUP($A85,'Data shares'!$C:$FB,69)*100</f>
        <v>-22.36</v>
      </c>
      <c r="G85" s="49">
        <f>VLOOKUP($A85,'Data shares'!$C:$FB,42)</f>
        <v>7804350</v>
      </c>
      <c r="H85" s="49">
        <f>VLOOKUP($A85,'Data shares'!$C:$FB,43)</f>
        <v>27181575</v>
      </c>
      <c r="I85" s="50">
        <f>VLOOKUP($A85,'Data shares'!$C:$FB,45)*100</f>
        <v>-71.289999999999992</v>
      </c>
      <c r="J85" s="49">
        <f>VLOOKUP($A85,'Data shares'!$C:$FB,58)</f>
        <v>22153500</v>
      </c>
      <c r="K85" s="49">
        <f>VLOOKUP($A85,'Data shares'!$C:$FB,59)</f>
        <v>14474700</v>
      </c>
      <c r="L85" s="50">
        <f>VLOOKUP($A85,'Data shares'!$C:$FB,61)*100</f>
        <v>53.05</v>
      </c>
      <c r="M85" s="49">
        <f>VLOOKUP($A85,'Data shares'!$C:$FB,62)</f>
        <v>9841500</v>
      </c>
      <c r="N85" s="49">
        <f>VLOOKUP($A85,'Data shares'!$C:$FB,63)</f>
        <v>9604575</v>
      </c>
      <c r="O85" s="140">
        <f>VLOOKUP($A85,'Data shares'!$C:$FB,65)*100</f>
        <v>2.4699999999999998</v>
      </c>
    </row>
    <row r="86" spans="1:15" x14ac:dyDescent="0.25">
      <c r="A86" s="101" t="str">
        <f>'Data Vlaue (Cr)'!C81</f>
        <v>HINDUNILVR</v>
      </c>
      <c r="B86" s="50">
        <f>VLOOKUP($A86,'Data shares'!$C:$FB,7)</f>
        <v>2378.4</v>
      </c>
      <c r="C86" s="50">
        <f>VLOOKUP($A86,'Data shares'!$C:$FB,10)*100</f>
        <v>-0.94000000000000006</v>
      </c>
      <c r="D86" s="49">
        <f>VLOOKUP($A86,'Data shares'!$C:$FB,66)</f>
        <v>11094900</v>
      </c>
      <c r="E86" s="49">
        <f>VLOOKUP($A86,'Data shares'!$C:$FB,67)</f>
        <v>17518500</v>
      </c>
      <c r="F86" s="50">
        <f>VLOOKUP($A86,'Data shares'!$C:$FB,69)*100</f>
        <v>-36.67</v>
      </c>
      <c r="G86" s="49">
        <f>VLOOKUP($A86,'Data shares'!$C:$FB,42)</f>
        <v>2781900</v>
      </c>
      <c r="H86" s="49">
        <f>VLOOKUP($A86,'Data shares'!$C:$FB,43)</f>
        <v>6208200</v>
      </c>
      <c r="I86" s="50">
        <f>VLOOKUP($A86,'Data shares'!$C:$FB,45)*100</f>
        <v>-55.19</v>
      </c>
      <c r="J86" s="49">
        <f>VLOOKUP($A86,'Data shares'!$C:$FB,58)</f>
        <v>4616100</v>
      </c>
      <c r="K86" s="49">
        <f>VLOOKUP($A86,'Data shares'!$C:$FB,59)</f>
        <v>7200000</v>
      </c>
      <c r="L86" s="50">
        <f>VLOOKUP($A86,'Data shares'!$C:$FB,61)*100</f>
        <v>-35.89</v>
      </c>
      <c r="M86" s="49">
        <f>VLOOKUP($A86,'Data shares'!$C:$FB,62)</f>
        <v>3696900</v>
      </c>
      <c r="N86" s="49">
        <f>VLOOKUP($A86,'Data shares'!$C:$FB,63)</f>
        <v>4110300</v>
      </c>
      <c r="O86" s="140">
        <f>VLOOKUP($A86,'Data shares'!$C:$FB,65)*100</f>
        <v>-10.059999999999999</v>
      </c>
    </row>
    <row r="87" spans="1:15" x14ac:dyDescent="0.25">
      <c r="A87" s="101" t="str">
        <f>'Data Vlaue (Cr)'!C82</f>
        <v>HINDZINC</v>
      </c>
      <c r="B87" s="50">
        <f>VLOOKUP($A87,'Data shares'!$C:$FB,7)</f>
        <v>708.2</v>
      </c>
      <c r="C87" s="50">
        <f>VLOOKUP($A87,'Data shares'!$C:$FB,10)*100</f>
        <v>-2.6100000000000003</v>
      </c>
      <c r="D87" s="49">
        <f>VLOOKUP($A87,'Data shares'!$C:$FB,66)</f>
        <v>283234700</v>
      </c>
      <c r="E87" s="49">
        <f>VLOOKUP($A87,'Data shares'!$C:$FB,67)</f>
        <v>290348275</v>
      </c>
      <c r="F87" s="50">
        <f>VLOOKUP($A87,'Data shares'!$C:$FB,69)*100</f>
        <v>-2.4500000000000002</v>
      </c>
      <c r="G87" s="49">
        <f>VLOOKUP($A87,'Data shares'!$C:$FB,42)</f>
        <v>44419725</v>
      </c>
      <c r="H87" s="49">
        <f>VLOOKUP($A87,'Data shares'!$C:$FB,43)</f>
        <v>44991800</v>
      </c>
      <c r="I87" s="50">
        <f>VLOOKUP($A87,'Data shares'!$C:$FB,45)*100</f>
        <v>-1.27</v>
      </c>
      <c r="J87" s="49">
        <f>VLOOKUP($A87,'Data shares'!$C:$FB,58)</f>
        <v>172978575</v>
      </c>
      <c r="K87" s="49">
        <f>VLOOKUP($A87,'Data shares'!$C:$FB,59)</f>
        <v>164228400</v>
      </c>
      <c r="L87" s="50">
        <f>VLOOKUP($A87,'Data shares'!$C:$FB,61)*100</f>
        <v>5.33</v>
      </c>
      <c r="M87" s="49">
        <f>VLOOKUP($A87,'Data shares'!$C:$FB,62)</f>
        <v>65836400</v>
      </c>
      <c r="N87" s="49">
        <f>VLOOKUP($A87,'Data shares'!$C:$FB,63)</f>
        <v>81128075</v>
      </c>
      <c r="O87" s="140">
        <f>VLOOKUP($A87,'Data shares'!$C:$FB,65)*100</f>
        <v>-18.850000000000001</v>
      </c>
    </row>
    <row r="88" spans="1:15" x14ac:dyDescent="0.25">
      <c r="A88" s="101" t="str">
        <f>'Data Vlaue (Cr)'!C83</f>
        <v>HUDCO</v>
      </c>
      <c r="B88" s="50">
        <f>VLOOKUP($A88,'Data shares'!$C:$FB,7)</f>
        <v>204.33</v>
      </c>
      <c r="C88" s="50">
        <f>VLOOKUP($A88,'Data shares'!$C:$FB,10)*100</f>
        <v>3.1300000000000003</v>
      </c>
      <c r="D88" s="49">
        <f>VLOOKUP($A88,'Data shares'!$C:$FB,66)</f>
        <v>33169575</v>
      </c>
      <c r="E88" s="49">
        <f>VLOOKUP($A88,'Data shares'!$C:$FB,67)</f>
        <v>85889025</v>
      </c>
      <c r="F88" s="50">
        <f>VLOOKUP($A88,'Data shares'!$C:$FB,69)*100</f>
        <v>-61.38</v>
      </c>
      <c r="G88" s="49">
        <f>VLOOKUP($A88,'Data shares'!$C:$FB,42)</f>
        <v>9737475</v>
      </c>
      <c r="H88" s="49">
        <f>VLOOKUP($A88,'Data shares'!$C:$FB,43)</f>
        <v>48737325</v>
      </c>
      <c r="I88" s="50">
        <f>VLOOKUP($A88,'Data shares'!$C:$FB,45)*100</f>
        <v>-80.02</v>
      </c>
      <c r="J88" s="49">
        <f>VLOOKUP($A88,'Data shares'!$C:$FB,58)</f>
        <v>15503925</v>
      </c>
      <c r="K88" s="49">
        <f>VLOOKUP($A88,'Data shares'!$C:$FB,59)</f>
        <v>19189125</v>
      </c>
      <c r="L88" s="50">
        <f>VLOOKUP($A88,'Data shares'!$C:$FB,61)*100</f>
        <v>-19.2</v>
      </c>
      <c r="M88" s="49">
        <f>VLOOKUP($A88,'Data shares'!$C:$FB,62)</f>
        <v>7928175</v>
      </c>
      <c r="N88" s="49">
        <f>VLOOKUP($A88,'Data shares'!$C:$FB,63)</f>
        <v>17962575</v>
      </c>
      <c r="O88" s="140">
        <f>VLOOKUP($A88,'Data shares'!$C:$FB,65)*100</f>
        <v>-55.86</v>
      </c>
    </row>
    <row r="89" spans="1:15" x14ac:dyDescent="0.25">
      <c r="A89" s="101" t="str">
        <f>'Data Vlaue (Cr)'!C84</f>
        <v>ICICIBANK</v>
      </c>
      <c r="B89" s="50">
        <f>VLOOKUP($A89,'Data shares'!$C:$FB,7)</f>
        <v>1367.7</v>
      </c>
      <c r="C89" s="50">
        <f>VLOOKUP($A89,'Data shares'!$C:$FB,10)*100</f>
        <v>0.45999999999999996</v>
      </c>
      <c r="D89" s="49">
        <f>VLOOKUP($A89,'Data shares'!$C:$FB,66)</f>
        <v>65291800</v>
      </c>
      <c r="E89" s="49">
        <f>VLOOKUP($A89,'Data shares'!$C:$FB,67)</f>
        <v>161403200</v>
      </c>
      <c r="F89" s="50">
        <f>VLOOKUP($A89,'Data shares'!$C:$FB,69)*100</f>
        <v>-59.550000000000004</v>
      </c>
      <c r="G89" s="49">
        <f>VLOOKUP($A89,'Data shares'!$C:$FB,42)</f>
        <v>13757100</v>
      </c>
      <c r="H89" s="49">
        <f>VLOOKUP($A89,'Data shares'!$C:$FB,43)</f>
        <v>55083700</v>
      </c>
      <c r="I89" s="50">
        <f>VLOOKUP($A89,'Data shares'!$C:$FB,45)*100</f>
        <v>-75.03</v>
      </c>
      <c r="J89" s="49">
        <f>VLOOKUP($A89,'Data shares'!$C:$FB,58)</f>
        <v>30606100</v>
      </c>
      <c r="K89" s="49">
        <f>VLOOKUP($A89,'Data shares'!$C:$FB,59)</f>
        <v>66488100</v>
      </c>
      <c r="L89" s="50">
        <f>VLOOKUP($A89,'Data shares'!$C:$FB,61)*100</f>
        <v>-53.97</v>
      </c>
      <c r="M89" s="49">
        <f>VLOOKUP($A89,'Data shares'!$C:$FB,62)</f>
        <v>20928600</v>
      </c>
      <c r="N89" s="49">
        <f>VLOOKUP($A89,'Data shares'!$C:$FB,63)</f>
        <v>39831400</v>
      </c>
      <c r="O89" s="140">
        <f>VLOOKUP($A89,'Data shares'!$C:$FB,65)*100</f>
        <v>-47.46</v>
      </c>
    </row>
    <row r="90" spans="1:15" x14ac:dyDescent="0.25">
      <c r="A90" s="101" t="str">
        <f>'Data Vlaue (Cr)'!C85</f>
        <v>ICICIGI</v>
      </c>
      <c r="B90" s="50">
        <f>VLOOKUP($A90,'Data shares'!$C:$FB,7)</f>
        <v>1822.2</v>
      </c>
      <c r="C90" s="50">
        <f>VLOOKUP($A90,'Data shares'!$C:$FB,10)*100</f>
        <v>0.89999999999999991</v>
      </c>
      <c r="D90" s="49">
        <f>VLOOKUP($A90,'Data shares'!$C:$FB,66)</f>
        <v>963950</v>
      </c>
      <c r="E90" s="49">
        <f>VLOOKUP($A90,'Data shares'!$C:$FB,67)</f>
        <v>4083950</v>
      </c>
      <c r="F90" s="50">
        <f>VLOOKUP($A90,'Data shares'!$C:$FB,69)*100</f>
        <v>-76.400000000000006</v>
      </c>
      <c r="G90" s="49">
        <f>VLOOKUP($A90,'Data shares'!$C:$FB,42)</f>
        <v>350350</v>
      </c>
      <c r="H90" s="49">
        <f>VLOOKUP($A90,'Data shares'!$C:$FB,43)</f>
        <v>2592200</v>
      </c>
      <c r="I90" s="50">
        <f>VLOOKUP($A90,'Data shares'!$C:$FB,45)*100</f>
        <v>-86.48</v>
      </c>
      <c r="J90" s="49">
        <f>VLOOKUP($A90,'Data shares'!$C:$FB,58)</f>
        <v>299975</v>
      </c>
      <c r="K90" s="49">
        <f>VLOOKUP($A90,'Data shares'!$C:$FB,59)</f>
        <v>607750</v>
      </c>
      <c r="L90" s="50">
        <f>VLOOKUP($A90,'Data shares'!$C:$FB,61)*100</f>
        <v>-50.639999999999993</v>
      </c>
      <c r="M90" s="49">
        <f>VLOOKUP($A90,'Data shares'!$C:$FB,62)</f>
        <v>313625</v>
      </c>
      <c r="N90" s="49">
        <f>VLOOKUP($A90,'Data shares'!$C:$FB,63)</f>
        <v>884000</v>
      </c>
      <c r="O90" s="140">
        <f>VLOOKUP($A90,'Data shares'!$C:$FB,65)*100</f>
        <v>-64.52</v>
      </c>
    </row>
    <row r="91" spans="1:15" x14ac:dyDescent="0.25">
      <c r="A91" s="101" t="str">
        <f>'Data Vlaue (Cr)'!C86</f>
        <v>ICICIPRULI</v>
      </c>
      <c r="B91" s="50">
        <f>VLOOKUP($A91,'Data shares'!$C:$FB,7)</f>
        <v>642.4</v>
      </c>
      <c r="C91" s="50">
        <f>VLOOKUP($A91,'Data shares'!$C:$FB,10)*100</f>
        <v>-0.22999999999999998</v>
      </c>
      <c r="D91" s="49">
        <f>VLOOKUP($A91,'Data shares'!$C:$FB,66)</f>
        <v>3725900</v>
      </c>
      <c r="E91" s="49">
        <f>VLOOKUP($A91,'Data shares'!$C:$FB,67)</f>
        <v>9929875</v>
      </c>
      <c r="F91" s="50">
        <f>VLOOKUP($A91,'Data shares'!$C:$FB,69)*100</f>
        <v>-62.480000000000004</v>
      </c>
      <c r="G91" s="49">
        <f>VLOOKUP($A91,'Data shares'!$C:$FB,42)</f>
        <v>1254300</v>
      </c>
      <c r="H91" s="49">
        <f>VLOOKUP($A91,'Data shares'!$C:$FB,43)</f>
        <v>4558400</v>
      </c>
      <c r="I91" s="50">
        <f>VLOOKUP($A91,'Data shares'!$C:$FB,45)*100</f>
        <v>-72.48</v>
      </c>
      <c r="J91" s="49">
        <f>VLOOKUP($A91,'Data shares'!$C:$FB,58)</f>
        <v>1317200</v>
      </c>
      <c r="K91" s="49">
        <f>VLOOKUP($A91,'Data shares'!$C:$FB,59)</f>
        <v>2881375</v>
      </c>
      <c r="L91" s="50">
        <f>VLOOKUP($A91,'Data shares'!$C:$FB,61)*100</f>
        <v>-54.290000000000006</v>
      </c>
      <c r="M91" s="49">
        <f>VLOOKUP($A91,'Data shares'!$C:$FB,62)</f>
        <v>1154400</v>
      </c>
      <c r="N91" s="49">
        <f>VLOOKUP($A91,'Data shares'!$C:$FB,63)</f>
        <v>2490100</v>
      </c>
      <c r="O91" s="140">
        <f>VLOOKUP($A91,'Data shares'!$C:$FB,65)*100</f>
        <v>-53.64</v>
      </c>
    </row>
    <row r="92" spans="1:15" x14ac:dyDescent="0.25">
      <c r="A92" s="101" t="str">
        <f>'Data Vlaue (Cr)'!C87</f>
        <v>IDEA</v>
      </c>
      <c r="B92" s="50">
        <f>VLOOKUP($A92,'Data shares'!$C:$FB,7)</f>
        <v>9.9499999999999993</v>
      </c>
      <c r="C92" s="50">
        <f>VLOOKUP($A92,'Data shares'!$C:$FB,10)*100</f>
        <v>1.22</v>
      </c>
      <c r="D92" s="49">
        <f>VLOOKUP($A92,'Data shares'!$C:$FB,66)</f>
        <v>2994302175</v>
      </c>
      <c r="E92" s="49">
        <f>VLOOKUP($A92,'Data shares'!$C:$FB,67)</f>
        <v>7865680800</v>
      </c>
      <c r="F92" s="50">
        <f>VLOOKUP($A92,'Data shares'!$C:$FB,69)*100</f>
        <v>-61.929999999999993</v>
      </c>
      <c r="G92" s="49">
        <f>VLOOKUP($A92,'Data shares'!$C:$FB,42)</f>
        <v>839259450</v>
      </c>
      <c r="H92" s="49">
        <f>VLOOKUP($A92,'Data shares'!$C:$FB,43)</f>
        <v>5033483925</v>
      </c>
      <c r="I92" s="50">
        <f>VLOOKUP($A92,'Data shares'!$C:$FB,45)*100</f>
        <v>-83.33</v>
      </c>
      <c r="J92" s="49">
        <f>VLOOKUP($A92,'Data shares'!$C:$FB,58)</f>
        <v>1704607275</v>
      </c>
      <c r="K92" s="49">
        <f>VLOOKUP($A92,'Data shares'!$C:$FB,59)</f>
        <v>1610832075</v>
      </c>
      <c r="L92" s="50">
        <f>VLOOKUP($A92,'Data shares'!$C:$FB,61)*100</f>
        <v>5.82</v>
      </c>
      <c r="M92" s="49">
        <f>VLOOKUP($A92,'Data shares'!$C:$FB,62)</f>
        <v>450435450</v>
      </c>
      <c r="N92" s="49">
        <f>VLOOKUP($A92,'Data shares'!$C:$FB,63)</f>
        <v>1221364800</v>
      </c>
      <c r="O92" s="140">
        <f>VLOOKUP($A92,'Data shares'!$C:$FB,65)*100</f>
        <v>-63.12</v>
      </c>
    </row>
    <row r="93" spans="1:15" x14ac:dyDescent="0.25">
      <c r="A93" s="101" t="str">
        <f>'Data Vlaue (Cr)'!C88</f>
        <v>IDFCFIRSTB</v>
      </c>
      <c r="B93" s="50">
        <f>VLOOKUP($A93,'Data shares'!$C:$FB,7)</f>
        <v>82.93</v>
      </c>
      <c r="C93" s="50">
        <f>VLOOKUP($A93,'Data shares'!$C:$FB,10)*100</f>
        <v>-0.67999999999999994</v>
      </c>
      <c r="D93" s="49">
        <f>VLOOKUP($A93,'Data shares'!$C:$FB,66)</f>
        <v>153399225</v>
      </c>
      <c r="E93" s="49">
        <f>VLOOKUP($A93,'Data shares'!$C:$FB,67)</f>
        <v>340067875</v>
      </c>
      <c r="F93" s="50">
        <f>VLOOKUP($A93,'Data shares'!$C:$FB,69)*100</f>
        <v>-54.890000000000008</v>
      </c>
      <c r="G93" s="49">
        <f>VLOOKUP($A93,'Data shares'!$C:$FB,42)</f>
        <v>40958400</v>
      </c>
      <c r="H93" s="49">
        <f>VLOOKUP($A93,'Data shares'!$C:$FB,43)</f>
        <v>160244175</v>
      </c>
      <c r="I93" s="50">
        <f>VLOOKUP($A93,'Data shares'!$C:$FB,45)*100</f>
        <v>-74.44</v>
      </c>
      <c r="J93" s="49">
        <f>VLOOKUP($A93,'Data shares'!$C:$FB,58)</f>
        <v>65268175</v>
      </c>
      <c r="K93" s="49">
        <f>VLOOKUP($A93,'Data shares'!$C:$FB,59)</f>
        <v>102321800</v>
      </c>
      <c r="L93" s="50">
        <f>VLOOKUP($A93,'Data shares'!$C:$FB,61)*100</f>
        <v>-36.21</v>
      </c>
      <c r="M93" s="49">
        <f>VLOOKUP($A93,'Data shares'!$C:$FB,62)</f>
        <v>47172650</v>
      </c>
      <c r="N93" s="49">
        <f>VLOOKUP($A93,'Data shares'!$C:$FB,63)</f>
        <v>77501900</v>
      </c>
      <c r="O93" s="140">
        <f>VLOOKUP($A93,'Data shares'!$C:$FB,65)*100</f>
        <v>-39.129999999999995</v>
      </c>
    </row>
    <row r="94" spans="1:15" x14ac:dyDescent="0.25">
      <c r="A94" s="101" t="str">
        <f>'Data Vlaue (Cr)'!C89</f>
        <v>IEX</v>
      </c>
      <c r="B94" s="50">
        <f>VLOOKUP($A94,'Data shares'!$C:$FB,7)</f>
        <v>128.71</v>
      </c>
      <c r="C94" s="50">
        <f>VLOOKUP($A94,'Data shares'!$C:$FB,10)*100</f>
        <v>0.91</v>
      </c>
      <c r="D94" s="49">
        <f>VLOOKUP($A94,'Data shares'!$C:$FB,66)</f>
        <v>43331250</v>
      </c>
      <c r="E94" s="49">
        <f>VLOOKUP($A94,'Data shares'!$C:$FB,67)</f>
        <v>164696250</v>
      </c>
      <c r="F94" s="50">
        <f>VLOOKUP($A94,'Data shares'!$C:$FB,69)*100</f>
        <v>-73.69</v>
      </c>
      <c r="G94" s="49">
        <f>VLOOKUP($A94,'Data shares'!$C:$FB,42)</f>
        <v>9108750</v>
      </c>
      <c r="H94" s="49">
        <f>VLOOKUP($A94,'Data shares'!$C:$FB,43)</f>
        <v>63416250</v>
      </c>
      <c r="I94" s="50">
        <f>VLOOKUP($A94,'Data shares'!$C:$FB,45)*100</f>
        <v>-85.64</v>
      </c>
      <c r="J94" s="49">
        <f>VLOOKUP($A94,'Data shares'!$C:$FB,58)</f>
        <v>24093750</v>
      </c>
      <c r="K94" s="49">
        <f>VLOOKUP($A94,'Data shares'!$C:$FB,59)</f>
        <v>59557500</v>
      </c>
      <c r="L94" s="50">
        <f>VLOOKUP($A94,'Data shares'!$C:$FB,61)*100</f>
        <v>-59.550000000000004</v>
      </c>
      <c r="M94" s="49">
        <f>VLOOKUP($A94,'Data shares'!$C:$FB,62)</f>
        <v>10128750</v>
      </c>
      <c r="N94" s="49">
        <f>VLOOKUP($A94,'Data shares'!$C:$FB,63)</f>
        <v>41722500</v>
      </c>
      <c r="O94" s="140">
        <f>VLOOKUP($A94,'Data shares'!$C:$FB,65)*100</f>
        <v>-75.72</v>
      </c>
    </row>
    <row r="95" spans="1:15" x14ac:dyDescent="0.25">
      <c r="A95" s="101" t="str">
        <f>'Data Vlaue (Cr)'!C90</f>
        <v>INDHOTEL</v>
      </c>
      <c r="B95" s="50">
        <f>VLOOKUP($A95,'Data shares'!$C:$FB,7)</f>
        <v>656.2</v>
      </c>
      <c r="C95" s="50">
        <f>VLOOKUP($A95,'Data shares'!$C:$FB,10)*100</f>
        <v>0.74</v>
      </c>
      <c r="D95" s="49">
        <f>VLOOKUP($A95,'Data shares'!$C:$FB,66)</f>
        <v>7786000</v>
      </c>
      <c r="E95" s="49">
        <f>VLOOKUP($A95,'Data shares'!$C:$FB,67)</f>
        <v>38683000</v>
      </c>
      <c r="F95" s="50">
        <f>VLOOKUP($A95,'Data shares'!$C:$FB,69)*100</f>
        <v>-79.86999999999999</v>
      </c>
      <c r="G95" s="49">
        <f>VLOOKUP($A95,'Data shares'!$C:$FB,42)</f>
        <v>2663000</v>
      </c>
      <c r="H95" s="49">
        <f>VLOOKUP($A95,'Data shares'!$C:$FB,43)</f>
        <v>22561000</v>
      </c>
      <c r="I95" s="50">
        <f>VLOOKUP($A95,'Data shares'!$C:$FB,45)*100</f>
        <v>-88.2</v>
      </c>
      <c r="J95" s="49">
        <f>VLOOKUP($A95,'Data shares'!$C:$FB,58)</f>
        <v>3740000</v>
      </c>
      <c r="K95" s="49">
        <f>VLOOKUP($A95,'Data shares'!$C:$FB,59)</f>
        <v>8548000</v>
      </c>
      <c r="L95" s="50">
        <f>VLOOKUP($A95,'Data shares'!$C:$FB,61)*100</f>
        <v>-56.25</v>
      </c>
      <c r="M95" s="49">
        <f>VLOOKUP($A95,'Data shares'!$C:$FB,62)</f>
        <v>1383000</v>
      </c>
      <c r="N95" s="49">
        <f>VLOOKUP($A95,'Data shares'!$C:$FB,63)</f>
        <v>7574000</v>
      </c>
      <c r="O95" s="140">
        <f>VLOOKUP($A95,'Data shares'!$C:$FB,65)*100</f>
        <v>-81.739999999999995</v>
      </c>
    </row>
    <row r="96" spans="1:15" x14ac:dyDescent="0.25">
      <c r="A96" s="101" t="str">
        <f>'Data Vlaue (Cr)'!C91</f>
        <v>INDIANB</v>
      </c>
      <c r="B96" s="50">
        <f>VLOOKUP($A96,'Data shares'!$C:$FB,7)</f>
        <v>898.35</v>
      </c>
      <c r="C96" s="50">
        <f>VLOOKUP($A96,'Data shares'!$C:$FB,10)*100</f>
        <v>2.4699999999999998</v>
      </c>
      <c r="D96" s="49">
        <f>VLOOKUP($A96,'Data shares'!$C:$FB,66)</f>
        <v>9002000</v>
      </c>
      <c r="E96" s="49">
        <f>VLOOKUP($A96,'Data shares'!$C:$FB,67)</f>
        <v>17774000</v>
      </c>
      <c r="F96" s="50">
        <f>VLOOKUP($A96,'Data shares'!$C:$FB,69)*100</f>
        <v>-49.35</v>
      </c>
      <c r="G96" s="49">
        <f>VLOOKUP($A96,'Data shares'!$C:$FB,42)</f>
        <v>2367000</v>
      </c>
      <c r="H96" s="49">
        <f>VLOOKUP($A96,'Data shares'!$C:$FB,43)</f>
        <v>6227000</v>
      </c>
      <c r="I96" s="50">
        <f>VLOOKUP($A96,'Data shares'!$C:$FB,45)*100</f>
        <v>-61.99</v>
      </c>
      <c r="J96" s="49">
        <f>VLOOKUP($A96,'Data shares'!$C:$FB,58)</f>
        <v>5097000</v>
      </c>
      <c r="K96" s="49">
        <f>VLOOKUP($A96,'Data shares'!$C:$FB,59)</f>
        <v>7289000</v>
      </c>
      <c r="L96" s="50">
        <f>VLOOKUP($A96,'Data shares'!$C:$FB,61)*100</f>
        <v>-30.070000000000004</v>
      </c>
      <c r="M96" s="49">
        <f>VLOOKUP($A96,'Data shares'!$C:$FB,62)</f>
        <v>1538000</v>
      </c>
      <c r="N96" s="49">
        <f>VLOOKUP($A96,'Data shares'!$C:$FB,63)</f>
        <v>4258000</v>
      </c>
      <c r="O96" s="140">
        <f>VLOOKUP($A96,'Data shares'!$C:$FB,65)*100</f>
        <v>-63.88</v>
      </c>
    </row>
    <row r="97" spans="1:15" x14ac:dyDescent="0.25">
      <c r="A97" s="101" t="str">
        <f>'Data Vlaue (Cr)'!C92</f>
        <v>INDIAVIX</v>
      </c>
      <c r="B97" s="50">
        <f>VLOOKUP($A97,'Data shares'!$C:$FB,7)</f>
        <v>13.53</v>
      </c>
      <c r="C97" s="50">
        <f>VLOOKUP($A97,'Data shares'!$C:$FB,10)*100</f>
        <v>-6.4</v>
      </c>
      <c r="D97" s="49">
        <f>VLOOKUP($A97,'Data shares'!$C:$FB,66)</f>
        <v>0</v>
      </c>
      <c r="E97" s="49">
        <f>VLOOKUP($A97,'Data shares'!$C:$FB,67)</f>
        <v>0</v>
      </c>
      <c r="F97" s="50">
        <f>VLOOKUP($A97,'Data shares'!$C:$FB,69)*100</f>
        <v>0</v>
      </c>
      <c r="G97" s="49">
        <f>VLOOKUP($A97,'Data shares'!$C:$FB,42)</f>
        <v>0</v>
      </c>
      <c r="H97" s="49">
        <f>VLOOKUP($A97,'Data shares'!$C:$FB,43)</f>
        <v>0</v>
      </c>
      <c r="I97" s="50">
        <f>VLOOKUP($A97,'Data shares'!$C:$FB,45)*100</f>
        <v>0</v>
      </c>
      <c r="J97" s="49">
        <f>VLOOKUP($A97,'Data shares'!$C:$FB,58)</f>
        <v>0</v>
      </c>
      <c r="K97" s="49">
        <f>VLOOKUP($A97,'Data shares'!$C:$FB,59)</f>
        <v>0</v>
      </c>
      <c r="L97" s="50">
        <f>VLOOKUP($A97,'Data shares'!$C:$FB,61)*100</f>
        <v>0</v>
      </c>
      <c r="M97" s="49">
        <f>VLOOKUP($A97,'Data shares'!$C:$FB,62)</f>
        <v>0</v>
      </c>
      <c r="N97" s="49">
        <f>VLOOKUP($A97,'Data shares'!$C:$FB,63)</f>
        <v>0</v>
      </c>
      <c r="O97" s="140">
        <f>VLOOKUP($A97,'Data shares'!$C:$FB,65)*100</f>
        <v>0</v>
      </c>
    </row>
    <row r="98" spans="1:15" x14ac:dyDescent="0.25">
      <c r="A98" s="101" t="str">
        <f>'Data Vlaue (Cr)'!C93</f>
        <v>INDIGO</v>
      </c>
      <c r="B98" s="50">
        <f>VLOOKUP($A98,'Data shares'!$C:$FB,7)</f>
        <v>4749</v>
      </c>
      <c r="C98" s="50">
        <f>VLOOKUP($A98,'Data shares'!$C:$FB,10)*100</f>
        <v>-0.42</v>
      </c>
      <c r="D98" s="49">
        <f>VLOOKUP($A98,'Data shares'!$C:$FB,66)</f>
        <v>5868450</v>
      </c>
      <c r="E98" s="49">
        <f>VLOOKUP($A98,'Data shares'!$C:$FB,67)</f>
        <v>17053950</v>
      </c>
      <c r="F98" s="50">
        <f>VLOOKUP($A98,'Data shares'!$C:$FB,69)*100</f>
        <v>-65.59</v>
      </c>
      <c r="G98" s="49">
        <f>VLOOKUP($A98,'Data shares'!$C:$FB,42)</f>
        <v>1381350</v>
      </c>
      <c r="H98" s="49">
        <f>VLOOKUP($A98,'Data shares'!$C:$FB,43)</f>
        <v>6555750</v>
      </c>
      <c r="I98" s="50">
        <f>VLOOKUP($A98,'Data shares'!$C:$FB,45)*100</f>
        <v>-78.930000000000007</v>
      </c>
      <c r="J98" s="49">
        <f>VLOOKUP($A98,'Data shares'!$C:$FB,58)</f>
        <v>2458350</v>
      </c>
      <c r="K98" s="49">
        <f>VLOOKUP($A98,'Data shares'!$C:$FB,59)</f>
        <v>5799900</v>
      </c>
      <c r="L98" s="50">
        <f>VLOOKUP($A98,'Data shares'!$C:$FB,61)*100</f>
        <v>-57.609999999999992</v>
      </c>
      <c r="M98" s="49">
        <f>VLOOKUP($A98,'Data shares'!$C:$FB,62)</f>
        <v>2028750</v>
      </c>
      <c r="N98" s="49">
        <f>VLOOKUP($A98,'Data shares'!$C:$FB,63)</f>
        <v>4698300</v>
      </c>
      <c r="O98" s="140">
        <f>VLOOKUP($A98,'Data shares'!$C:$FB,65)*100</f>
        <v>-56.820000000000007</v>
      </c>
    </row>
    <row r="99" spans="1:15" x14ac:dyDescent="0.25">
      <c r="A99" s="101" t="str">
        <f>'Data Vlaue (Cr)'!C94</f>
        <v>INDUSINDBK</v>
      </c>
      <c r="B99" s="50">
        <f>VLOOKUP($A99,'Data shares'!$C:$FB,7)</f>
        <v>901.7</v>
      </c>
      <c r="C99" s="50">
        <f>VLOOKUP($A99,'Data shares'!$C:$FB,10)*100</f>
        <v>0.77999999999999992</v>
      </c>
      <c r="D99" s="49">
        <f>VLOOKUP($A99,'Data shares'!$C:$FB,66)</f>
        <v>22726900</v>
      </c>
      <c r="E99" s="49">
        <f>VLOOKUP($A99,'Data shares'!$C:$FB,67)</f>
        <v>100676800</v>
      </c>
      <c r="F99" s="50">
        <f>VLOOKUP($A99,'Data shares'!$C:$FB,69)*100</f>
        <v>-77.429999999999993</v>
      </c>
      <c r="G99" s="49">
        <f>VLOOKUP($A99,'Data shares'!$C:$FB,42)</f>
        <v>5905200</v>
      </c>
      <c r="H99" s="49">
        <f>VLOOKUP($A99,'Data shares'!$C:$FB,43)</f>
        <v>37204300</v>
      </c>
      <c r="I99" s="50">
        <f>VLOOKUP($A99,'Data shares'!$C:$FB,45)*100</f>
        <v>-84.13000000000001</v>
      </c>
      <c r="J99" s="49">
        <f>VLOOKUP($A99,'Data shares'!$C:$FB,58)</f>
        <v>9944200</v>
      </c>
      <c r="K99" s="49">
        <f>VLOOKUP($A99,'Data shares'!$C:$FB,59)</f>
        <v>33884200</v>
      </c>
      <c r="L99" s="50">
        <f>VLOOKUP($A99,'Data shares'!$C:$FB,61)*100</f>
        <v>-70.650000000000006</v>
      </c>
      <c r="M99" s="49">
        <f>VLOOKUP($A99,'Data shares'!$C:$FB,62)</f>
        <v>6877500</v>
      </c>
      <c r="N99" s="49">
        <f>VLOOKUP($A99,'Data shares'!$C:$FB,63)</f>
        <v>29588300</v>
      </c>
      <c r="O99" s="140">
        <f>VLOOKUP($A99,'Data shares'!$C:$FB,65)*100</f>
        <v>-76.759999999999991</v>
      </c>
    </row>
    <row r="100" spans="1:15" x14ac:dyDescent="0.25">
      <c r="A100" s="101" t="str">
        <f>'Data Vlaue (Cr)'!C95</f>
        <v>INDUSTOWER</v>
      </c>
      <c r="B100" s="50">
        <f>VLOOKUP($A100,'Data shares'!$C:$FB,7)</f>
        <v>425.3</v>
      </c>
      <c r="C100" s="50">
        <f>VLOOKUP($A100,'Data shares'!$C:$FB,10)*100</f>
        <v>0.65</v>
      </c>
      <c r="D100" s="49">
        <f>VLOOKUP($A100,'Data shares'!$C:$FB,66)</f>
        <v>28240400</v>
      </c>
      <c r="E100" s="49">
        <f>VLOOKUP($A100,'Data shares'!$C:$FB,67)</f>
        <v>91601100</v>
      </c>
      <c r="F100" s="50">
        <f>VLOOKUP($A100,'Data shares'!$C:$FB,69)*100</f>
        <v>-69.17</v>
      </c>
      <c r="G100" s="49">
        <f>VLOOKUP($A100,'Data shares'!$C:$FB,42)</f>
        <v>10383600</v>
      </c>
      <c r="H100" s="49">
        <f>VLOOKUP($A100,'Data shares'!$C:$FB,43)</f>
        <v>55698800</v>
      </c>
      <c r="I100" s="50">
        <f>VLOOKUP($A100,'Data shares'!$C:$FB,45)*100</f>
        <v>-81.36</v>
      </c>
      <c r="J100" s="49">
        <f>VLOOKUP($A100,'Data shares'!$C:$FB,58)</f>
        <v>11687500</v>
      </c>
      <c r="K100" s="49">
        <f>VLOOKUP($A100,'Data shares'!$C:$FB,59)</f>
        <v>21567900</v>
      </c>
      <c r="L100" s="50">
        <f>VLOOKUP($A100,'Data shares'!$C:$FB,61)*100</f>
        <v>-45.81</v>
      </c>
      <c r="M100" s="49">
        <f>VLOOKUP($A100,'Data shares'!$C:$FB,62)</f>
        <v>6169300</v>
      </c>
      <c r="N100" s="49">
        <f>VLOOKUP($A100,'Data shares'!$C:$FB,63)</f>
        <v>14334400</v>
      </c>
      <c r="O100" s="140">
        <f>VLOOKUP($A100,'Data shares'!$C:$FB,65)*100</f>
        <v>-56.96</v>
      </c>
    </row>
    <row r="101" spans="1:15" x14ac:dyDescent="0.25">
      <c r="A101" s="101" t="str">
        <f>'Data Vlaue (Cr)'!C96</f>
        <v>INFY</v>
      </c>
      <c r="B101" s="50">
        <f>VLOOKUP($A101,'Data shares'!$C:$FB,7)</f>
        <v>1666.5</v>
      </c>
      <c r="C101" s="50">
        <f>VLOOKUP($A101,'Data shares'!$C:$FB,10)*100</f>
        <v>-0.96</v>
      </c>
      <c r="D101" s="49">
        <f>VLOOKUP($A101,'Data shares'!$C:$FB,66)</f>
        <v>38088400</v>
      </c>
      <c r="E101" s="49">
        <f>VLOOKUP($A101,'Data shares'!$C:$FB,67)</f>
        <v>83403200</v>
      </c>
      <c r="F101" s="50">
        <f>VLOOKUP($A101,'Data shares'!$C:$FB,69)*100</f>
        <v>-54.33</v>
      </c>
      <c r="G101" s="49">
        <f>VLOOKUP($A101,'Data shares'!$C:$FB,42)</f>
        <v>7887200</v>
      </c>
      <c r="H101" s="49">
        <f>VLOOKUP($A101,'Data shares'!$C:$FB,43)</f>
        <v>31229600</v>
      </c>
      <c r="I101" s="50">
        <f>VLOOKUP($A101,'Data shares'!$C:$FB,45)*100</f>
        <v>-74.739999999999995</v>
      </c>
      <c r="J101" s="49">
        <f>VLOOKUP($A101,'Data shares'!$C:$FB,58)</f>
        <v>18418400</v>
      </c>
      <c r="K101" s="49">
        <f>VLOOKUP($A101,'Data shares'!$C:$FB,59)</f>
        <v>34438000</v>
      </c>
      <c r="L101" s="50">
        <f>VLOOKUP($A101,'Data shares'!$C:$FB,61)*100</f>
        <v>-46.52</v>
      </c>
      <c r="M101" s="49">
        <f>VLOOKUP($A101,'Data shares'!$C:$FB,62)</f>
        <v>11782800</v>
      </c>
      <c r="N101" s="49">
        <f>VLOOKUP($A101,'Data shares'!$C:$FB,63)</f>
        <v>17735600</v>
      </c>
      <c r="O101" s="140">
        <f>VLOOKUP($A101,'Data shares'!$C:$FB,65)*100</f>
        <v>-33.56</v>
      </c>
    </row>
    <row r="102" spans="1:15" x14ac:dyDescent="0.25">
      <c r="A102" s="101" t="str">
        <f>'Data Vlaue (Cr)'!C97</f>
        <v>INOXWIND</v>
      </c>
      <c r="B102" s="50">
        <f>VLOOKUP($A102,'Data shares'!$C:$FB,7)</f>
        <v>109.25</v>
      </c>
      <c r="C102" s="50">
        <f>VLOOKUP($A102,'Data shares'!$C:$FB,10)*100</f>
        <v>4.33</v>
      </c>
      <c r="D102" s="49">
        <f>VLOOKUP($A102,'Data shares'!$C:$FB,66)</f>
        <v>34588125</v>
      </c>
      <c r="E102" s="49">
        <f>VLOOKUP($A102,'Data shares'!$C:$FB,67)</f>
        <v>145234375</v>
      </c>
      <c r="F102" s="50">
        <f>VLOOKUP($A102,'Data shares'!$C:$FB,69)*100</f>
        <v>-76.180000000000007</v>
      </c>
      <c r="G102" s="49">
        <f>VLOOKUP($A102,'Data shares'!$C:$FB,42)</f>
        <v>9577425</v>
      </c>
      <c r="H102" s="49">
        <f>VLOOKUP($A102,'Data shares'!$C:$FB,43)</f>
        <v>101151050</v>
      </c>
      <c r="I102" s="50">
        <f>VLOOKUP($A102,'Data shares'!$C:$FB,45)*100</f>
        <v>-90.53</v>
      </c>
      <c r="J102" s="49">
        <f>VLOOKUP($A102,'Data shares'!$C:$FB,58)</f>
        <v>16534375</v>
      </c>
      <c r="K102" s="49">
        <f>VLOOKUP($A102,'Data shares'!$C:$FB,59)</f>
        <v>21053175</v>
      </c>
      <c r="L102" s="50">
        <f>VLOOKUP($A102,'Data shares'!$C:$FB,61)*100</f>
        <v>-21.46</v>
      </c>
      <c r="M102" s="49">
        <f>VLOOKUP($A102,'Data shares'!$C:$FB,62)</f>
        <v>8476325</v>
      </c>
      <c r="N102" s="49">
        <f>VLOOKUP($A102,'Data shares'!$C:$FB,63)</f>
        <v>23030150</v>
      </c>
      <c r="O102" s="140">
        <f>VLOOKUP($A102,'Data shares'!$C:$FB,65)*100</f>
        <v>-63.190000000000005</v>
      </c>
    </row>
    <row r="103" spans="1:15" x14ac:dyDescent="0.25">
      <c r="A103" s="101" t="str">
        <f>'Data Vlaue (Cr)'!C98</f>
        <v>IOC</v>
      </c>
      <c r="B103" s="50">
        <f>VLOOKUP($A103,'Data shares'!$C:$FB,7)</f>
        <v>162.85</v>
      </c>
      <c r="C103" s="50">
        <f>VLOOKUP($A103,'Data shares'!$C:$FB,10)*100</f>
        <v>2.4899999999999998</v>
      </c>
      <c r="D103" s="49">
        <f>VLOOKUP($A103,'Data shares'!$C:$FB,66)</f>
        <v>108298125</v>
      </c>
      <c r="E103" s="49">
        <f>VLOOKUP($A103,'Data shares'!$C:$FB,67)</f>
        <v>109170750</v>
      </c>
      <c r="F103" s="50">
        <f>VLOOKUP($A103,'Data shares'!$C:$FB,69)*100</f>
        <v>-0.8</v>
      </c>
      <c r="G103" s="49">
        <f>VLOOKUP($A103,'Data shares'!$C:$FB,42)</f>
        <v>19665750</v>
      </c>
      <c r="H103" s="49">
        <f>VLOOKUP($A103,'Data shares'!$C:$FB,43)</f>
        <v>48355125</v>
      </c>
      <c r="I103" s="50">
        <f>VLOOKUP($A103,'Data shares'!$C:$FB,45)*100</f>
        <v>-59.330000000000005</v>
      </c>
      <c r="J103" s="49">
        <f>VLOOKUP($A103,'Data shares'!$C:$FB,58)</f>
        <v>64559625</v>
      </c>
      <c r="K103" s="49">
        <f>VLOOKUP($A103,'Data shares'!$C:$FB,59)</f>
        <v>40233375</v>
      </c>
      <c r="L103" s="50">
        <f>VLOOKUP($A103,'Data shares'!$C:$FB,61)*100</f>
        <v>60.46</v>
      </c>
      <c r="M103" s="49">
        <f>VLOOKUP($A103,'Data shares'!$C:$FB,62)</f>
        <v>24072750</v>
      </c>
      <c r="N103" s="49">
        <f>VLOOKUP($A103,'Data shares'!$C:$FB,63)</f>
        <v>20582250</v>
      </c>
      <c r="O103" s="140">
        <f>VLOOKUP($A103,'Data shares'!$C:$FB,65)*100</f>
        <v>16.96</v>
      </c>
    </row>
    <row r="104" spans="1:15" x14ac:dyDescent="0.25">
      <c r="A104" s="101" t="str">
        <f>'Data Vlaue (Cr)'!C99</f>
        <v>IRCTC</v>
      </c>
      <c r="B104" s="50">
        <f>VLOOKUP($A104,'Data shares'!$C:$FB,7)</f>
        <v>625.1</v>
      </c>
      <c r="C104" s="50">
        <f>VLOOKUP($A104,'Data shares'!$C:$FB,10)*100</f>
        <v>2.9000000000000004</v>
      </c>
      <c r="D104" s="49">
        <f>VLOOKUP($A104,'Data shares'!$C:$FB,66)</f>
        <v>18474750</v>
      </c>
      <c r="E104" s="49">
        <f>VLOOKUP($A104,'Data shares'!$C:$FB,67)</f>
        <v>35112000</v>
      </c>
      <c r="F104" s="50">
        <f>VLOOKUP($A104,'Data shares'!$C:$FB,69)*100</f>
        <v>-47.38</v>
      </c>
      <c r="G104" s="49">
        <f>VLOOKUP($A104,'Data shares'!$C:$FB,42)</f>
        <v>3144750</v>
      </c>
      <c r="H104" s="49">
        <f>VLOOKUP($A104,'Data shares'!$C:$FB,43)</f>
        <v>17640875</v>
      </c>
      <c r="I104" s="50">
        <f>VLOOKUP($A104,'Data shares'!$C:$FB,45)*100</f>
        <v>-82.17</v>
      </c>
      <c r="J104" s="49">
        <f>VLOOKUP($A104,'Data shares'!$C:$FB,58)</f>
        <v>11699625</v>
      </c>
      <c r="K104" s="49">
        <f>VLOOKUP($A104,'Data shares'!$C:$FB,59)</f>
        <v>10901625</v>
      </c>
      <c r="L104" s="50">
        <f>VLOOKUP($A104,'Data shares'!$C:$FB,61)*100</f>
        <v>7.32</v>
      </c>
      <c r="M104" s="49">
        <f>VLOOKUP($A104,'Data shares'!$C:$FB,62)</f>
        <v>3630375</v>
      </c>
      <c r="N104" s="49">
        <f>VLOOKUP($A104,'Data shares'!$C:$FB,63)</f>
        <v>6569500</v>
      </c>
      <c r="O104" s="140">
        <f>VLOOKUP($A104,'Data shares'!$C:$FB,65)*100</f>
        <v>-44.74</v>
      </c>
    </row>
    <row r="105" spans="1:15" x14ac:dyDescent="0.25">
      <c r="A105" s="101" t="str">
        <f>'Data Vlaue (Cr)'!C100</f>
        <v>IREDA</v>
      </c>
      <c r="B105" s="50">
        <f>VLOOKUP($A105,'Data shares'!$C:$FB,7)</f>
        <v>133.87</v>
      </c>
      <c r="C105" s="50">
        <f>VLOOKUP($A105,'Data shares'!$C:$FB,10)*100</f>
        <v>3.8699999999999997</v>
      </c>
      <c r="D105" s="49">
        <f>VLOOKUP($A105,'Data shares'!$C:$FB,66)</f>
        <v>64197600</v>
      </c>
      <c r="E105" s="49">
        <f>VLOOKUP($A105,'Data shares'!$C:$FB,67)</f>
        <v>91908000</v>
      </c>
      <c r="F105" s="50">
        <f>VLOOKUP($A105,'Data shares'!$C:$FB,69)*100</f>
        <v>-30.15</v>
      </c>
      <c r="G105" s="49">
        <f>VLOOKUP($A105,'Data shares'!$C:$FB,42)</f>
        <v>16353000</v>
      </c>
      <c r="H105" s="49">
        <f>VLOOKUP($A105,'Data shares'!$C:$FB,43)</f>
        <v>48755400</v>
      </c>
      <c r="I105" s="50">
        <f>VLOOKUP($A105,'Data shares'!$C:$FB,45)*100</f>
        <v>-66.459999999999994</v>
      </c>
      <c r="J105" s="49">
        <f>VLOOKUP($A105,'Data shares'!$C:$FB,58)</f>
        <v>36187050</v>
      </c>
      <c r="K105" s="49">
        <f>VLOOKUP($A105,'Data shares'!$C:$FB,59)</f>
        <v>27945000</v>
      </c>
      <c r="L105" s="50">
        <f>VLOOKUP($A105,'Data shares'!$C:$FB,61)*100</f>
        <v>29.49</v>
      </c>
      <c r="M105" s="49">
        <f>VLOOKUP($A105,'Data shares'!$C:$FB,62)</f>
        <v>11657550</v>
      </c>
      <c r="N105" s="49">
        <f>VLOOKUP($A105,'Data shares'!$C:$FB,63)</f>
        <v>15207600</v>
      </c>
      <c r="O105" s="140">
        <f>VLOOKUP($A105,'Data shares'!$C:$FB,65)*100</f>
        <v>-23.34</v>
      </c>
    </row>
    <row r="106" spans="1:15" x14ac:dyDescent="0.25">
      <c r="A106" s="101" t="str">
        <f>'Data Vlaue (Cr)'!C101</f>
        <v>IRFC</v>
      </c>
      <c r="B106" s="50">
        <f>VLOOKUP($A106,'Data shares'!$C:$FB,7)</f>
        <v>120.15</v>
      </c>
      <c r="C106" s="50">
        <f>VLOOKUP($A106,'Data shares'!$C:$FB,10)*100</f>
        <v>4.83</v>
      </c>
      <c r="D106" s="49">
        <f>VLOOKUP($A106,'Data shares'!$C:$FB,66)</f>
        <v>152201000</v>
      </c>
      <c r="E106" s="49">
        <f>VLOOKUP($A106,'Data shares'!$C:$FB,67)</f>
        <v>174407250</v>
      </c>
      <c r="F106" s="50">
        <f>VLOOKUP($A106,'Data shares'!$C:$FB,69)*100</f>
        <v>-12.73</v>
      </c>
      <c r="G106" s="49">
        <f>VLOOKUP($A106,'Data shares'!$C:$FB,42)</f>
        <v>28394250</v>
      </c>
      <c r="H106" s="49">
        <f>VLOOKUP($A106,'Data shares'!$C:$FB,43)</f>
        <v>60571000</v>
      </c>
      <c r="I106" s="50">
        <f>VLOOKUP($A106,'Data shares'!$C:$FB,45)*100</f>
        <v>-53.12</v>
      </c>
      <c r="J106" s="49">
        <f>VLOOKUP($A106,'Data shares'!$C:$FB,58)</f>
        <v>100329750</v>
      </c>
      <c r="K106" s="49">
        <f>VLOOKUP($A106,'Data shares'!$C:$FB,59)</f>
        <v>79832000</v>
      </c>
      <c r="L106" s="50">
        <f>VLOOKUP($A106,'Data shares'!$C:$FB,61)*100</f>
        <v>25.679999999999996</v>
      </c>
      <c r="M106" s="49">
        <f>VLOOKUP($A106,'Data shares'!$C:$FB,62)</f>
        <v>23477000</v>
      </c>
      <c r="N106" s="49">
        <f>VLOOKUP($A106,'Data shares'!$C:$FB,63)</f>
        <v>34004250</v>
      </c>
      <c r="O106" s="140">
        <f>VLOOKUP($A106,'Data shares'!$C:$FB,65)*100</f>
        <v>-30.959999999999997</v>
      </c>
    </row>
    <row r="107" spans="1:15" x14ac:dyDescent="0.25">
      <c r="A107" s="101" t="str">
        <f>'Data Vlaue (Cr)'!C102</f>
        <v>ITC</v>
      </c>
      <c r="B107" s="50">
        <f>VLOOKUP($A107,'Data shares'!$C:$FB,7)</f>
        <v>321.14999999999998</v>
      </c>
      <c r="C107" s="50">
        <f>VLOOKUP($A107,'Data shares'!$C:$FB,10)*100</f>
        <v>0.77999999999999992</v>
      </c>
      <c r="D107" s="49">
        <f>VLOOKUP($A107,'Data shares'!$C:$FB,66)</f>
        <v>151667200</v>
      </c>
      <c r="E107" s="49">
        <f>VLOOKUP($A107,'Data shares'!$C:$FB,67)</f>
        <v>437452800</v>
      </c>
      <c r="F107" s="50">
        <f>VLOOKUP($A107,'Data shares'!$C:$FB,69)*100</f>
        <v>-65.33</v>
      </c>
      <c r="G107" s="49">
        <f>VLOOKUP($A107,'Data shares'!$C:$FB,42)</f>
        <v>21313600</v>
      </c>
      <c r="H107" s="49">
        <f>VLOOKUP($A107,'Data shares'!$C:$FB,43)</f>
        <v>205276800</v>
      </c>
      <c r="I107" s="50">
        <f>VLOOKUP($A107,'Data shares'!$C:$FB,45)*100</f>
        <v>-89.62</v>
      </c>
      <c r="J107" s="49">
        <f>VLOOKUP($A107,'Data shares'!$C:$FB,58)</f>
        <v>86220800</v>
      </c>
      <c r="K107" s="49">
        <f>VLOOKUP($A107,'Data shares'!$C:$FB,59)</f>
        <v>116761600</v>
      </c>
      <c r="L107" s="50">
        <f>VLOOKUP($A107,'Data shares'!$C:$FB,61)*100</f>
        <v>-26.16</v>
      </c>
      <c r="M107" s="49">
        <f>VLOOKUP($A107,'Data shares'!$C:$FB,62)</f>
        <v>44132800</v>
      </c>
      <c r="N107" s="49">
        <f>VLOOKUP($A107,'Data shares'!$C:$FB,63)</f>
        <v>115414400</v>
      </c>
      <c r="O107" s="140">
        <f>VLOOKUP($A107,'Data shares'!$C:$FB,65)*100</f>
        <v>-61.760000000000005</v>
      </c>
    </row>
    <row r="108" spans="1:15" x14ac:dyDescent="0.25">
      <c r="A108" s="101" t="str">
        <f>'Data Vlaue (Cr)'!C103</f>
        <v>JINDALSTEL</v>
      </c>
      <c r="B108" s="50">
        <f>VLOOKUP($A108,'Data shares'!$C:$FB,7)</f>
        <v>1119.4000000000001</v>
      </c>
      <c r="C108" s="50">
        <f>VLOOKUP($A108,'Data shares'!$C:$FB,10)*100</f>
        <v>3.58</v>
      </c>
      <c r="D108" s="49">
        <f>VLOOKUP($A108,'Data shares'!$C:$FB,66)</f>
        <v>16938125</v>
      </c>
      <c r="E108" s="49">
        <f>VLOOKUP($A108,'Data shares'!$C:$FB,67)</f>
        <v>14326250</v>
      </c>
      <c r="F108" s="50">
        <f>VLOOKUP($A108,'Data shares'!$C:$FB,69)*100</f>
        <v>18.23</v>
      </c>
      <c r="G108" s="49">
        <f>VLOOKUP($A108,'Data shares'!$C:$FB,42)</f>
        <v>4351250</v>
      </c>
      <c r="H108" s="49">
        <f>VLOOKUP($A108,'Data shares'!$C:$FB,43)</f>
        <v>5589375</v>
      </c>
      <c r="I108" s="50">
        <f>VLOOKUP($A108,'Data shares'!$C:$FB,45)*100</f>
        <v>-22.15</v>
      </c>
      <c r="J108" s="49">
        <f>VLOOKUP($A108,'Data shares'!$C:$FB,58)</f>
        <v>9381875</v>
      </c>
      <c r="K108" s="49">
        <f>VLOOKUP($A108,'Data shares'!$C:$FB,59)</f>
        <v>5620625</v>
      </c>
      <c r="L108" s="50">
        <f>VLOOKUP($A108,'Data shares'!$C:$FB,61)*100</f>
        <v>66.92</v>
      </c>
      <c r="M108" s="49">
        <f>VLOOKUP($A108,'Data shares'!$C:$FB,62)</f>
        <v>3205000</v>
      </c>
      <c r="N108" s="49">
        <f>VLOOKUP($A108,'Data shares'!$C:$FB,63)</f>
        <v>3116250</v>
      </c>
      <c r="O108" s="140">
        <f>VLOOKUP($A108,'Data shares'!$C:$FB,65)*100</f>
        <v>2.85</v>
      </c>
    </row>
    <row r="109" spans="1:15" x14ac:dyDescent="0.25">
      <c r="A109" s="101" t="str">
        <f>'Data Vlaue (Cr)'!C104</f>
        <v>JIOFIN</v>
      </c>
      <c r="B109" s="50">
        <f>VLOOKUP($A109,'Data shares'!$C:$FB,7)</f>
        <v>255.2</v>
      </c>
      <c r="C109" s="50">
        <f>VLOOKUP($A109,'Data shares'!$C:$FB,10)*100</f>
        <v>-0.33</v>
      </c>
      <c r="D109" s="49">
        <f>VLOOKUP($A109,'Data shares'!$C:$FB,66)</f>
        <v>121513800</v>
      </c>
      <c r="E109" s="49">
        <f>VLOOKUP($A109,'Data shares'!$C:$FB,67)</f>
        <v>237436950</v>
      </c>
      <c r="F109" s="50">
        <f>VLOOKUP($A109,'Data shares'!$C:$FB,69)*100</f>
        <v>-48.82</v>
      </c>
      <c r="G109" s="49">
        <f>VLOOKUP($A109,'Data shares'!$C:$FB,42)</f>
        <v>24202650</v>
      </c>
      <c r="H109" s="49">
        <f>VLOOKUP($A109,'Data shares'!$C:$FB,43)</f>
        <v>121946200</v>
      </c>
      <c r="I109" s="50">
        <f>VLOOKUP($A109,'Data shares'!$C:$FB,45)*100</f>
        <v>-80.150000000000006</v>
      </c>
      <c r="J109" s="49">
        <f>VLOOKUP($A109,'Data shares'!$C:$FB,58)</f>
        <v>71750200</v>
      </c>
      <c r="K109" s="49">
        <f>VLOOKUP($A109,'Data shares'!$C:$FB,59)</f>
        <v>68998350</v>
      </c>
      <c r="L109" s="50">
        <f>VLOOKUP($A109,'Data shares'!$C:$FB,61)*100</f>
        <v>3.9899999999999998</v>
      </c>
      <c r="M109" s="49">
        <f>VLOOKUP($A109,'Data shares'!$C:$FB,62)</f>
        <v>25560950</v>
      </c>
      <c r="N109" s="49">
        <f>VLOOKUP($A109,'Data shares'!$C:$FB,63)</f>
        <v>46492400</v>
      </c>
      <c r="O109" s="140">
        <f>VLOOKUP($A109,'Data shares'!$C:$FB,65)*100</f>
        <v>-45.019999999999996</v>
      </c>
    </row>
    <row r="110" spans="1:15" x14ac:dyDescent="0.25">
      <c r="A110" s="101" t="str">
        <f>'Data Vlaue (Cr)'!C105</f>
        <v>JSWENERGY</v>
      </c>
      <c r="B110" s="50">
        <f>VLOOKUP($A110,'Data shares'!$C:$FB,7)</f>
        <v>446.25</v>
      </c>
      <c r="C110" s="50">
        <f>VLOOKUP($A110,'Data shares'!$C:$FB,10)*100</f>
        <v>1.41</v>
      </c>
      <c r="D110" s="49">
        <f>VLOOKUP($A110,'Data shares'!$C:$FB,66)</f>
        <v>24244000</v>
      </c>
      <c r="E110" s="49">
        <f>VLOOKUP($A110,'Data shares'!$C:$FB,67)</f>
        <v>114437000</v>
      </c>
      <c r="F110" s="50">
        <f>VLOOKUP($A110,'Data shares'!$C:$FB,69)*100</f>
        <v>-78.81</v>
      </c>
      <c r="G110" s="49">
        <f>VLOOKUP($A110,'Data shares'!$C:$FB,42)</f>
        <v>5992000</v>
      </c>
      <c r="H110" s="49">
        <f>VLOOKUP($A110,'Data shares'!$C:$FB,43)</f>
        <v>30221000</v>
      </c>
      <c r="I110" s="50">
        <f>VLOOKUP($A110,'Data shares'!$C:$FB,45)*100</f>
        <v>-80.17</v>
      </c>
      <c r="J110" s="49">
        <f>VLOOKUP($A110,'Data shares'!$C:$FB,58)</f>
        <v>12214000</v>
      </c>
      <c r="K110" s="49">
        <f>VLOOKUP($A110,'Data shares'!$C:$FB,59)</f>
        <v>38909000</v>
      </c>
      <c r="L110" s="50">
        <f>VLOOKUP($A110,'Data shares'!$C:$FB,61)*100</f>
        <v>-68.61</v>
      </c>
      <c r="M110" s="49">
        <f>VLOOKUP($A110,'Data shares'!$C:$FB,62)</f>
        <v>6038000</v>
      </c>
      <c r="N110" s="49">
        <f>VLOOKUP($A110,'Data shares'!$C:$FB,63)</f>
        <v>45307000</v>
      </c>
      <c r="O110" s="140">
        <f>VLOOKUP($A110,'Data shares'!$C:$FB,65)*100</f>
        <v>-86.67</v>
      </c>
    </row>
    <row r="111" spans="1:15" x14ac:dyDescent="0.25">
      <c r="A111" s="101" t="str">
        <f>'Data Vlaue (Cr)'!C106</f>
        <v>JSWSTEEL</v>
      </c>
      <c r="B111" s="50">
        <f>VLOOKUP($A111,'Data shares'!$C:$FB,7)</f>
        <v>1218.7</v>
      </c>
      <c r="C111" s="50">
        <f>VLOOKUP($A111,'Data shares'!$C:$FB,10)*100</f>
        <v>-0.27</v>
      </c>
      <c r="D111" s="49">
        <f>VLOOKUP($A111,'Data shares'!$C:$FB,66)</f>
        <v>18998550</v>
      </c>
      <c r="E111" s="49">
        <f>VLOOKUP($A111,'Data shares'!$C:$FB,67)</f>
        <v>63485775</v>
      </c>
      <c r="F111" s="50">
        <f>VLOOKUP($A111,'Data shares'!$C:$FB,69)*100</f>
        <v>-70.069999999999993</v>
      </c>
      <c r="G111" s="49">
        <f>VLOOKUP($A111,'Data shares'!$C:$FB,42)</f>
        <v>3870450</v>
      </c>
      <c r="H111" s="49">
        <f>VLOOKUP($A111,'Data shares'!$C:$FB,43)</f>
        <v>21538575</v>
      </c>
      <c r="I111" s="50">
        <f>VLOOKUP($A111,'Data shares'!$C:$FB,45)*100</f>
        <v>-82.03</v>
      </c>
      <c r="J111" s="49">
        <f>VLOOKUP($A111,'Data shares'!$C:$FB,58)</f>
        <v>10910025</v>
      </c>
      <c r="K111" s="49">
        <f>VLOOKUP($A111,'Data shares'!$C:$FB,59)</f>
        <v>27376650</v>
      </c>
      <c r="L111" s="50">
        <f>VLOOKUP($A111,'Data shares'!$C:$FB,61)*100</f>
        <v>-60.150000000000006</v>
      </c>
      <c r="M111" s="49">
        <f>VLOOKUP($A111,'Data shares'!$C:$FB,62)</f>
        <v>4218075</v>
      </c>
      <c r="N111" s="49">
        <f>VLOOKUP($A111,'Data shares'!$C:$FB,63)</f>
        <v>14570550</v>
      </c>
      <c r="O111" s="140">
        <f>VLOOKUP($A111,'Data shares'!$C:$FB,65)*100</f>
        <v>-71.05</v>
      </c>
    </row>
    <row r="112" spans="1:15" x14ac:dyDescent="0.25">
      <c r="A112" s="101" t="str">
        <f>'Data Vlaue (Cr)'!C107</f>
        <v>JUBLFOOD</v>
      </c>
      <c r="B112" s="50">
        <f>VLOOKUP($A112,'Data shares'!$C:$FB,7)</f>
        <v>493.65</v>
      </c>
      <c r="C112" s="50">
        <f>VLOOKUP($A112,'Data shares'!$C:$FB,10)*100</f>
        <v>1.0999999999999999</v>
      </c>
      <c r="D112" s="49">
        <f>VLOOKUP($A112,'Data shares'!$C:$FB,66)</f>
        <v>8723750</v>
      </c>
      <c r="E112" s="49">
        <f>VLOOKUP($A112,'Data shares'!$C:$FB,67)</f>
        <v>33492500</v>
      </c>
      <c r="F112" s="50">
        <f>VLOOKUP($A112,'Data shares'!$C:$FB,69)*100</f>
        <v>-73.95</v>
      </c>
      <c r="G112" s="49">
        <f>VLOOKUP($A112,'Data shares'!$C:$FB,42)</f>
        <v>3308750</v>
      </c>
      <c r="H112" s="49">
        <f>VLOOKUP($A112,'Data shares'!$C:$FB,43)</f>
        <v>20460000</v>
      </c>
      <c r="I112" s="50">
        <f>VLOOKUP($A112,'Data shares'!$C:$FB,45)*100</f>
        <v>-83.83</v>
      </c>
      <c r="J112" s="49">
        <f>VLOOKUP($A112,'Data shares'!$C:$FB,58)</f>
        <v>3580000</v>
      </c>
      <c r="K112" s="49">
        <f>VLOOKUP($A112,'Data shares'!$C:$FB,59)</f>
        <v>5583750</v>
      </c>
      <c r="L112" s="50">
        <f>VLOOKUP($A112,'Data shares'!$C:$FB,61)*100</f>
        <v>-35.89</v>
      </c>
      <c r="M112" s="49">
        <f>VLOOKUP($A112,'Data shares'!$C:$FB,62)</f>
        <v>1835000</v>
      </c>
      <c r="N112" s="49">
        <f>VLOOKUP($A112,'Data shares'!$C:$FB,63)</f>
        <v>7448750</v>
      </c>
      <c r="O112" s="140">
        <f>VLOOKUP($A112,'Data shares'!$C:$FB,65)*100</f>
        <v>-75.36</v>
      </c>
    </row>
    <row r="113" spans="1:15" x14ac:dyDescent="0.25">
      <c r="A113" s="101" t="str">
        <f>'Data Vlaue (Cr)'!C108</f>
        <v>KALYANKJIL</v>
      </c>
      <c r="B113" s="50">
        <f>VLOOKUP($A113,'Data shares'!$C:$FB,7)</f>
        <v>367.95</v>
      </c>
      <c r="C113" s="50">
        <f>VLOOKUP($A113,'Data shares'!$C:$FB,10)*100</f>
        <v>-0.26</v>
      </c>
      <c r="D113" s="49">
        <f>VLOOKUP($A113,'Data shares'!$C:$FB,66)</f>
        <v>25705475</v>
      </c>
      <c r="E113" s="49">
        <f>VLOOKUP($A113,'Data shares'!$C:$FB,67)</f>
        <v>96879925</v>
      </c>
      <c r="F113" s="50">
        <f>VLOOKUP($A113,'Data shares'!$C:$FB,69)*100</f>
        <v>-73.47</v>
      </c>
      <c r="G113" s="49">
        <f>VLOOKUP($A113,'Data shares'!$C:$FB,42)</f>
        <v>4990225</v>
      </c>
      <c r="H113" s="49">
        <f>VLOOKUP($A113,'Data shares'!$C:$FB,43)</f>
        <v>28970800</v>
      </c>
      <c r="I113" s="50">
        <f>VLOOKUP($A113,'Data shares'!$C:$FB,45)*100</f>
        <v>-82.77</v>
      </c>
      <c r="J113" s="49">
        <f>VLOOKUP($A113,'Data shares'!$C:$FB,58)</f>
        <v>13067175</v>
      </c>
      <c r="K113" s="49">
        <f>VLOOKUP($A113,'Data shares'!$C:$FB,59)</f>
        <v>36951400</v>
      </c>
      <c r="L113" s="50">
        <f>VLOOKUP($A113,'Data shares'!$C:$FB,61)*100</f>
        <v>-64.64</v>
      </c>
      <c r="M113" s="49">
        <f>VLOOKUP($A113,'Data shares'!$C:$FB,62)</f>
        <v>7648075</v>
      </c>
      <c r="N113" s="49">
        <f>VLOOKUP($A113,'Data shares'!$C:$FB,63)</f>
        <v>30957725</v>
      </c>
      <c r="O113" s="140">
        <f>VLOOKUP($A113,'Data shares'!$C:$FB,65)*100</f>
        <v>-75.3</v>
      </c>
    </row>
    <row r="114" spans="1:15" x14ac:dyDescent="0.25">
      <c r="A114" s="101" t="str">
        <f>'Data Vlaue (Cr)'!C109</f>
        <v>KAYNES</v>
      </c>
      <c r="B114" s="50">
        <f>VLOOKUP($A114,'Data shares'!$C:$FB,7)</f>
        <v>3490.6</v>
      </c>
      <c r="C114" s="50">
        <f>VLOOKUP($A114,'Data shares'!$C:$FB,10)*100</f>
        <v>4.7300000000000004</v>
      </c>
      <c r="D114" s="49">
        <f>VLOOKUP($A114,'Data shares'!$C:$FB,66)</f>
        <v>3192900</v>
      </c>
      <c r="E114" s="49">
        <f>VLOOKUP($A114,'Data shares'!$C:$FB,67)</f>
        <v>8590100</v>
      </c>
      <c r="F114" s="50">
        <f>VLOOKUP($A114,'Data shares'!$C:$FB,69)*100</f>
        <v>-62.83</v>
      </c>
      <c r="G114" s="49">
        <f>VLOOKUP($A114,'Data shares'!$C:$FB,42)</f>
        <v>791300</v>
      </c>
      <c r="H114" s="49">
        <f>VLOOKUP($A114,'Data shares'!$C:$FB,43)</f>
        <v>3748200</v>
      </c>
      <c r="I114" s="50">
        <f>VLOOKUP($A114,'Data shares'!$C:$FB,45)*100</f>
        <v>-78.89</v>
      </c>
      <c r="J114" s="49">
        <f>VLOOKUP($A114,'Data shares'!$C:$FB,58)</f>
        <v>1679300</v>
      </c>
      <c r="K114" s="49">
        <f>VLOOKUP($A114,'Data shares'!$C:$FB,59)</f>
        <v>2946800</v>
      </c>
      <c r="L114" s="50">
        <f>VLOOKUP($A114,'Data shares'!$C:$FB,61)*100</f>
        <v>-43.01</v>
      </c>
      <c r="M114" s="49">
        <f>VLOOKUP($A114,'Data shares'!$C:$FB,62)</f>
        <v>722300</v>
      </c>
      <c r="N114" s="49">
        <f>VLOOKUP($A114,'Data shares'!$C:$FB,63)</f>
        <v>1895100</v>
      </c>
      <c r="O114" s="140">
        <f>VLOOKUP($A114,'Data shares'!$C:$FB,65)*100</f>
        <v>-61.89</v>
      </c>
    </row>
    <row r="115" spans="1:15" x14ac:dyDescent="0.25">
      <c r="A115" s="101" t="str">
        <f>'Data Vlaue (Cr)'!C110</f>
        <v>KEI</v>
      </c>
      <c r="B115" s="50">
        <f>VLOOKUP($A115,'Data shares'!$C:$FB,7)</f>
        <v>3879.1</v>
      </c>
      <c r="C115" s="50">
        <f>VLOOKUP($A115,'Data shares'!$C:$FB,10)*100</f>
        <v>1.94</v>
      </c>
      <c r="D115" s="49">
        <f>VLOOKUP($A115,'Data shares'!$C:$FB,66)</f>
        <v>867825</v>
      </c>
      <c r="E115" s="49">
        <f>VLOOKUP($A115,'Data shares'!$C:$FB,67)</f>
        <v>2851100</v>
      </c>
      <c r="F115" s="50">
        <f>VLOOKUP($A115,'Data shares'!$C:$FB,69)*100</f>
        <v>-69.56</v>
      </c>
      <c r="G115" s="49">
        <f>VLOOKUP($A115,'Data shares'!$C:$FB,42)</f>
        <v>249725</v>
      </c>
      <c r="H115" s="49">
        <f>VLOOKUP($A115,'Data shares'!$C:$FB,43)</f>
        <v>1021650</v>
      </c>
      <c r="I115" s="50">
        <f>VLOOKUP($A115,'Data shares'!$C:$FB,45)*100</f>
        <v>-75.56</v>
      </c>
      <c r="J115" s="49">
        <f>VLOOKUP($A115,'Data shares'!$C:$FB,58)</f>
        <v>454650</v>
      </c>
      <c r="K115" s="49">
        <f>VLOOKUP($A115,'Data shares'!$C:$FB,59)</f>
        <v>1253175</v>
      </c>
      <c r="L115" s="50">
        <f>VLOOKUP($A115,'Data shares'!$C:$FB,61)*100</f>
        <v>-63.72</v>
      </c>
      <c r="M115" s="49">
        <f>VLOOKUP($A115,'Data shares'!$C:$FB,62)</f>
        <v>163450</v>
      </c>
      <c r="N115" s="49">
        <f>VLOOKUP($A115,'Data shares'!$C:$FB,63)</f>
        <v>576275</v>
      </c>
      <c r="O115" s="140">
        <f>VLOOKUP($A115,'Data shares'!$C:$FB,65)*100</f>
        <v>-71.64</v>
      </c>
    </row>
    <row r="116" spans="1:15" x14ac:dyDescent="0.25">
      <c r="A116" s="101" t="str">
        <f>'Data Vlaue (Cr)'!C111</f>
        <v>KFINTECH</v>
      </c>
      <c r="B116" s="50">
        <f>VLOOKUP($A116,'Data shares'!$C:$FB,7)</f>
        <v>1022.1</v>
      </c>
      <c r="C116" s="50">
        <f>VLOOKUP($A116,'Data shares'!$C:$FB,10)*100</f>
        <v>0.6</v>
      </c>
      <c r="D116" s="49">
        <f>VLOOKUP($A116,'Data shares'!$C:$FB,66)</f>
        <v>2047500</v>
      </c>
      <c r="E116" s="49">
        <f>VLOOKUP($A116,'Data shares'!$C:$FB,67)</f>
        <v>8057500</v>
      </c>
      <c r="F116" s="50">
        <f>VLOOKUP($A116,'Data shares'!$C:$FB,69)*100</f>
        <v>-74.59</v>
      </c>
      <c r="G116" s="49">
        <f>VLOOKUP($A116,'Data shares'!$C:$FB,42)</f>
        <v>1045500</v>
      </c>
      <c r="H116" s="49">
        <f>VLOOKUP($A116,'Data shares'!$C:$FB,43)</f>
        <v>5852500</v>
      </c>
      <c r="I116" s="50">
        <f>VLOOKUP($A116,'Data shares'!$C:$FB,45)*100</f>
        <v>-82.14</v>
      </c>
      <c r="J116" s="49">
        <f>VLOOKUP($A116,'Data shares'!$C:$FB,58)</f>
        <v>675000</v>
      </c>
      <c r="K116" s="49">
        <f>VLOOKUP($A116,'Data shares'!$C:$FB,59)</f>
        <v>1085500</v>
      </c>
      <c r="L116" s="50">
        <f>VLOOKUP($A116,'Data shares'!$C:$FB,61)*100</f>
        <v>-37.82</v>
      </c>
      <c r="M116" s="49">
        <f>VLOOKUP($A116,'Data shares'!$C:$FB,62)</f>
        <v>327000</v>
      </c>
      <c r="N116" s="49">
        <f>VLOOKUP($A116,'Data shares'!$C:$FB,63)</f>
        <v>1119500</v>
      </c>
      <c r="O116" s="140">
        <f>VLOOKUP($A116,'Data shares'!$C:$FB,65)*100</f>
        <v>-70.789999999999992</v>
      </c>
    </row>
    <row r="117" spans="1:15" x14ac:dyDescent="0.25">
      <c r="A117" s="101" t="str">
        <f>'Data Vlaue (Cr)'!C112</f>
        <v>KOTAKBANK</v>
      </c>
      <c r="B117" s="50">
        <f>VLOOKUP($A117,'Data shares'!$C:$FB,7)</f>
        <v>412.4</v>
      </c>
      <c r="C117" s="50">
        <f>VLOOKUP($A117,'Data shares'!$C:$FB,10)*100</f>
        <v>0.91</v>
      </c>
      <c r="D117" s="49">
        <f>VLOOKUP($A117,'Data shares'!$C:$FB,66)</f>
        <v>65484000</v>
      </c>
      <c r="E117" s="49">
        <f>VLOOKUP($A117,'Data shares'!$C:$FB,67)</f>
        <v>237682000</v>
      </c>
      <c r="F117" s="50">
        <f>VLOOKUP($A117,'Data shares'!$C:$FB,69)*100</f>
        <v>-72.45</v>
      </c>
      <c r="G117" s="49">
        <f>VLOOKUP($A117,'Data shares'!$C:$FB,42)</f>
        <v>14718000</v>
      </c>
      <c r="H117" s="49">
        <f>VLOOKUP($A117,'Data shares'!$C:$FB,43)</f>
        <v>103152000</v>
      </c>
      <c r="I117" s="50">
        <f>VLOOKUP($A117,'Data shares'!$C:$FB,45)*100</f>
        <v>-85.72999999999999</v>
      </c>
      <c r="J117" s="49">
        <f>VLOOKUP($A117,'Data shares'!$C:$FB,58)</f>
        <v>33988000</v>
      </c>
      <c r="K117" s="49">
        <f>VLOOKUP($A117,'Data shares'!$C:$FB,59)</f>
        <v>72852000</v>
      </c>
      <c r="L117" s="50">
        <f>VLOOKUP($A117,'Data shares'!$C:$FB,61)*100</f>
        <v>-53.349999999999994</v>
      </c>
      <c r="M117" s="49">
        <f>VLOOKUP($A117,'Data shares'!$C:$FB,62)</f>
        <v>16778000</v>
      </c>
      <c r="N117" s="49">
        <f>VLOOKUP($A117,'Data shares'!$C:$FB,63)</f>
        <v>61678000</v>
      </c>
      <c r="O117" s="140">
        <f>VLOOKUP($A117,'Data shares'!$C:$FB,65)*100</f>
        <v>-72.8</v>
      </c>
    </row>
    <row r="118" spans="1:15" x14ac:dyDescent="0.25">
      <c r="A118" s="101" t="str">
        <f>'Data Vlaue (Cr)'!C113</f>
        <v>KPITTECH</v>
      </c>
      <c r="B118" s="50">
        <f>VLOOKUP($A118,'Data shares'!$C:$FB,7)</f>
        <v>1105.8</v>
      </c>
      <c r="C118" s="50">
        <f>VLOOKUP($A118,'Data shares'!$C:$FB,10)*100</f>
        <v>0.13</v>
      </c>
      <c r="D118" s="49">
        <f>VLOOKUP($A118,'Data shares'!$C:$FB,66)</f>
        <v>2410175</v>
      </c>
      <c r="E118" s="49">
        <f>VLOOKUP($A118,'Data shares'!$C:$FB,67)</f>
        <v>6495275</v>
      </c>
      <c r="F118" s="50">
        <f>VLOOKUP($A118,'Data shares'!$C:$FB,69)*100</f>
        <v>-62.89</v>
      </c>
      <c r="G118" s="49">
        <f>VLOOKUP($A118,'Data shares'!$C:$FB,42)</f>
        <v>820675</v>
      </c>
      <c r="H118" s="49">
        <f>VLOOKUP($A118,'Data shares'!$C:$FB,43)</f>
        <v>3059575</v>
      </c>
      <c r="I118" s="50">
        <f>VLOOKUP($A118,'Data shares'!$C:$FB,45)*100</f>
        <v>-73.180000000000007</v>
      </c>
      <c r="J118" s="49">
        <f>VLOOKUP($A118,'Data shares'!$C:$FB,58)</f>
        <v>907375</v>
      </c>
      <c r="K118" s="49">
        <f>VLOOKUP($A118,'Data shares'!$C:$FB,59)</f>
        <v>1445425</v>
      </c>
      <c r="L118" s="50">
        <f>VLOOKUP($A118,'Data shares'!$C:$FB,61)*100</f>
        <v>-37.22</v>
      </c>
      <c r="M118" s="49">
        <f>VLOOKUP($A118,'Data shares'!$C:$FB,62)</f>
        <v>682125</v>
      </c>
      <c r="N118" s="49">
        <f>VLOOKUP($A118,'Data shares'!$C:$FB,63)</f>
        <v>1990275</v>
      </c>
      <c r="O118" s="140">
        <f>VLOOKUP($A118,'Data shares'!$C:$FB,65)*100</f>
        <v>-65.73</v>
      </c>
    </row>
    <row r="119" spans="1:15" x14ac:dyDescent="0.25">
      <c r="A119" s="101" t="str">
        <f>'Data Vlaue (Cr)'!C114</f>
        <v>LAURUSLABS</v>
      </c>
      <c r="B119" s="50">
        <f>VLOOKUP($A119,'Data shares'!$C:$FB,7)</f>
        <v>999</v>
      </c>
      <c r="C119" s="50">
        <f>VLOOKUP($A119,'Data shares'!$C:$FB,10)*100</f>
        <v>-0.12</v>
      </c>
      <c r="D119" s="49">
        <f>VLOOKUP($A119,'Data shares'!$C:$FB,66)</f>
        <v>14736450</v>
      </c>
      <c r="E119" s="49">
        <f>VLOOKUP($A119,'Data shares'!$C:$FB,67)</f>
        <v>62359400</v>
      </c>
      <c r="F119" s="50">
        <f>VLOOKUP($A119,'Data shares'!$C:$FB,69)*100</f>
        <v>-76.37</v>
      </c>
      <c r="G119" s="49">
        <f>VLOOKUP($A119,'Data shares'!$C:$FB,42)</f>
        <v>3133100</v>
      </c>
      <c r="H119" s="49">
        <f>VLOOKUP($A119,'Data shares'!$C:$FB,43)</f>
        <v>21358800</v>
      </c>
      <c r="I119" s="50">
        <f>VLOOKUP($A119,'Data shares'!$C:$FB,45)*100</f>
        <v>-85.33</v>
      </c>
      <c r="J119" s="49">
        <f>VLOOKUP($A119,'Data shares'!$C:$FB,58)</f>
        <v>8001900</v>
      </c>
      <c r="K119" s="49">
        <f>VLOOKUP($A119,'Data shares'!$C:$FB,59)</f>
        <v>24687400</v>
      </c>
      <c r="L119" s="50">
        <f>VLOOKUP($A119,'Data shares'!$C:$FB,61)*100</f>
        <v>-67.589999999999989</v>
      </c>
      <c r="M119" s="49">
        <f>VLOOKUP($A119,'Data shares'!$C:$FB,62)</f>
        <v>3601450</v>
      </c>
      <c r="N119" s="49">
        <f>VLOOKUP($A119,'Data shares'!$C:$FB,63)</f>
        <v>16313200</v>
      </c>
      <c r="O119" s="140">
        <f>VLOOKUP($A119,'Data shares'!$C:$FB,65)*100</f>
        <v>-77.92</v>
      </c>
    </row>
    <row r="120" spans="1:15" x14ac:dyDescent="0.25">
      <c r="A120" s="101" t="str">
        <f>'Data Vlaue (Cr)'!C115</f>
        <v>LICHSGFIN</v>
      </c>
      <c r="B120" s="50">
        <f>VLOOKUP($A120,'Data shares'!$C:$FB,7)</f>
        <v>519</v>
      </c>
      <c r="C120" s="50">
        <f>VLOOKUP($A120,'Data shares'!$C:$FB,10)*100</f>
        <v>1.7500000000000002</v>
      </c>
      <c r="D120" s="49">
        <f>VLOOKUP($A120,'Data shares'!$C:$FB,66)</f>
        <v>8617000</v>
      </c>
      <c r="E120" s="49">
        <f>VLOOKUP($A120,'Data shares'!$C:$FB,67)</f>
        <v>47187000</v>
      </c>
      <c r="F120" s="50">
        <f>VLOOKUP($A120,'Data shares'!$C:$FB,69)*100</f>
        <v>-81.739999999999995</v>
      </c>
      <c r="G120" s="49">
        <f>VLOOKUP($A120,'Data shares'!$C:$FB,42)</f>
        <v>2366000</v>
      </c>
      <c r="H120" s="49">
        <f>VLOOKUP($A120,'Data shares'!$C:$FB,43)</f>
        <v>28337000</v>
      </c>
      <c r="I120" s="50">
        <f>VLOOKUP($A120,'Data shares'!$C:$FB,45)*100</f>
        <v>-91.649999999999991</v>
      </c>
      <c r="J120" s="49">
        <f>VLOOKUP($A120,'Data shares'!$C:$FB,58)</f>
        <v>4332000</v>
      </c>
      <c r="K120" s="49">
        <f>VLOOKUP($A120,'Data shares'!$C:$FB,59)</f>
        <v>10866000</v>
      </c>
      <c r="L120" s="50">
        <f>VLOOKUP($A120,'Data shares'!$C:$FB,61)*100</f>
        <v>-60.129999999999995</v>
      </c>
      <c r="M120" s="49">
        <f>VLOOKUP($A120,'Data shares'!$C:$FB,62)</f>
        <v>1919000</v>
      </c>
      <c r="N120" s="49">
        <f>VLOOKUP($A120,'Data shares'!$C:$FB,63)</f>
        <v>7984000</v>
      </c>
      <c r="O120" s="140">
        <f>VLOOKUP($A120,'Data shares'!$C:$FB,65)*100</f>
        <v>-75.960000000000008</v>
      </c>
    </row>
    <row r="121" spans="1:15" x14ac:dyDescent="0.25">
      <c r="A121" s="101" t="str">
        <f>'Data Vlaue (Cr)'!C116</f>
        <v>LICI</v>
      </c>
      <c r="B121" s="50">
        <f>VLOOKUP($A121,'Data shares'!$C:$FB,7)</f>
        <v>822.15</v>
      </c>
      <c r="C121" s="50">
        <f>VLOOKUP($A121,'Data shares'!$C:$FB,10)*100</f>
        <v>1.78</v>
      </c>
      <c r="D121" s="49">
        <f>VLOOKUP($A121,'Data shares'!$C:$FB,66)</f>
        <v>4849600</v>
      </c>
      <c r="E121" s="49">
        <f>VLOOKUP($A121,'Data shares'!$C:$FB,67)</f>
        <v>17919300</v>
      </c>
      <c r="F121" s="50">
        <f>VLOOKUP($A121,'Data shares'!$C:$FB,69)*100</f>
        <v>-72.94</v>
      </c>
      <c r="G121" s="49">
        <f>VLOOKUP($A121,'Data shares'!$C:$FB,42)</f>
        <v>1104600</v>
      </c>
      <c r="H121" s="49">
        <f>VLOOKUP($A121,'Data shares'!$C:$FB,43)</f>
        <v>10512600</v>
      </c>
      <c r="I121" s="50">
        <f>VLOOKUP($A121,'Data shares'!$C:$FB,45)*100</f>
        <v>-89.490000000000009</v>
      </c>
      <c r="J121" s="49">
        <f>VLOOKUP($A121,'Data shares'!$C:$FB,58)</f>
        <v>2468200</v>
      </c>
      <c r="K121" s="49">
        <f>VLOOKUP($A121,'Data shares'!$C:$FB,59)</f>
        <v>4436600</v>
      </c>
      <c r="L121" s="50">
        <f>VLOOKUP($A121,'Data shares'!$C:$FB,61)*100</f>
        <v>-44.37</v>
      </c>
      <c r="M121" s="49">
        <f>VLOOKUP($A121,'Data shares'!$C:$FB,62)</f>
        <v>1276800</v>
      </c>
      <c r="N121" s="49">
        <f>VLOOKUP($A121,'Data shares'!$C:$FB,63)</f>
        <v>2970100</v>
      </c>
      <c r="O121" s="140">
        <f>VLOOKUP($A121,'Data shares'!$C:$FB,65)*100</f>
        <v>-57.010000000000005</v>
      </c>
    </row>
    <row r="122" spans="1:15" x14ac:dyDescent="0.25">
      <c r="A122" s="101" t="str">
        <f>'Data Vlaue (Cr)'!C117</f>
        <v>LODHA</v>
      </c>
      <c r="B122" s="50">
        <f>VLOOKUP($A122,'Data shares'!$C:$FB,7)</f>
        <v>929.1</v>
      </c>
      <c r="C122" s="50">
        <f>VLOOKUP($A122,'Data shares'!$C:$FB,10)*100</f>
        <v>2.41</v>
      </c>
      <c r="D122" s="49">
        <f>VLOOKUP($A122,'Data shares'!$C:$FB,66)</f>
        <v>9164700</v>
      </c>
      <c r="E122" s="49">
        <f>VLOOKUP($A122,'Data shares'!$C:$FB,67)</f>
        <v>23605650</v>
      </c>
      <c r="F122" s="50">
        <f>VLOOKUP($A122,'Data shares'!$C:$FB,69)*100</f>
        <v>-61.18</v>
      </c>
      <c r="G122" s="49">
        <f>VLOOKUP($A122,'Data shares'!$C:$FB,42)</f>
        <v>2451150</v>
      </c>
      <c r="H122" s="49">
        <f>VLOOKUP($A122,'Data shares'!$C:$FB,43)</f>
        <v>10415250</v>
      </c>
      <c r="I122" s="50">
        <f>VLOOKUP($A122,'Data shares'!$C:$FB,45)*100</f>
        <v>-76.47</v>
      </c>
      <c r="J122" s="49">
        <f>VLOOKUP($A122,'Data shares'!$C:$FB,58)</f>
        <v>4185000</v>
      </c>
      <c r="K122" s="49">
        <f>VLOOKUP($A122,'Data shares'!$C:$FB,59)</f>
        <v>5498100</v>
      </c>
      <c r="L122" s="50">
        <f>VLOOKUP($A122,'Data shares'!$C:$FB,61)*100</f>
        <v>-23.880000000000003</v>
      </c>
      <c r="M122" s="49">
        <f>VLOOKUP($A122,'Data shares'!$C:$FB,62)</f>
        <v>2528550</v>
      </c>
      <c r="N122" s="49">
        <f>VLOOKUP($A122,'Data shares'!$C:$FB,63)</f>
        <v>7692300</v>
      </c>
      <c r="O122" s="140">
        <f>VLOOKUP($A122,'Data shares'!$C:$FB,65)*100</f>
        <v>-67.13</v>
      </c>
    </row>
    <row r="123" spans="1:15" x14ac:dyDescent="0.25">
      <c r="A123" s="101" t="str">
        <f>'Data Vlaue (Cr)'!C118</f>
        <v>LT</v>
      </c>
      <c r="B123" s="50">
        <f>VLOOKUP($A123,'Data shares'!$C:$FB,7)</f>
        <v>3794</v>
      </c>
      <c r="C123" s="50">
        <f>VLOOKUP($A123,'Data shares'!$C:$FB,10)*100</f>
        <v>0.16</v>
      </c>
      <c r="D123" s="49">
        <f>VLOOKUP($A123,'Data shares'!$C:$FB,66)</f>
        <v>16404675</v>
      </c>
      <c r="E123" s="49">
        <f>VLOOKUP($A123,'Data shares'!$C:$FB,67)</f>
        <v>19664400</v>
      </c>
      <c r="F123" s="50">
        <f>VLOOKUP($A123,'Data shares'!$C:$FB,69)*100</f>
        <v>-16.580000000000002</v>
      </c>
      <c r="G123" s="49">
        <f>VLOOKUP($A123,'Data shares'!$C:$FB,42)</f>
        <v>3036425</v>
      </c>
      <c r="H123" s="49">
        <f>VLOOKUP($A123,'Data shares'!$C:$FB,43)</f>
        <v>9252250</v>
      </c>
      <c r="I123" s="50">
        <f>VLOOKUP($A123,'Data shares'!$C:$FB,45)*100</f>
        <v>-67.179999999999993</v>
      </c>
      <c r="J123" s="49">
        <f>VLOOKUP($A123,'Data shares'!$C:$FB,58)</f>
        <v>9454900</v>
      </c>
      <c r="K123" s="49">
        <f>VLOOKUP($A123,'Data shares'!$C:$FB,59)</f>
        <v>6805225</v>
      </c>
      <c r="L123" s="50">
        <f>VLOOKUP($A123,'Data shares'!$C:$FB,61)*100</f>
        <v>38.940000000000005</v>
      </c>
      <c r="M123" s="49">
        <f>VLOOKUP($A123,'Data shares'!$C:$FB,62)</f>
        <v>3913350</v>
      </c>
      <c r="N123" s="49">
        <f>VLOOKUP($A123,'Data shares'!$C:$FB,63)</f>
        <v>3606925</v>
      </c>
      <c r="O123" s="140">
        <f>VLOOKUP($A123,'Data shares'!$C:$FB,65)*100</f>
        <v>8.5</v>
      </c>
    </row>
    <row r="124" spans="1:15" x14ac:dyDescent="0.25">
      <c r="A124" s="101" t="str">
        <f>'Data Vlaue (Cr)'!C119</f>
        <v>LTF</v>
      </c>
      <c r="B124" s="50">
        <f>VLOOKUP($A124,'Data shares'!$C:$FB,7)</f>
        <v>289.39999999999998</v>
      </c>
      <c r="C124" s="50">
        <f>VLOOKUP($A124,'Data shares'!$C:$FB,10)*100</f>
        <v>1.4500000000000002</v>
      </c>
      <c r="D124" s="49">
        <f>VLOOKUP($A124,'Data shares'!$C:$FB,66)</f>
        <v>26466750</v>
      </c>
      <c r="E124" s="49">
        <f>VLOOKUP($A124,'Data shares'!$C:$FB,67)</f>
        <v>128164500</v>
      </c>
      <c r="F124" s="50">
        <f>VLOOKUP($A124,'Data shares'!$C:$FB,69)*100</f>
        <v>-79.349999999999994</v>
      </c>
      <c r="G124" s="49">
        <f>VLOOKUP($A124,'Data shares'!$C:$FB,42)</f>
        <v>6790500</v>
      </c>
      <c r="H124" s="49">
        <f>VLOOKUP($A124,'Data shares'!$C:$FB,43)</f>
        <v>45652500</v>
      </c>
      <c r="I124" s="50">
        <f>VLOOKUP($A124,'Data shares'!$C:$FB,45)*100</f>
        <v>-85.13</v>
      </c>
      <c r="J124" s="49">
        <f>VLOOKUP($A124,'Data shares'!$C:$FB,58)</f>
        <v>12255750</v>
      </c>
      <c r="K124" s="49">
        <f>VLOOKUP($A124,'Data shares'!$C:$FB,59)</f>
        <v>57300750</v>
      </c>
      <c r="L124" s="50">
        <f>VLOOKUP($A124,'Data shares'!$C:$FB,61)*100</f>
        <v>-78.61</v>
      </c>
      <c r="M124" s="49">
        <f>VLOOKUP($A124,'Data shares'!$C:$FB,62)</f>
        <v>7420500</v>
      </c>
      <c r="N124" s="49">
        <f>VLOOKUP($A124,'Data shares'!$C:$FB,63)</f>
        <v>25211250</v>
      </c>
      <c r="O124" s="140">
        <f>VLOOKUP($A124,'Data shares'!$C:$FB,65)*100</f>
        <v>-70.569999999999993</v>
      </c>
    </row>
    <row r="125" spans="1:15" x14ac:dyDescent="0.25">
      <c r="A125" s="101" t="str">
        <f>'Data Vlaue (Cr)'!C120</f>
        <v>LTIM</v>
      </c>
      <c r="B125" s="50">
        <f>VLOOKUP($A125,'Data shares'!$C:$FB,7)</f>
        <v>6015.5</v>
      </c>
      <c r="C125" s="50">
        <f>VLOOKUP($A125,'Data shares'!$C:$FB,10)*100</f>
        <v>1.26</v>
      </c>
      <c r="D125" s="49">
        <f>VLOOKUP($A125,'Data shares'!$C:$FB,66)</f>
        <v>1479450</v>
      </c>
      <c r="E125" s="49">
        <f>VLOOKUP($A125,'Data shares'!$C:$FB,67)</f>
        <v>4590000</v>
      </c>
      <c r="F125" s="50">
        <f>VLOOKUP($A125,'Data shares'!$C:$FB,69)*100</f>
        <v>-67.77</v>
      </c>
      <c r="G125" s="49">
        <f>VLOOKUP($A125,'Data shares'!$C:$FB,42)</f>
        <v>252600</v>
      </c>
      <c r="H125" s="49">
        <f>VLOOKUP($A125,'Data shares'!$C:$FB,43)</f>
        <v>1553550</v>
      </c>
      <c r="I125" s="50">
        <f>VLOOKUP($A125,'Data shares'!$C:$FB,45)*100</f>
        <v>-83.740000000000009</v>
      </c>
      <c r="J125" s="49">
        <f>VLOOKUP($A125,'Data shares'!$C:$FB,58)</f>
        <v>934350</v>
      </c>
      <c r="K125" s="49">
        <f>VLOOKUP($A125,'Data shares'!$C:$FB,59)</f>
        <v>1857600</v>
      </c>
      <c r="L125" s="50">
        <f>VLOOKUP($A125,'Data shares'!$C:$FB,61)*100</f>
        <v>-49.7</v>
      </c>
      <c r="M125" s="49">
        <f>VLOOKUP($A125,'Data shares'!$C:$FB,62)</f>
        <v>292500</v>
      </c>
      <c r="N125" s="49">
        <f>VLOOKUP($A125,'Data shares'!$C:$FB,63)</f>
        <v>1178850</v>
      </c>
      <c r="O125" s="140">
        <f>VLOOKUP($A125,'Data shares'!$C:$FB,65)*100</f>
        <v>-75.19</v>
      </c>
    </row>
    <row r="126" spans="1:15" x14ac:dyDescent="0.25">
      <c r="A126" s="101" t="str">
        <f>'Data Vlaue (Cr)'!C121</f>
        <v>LUPIN</v>
      </c>
      <c r="B126" s="50">
        <f>VLOOKUP($A126,'Data shares'!$C:$FB,7)</f>
        <v>2129.5</v>
      </c>
      <c r="C126" s="50">
        <f>VLOOKUP($A126,'Data shares'!$C:$FB,10)*100</f>
        <v>-0.98</v>
      </c>
      <c r="D126" s="49">
        <f>VLOOKUP($A126,'Data shares'!$C:$FB,66)</f>
        <v>3095275</v>
      </c>
      <c r="E126" s="49">
        <f>VLOOKUP($A126,'Data shares'!$C:$FB,67)</f>
        <v>7964925</v>
      </c>
      <c r="F126" s="50">
        <f>VLOOKUP($A126,'Data shares'!$C:$FB,69)*100</f>
        <v>-61.140000000000008</v>
      </c>
      <c r="G126" s="49">
        <f>VLOOKUP($A126,'Data shares'!$C:$FB,42)</f>
        <v>1085450</v>
      </c>
      <c r="H126" s="49">
        <f>VLOOKUP($A126,'Data shares'!$C:$FB,43)</f>
        <v>4233425</v>
      </c>
      <c r="I126" s="50">
        <f>VLOOKUP($A126,'Data shares'!$C:$FB,45)*100</f>
        <v>-74.36</v>
      </c>
      <c r="J126" s="49">
        <f>VLOOKUP($A126,'Data shares'!$C:$FB,58)</f>
        <v>1411850</v>
      </c>
      <c r="K126" s="49">
        <f>VLOOKUP($A126,'Data shares'!$C:$FB,59)</f>
        <v>2963950</v>
      </c>
      <c r="L126" s="50">
        <f>VLOOKUP($A126,'Data shares'!$C:$FB,61)*100</f>
        <v>-52.370000000000005</v>
      </c>
      <c r="M126" s="49">
        <f>VLOOKUP($A126,'Data shares'!$C:$FB,62)</f>
        <v>597975</v>
      </c>
      <c r="N126" s="49">
        <f>VLOOKUP($A126,'Data shares'!$C:$FB,63)</f>
        <v>767550</v>
      </c>
      <c r="O126" s="140">
        <f>VLOOKUP($A126,'Data shares'!$C:$FB,65)*100</f>
        <v>-22.09</v>
      </c>
    </row>
    <row r="127" spans="1:15" x14ac:dyDescent="0.25">
      <c r="A127" s="101" t="str">
        <f>'Data Vlaue (Cr)'!C122</f>
        <v>M&amp;M</v>
      </c>
      <c r="B127" s="50">
        <f>VLOOKUP($A127,'Data shares'!$C:$FB,7)</f>
        <v>3449.2</v>
      </c>
      <c r="C127" s="50">
        <f>VLOOKUP($A127,'Data shares'!$C:$FB,10)*100</f>
        <v>1.6400000000000001</v>
      </c>
      <c r="D127" s="49">
        <f>VLOOKUP($A127,'Data shares'!$C:$FB,66)</f>
        <v>13588200</v>
      </c>
      <c r="E127" s="49">
        <f>VLOOKUP($A127,'Data shares'!$C:$FB,67)</f>
        <v>34479000</v>
      </c>
      <c r="F127" s="50">
        <f>VLOOKUP($A127,'Data shares'!$C:$FB,69)*100</f>
        <v>-60.589999999999996</v>
      </c>
      <c r="G127" s="49">
        <f>VLOOKUP($A127,'Data shares'!$C:$FB,42)</f>
        <v>3447600</v>
      </c>
      <c r="H127" s="49">
        <f>VLOOKUP($A127,'Data shares'!$C:$FB,43)</f>
        <v>10773200</v>
      </c>
      <c r="I127" s="50">
        <f>VLOOKUP($A127,'Data shares'!$C:$FB,45)*100</f>
        <v>-68</v>
      </c>
      <c r="J127" s="49">
        <f>VLOOKUP($A127,'Data shares'!$C:$FB,58)</f>
        <v>5511200</v>
      </c>
      <c r="K127" s="49">
        <f>VLOOKUP($A127,'Data shares'!$C:$FB,59)</f>
        <v>11173200</v>
      </c>
      <c r="L127" s="50">
        <f>VLOOKUP($A127,'Data shares'!$C:$FB,61)*100</f>
        <v>-50.67</v>
      </c>
      <c r="M127" s="49">
        <f>VLOOKUP($A127,'Data shares'!$C:$FB,62)</f>
        <v>4629400</v>
      </c>
      <c r="N127" s="49">
        <f>VLOOKUP($A127,'Data shares'!$C:$FB,63)</f>
        <v>12532600</v>
      </c>
      <c r="O127" s="140">
        <f>VLOOKUP($A127,'Data shares'!$C:$FB,65)*100</f>
        <v>-63.06</v>
      </c>
    </row>
    <row r="128" spans="1:15" x14ac:dyDescent="0.25">
      <c r="A128" s="101" t="str">
        <f>'Data Vlaue (Cr)'!C123</f>
        <v>MANAPPURAM</v>
      </c>
      <c r="B128" s="50">
        <f>VLOOKUP($A128,'Data shares'!$C:$FB,7)</f>
        <v>291.7</v>
      </c>
      <c r="C128" s="50">
        <f>VLOOKUP($A128,'Data shares'!$C:$FB,10)*100</f>
        <v>-1.1499999999999999</v>
      </c>
      <c r="D128" s="49">
        <f>VLOOKUP($A128,'Data shares'!$C:$FB,66)</f>
        <v>45483000</v>
      </c>
      <c r="E128" s="49">
        <f>VLOOKUP($A128,'Data shares'!$C:$FB,67)</f>
        <v>72567000</v>
      </c>
      <c r="F128" s="50">
        <f>VLOOKUP($A128,'Data shares'!$C:$FB,69)*100</f>
        <v>-37.32</v>
      </c>
      <c r="G128" s="49">
        <f>VLOOKUP($A128,'Data shares'!$C:$FB,42)</f>
        <v>13380000</v>
      </c>
      <c r="H128" s="49">
        <f>VLOOKUP($A128,'Data shares'!$C:$FB,43)</f>
        <v>34212000</v>
      </c>
      <c r="I128" s="50">
        <f>VLOOKUP($A128,'Data shares'!$C:$FB,45)*100</f>
        <v>-60.89</v>
      </c>
      <c r="J128" s="49">
        <f>VLOOKUP($A128,'Data shares'!$C:$FB,58)</f>
        <v>19287000</v>
      </c>
      <c r="K128" s="49">
        <f>VLOOKUP($A128,'Data shares'!$C:$FB,59)</f>
        <v>20229000</v>
      </c>
      <c r="L128" s="50">
        <f>VLOOKUP($A128,'Data shares'!$C:$FB,61)*100</f>
        <v>-4.66</v>
      </c>
      <c r="M128" s="49">
        <f>VLOOKUP($A128,'Data shares'!$C:$FB,62)</f>
        <v>12816000</v>
      </c>
      <c r="N128" s="49">
        <f>VLOOKUP($A128,'Data shares'!$C:$FB,63)</f>
        <v>18126000</v>
      </c>
      <c r="O128" s="140">
        <f>VLOOKUP($A128,'Data shares'!$C:$FB,65)*100</f>
        <v>-29.29</v>
      </c>
    </row>
    <row r="129" spans="1:15" x14ac:dyDescent="0.25">
      <c r="A129" s="101" t="str">
        <f>'Data Vlaue (Cr)'!C124</f>
        <v>MANKIND</v>
      </c>
      <c r="B129" s="50">
        <f>VLOOKUP($A129,'Data shares'!$C:$FB,7)</f>
        <v>2116.9</v>
      </c>
      <c r="C129" s="50">
        <f>VLOOKUP($A129,'Data shares'!$C:$FB,10)*100</f>
        <v>1.08</v>
      </c>
      <c r="D129" s="49">
        <f>VLOOKUP($A129,'Data shares'!$C:$FB,66)</f>
        <v>1291500</v>
      </c>
      <c r="E129" s="49">
        <f>VLOOKUP($A129,'Data shares'!$C:$FB,67)</f>
        <v>2526975</v>
      </c>
      <c r="F129" s="50">
        <f>VLOOKUP($A129,'Data shares'!$C:$FB,69)*100</f>
        <v>-48.89</v>
      </c>
      <c r="G129" s="49">
        <f>VLOOKUP($A129,'Data shares'!$C:$FB,42)</f>
        <v>561375</v>
      </c>
      <c r="H129" s="49">
        <f>VLOOKUP($A129,'Data shares'!$C:$FB,43)</f>
        <v>1234350</v>
      </c>
      <c r="I129" s="50">
        <f>VLOOKUP($A129,'Data shares'!$C:$FB,45)*100</f>
        <v>-54.52</v>
      </c>
      <c r="J129" s="49">
        <f>VLOOKUP($A129,'Data shares'!$C:$FB,58)</f>
        <v>447750</v>
      </c>
      <c r="K129" s="49">
        <f>VLOOKUP($A129,'Data shares'!$C:$FB,59)</f>
        <v>853875</v>
      </c>
      <c r="L129" s="50">
        <f>VLOOKUP($A129,'Data shares'!$C:$FB,61)*100</f>
        <v>-47.56</v>
      </c>
      <c r="M129" s="49">
        <f>VLOOKUP($A129,'Data shares'!$C:$FB,62)</f>
        <v>282375</v>
      </c>
      <c r="N129" s="49">
        <f>VLOOKUP($A129,'Data shares'!$C:$FB,63)</f>
        <v>438750</v>
      </c>
      <c r="O129" s="140">
        <f>VLOOKUP($A129,'Data shares'!$C:$FB,65)*100</f>
        <v>-35.64</v>
      </c>
    </row>
    <row r="130" spans="1:15" x14ac:dyDescent="0.25">
      <c r="A130" s="101" t="str">
        <f>'Data Vlaue (Cr)'!C125</f>
        <v>MARICO</v>
      </c>
      <c r="B130" s="50">
        <f>VLOOKUP($A130,'Data shares'!$C:$FB,7)</f>
        <v>736.65</v>
      </c>
      <c r="C130" s="50">
        <f>VLOOKUP($A130,'Data shares'!$C:$FB,10)*100</f>
        <v>-1.23</v>
      </c>
      <c r="D130" s="49">
        <f>VLOOKUP($A130,'Data shares'!$C:$FB,66)</f>
        <v>37267200</v>
      </c>
      <c r="E130" s="49">
        <f>VLOOKUP($A130,'Data shares'!$C:$FB,67)</f>
        <v>29494800</v>
      </c>
      <c r="F130" s="50">
        <f>VLOOKUP($A130,'Data shares'!$C:$FB,69)*100</f>
        <v>26.35</v>
      </c>
      <c r="G130" s="49">
        <f>VLOOKUP($A130,'Data shares'!$C:$FB,42)</f>
        <v>6488400</v>
      </c>
      <c r="H130" s="49">
        <f>VLOOKUP($A130,'Data shares'!$C:$FB,43)</f>
        <v>13401600</v>
      </c>
      <c r="I130" s="50">
        <f>VLOOKUP($A130,'Data shares'!$C:$FB,45)*100</f>
        <v>-51.580000000000005</v>
      </c>
      <c r="J130" s="49">
        <f>VLOOKUP($A130,'Data shares'!$C:$FB,58)</f>
        <v>17379600</v>
      </c>
      <c r="K130" s="49">
        <f>VLOOKUP($A130,'Data shares'!$C:$FB,59)</f>
        <v>10009200</v>
      </c>
      <c r="L130" s="50">
        <f>VLOOKUP($A130,'Data shares'!$C:$FB,61)*100</f>
        <v>73.64</v>
      </c>
      <c r="M130" s="49">
        <f>VLOOKUP($A130,'Data shares'!$C:$FB,62)</f>
        <v>13399200</v>
      </c>
      <c r="N130" s="49">
        <f>VLOOKUP($A130,'Data shares'!$C:$FB,63)</f>
        <v>6084000</v>
      </c>
      <c r="O130" s="140">
        <f>VLOOKUP($A130,'Data shares'!$C:$FB,65)*100</f>
        <v>120.24</v>
      </c>
    </row>
    <row r="131" spans="1:15" x14ac:dyDescent="0.25">
      <c r="A131" s="101" t="str">
        <f>'Data Vlaue (Cr)'!C126</f>
        <v>MARUTI</v>
      </c>
      <c r="B131" s="50">
        <f>VLOOKUP($A131,'Data shares'!$C:$FB,7)</f>
        <v>14877</v>
      </c>
      <c r="C131" s="50">
        <f>VLOOKUP($A131,'Data shares'!$C:$FB,10)*100</f>
        <v>-2.41</v>
      </c>
      <c r="D131" s="49">
        <f>VLOOKUP($A131,'Data shares'!$C:$FB,66)</f>
        <v>23870300</v>
      </c>
      <c r="E131" s="49">
        <f>VLOOKUP($A131,'Data shares'!$C:$FB,67)</f>
        <v>13489800</v>
      </c>
      <c r="F131" s="50">
        <f>VLOOKUP($A131,'Data shares'!$C:$FB,69)*100</f>
        <v>76.95</v>
      </c>
      <c r="G131" s="49">
        <f>VLOOKUP($A131,'Data shares'!$C:$FB,42)</f>
        <v>2552850</v>
      </c>
      <c r="H131" s="49">
        <f>VLOOKUP($A131,'Data shares'!$C:$FB,43)</f>
        <v>1504550</v>
      </c>
      <c r="I131" s="50">
        <f>VLOOKUP($A131,'Data shares'!$C:$FB,45)*100</f>
        <v>69.679999999999993</v>
      </c>
      <c r="J131" s="49">
        <f>VLOOKUP($A131,'Data shares'!$C:$FB,58)</f>
        <v>13177850</v>
      </c>
      <c r="K131" s="49">
        <f>VLOOKUP($A131,'Data shares'!$C:$FB,59)</f>
        <v>6344450</v>
      </c>
      <c r="L131" s="50">
        <f>VLOOKUP($A131,'Data shares'!$C:$FB,61)*100</f>
        <v>107.71</v>
      </c>
      <c r="M131" s="49">
        <f>VLOOKUP($A131,'Data shares'!$C:$FB,62)</f>
        <v>8139600</v>
      </c>
      <c r="N131" s="49">
        <f>VLOOKUP($A131,'Data shares'!$C:$FB,63)</f>
        <v>5640800</v>
      </c>
      <c r="O131" s="140">
        <f>VLOOKUP($A131,'Data shares'!$C:$FB,65)*100</f>
        <v>44.3</v>
      </c>
    </row>
    <row r="132" spans="1:15" x14ac:dyDescent="0.25">
      <c r="A132" s="101" t="str">
        <f>'Data Vlaue (Cr)'!C127</f>
        <v>MAXHEALTH</v>
      </c>
      <c r="B132" s="50">
        <f>VLOOKUP($A132,'Data shares'!$C:$FB,7)</f>
        <v>958.6</v>
      </c>
      <c r="C132" s="50">
        <f>VLOOKUP($A132,'Data shares'!$C:$FB,10)*100</f>
        <v>-1.73</v>
      </c>
      <c r="D132" s="49">
        <f>VLOOKUP($A132,'Data shares'!$C:$FB,66)</f>
        <v>6370875</v>
      </c>
      <c r="E132" s="49">
        <f>VLOOKUP($A132,'Data shares'!$C:$FB,67)</f>
        <v>12871950</v>
      </c>
      <c r="F132" s="50">
        <f>VLOOKUP($A132,'Data shares'!$C:$FB,69)*100</f>
        <v>-50.51</v>
      </c>
      <c r="G132" s="49">
        <f>VLOOKUP($A132,'Data shares'!$C:$FB,42)</f>
        <v>2643375</v>
      </c>
      <c r="H132" s="49">
        <f>VLOOKUP($A132,'Data shares'!$C:$FB,43)</f>
        <v>8113875</v>
      </c>
      <c r="I132" s="50">
        <f>VLOOKUP($A132,'Data shares'!$C:$FB,45)*100</f>
        <v>-67.42</v>
      </c>
      <c r="J132" s="49">
        <f>VLOOKUP($A132,'Data shares'!$C:$FB,58)</f>
        <v>2178750</v>
      </c>
      <c r="K132" s="49">
        <f>VLOOKUP($A132,'Data shares'!$C:$FB,59)</f>
        <v>2178750</v>
      </c>
      <c r="L132" s="50">
        <f>VLOOKUP($A132,'Data shares'!$C:$FB,61)*100</f>
        <v>0</v>
      </c>
      <c r="M132" s="49">
        <f>VLOOKUP($A132,'Data shares'!$C:$FB,62)</f>
        <v>1548750</v>
      </c>
      <c r="N132" s="49">
        <f>VLOOKUP($A132,'Data shares'!$C:$FB,63)</f>
        <v>2579325</v>
      </c>
      <c r="O132" s="140">
        <f>VLOOKUP($A132,'Data shares'!$C:$FB,65)*100</f>
        <v>-39.96</v>
      </c>
    </row>
    <row r="133" spans="1:15" x14ac:dyDescent="0.25">
      <c r="A133" s="101" t="str">
        <f>'Data Vlaue (Cr)'!C128</f>
        <v>MAZDOCK</v>
      </c>
      <c r="B133" s="50">
        <f>VLOOKUP($A133,'Data shares'!$C:$FB,7)</f>
        <v>2505.6</v>
      </c>
      <c r="C133" s="50">
        <f>VLOOKUP($A133,'Data shares'!$C:$FB,10)*100</f>
        <v>7.3</v>
      </c>
      <c r="D133" s="49">
        <f>VLOOKUP($A133,'Data shares'!$C:$FB,66)</f>
        <v>11001600</v>
      </c>
      <c r="E133" s="49">
        <f>VLOOKUP($A133,'Data shares'!$C:$FB,67)</f>
        <v>11042600</v>
      </c>
      <c r="F133" s="50">
        <f>VLOOKUP($A133,'Data shares'!$C:$FB,69)*100</f>
        <v>-0.37</v>
      </c>
      <c r="G133" s="49">
        <f>VLOOKUP($A133,'Data shares'!$C:$FB,42)</f>
        <v>1740800</v>
      </c>
      <c r="H133" s="49">
        <f>VLOOKUP($A133,'Data shares'!$C:$FB,43)</f>
        <v>5298600</v>
      </c>
      <c r="I133" s="50">
        <f>VLOOKUP($A133,'Data shares'!$C:$FB,45)*100</f>
        <v>-67.150000000000006</v>
      </c>
      <c r="J133" s="49">
        <f>VLOOKUP($A133,'Data shares'!$C:$FB,58)</f>
        <v>7752400</v>
      </c>
      <c r="K133" s="49">
        <f>VLOOKUP($A133,'Data shares'!$C:$FB,59)</f>
        <v>3731000</v>
      </c>
      <c r="L133" s="50">
        <f>VLOOKUP($A133,'Data shares'!$C:$FB,61)*100</f>
        <v>107.78000000000002</v>
      </c>
      <c r="M133" s="49">
        <f>VLOOKUP($A133,'Data shares'!$C:$FB,62)</f>
        <v>1508400</v>
      </c>
      <c r="N133" s="49">
        <f>VLOOKUP($A133,'Data shares'!$C:$FB,63)</f>
        <v>2013000</v>
      </c>
      <c r="O133" s="140">
        <f>VLOOKUP($A133,'Data shares'!$C:$FB,65)*100</f>
        <v>-25.069999999999997</v>
      </c>
    </row>
    <row r="134" spans="1:15" x14ac:dyDescent="0.25">
      <c r="A134" s="101" t="str">
        <f>'Data Vlaue (Cr)'!C129</f>
        <v>MCX</v>
      </c>
      <c r="B134" s="50">
        <f>VLOOKUP($A134,'Data shares'!$C:$FB,7)</f>
        <v>2593</v>
      </c>
      <c r="C134" s="50">
        <f>VLOOKUP($A134,'Data shares'!$C:$FB,10)*100</f>
        <v>7.24</v>
      </c>
      <c r="D134" s="49">
        <f>VLOOKUP($A134,'Data shares'!$C:$FB,66)</f>
        <v>64013750</v>
      </c>
      <c r="E134" s="49">
        <f>VLOOKUP($A134,'Data shares'!$C:$FB,67)</f>
        <v>115851250</v>
      </c>
      <c r="F134" s="50">
        <f>VLOOKUP($A134,'Data shares'!$C:$FB,69)*100</f>
        <v>-44.74</v>
      </c>
      <c r="G134" s="49">
        <f>VLOOKUP($A134,'Data shares'!$C:$FB,42)</f>
        <v>10173750</v>
      </c>
      <c r="H134" s="49">
        <f>VLOOKUP($A134,'Data shares'!$C:$FB,43)</f>
        <v>17637500</v>
      </c>
      <c r="I134" s="50">
        <f>VLOOKUP($A134,'Data shares'!$C:$FB,45)*100</f>
        <v>-42.32</v>
      </c>
      <c r="J134" s="49">
        <f>VLOOKUP($A134,'Data shares'!$C:$FB,58)</f>
        <v>35406875</v>
      </c>
      <c r="K134" s="49">
        <f>VLOOKUP($A134,'Data shares'!$C:$FB,59)</f>
        <v>74517500</v>
      </c>
      <c r="L134" s="50">
        <f>VLOOKUP($A134,'Data shares'!$C:$FB,61)*100</f>
        <v>-52.49</v>
      </c>
      <c r="M134" s="49">
        <f>VLOOKUP($A134,'Data shares'!$C:$FB,62)</f>
        <v>18433125</v>
      </c>
      <c r="N134" s="49">
        <f>VLOOKUP($A134,'Data shares'!$C:$FB,63)</f>
        <v>23696250</v>
      </c>
      <c r="O134" s="140">
        <f>VLOOKUP($A134,'Data shares'!$C:$FB,65)*100</f>
        <v>-22.21</v>
      </c>
    </row>
    <row r="135" spans="1:15" x14ac:dyDescent="0.25">
      <c r="A135" s="101" t="str">
        <f>'Data Vlaue (Cr)'!C130</f>
        <v>MFSL</v>
      </c>
      <c r="B135" s="50">
        <f>VLOOKUP($A135,'Data shares'!$C:$FB,7)</f>
        <v>1623.9</v>
      </c>
      <c r="C135" s="50">
        <f>VLOOKUP($A135,'Data shares'!$C:$FB,10)*100</f>
        <v>3</v>
      </c>
      <c r="D135" s="49">
        <f>VLOOKUP($A135,'Data shares'!$C:$FB,66)</f>
        <v>2902800</v>
      </c>
      <c r="E135" s="49">
        <f>VLOOKUP($A135,'Data shares'!$C:$FB,67)</f>
        <v>5722000</v>
      </c>
      <c r="F135" s="50">
        <f>VLOOKUP($A135,'Data shares'!$C:$FB,69)*100</f>
        <v>-49.27</v>
      </c>
      <c r="G135" s="49">
        <f>VLOOKUP($A135,'Data shares'!$C:$FB,42)</f>
        <v>1324800</v>
      </c>
      <c r="H135" s="49">
        <f>VLOOKUP($A135,'Data shares'!$C:$FB,43)</f>
        <v>3688800</v>
      </c>
      <c r="I135" s="50">
        <f>VLOOKUP($A135,'Data shares'!$C:$FB,45)*100</f>
        <v>-64.09</v>
      </c>
      <c r="J135" s="49">
        <f>VLOOKUP($A135,'Data shares'!$C:$FB,58)</f>
        <v>1007200</v>
      </c>
      <c r="K135" s="49">
        <f>VLOOKUP($A135,'Data shares'!$C:$FB,59)</f>
        <v>673600</v>
      </c>
      <c r="L135" s="50">
        <f>VLOOKUP($A135,'Data shares'!$C:$FB,61)*100</f>
        <v>49.519999999999996</v>
      </c>
      <c r="M135" s="49">
        <f>VLOOKUP($A135,'Data shares'!$C:$FB,62)</f>
        <v>570800</v>
      </c>
      <c r="N135" s="49">
        <f>VLOOKUP($A135,'Data shares'!$C:$FB,63)</f>
        <v>1359600</v>
      </c>
      <c r="O135" s="140">
        <f>VLOOKUP($A135,'Data shares'!$C:$FB,65)*100</f>
        <v>-58.02</v>
      </c>
    </row>
    <row r="136" spans="1:15" x14ac:dyDescent="0.25">
      <c r="A136" s="101" t="str">
        <f>'Data Vlaue (Cr)'!C131</f>
        <v>MIDCPNIFTY</v>
      </c>
      <c r="B136" s="50">
        <f>VLOOKUP($A136,'Data shares'!$C:$FB,7)</f>
        <v>13381.9</v>
      </c>
      <c r="C136" s="50">
        <f>VLOOKUP($A136,'Data shares'!$C:$FB,10)*100</f>
        <v>1.8599999999999999</v>
      </c>
      <c r="D136" s="49">
        <f>VLOOKUP($A136,'Data shares'!$C:$FB,66)</f>
        <v>28191720</v>
      </c>
      <c r="E136" s="49">
        <f>VLOOKUP($A136,'Data shares'!$C:$FB,67)</f>
        <v>1145465400</v>
      </c>
      <c r="F136" s="50">
        <f>VLOOKUP($A136,'Data shares'!$C:$FB,69)*100</f>
        <v>-97.54</v>
      </c>
      <c r="G136" s="49">
        <f>VLOOKUP($A136,'Data shares'!$C:$FB,42)</f>
        <v>833760</v>
      </c>
      <c r="H136" s="49">
        <f>VLOOKUP($A136,'Data shares'!$C:$FB,43)</f>
        <v>2466120</v>
      </c>
      <c r="I136" s="50">
        <f>VLOOKUP($A136,'Data shares'!$C:$FB,45)*100</f>
        <v>-66.19</v>
      </c>
      <c r="J136" s="49">
        <f>VLOOKUP($A136,'Data shares'!$C:$FB,58)</f>
        <v>14721480</v>
      </c>
      <c r="K136" s="49">
        <f>VLOOKUP($A136,'Data shares'!$C:$FB,59)</f>
        <v>607618800</v>
      </c>
      <c r="L136" s="50">
        <f>VLOOKUP($A136,'Data shares'!$C:$FB,61)*100</f>
        <v>-97.58</v>
      </c>
      <c r="M136" s="49">
        <f>VLOOKUP($A136,'Data shares'!$C:$FB,62)</f>
        <v>12636480</v>
      </c>
      <c r="N136" s="49">
        <f>VLOOKUP($A136,'Data shares'!$C:$FB,63)</f>
        <v>535380480</v>
      </c>
      <c r="O136" s="140">
        <f>VLOOKUP($A136,'Data shares'!$C:$FB,65)*100</f>
        <v>-97.64</v>
      </c>
    </row>
    <row r="137" spans="1:15" x14ac:dyDescent="0.25">
      <c r="A137" s="101" t="str">
        <f>'Data Vlaue (Cr)'!C132</f>
        <v>MOTHERSON</v>
      </c>
      <c r="B137" s="50">
        <f>VLOOKUP($A137,'Data shares'!$C:$FB,7)</f>
        <v>111.43</v>
      </c>
      <c r="C137" s="50">
        <f>VLOOKUP($A137,'Data shares'!$C:$FB,10)*100</f>
        <v>1.6</v>
      </c>
      <c r="D137" s="49">
        <f>VLOOKUP($A137,'Data shares'!$C:$FB,66)</f>
        <v>63240450</v>
      </c>
      <c r="E137" s="49">
        <f>VLOOKUP($A137,'Data shares'!$C:$FB,67)</f>
        <v>169020450</v>
      </c>
      <c r="F137" s="50">
        <f>VLOOKUP($A137,'Data shares'!$C:$FB,69)*100</f>
        <v>-62.580000000000005</v>
      </c>
      <c r="G137" s="49">
        <f>VLOOKUP($A137,'Data shares'!$C:$FB,42)</f>
        <v>26629500</v>
      </c>
      <c r="H137" s="49">
        <f>VLOOKUP($A137,'Data shares'!$C:$FB,43)</f>
        <v>76112400</v>
      </c>
      <c r="I137" s="50">
        <f>VLOOKUP($A137,'Data shares'!$C:$FB,45)*100</f>
        <v>-65.010000000000005</v>
      </c>
      <c r="J137" s="49">
        <f>VLOOKUP($A137,'Data shares'!$C:$FB,58)</f>
        <v>27453600</v>
      </c>
      <c r="K137" s="49">
        <f>VLOOKUP($A137,'Data shares'!$C:$FB,59)</f>
        <v>61254000</v>
      </c>
      <c r="L137" s="50">
        <f>VLOOKUP($A137,'Data shares'!$C:$FB,61)*100</f>
        <v>-55.179999999999993</v>
      </c>
      <c r="M137" s="49">
        <f>VLOOKUP($A137,'Data shares'!$C:$FB,62)</f>
        <v>9157350</v>
      </c>
      <c r="N137" s="49">
        <f>VLOOKUP($A137,'Data shares'!$C:$FB,63)</f>
        <v>31654050</v>
      </c>
      <c r="O137" s="140">
        <f>VLOOKUP($A137,'Data shares'!$C:$FB,65)*100</f>
        <v>-71.069999999999993</v>
      </c>
    </row>
    <row r="138" spans="1:15" x14ac:dyDescent="0.25">
      <c r="A138" s="101" t="str">
        <f>'Data Vlaue (Cr)'!C133</f>
        <v>MPHASIS</v>
      </c>
      <c r="B138" s="50">
        <f>VLOOKUP($A138,'Data shares'!$C:$FB,7)</f>
        <v>2833.7</v>
      </c>
      <c r="C138" s="50">
        <f>VLOOKUP($A138,'Data shares'!$C:$FB,10)*100</f>
        <v>0.98</v>
      </c>
      <c r="D138" s="49">
        <f>VLOOKUP($A138,'Data shares'!$C:$FB,66)</f>
        <v>1558975</v>
      </c>
      <c r="E138" s="49">
        <f>VLOOKUP($A138,'Data shares'!$C:$FB,67)</f>
        <v>5592950</v>
      </c>
      <c r="F138" s="50">
        <f>VLOOKUP($A138,'Data shares'!$C:$FB,69)*100</f>
        <v>-72.13000000000001</v>
      </c>
      <c r="G138" s="49">
        <f>VLOOKUP($A138,'Data shares'!$C:$FB,42)</f>
        <v>514250</v>
      </c>
      <c r="H138" s="49">
        <f>VLOOKUP($A138,'Data shares'!$C:$FB,43)</f>
        <v>2503600</v>
      </c>
      <c r="I138" s="50">
        <f>VLOOKUP($A138,'Data shares'!$C:$FB,45)*100</f>
        <v>-79.459999999999994</v>
      </c>
      <c r="J138" s="49">
        <f>VLOOKUP($A138,'Data shares'!$C:$FB,58)</f>
        <v>686675</v>
      </c>
      <c r="K138" s="49">
        <f>VLOOKUP($A138,'Data shares'!$C:$FB,59)</f>
        <v>1906300</v>
      </c>
      <c r="L138" s="50">
        <f>VLOOKUP($A138,'Data shares'!$C:$FB,61)*100</f>
        <v>-63.980000000000004</v>
      </c>
      <c r="M138" s="49">
        <f>VLOOKUP($A138,'Data shares'!$C:$FB,62)</f>
        <v>358050</v>
      </c>
      <c r="N138" s="49">
        <f>VLOOKUP($A138,'Data shares'!$C:$FB,63)</f>
        <v>1183050</v>
      </c>
      <c r="O138" s="140">
        <f>VLOOKUP($A138,'Data shares'!$C:$FB,65)*100</f>
        <v>-69.740000000000009</v>
      </c>
    </row>
    <row r="139" spans="1:15" x14ac:dyDescent="0.25">
      <c r="A139" s="101" t="str">
        <f>'Data Vlaue (Cr)'!C134</f>
        <v>MUTHOOTFIN</v>
      </c>
      <c r="B139" s="50">
        <f>VLOOKUP($A139,'Data shares'!$C:$FB,7)</f>
        <v>3955.5</v>
      </c>
      <c r="C139" s="50">
        <f>VLOOKUP($A139,'Data shares'!$C:$FB,10)*100</f>
        <v>2.2800000000000002</v>
      </c>
      <c r="D139" s="49">
        <f>VLOOKUP($A139,'Data shares'!$C:$FB,66)</f>
        <v>3042875</v>
      </c>
      <c r="E139" s="49">
        <f>VLOOKUP($A139,'Data shares'!$C:$FB,67)</f>
        <v>7177775</v>
      </c>
      <c r="F139" s="50">
        <f>VLOOKUP($A139,'Data shares'!$C:$FB,69)*100</f>
        <v>-57.609999999999992</v>
      </c>
      <c r="G139" s="49">
        <f>VLOOKUP($A139,'Data shares'!$C:$FB,42)</f>
        <v>1078550</v>
      </c>
      <c r="H139" s="49">
        <f>VLOOKUP($A139,'Data shares'!$C:$FB,43)</f>
        <v>2063050</v>
      </c>
      <c r="I139" s="50">
        <f>VLOOKUP($A139,'Data shares'!$C:$FB,45)*100</f>
        <v>-47.72</v>
      </c>
      <c r="J139" s="49">
        <f>VLOOKUP($A139,'Data shares'!$C:$FB,58)</f>
        <v>1367850</v>
      </c>
      <c r="K139" s="49">
        <f>VLOOKUP($A139,'Data shares'!$C:$FB,59)</f>
        <v>3091825</v>
      </c>
      <c r="L139" s="50">
        <f>VLOOKUP($A139,'Data shares'!$C:$FB,61)*100</f>
        <v>-55.76</v>
      </c>
      <c r="M139" s="49">
        <f>VLOOKUP($A139,'Data shares'!$C:$FB,62)</f>
        <v>596475</v>
      </c>
      <c r="N139" s="49">
        <f>VLOOKUP($A139,'Data shares'!$C:$FB,63)</f>
        <v>2022900</v>
      </c>
      <c r="O139" s="140">
        <f>VLOOKUP($A139,'Data shares'!$C:$FB,65)*100</f>
        <v>-70.509999999999991</v>
      </c>
    </row>
    <row r="140" spans="1:15" x14ac:dyDescent="0.25">
      <c r="A140" s="101" t="str">
        <f>'Data Vlaue (Cr)'!C135</f>
        <v>NATIONALUM</v>
      </c>
      <c r="B140" s="50">
        <f>VLOOKUP($A140,'Data shares'!$C:$FB,7)</f>
        <v>406.15</v>
      </c>
      <c r="C140" s="50">
        <f>VLOOKUP($A140,'Data shares'!$C:$FB,10)*100</f>
        <v>5.6000000000000005</v>
      </c>
      <c r="D140" s="49">
        <f>VLOOKUP($A140,'Data shares'!$C:$FB,66)</f>
        <v>168078750</v>
      </c>
      <c r="E140" s="49">
        <f>VLOOKUP($A140,'Data shares'!$C:$FB,67)</f>
        <v>166905000</v>
      </c>
      <c r="F140" s="50">
        <f>VLOOKUP($A140,'Data shares'!$C:$FB,69)*100</f>
        <v>0.70000000000000007</v>
      </c>
      <c r="G140" s="49">
        <f>VLOOKUP($A140,'Data shares'!$C:$FB,42)</f>
        <v>35332500</v>
      </c>
      <c r="H140" s="49">
        <f>VLOOKUP($A140,'Data shares'!$C:$FB,43)</f>
        <v>49661250</v>
      </c>
      <c r="I140" s="50">
        <f>VLOOKUP($A140,'Data shares'!$C:$FB,45)*100</f>
        <v>-28.849999999999998</v>
      </c>
      <c r="J140" s="49">
        <f>VLOOKUP($A140,'Data shares'!$C:$FB,58)</f>
        <v>92966250</v>
      </c>
      <c r="K140" s="49">
        <f>VLOOKUP($A140,'Data shares'!$C:$FB,59)</f>
        <v>78116250</v>
      </c>
      <c r="L140" s="50">
        <f>VLOOKUP($A140,'Data shares'!$C:$FB,61)*100</f>
        <v>19.009999999999998</v>
      </c>
      <c r="M140" s="49">
        <f>VLOOKUP($A140,'Data shares'!$C:$FB,62)</f>
        <v>39780000</v>
      </c>
      <c r="N140" s="49">
        <f>VLOOKUP($A140,'Data shares'!$C:$FB,63)</f>
        <v>39127500</v>
      </c>
      <c r="O140" s="140">
        <f>VLOOKUP($A140,'Data shares'!$C:$FB,65)*100</f>
        <v>1.67</v>
      </c>
    </row>
    <row r="141" spans="1:15" x14ac:dyDescent="0.25">
      <c r="A141" s="101" t="str">
        <f>'Data Vlaue (Cr)'!C136</f>
        <v>NAUKRI</v>
      </c>
      <c r="B141" s="50">
        <f>VLOOKUP($A141,'Data shares'!$C:$FB,7)</f>
        <v>1299.9000000000001</v>
      </c>
      <c r="C141" s="50">
        <f>VLOOKUP($A141,'Data shares'!$C:$FB,10)*100</f>
        <v>1.63</v>
      </c>
      <c r="D141" s="49">
        <f>VLOOKUP($A141,'Data shares'!$C:$FB,66)</f>
        <v>4099875</v>
      </c>
      <c r="E141" s="49">
        <f>VLOOKUP($A141,'Data shares'!$C:$FB,67)</f>
        <v>9632250</v>
      </c>
      <c r="F141" s="50">
        <f>VLOOKUP($A141,'Data shares'!$C:$FB,69)*100</f>
        <v>-57.440000000000005</v>
      </c>
      <c r="G141" s="49">
        <f>VLOOKUP($A141,'Data shares'!$C:$FB,42)</f>
        <v>1463625</v>
      </c>
      <c r="H141" s="49">
        <f>VLOOKUP($A141,'Data shares'!$C:$FB,43)</f>
        <v>3369375</v>
      </c>
      <c r="I141" s="50">
        <f>VLOOKUP($A141,'Data shares'!$C:$FB,45)*100</f>
        <v>-56.56</v>
      </c>
      <c r="J141" s="49">
        <f>VLOOKUP($A141,'Data shares'!$C:$FB,58)</f>
        <v>1627125</v>
      </c>
      <c r="K141" s="49">
        <f>VLOOKUP($A141,'Data shares'!$C:$FB,59)</f>
        <v>2947875</v>
      </c>
      <c r="L141" s="50">
        <f>VLOOKUP($A141,'Data shares'!$C:$FB,61)*100</f>
        <v>-44.800000000000004</v>
      </c>
      <c r="M141" s="49">
        <f>VLOOKUP($A141,'Data shares'!$C:$FB,62)</f>
        <v>1009125</v>
      </c>
      <c r="N141" s="49">
        <f>VLOOKUP($A141,'Data shares'!$C:$FB,63)</f>
        <v>3315000</v>
      </c>
      <c r="O141" s="140">
        <f>VLOOKUP($A141,'Data shares'!$C:$FB,65)*100</f>
        <v>-69.56</v>
      </c>
    </row>
    <row r="142" spans="1:15" x14ac:dyDescent="0.25">
      <c r="A142" s="101" t="str">
        <f>'Data Vlaue (Cr)'!C137</f>
        <v>NBCC</v>
      </c>
      <c r="B142" s="50">
        <f>VLOOKUP($A142,'Data shares'!$C:$FB,7)</f>
        <v>99.53</v>
      </c>
      <c r="C142" s="50">
        <f>VLOOKUP($A142,'Data shares'!$C:$FB,10)*100</f>
        <v>2.78</v>
      </c>
      <c r="D142" s="49">
        <f>VLOOKUP($A142,'Data shares'!$C:$FB,66)</f>
        <v>57252000</v>
      </c>
      <c r="E142" s="49">
        <f>VLOOKUP($A142,'Data shares'!$C:$FB,67)</f>
        <v>137527000</v>
      </c>
      <c r="F142" s="50">
        <f>VLOOKUP($A142,'Data shares'!$C:$FB,69)*100</f>
        <v>-58.37</v>
      </c>
      <c r="G142" s="49">
        <f>VLOOKUP($A142,'Data shares'!$C:$FB,42)</f>
        <v>18200000</v>
      </c>
      <c r="H142" s="49">
        <f>VLOOKUP($A142,'Data shares'!$C:$FB,43)</f>
        <v>83375500</v>
      </c>
      <c r="I142" s="50">
        <f>VLOOKUP($A142,'Data shares'!$C:$FB,45)*100</f>
        <v>-78.17</v>
      </c>
      <c r="J142" s="49">
        <f>VLOOKUP($A142,'Data shares'!$C:$FB,58)</f>
        <v>28912000</v>
      </c>
      <c r="K142" s="49">
        <f>VLOOKUP($A142,'Data shares'!$C:$FB,59)</f>
        <v>32090500</v>
      </c>
      <c r="L142" s="50">
        <f>VLOOKUP($A142,'Data shares'!$C:$FB,61)*100</f>
        <v>-9.9</v>
      </c>
      <c r="M142" s="49">
        <f>VLOOKUP($A142,'Data shares'!$C:$FB,62)</f>
        <v>10140000</v>
      </c>
      <c r="N142" s="49">
        <f>VLOOKUP($A142,'Data shares'!$C:$FB,63)</f>
        <v>22061000</v>
      </c>
      <c r="O142" s="140">
        <f>VLOOKUP($A142,'Data shares'!$C:$FB,65)*100</f>
        <v>-54.04</v>
      </c>
    </row>
    <row r="143" spans="1:15" x14ac:dyDescent="0.25">
      <c r="A143" s="101" t="str">
        <f>'Data Vlaue (Cr)'!C138</f>
        <v>NESTLEIND</v>
      </c>
      <c r="B143" s="50">
        <f>VLOOKUP($A143,'Data shares'!$C:$FB,7)</f>
        <v>1292.4000000000001</v>
      </c>
      <c r="C143" s="50">
        <f>VLOOKUP($A143,'Data shares'!$C:$FB,10)*100</f>
        <v>-0.84</v>
      </c>
      <c r="D143" s="49">
        <f>VLOOKUP($A143,'Data shares'!$C:$FB,66)</f>
        <v>6934000</v>
      </c>
      <c r="E143" s="49">
        <f>VLOOKUP($A143,'Data shares'!$C:$FB,67)</f>
        <v>12493000</v>
      </c>
      <c r="F143" s="50">
        <f>VLOOKUP($A143,'Data shares'!$C:$FB,69)*100</f>
        <v>-44.5</v>
      </c>
      <c r="G143" s="49">
        <f>VLOOKUP($A143,'Data shares'!$C:$FB,42)</f>
        <v>2677500</v>
      </c>
      <c r="H143" s="49">
        <f>VLOOKUP($A143,'Data shares'!$C:$FB,43)</f>
        <v>8233000</v>
      </c>
      <c r="I143" s="50">
        <f>VLOOKUP($A143,'Data shares'!$C:$FB,45)*100</f>
        <v>-67.47999999999999</v>
      </c>
      <c r="J143" s="49">
        <f>VLOOKUP($A143,'Data shares'!$C:$FB,58)</f>
        <v>2669000</v>
      </c>
      <c r="K143" s="49">
        <f>VLOOKUP($A143,'Data shares'!$C:$FB,59)</f>
        <v>2556000</v>
      </c>
      <c r="L143" s="50">
        <f>VLOOKUP($A143,'Data shares'!$C:$FB,61)*100</f>
        <v>4.42</v>
      </c>
      <c r="M143" s="49">
        <f>VLOOKUP($A143,'Data shares'!$C:$FB,62)</f>
        <v>1587500</v>
      </c>
      <c r="N143" s="49">
        <f>VLOOKUP($A143,'Data shares'!$C:$FB,63)</f>
        <v>1704000</v>
      </c>
      <c r="O143" s="140">
        <f>VLOOKUP($A143,'Data shares'!$C:$FB,65)*100</f>
        <v>-6.84</v>
      </c>
    </row>
    <row r="144" spans="1:15" x14ac:dyDescent="0.25">
      <c r="A144" s="101" t="str">
        <f>'Data Vlaue (Cr)'!C139</f>
        <v>NHPC</v>
      </c>
      <c r="B144" s="50">
        <f>VLOOKUP($A144,'Data shares'!$C:$FB,7)</f>
        <v>78.89</v>
      </c>
      <c r="C144" s="50">
        <f>VLOOKUP($A144,'Data shares'!$C:$FB,10)*100</f>
        <v>4.99</v>
      </c>
      <c r="D144" s="49">
        <f>VLOOKUP($A144,'Data shares'!$C:$FB,66)</f>
        <v>54905600</v>
      </c>
      <c r="E144" s="49">
        <f>VLOOKUP($A144,'Data shares'!$C:$FB,67)</f>
        <v>131699200</v>
      </c>
      <c r="F144" s="50">
        <f>VLOOKUP($A144,'Data shares'!$C:$FB,69)*100</f>
        <v>-58.309999999999995</v>
      </c>
      <c r="G144" s="49">
        <f>VLOOKUP($A144,'Data shares'!$C:$FB,42)</f>
        <v>13497600</v>
      </c>
      <c r="H144" s="49">
        <f>VLOOKUP($A144,'Data shares'!$C:$FB,43)</f>
        <v>77452800</v>
      </c>
      <c r="I144" s="50">
        <f>VLOOKUP($A144,'Data shares'!$C:$FB,45)*100</f>
        <v>-82.57</v>
      </c>
      <c r="J144" s="49">
        <f>VLOOKUP($A144,'Data shares'!$C:$FB,58)</f>
        <v>25907200</v>
      </c>
      <c r="K144" s="49">
        <f>VLOOKUP($A144,'Data shares'!$C:$FB,59)</f>
        <v>30380800</v>
      </c>
      <c r="L144" s="50">
        <f>VLOOKUP($A144,'Data shares'!$C:$FB,61)*100</f>
        <v>-14.729999999999999</v>
      </c>
      <c r="M144" s="49">
        <f>VLOOKUP($A144,'Data shares'!$C:$FB,62)</f>
        <v>15500800</v>
      </c>
      <c r="N144" s="49">
        <f>VLOOKUP($A144,'Data shares'!$C:$FB,63)</f>
        <v>23865600</v>
      </c>
      <c r="O144" s="140">
        <f>VLOOKUP($A144,'Data shares'!$C:$FB,65)*100</f>
        <v>-35.049999999999997</v>
      </c>
    </row>
    <row r="145" spans="1:15" x14ac:dyDescent="0.25">
      <c r="A145" s="101" t="str">
        <f>'Data Vlaue (Cr)'!C140</f>
        <v>NIFTY</v>
      </c>
      <c r="B145" s="50">
        <f>VLOOKUP($A145,'Data shares'!$C:$FB,7)</f>
        <v>25342.75</v>
      </c>
      <c r="C145" s="50">
        <f>VLOOKUP($A145,'Data shares'!$C:$FB,10)*100</f>
        <v>0.66</v>
      </c>
      <c r="D145" s="49">
        <f>VLOOKUP($A145,'Data shares'!$C:$FB,66)</f>
        <v>3139393335</v>
      </c>
      <c r="E145" s="49">
        <f>VLOOKUP($A145,'Data shares'!$C:$FB,67)</f>
        <v>26260068900</v>
      </c>
      <c r="F145" s="50">
        <f>VLOOKUP($A145,'Data shares'!$C:$FB,69)*100</f>
        <v>-88.039999999999992</v>
      </c>
      <c r="G145" s="49">
        <f>VLOOKUP($A145,'Data shares'!$C:$FB,42)</f>
        <v>7699835</v>
      </c>
      <c r="H145" s="49">
        <f>VLOOKUP($A145,'Data shares'!$C:$FB,43)</f>
        <v>18152615</v>
      </c>
      <c r="I145" s="50">
        <f>VLOOKUP($A145,'Data shares'!$C:$FB,45)*100</f>
        <v>-57.58</v>
      </c>
      <c r="J145" s="49">
        <f>VLOOKUP($A145,'Data shares'!$C:$FB,58)</f>
        <v>1618591195</v>
      </c>
      <c r="K145" s="49">
        <f>VLOOKUP($A145,'Data shares'!$C:$FB,59)</f>
        <v>13693993235</v>
      </c>
      <c r="L145" s="50">
        <f>VLOOKUP($A145,'Data shares'!$C:$FB,61)*100</f>
        <v>-88.18</v>
      </c>
      <c r="M145" s="49">
        <f>VLOOKUP($A145,'Data shares'!$C:$FB,62)</f>
        <v>1513102305</v>
      </c>
      <c r="N145" s="49">
        <f>VLOOKUP($A145,'Data shares'!$C:$FB,63)</f>
        <v>12547923050</v>
      </c>
      <c r="O145" s="140">
        <f>VLOOKUP($A145,'Data shares'!$C:$FB,65)*100</f>
        <v>-87.94</v>
      </c>
    </row>
    <row r="146" spans="1:15" x14ac:dyDescent="0.25">
      <c r="A146" s="101" t="str">
        <f>'Data Vlaue (Cr)'!C141</f>
        <v>NIFTYNXT50</v>
      </c>
      <c r="B146" s="50">
        <f>VLOOKUP($A146,'Data shares'!$C:$FB,7)</f>
        <v>68205.649999999994</v>
      </c>
      <c r="C146" s="50">
        <f>VLOOKUP($A146,'Data shares'!$C:$FB,10)*100</f>
        <v>2.2599999999999998</v>
      </c>
      <c r="D146" s="49">
        <f>VLOOKUP($A146,'Data shares'!$C:$FB,66)</f>
        <v>23800</v>
      </c>
      <c r="E146" s="49">
        <f>VLOOKUP($A146,'Data shares'!$C:$FB,67)</f>
        <v>409975</v>
      </c>
      <c r="F146" s="50">
        <f>VLOOKUP($A146,'Data shares'!$C:$FB,69)*100</f>
        <v>-94.19</v>
      </c>
      <c r="G146" s="49">
        <f>VLOOKUP($A146,'Data shares'!$C:$FB,42)</f>
        <v>13400</v>
      </c>
      <c r="H146" s="49">
        <f>VLOOKUP($A146,'Data shares'!$C:$FB,43)</f>
        <v>40125</v>
      </c>
      <c r="I146" s="50">
        <f>VLOOKUP($A146,'Data shares'!$C:$FB,45)*100</f>
        <v>-66.600000000000009</v>
      </c>
      <c r="J146" s="49">
        <f>VLOOKUP($A146,'Data shares'!$C:$FB,58)</f>
        <v>6300</v>
      </c>
      <c r="K146" s="49">
        <f>VLOOKUP($A146,'Data shares'!$C:$FB,59)</f>
        <v>278475</v>
      </c>
      <c r="L146" s="50">
        <f>VLOOKUP($A146,'Data shares'!$C:$FB,61)*100</f>
        <v>-97.740000000000009</v>
      </c>
      <c r="M146" s="49">
        <f>VLOOKUP($A146,'Data shares'!$C:$FB,62)</f>
        <v>4100</v>
      </c>
      <c r="N146" s="49">
        <f>VLOOKUP($A146,'Data shares'!$C:$FB,63)</f>
        <v>91375</v>
      </c>
      <c r="O146" s="140">
        <f>VLOOKUP($A146,'Data shares'!$C:$FB,65)*100</f>
        <v>-95.509999999999991</v>
      </c>
    </row>
    <row r="147" spans="1:15" x14ac:dyDescent="0.25">
      <c r="A147" s="101" t="str">
        <f>'Data Vlaue (Cr)'!C142</f>
        <v>NMDC</v>
      </c>
      <c r="B147" s="50">
        <f>VLOOKUP($A147,'Data shares'!$C:$FB,7)</f>
        <v>81.52</v>
      </c>
      <c r="C147" s="50">
        <f>VLOOKUP($A147,'Data shares'!$C:$FB,10)*100</f>
        <v>3.4000000000000004</v>
      </c>
      <c r="D147" s="49">
        <f>VLOOKUP($A147,'Data shares'!$C:$FB,66)</f>
        <v>177673500</v>
      </c>
      <c r="E147" s="49">
        <f>VLOOKUP($A147,'Data shares'!$C:$FB,67)</f>
        <v>291640500</v>
      </c>
      <c r="F147" s="50">
        <f>VLOOKUP($A147,'Data shares'!$C:$FB,69)*100</f>
        <v>-39.08</v>
      </c>
      <c r="G147" s="49">
        <f>VLOOKUP($A147,'Data shares'!$C:$FB,42)</f>
        <v>42950250</v>
      </c>
      <c r="H147" s="49">
        <f>VLOOKUP($A147,'Data shares'!$C:$FB,43)</f>
        <v>168655500</v>
      </c>
      <c r="I147" s="50">
        <f>VLOOKUP($A147,'Data shares'!$C:$FB,45)*100</f>
        <v>-74.53</v>
      </c>
      <c r="J147" s="49">
        <f>VLOOKUP($A147,'Data shares'!$C:$FB,58)</f>
        <v>105252750</v>
      </c>
      <c r="K147" s="49">
        <f>VLOOKUP($A147,'Data shares'!$C:$FB,59)</f>
        <v>82667250</v>
      </c>
      <c r="L147" s="50">
        <f>VLOOKUP($A147,'Data shares'!$C:$FB,61)*100</f>
        <v>27.32</v>
      </c>
      <c r="M147" s="49">
        <f>VLOOKUP($A147,'Data shares'!$C:$FB,62)</f>
        <v>29470500</v>
      </c>
      <c r="N147" s="49">
        <f>VLOOKUP($A147,'Data shares'!$C:$FB,63)</f>
        <v>40317750</v>
      </c>
      <c r="O147" s="140">
        <f>VLOOKUP($A147,'Data shares'!$C:$FB,65)*100</f>
        <v>-26.900000000000002</v>
      </c>
    </row>
    <row r="148" spans="1:15" x14ac:dyDescent="0.25">
      <c r="A148" s="101" t="str">
        <f>'Data Vlaue (Cr)'!C143</f>
        <v>NTPC</v>
      </c>
      <c r="B148" s="50">
        <f>VLOOKUP($A148,'Data shares'!$C:$FB,7)</f>
        <v>348.05</v>
      </c>
      <c r="C148" s="50">
        <f>VLOOKUP($A148,'Data shares'!$C:$FB,10)*100</f>
        <v>0.97</v>
      </c>
      <c r="D148" s="49">
        <f>VLOOKUP($A148,'Data shares'!$C:$FB,66)</f>
        <v>80911500</v>
      </c>
      <c r="E148" s="49">
        <f>VLOOKUP($A148,'Data shares'!$C:$FB,67)</f>
        <v>127557000</v>
      </c>
      <c r="F148" s="50">
        <f>VLOOKUP($A148,'Data shares'!$C:$FB,69)*100</f>
        <v>-36.57</v>
      </c>
      <c r="G148" s="49">
        <f>VLOOKUP($A148,'Data shares'!$C:$FB,42)</f>
        <v>9687000</v>
      </c>
      <c r="H148" s="49">
        <f>VLOOKUP($A148,'Data shares'!$C:$FB,43)</f>
        <v>47373000</v>
      </c>
      <c r="I148" s="50">
        <f>VLOOKUP($A148,'Data shares'!$C:$FB,45)*100</f>
        <v>-79.55</v>
      </c>
      <c r="J148" s="49">
        <f>VLOOKUP($A148,'Data shares'!$C:$FB,58)</f>
        <v>50512500</v>
      </c>
      <c r="K148" s="49">
        <f>VLOOKUP($A148,'Data shares'!$C:$FB,59)</f>
        <v>51261000</v>
      </c>
      <c r="L148" s="50">
        <f>VLOOKUP($A148,'Data shares'!$C:$FB,61)*100</f>
        <v>-1.46</v>
      </c>
      <c r="M148" s="49">
        <f>VLOOKUP($A148,'Data shares'!$C:$FB,62)</f>
        <v>20712000</v>
      </c>
      <c r="N148" s="49">
        <f>VLOOKUP($A148,'Data shares'!$C:$FB,63)</f>
        <v>28923000</v>
      </c>
      <c r="O148" s="140">
        <f>VLOOKUP($A148,'Data shares'!$C:$FB,65)*100</f>
        <v>-28.389999999999997</v>
      </c>
    </row>
    <row r="149" spans="1:15" x14ac:dyDescent="0.25">
      <c r="A149" s="101" t="str">
        <f>'Data Vlaue (Cr)'!C144</f>
        <v>NUVAMA</v>
      </c>
      <c r="B149" s="50">
        <f>VLOOKUP($A149,'Data shares'!$C:$FB,7)</f>
        <v>1322.5</v>
      </c>
      <c r="C149" s="50">
        <f>VLOOKUP($A149,'Data shares'!$C:$FB,10)*100</f>
        <v>4.53</v>
      </c>
      <c r="D149" s="49">
        <f>VLOOKUP($A149,'Data shares'!$C:$FB,66)</f>
        <v>4374000</v>
      </c>
      <c r="E149" s="49">
        <f>VLOOKUP($A149,'Data shares'!$C:$FB,67)</f>
        <v>7621000</v>
      </c>
      <c r="F149" s="50">
        <f>VLOOKUP($A149,'Data shares'!$C:$FB,69)*100</f>
        <v>-42.61</v>
      </c>
      <c r="G149" s="49">
        <f>VLOOKUP($A149,'Data shares'!$C:$FB,42)</f>
        <v>1257500</v>
      </c>
      <c r="H149" s="49">
        <f>VLOOKUP($A149,'Data shares'!$C:$FB,43)</f>
        <v>3056500</v>
      </c>
      <c r="I149" s="50">
        <f>VLOOKUP($A149,'Data shares'!$C:$FB,45)*100</f>
        <v>-58.86</v>
      </c>
      <c r="J149" s="49">
        <f>VLOOKUP($A149,'Data shares'!$C:$FB,58)</f>
        <v>2148500</v>
      </c>
      <c r="K149" s="49">
        <f>VLOOKUP($A149,'Data shares'!$C:$FB,59)</f>
        <v>2394500</v>
      </c>
      <c r="L149" s="50">
        <f>VLOOKUP($A149,'Data shares'!$C:$FB,61)*100</f>
        <v>-10.27</v>
      </c>
      <c r="M149" s="49">
        <f>VLOOKUP($A149,'Data shares'!$C:$FB,62)</f>
        <v>968000</v>
      </c>
      <c r="N149" s="49">
        <f>VLOOKUP($A149,'Data shares'!$C:$FB,63)</f>
        <v>2170000</v>
      </c>
      <c r="O149" s="140">
        <f>VLOOKUP($A149,'Data shares'!$C:$FB,65)*100</f>
        <v>-55.389999999999993</v>
      </c>
    </row>
    <row r="150" spans="1:15" x14ac:dyDescent="0.25">
      <c r="A150" s="101" t="str">
        <f>'Data Vlaue (Cr)'!C145</f>
        <v>NYKAA</v>
      </c>
      <c r="B150" s="50">
        <f>VLOOKUP($A150,'Data shares'!$C:$FB,7)</f>
        <v>237.2</v>
      </c>
      <c r="C150" s="50">
        <f>VLOOKUP($A150,'Data shares'!$C:$FB,10)*100</f>
        <v>0.3</v>
      </c>
      <c r="D150" s="49">
        <f>VLOOKUP($A150,'Data shares'!$C:$FB,66)</f>
        <v>14734375</v>
      </c>
      <c r="E150" s="49">
        <f>VLOOKUP($A150,'Data shares'!$C:$FB,67)</f>
        <v>49846875</v>
      </c>
      <c r="F150" s="50">
        <f>VLOOKUP($A150,'Data shares'!$C:$FB,69)*100</f>
        <v>-70.44</v>
      </c>
      <c r="G150" s="49">
        <f>VLOOKUP($A150,'Data shares'!$C:$FB,42)</f>
        <v>6187500</v>
      </c>
      <c r="H150" s="49">
        <f>VLOOKUP($A150,'Data shares'!$C:$FB,43)</f>
        <v>33665625</v>
      </c>
      <c r="I150" s="50">
        <f>VLOOKUP($A150,'Data shares'!$C:$FB,45)*100</f>
        <v>-81.62</v>
      </c>
      <c r="J150" s="49">
        <f>VLOOKUP($A150,'Data shares'!$C:$FB,58)</f>
        <v>4506250</v>
      </c>
      <c r="K150" s="49">
        <f>VLOOKUP($A150,'Data shares'!$C:$FB,59)</f>
        <v>7046875</v>
      </c>
      <c r="L150" s="50">
        <f>VLOOKUP($A150,'Data shares'!$C:$FB,61)*100</f>
        <v>-36.049999999999997</v>
      </c>
      <c r="M150" s="49">
        <f>VLOOKUP($A150,'Data shares'!$C:$FB,62)</f>
        <v>4040625</v>
      </c>
      <c r="N150" s="49">
        <f>VLOOKUP($A150,'Data shares'!$C:$FB,63)</f>
        <v>9134375</v>
      </c>
      <c r="O150" s="140">
        <f>VLOOKUP($A150,'Data shares'!$C:$FB,65)*100</f>
        <v>-55.76</v>
      </c>
    </row>
    <row r="151" spans="1:15" x14ac:dyDescent="0.25">
      <c r="A151" s="101" t="str">
        <f>'Data Vlaue (Cr)'!C146</f>
        <v>OBEROIRLTY</v>
      </c>
      <c r="B151" s="50">
        <f>VLOOKUP($A151,'Data shares'!$C:$FB,7)</f>
        <v>1483.2</v>
      </c>
      <c r="C151" s="50">
        <f>VLOOKUP($A151,'Data shares'!$C:$FB,10)*100</f>
        <v>1.06</v>
      </c>
      <c r="D151" s="49">
        <f>VLOOKUP($A151,'Data shares'!$C:$FB,66)</f>
        <v>2671550</v>
      </c>
      <c r="E151" s="49">
        <f>VLOOKUP($A151,'Data shares'!$C:$FB,67)</f>
        <v>6055000</v>
      </c>
      <c r="F151" s="50">
        <f>VLOOKUP($A151,'Data shares'!$C:$FB,69)*100</f>
        <v>-55.879999999999995</v>
      </c>
      <c r="G151" s="49">
        <f>VLOOKUP($A151,'Data shares'!$C:$FB,42)</f>
        <v>977900</v>
      </c>
      <c r="H151" s="49">
        <f>VLOOKUP($A151,'Data shares'!$C:$FB,43)</f>
        <v>3302250</v>
      </c>
      <c r="I151" s="50">
        <f>VLOOKUP($A151,'Data shares'!$C:$FB,45)*100</f>
        <v>-70.39</v>
      </c>
      <c r="J151" s="49">
        <f>VLOOKUP($A151,'Data shares'!$C:$FB,58)</f>
        <v>961100</v>
      </c>
      <c r="K151" s="49">
        <f>VLOOKUP($A151,'Data shares'!$C:$FB,59)</f>
        <v>1643600</v>
      </c>
      <c r="L151" s="50">
        <f>VLOOKUP($A151,'Data shares'!$C:$FB,61)*100</f>
        <v>-41.52</v>
      </c>
      <c r="M151" s="49">
        <f>VLOOKUP($A151,'Data shares'!$C:$FB,62)</f>
        <v>732550</v>
      </c>
      <c r="N151" s="49">
        <f>VLOOKUP($A151,'Data shares'!$C:$FB,63)</f>
        <v>1109150</v>
      </c>
      <c r="O151" s="140">
        <f>VLOOKUP($A151,'Data shares'!$C:$FB,65)*100</f>
        <v>-33.950000000000003</v>
      </c>
    </row>
    <row r="152" spans="1:15" x14ac:dyDescent="0.25">
      <c r="A152" s="101" t="str">
        <f>'Data Vlaue (Cr)'!C147</f>
        <v>OFSS</v>
      </c>
      <c r="B152" s="50">
        <f>VLOOKUP($A152,'Data shares'!$C:$FB,7)</f>
        <v>8012.5</v>
      </c>
      <c r="C152" s="50">
        <f>VLOOKUP($A152,'Data shares'!$C:$FB,10)*100</f>
        <v>0.08</v>
      </c>
      <c r="D152" s="49">
        <f>VLOOKUP($A152,'Data shares'!$C:$FB,66)</f>
        <v>569250</v>
      </c>
      <c r="E152" s="49">
        <f>VLOOKUP($A152,'Data shares'!$C:$FB,67)</f>
        <v>2415675</v>
      </c>
      <c r="F152" s="50">
        <f>VLOOKUP($A152,'Data shares'!$C:$FB,69)*100</f>
        <v>-76.44</v>
      </c>
      <c r="G152" s="49">
        <f>VLOOKUP($A152,'Data shares'!$C:$FB,42)</f>
        <v>161850</v>
      </c>
      <c r="H152" s="49">
        <f>VLOOKUP($A152,'Data shares'!$C:$FB,43)</f>
        <v>823350</v>
      </c>
      <c r="I152" s="50">
        <f>VLOOKUP($A152,'Data shares'!$C:$FB,45)*100</f>
        <v>-80.34</v>
      </c>
      <c r="J152" s="49">
        <f>VLOOKUP($A152,'Data shares'!$C:$FB,58)</f>
        <v>275250</v>
      </c>
      <c r="K152" s="49">
        <f>VLOOKUP($A152,'Data shares'!$C:$FB,59)</f>
        <v>894375</v>
      </c>
      <c r="L152" s="50">
        <f>VLOOKUP($A152,'Data shares'!$C:$FB,61)*100</f>
        <v>-69.22</v>
      </c>
      <c r="M152" s="49">
        <f>VLOOKUP($A152,'Data shares'!$C:$FB,62)</f>
        <v>132150</v>
      </c>
      <c r="N152" s="49">
        <f>VLOOKUP($A152,'Data shares'!$C:$FB,63)</f>
        <v>697950</v>
      </c>
      <c r="O152" s="140">
        <f>VLOOKUP($A152,'Data shares'!$C:$FB,65)*100</f>
        <v>-81.069999999999993</v>
      </c>
    </row>
    <row r="153" spans="1:15" x14ac:dyDescent="0.25">
      <c r="A153" s="101" t="str">
        <f>'Data Vlaue (Cr)'!C148</f>
        <v>OIL</v>
      </c>
      <c r="B153" s="50">
        <f>VLOOKUP($A153,'Data shares'!$C:$FB,7)</f>
        <v>490.5</v>
      </c>
      <c r="C153" s="50">
        <f>VLOOKUP($A153,'Data shares'!$C:$FB,10)*100</f>
        <v>9.35</v>
      </c>
      <c r="D153" s="49">
        <f>VLOOKUP($A153,'Data shares'!$C:$FB,66)</f>
        <v>94413200</v>
      </c>
      <c r="E153" s="49">
        <f>VLOOKUP($A153,'Data shares'!$C:$FB,67)</f>
        <v>24861200</v>
      </c>
      <c r="F153" s="50">
        <f>VLOOKUP($A153,'Data shares'!$C:$FB,69)*100</f>
        <v>279.76</v>
      </c>
      <c r="G153" s="49">
        <f>VLOOKUP($A153,'Data shares'!$C:$FB,42)</f>
        <v>18369400</v>
      </c>
      <c r="H153" s="49">
        <f>VLOOKUP($A153,'Data shares'!$C:$FB,43)</f>
        <v>9041200</v>
      </c>
      <c r="I153" s="50">
        <f>VLOOKUP($A153,'Data shares'!$C:$FB,45)*100</f>
        <v>103.17</v>
      </c>
      <c r="J153" s="49">
        <f>VLOOKUP($A153,'Data shares'!$C:$FB,58)</f>
        <v>58592800</v>
      </c>
      <c r="K153" s="49">
        <f>VLOOKUP($A153,'Data shares'!$C:$FB,59)</f>
        <v>13438600</v>
      </c>
      <c r="L153" s="50">
        <f>VLOOKUP($A153,'Data shares'!$C:$FB,61)*100</f>
        <v>336</v>
      </c>
      <c r="M153" s="49">
        <f>VLOOKUP($A153,'Data shares'!$C:$FB,62)</f>
        <v>17451000</v>
      </c>
      <c r="N153" s="49">
        <f>VLOOKUP($A153,'Data shares'!$C:$FB,63)</f>
        <v>2381400</v>
      </c>
      <c r="O153" s="140">
        <f>VLOOKUP($A153,'Data shares'!$C:$FB,65)*100</f>
        <v>632.80000000000007</v>
      </c>
    </row>
    <row r="154" spans="1:15" x14ac:dyDescent="0.25">
      <c r="A154" s="101" t="str">
        <f>'Data Vlaue (Cr)'!C149</f>
        <v>ONGC</v>
      </c>
      <c r="B154" s="50">
        <f>VLOOKUP($A154,'Data shares'!$C:$FB,7)</f>
        <v>268.58</v>
      </c>
      <c r="C154" s="50">
        <f>VLOOKUP($A154,'Data shares'!$C:$FB,10)*100</f>
        <v>8.32</v>
      </c>
      <c r="D154" s="49">
        <f>VLOOKUP($A154,'Data shares'!$C:$FB,66)</f>
        <v>371331000</v>
      </c>
      <c r="E154" s="49">
        <f>VLOOKUP($A154,'Data shares'!$C:$FB,67)</f>
        <v>238380750</v>
      </c>
      <c r="F154" s="50">
        <f>VLOOKUP($A154,'Data shares'!$C:$FB,69)*100</f>
        <v>55.769999999999996</v>
      </c>
      <c r="G154" s="49">
        <f>VLOOKUP($A154,'Data shares'!$C:$FB,42)</f>
        <v>57663000</v>
      </c>
      <c r="H154" s="49">
        <f>VLOOKUP($A154,'Data shares'!$C:$FB,43)</f>
        <v>109374750</v>
      </c>
      <c r="I154" s="50">
        <f>VLOOKUP($A154,'Data shares'!$C:$FB,45)*100</f>
        <v>-47.28</v>
      </c>
      <c r="J154" s="49">
        <f>VLOOKUP($A154,'Data shares'!$C:$FB,58)</f>
        <v>233093250</v>
      </c>
      <c r="K154" s="49">
        <f>VLOOKUP($A154,'Data shares'!$C:$FB,59)</f>
        <v>94394250</v>
      </c>
      <c r="L154" s="50">
        <f>VLOOKUP($A154,'Data shares'!$C:$FB,61)*100</f>
        <v>146.94</v>
      </c>
      <c r="M154" s="49">
        <f>VLOOKUP($A154,'Data shares'!$C:$FB,62)</f>
        <v>80574750</v>
      </c>
      <c r="N154" s="49">
        <f>VLOOKUP($A154,'Data shares'!$C:$FB,63)</f>
        <v>34611750</v>
      </c>
      <c r="O154" s="140">
        <f>VLOOKUP($A154,'Data shares'!$C:$FB,65)*100</f>
        <v>132.80000000000001</v>
      </c>
    </row>
    <row r="155" spans="1:15" x14ac:dyDescent="0.25">
      <c r="A155" s="101" t="str">
        <f>'Data Vlaue (Cr)'!C150</f>
        <v>PAGEIND</v>
      </c>
      <c r="B155" s="50">
        <f>VLOOKUP($A155,'Data shares'!$C:$FB,7)</f>
        <v>32615</v>
      </c>
      <c r="C155" s="50">
        <f>VLOOKUP($A155,'Data shares'!$C:$FB,10)*100</f>
        <v>0.28999999999999998</v>
      </c>
      <c r="D155" s="49">
        <f>VLOOKUP($A155,'Data shares'!$C:$FB,66)</f>
        <v>120435</v>
      </c>
      <c r="E155" s="49">
        <f>VLOOKUP($A155,'Data shares'!$C:$FB,67)</f>
        <v>361065</v>
      </c>
      <c r="F155" s="50">
        <f>VLOOKUP($A155,'Data shares'!$C:$FB,69)*100</f>
        <v>-66.64</v>
      </c>
      <c r="G155" s="49">
        <f>VLOOKUP($A155,'Data shares'!$C:$FB,42)</f>
        <v>32490</v>
      </c>
      <c r="H155" s="49">
        <f>VLOOKUP($A155,'Data shares'!$C:$FB,43)</f>
        <v>147315</v>
      </c>
      <c r="I155" s="50">
        <f>VLOOKUP($A155,'Data shares'!$C:$FB,45)*100</f>
        <v>-77.95</v>
      </c>
      <c r="J155" s="49">
        <f>VLOOKUP($A155,'Data shares'!$C:$FB,58)</f>
        <v>70245</v>
      </c>
      <c r="K155" s="49">
        <f>VLOOKUP($A155,'Data shares'!$C:$FB,59)</f>
        <v>151995</v>
      </c>
      <c r="L155" s="50">
        <f>VLOOKUP($A155,'Data shares'!$C:$FB,61)*100</f>
        <v>-53.779999999999994</v>
      </c>
      <c r="M155" s="49">
        <f>VLOOKUP($A155,'Data shares'!$C:$FB,62)</f>
        <v>17700</v>
      </c>
      <c r="N155" s="49">
        <f>VLOOKUP($A155,'Data shares'!$C:$FB,63)</f>
        <v>61755</v>
      </c>
      <c r="O155" s="140">
        <f>VLOOKUP($A155,'Data shares'!$C:$FB,65)*100</f>
        <v>-71.34</v>
      </c>
    </row>
    <row r="156" spans="1:15" x14ac:dyDescent="0.25">
      <c r="A156" s="101" t="str">
        <f>'Data Vlaue (Cr)'!C151</f>
        <v>PATANJALI</v>
      </c>
      <c r="B156" s="50">
        <f>VLOOKUP($A156,'Data shares'!$C:$FB,7)</f>
        <v>505.75</v>
      </c>
      <c r="C156" s="50">
        <f>VLOOKUP($A156,'Data shares'!$C:$FB,10)*100</f>
        <v>0.53</v>
      </c>
      <c r="D156" s="49">
        <f>VLOOKUP($A156,'Data shares'!$C:$FB,66)</f>
        <v>8676000</v>
      </c>
      <c r="E156" s="49">
        <f>VLOOKUP($A156,'Data shares'!$C:$FB,67)</f>
        <v>16218000</v>
      </c>
      <c r="F156" s="50">
        <f>VLOOKUP($A156,'Data shares'!$C:$FB,69)*100</f>
        <v>-46.5</v>
      </c>
      <c r="G156" s="49">
        <f>VLOOKUP($A156,'Data shares'!$C:$FB,42)</f>
        <v>4953600</v>
      </c>
      <c r="H156" s="49">
        <f>VLOOKUP($A156,'Data shares'!$C:$FB,43)</f>
        <v>11813400</v>
      </c>
      <c r="I156" s="50">
        <f>VLOOKUP($A156,'Data shares'!$C:$FB,45)*100</f>
        <v>-58.07</v>
      </c>
      <c r="J156" s="49">
        <f>VLOOKUP($A156,'Data shares'!$C:$FB,58)</f>
        <v>2214900</v>
      </c>
      <c r="K156" s="49">
        <f>VLOOKUP($A156,'Data shares'!$C:$FB,59)</f>
        <v>2242800</v>
      </c>
      <c r="L156" s="50">
        <f>VLOOKUP($A156,'Data shares'!$C:$FB,61)*100</f>
        <v>-1.24</v>
      </c>
      <c r="M156" s="49">
        <f>VLOOKUP($A156,'Data shares'!$C:$FB,62)</f>
        <v>1507500</v>
      </c>
      <c r="N156" s="49">
        <f>VLOOKUP($A156,'Data shares'!$C:$FB,63)</f>
        <v>2161800</v>
      </c>
      <c r="O156" s="140">
        <f>VLOOKUP($A156,'Data shares'!$C:$FB,65)*100</f>
        <v>-30.270000000000003</v>
      </c>
    </row>
    <row r="157" spans="1:15" x14ac:dyDescent="0.25">
      <c r="A157" s="101" t="str">
        <f>'Data Vlaue (Cr)'!C152</f>
        <v>PAYTM</v>
      </c>
      <c r="B157" s="50">
        <f>VLOOKUP($A157,'Data shares'!$C:$FB,7)</f>
        <v>1177</v>
      </c>
      <c r="C157" s="50">
        <f>VLOOKUP($A157,'Data shares'!$C:$FB,10)*100</f>
        <v>2.81</v>
      </c>
      <c r="D157" s="49">
        <f>VLOOKUP($A157,'Data shares'!$C:$FB,66)</f>
        <v>17607350</v>
      </c>
      <c r="E157" s="49">
        <f>VLOOKUP($A157,'Data shares'!$C:$FB,67)</f>
        <v>55388550</v>
      </c>
      <c r="F157" s="50">
        <f>VLOOKUP($A157,'Data shares'!$C:$FB,69)*100</f>
        <v>-68.210000000000008</v>
      </c>
      <c r="G157" s="49">
        <f>VLOOKUP($A157,'Data shares'!$C:$FB,42)</f>
        <v>4914050</v>
      </c>
      <c r="H157" s="49">
        <f>VLOOKUP($A157,'Data shares'!$C:$FB,43)</f>
        <v>15519350</v>
      </c>
      <c r="I157" s="50">
        <f>VLOOKUP($A157,'Data shares'!$C:$FB,45)*100</f>
        <v>-68.34</v>
      </c>
      <c r="J157" s="49">
        <f>VLOOKUP($A157,'Data shares'!$C:$FB,58)</f>
        <v>9421375</v>
      </c>
      <c r="K157" s="49">
        <f>VLOOKUP($A157,'Data shares'!$C:$FB,59)</f>
        <v>23076025</v>
      </c>
      <c r="L157" s="50">
        <f>VLOOKUP($A157,'Data shares'!$C:$FB,61)*100</f>
        <v>-59.17</v>
      </c>
      <c r="M157" s="49">
        <f>VLOOKUP($A157,'Data shares'!$C:$FB,62)</f>
        <v>3271925</v>
      </c>
      <c r="N157" s="49">
        <f>VLOOKUP($A157,'Data shares'!$C:$FB,63)</f>
        <v>16793175</v>
      </c>
      <c r="O157" s="140">
        <f>VLOOKUP($A157,'Data shares'!$C:$FB,65)*100</f>
        <v>-80.52</v>
      </c>
    </row>
    <row r="158" spans="1:15" x14ac:dyDescent="0.25">
      <c r="A158" s="101" t="str">
        <f>'Data Vlaue (Cr)'!C153</f>
        <v>PERSISTENT</v>
      </c>
      <c r="B158" s="50">
        <f>VLOOKUP($A158,'Data shares'!$C:$FB,7)</f>
        <v>6213</v>
      </c>
      <c r="C158" s="50">
        <f>VLOOKUP($A158,'Data shares'!$C:$FB,10)*100</f>
        <v>-0.05</v>
      </c>
      <c r="D158" s="49">
        <f>VLOOKUP($A158,'Data shares'!$C:$FB,66)</f>
        <v>2584000</v>
      </c>
      <c r="E158" s="49">
        <f>VLOOKUP($A158,'Data shares'!$C:$FB,67)</f>
        <v>4157900</v>
      </c>
      <c r="F158" s="50">
        <f>VLOOKUP($A158,'Data shares'!$C:$FB,69)*100</f>
        <v>-37.85</v>
      </c>
      <c r="G158" s="49">
        <f>VLOOKUP($A158,'Data shares'!$C:$FB,42)</f>
        <v>764600</v>
      </c>
      <c r="H158" s="49">
        <f>VLOOKUP($A158,'Data shares'!$C:$FB,43)</f>
        <v>1191500</v>
      </c>
      <c r="I158" s="50">
        <f>VLOOKUP($A158,'Data shares'!$C:$FB,45)*100</f>
        <v>-35.83</v>
      </c>
      <c r="J158" s="49">
        <f>VLOOKUP($A158,'Data shares'!$C:$FB,58)</f>
        <v>1242100</v>
      </c>
      <c r="K158" s="49">
        <f>VLOOKUP($A158,'Data shares'!$C:$FB,59)</f>
        <v>1820500</v>
      </c>
      <c r="L158" s="50">
        <f>VLOOKUP($A158,'Data shares'!$C:$FB,61)*100</f>
        <v>-31.77</v>
      </c>
      <c r="M158" s="49">
        <f>VLOOKUP($A158,'Data shares'!$C:$FB,62)</f>
        <v>577300</v>
      </c>
      <c r="N158" s="49">
        <f>VLOOKUP($A158,'Data shares'!$C:$FB,63)</f>
        <v>1145900</v>
      </c>
      <c r="O158" s="140">
        <f>VLOOKUP($A158,'Data shares'!$C:$FB,65)*100</f>
        <v>-49.62</v>
      </c>
    </row>
    <row r="159" spans="1:15" x14ac:dyDescent="0.25">
      <c r="A159" s="101" t="str">
        <f>'Data Vlaue (Cr)'!C154</f>
        <v>PETRONET</v>
      </c>
      <c r="B159" s="50">
        <f>VLOOKUP($A159,'Data shares'!$C:$FB,7)</f>
        <v>290.64999999999998</v>
      </c>
      <c r="C159" s="50">
        <f>VLOOKUP($A159,'Data shares'!$C:$FB,10)*100</f>
        <v>4.66</v>
      </c>
      <c r="D159" s="49">
        <f>VLOOKUP($A159,'Data shares'!$C:$FB,66)</f>
        <v>39124800</v>
      </c>
      <c r="E159" s="49">
        <f>VLOOKUP($A159,'Data shares'!$C:$FB,67)</f>
        <v>75525000</v>
      </c>
      <c r="F159" s="50">
        <f>VLOOKUP($A159,'Data shares'!$C:$FB,69)*100</f>
        <v>-48.199999999999996</v>
      </c>
      <c r="G159" s="49">
        <f>VLOOKUP($A159,'Data shares'!$C:$FB,42)</f>
        <v>5789300</v>
      </c>
      <c r="H159" s="49">
        <f>VLOOKUP($A159,'Data shares'!$C:$FB,43)</f>
        <v>24380800</v>
      </c>
      <c r="I159" s="50">
        <f>VLOOKUP($A159,'Data shares'!$C:$FB,45)*100</f>
        <v>-76.25</v>
      </c>
      <c r="J159" s="49">
        <f>VLOOKUP($A159,'Data shares'!$C:$FB,58)</f>
        <v>26691200</v>
      </c>
      <c r="K159" s="49">
        <f>VLOOKUP($A159,'Data shares'!$C:$FB,59)</f>
        <v>19364800</v>
      </c>
      <c r="L159" s="50">
        <f>VLOOKUP($A159,'Data shares'!$C:$FB,61)*100</f>
        <v>37.830000000000005</v>
      </c>
      <c r="M159" s="49">
        <f>VLOOKUP($A159,'Data shares'!$C:$FB,62)</f>
        <v>6644300</v>
      </c>
      <c r="N159" s="49">
        <f>VLOOKUP($A159,'Data shares'!$C:$FB,63)</f>
        <v>31779400</v>
      </c>
      <c r="O159" s="140">
        <f>VLOOKUP($A159,'Data shares'!$C:$FB,65)*100</f>
        <v>-79.09</v>
      </c>
    </row>
    <row r="160" spans="1:15" x14ac:dyDescent="0.25">
      <c r="A160" s="101" t="str">
        <f>'Data Vlaue (Cr)'!C155</f>
        <v>PFC</v>
      </c>
      <c r="B160" s="50">
        <f>VLOOKUP($A160,'Data shares'!$C:$FB,7)</f>
        <v>383.05</v>
      </c>
      <c r="C160" s="50">
        <f>VLOOKUP($A160,'Data shares'!$C:$FB,10)*100</f>
        <v>5.92</v>
      </c>
      <c r="D160" s="49">
        <f>VLOOKUP($A160,'Data shares'!$C:$FB,66)</f>
        <v>67899000</v>
      </c>
      <c r="E160" s="49">
        <f>VLOOKUP($A160,'Data shares'!$C:$FB,67)</f>
        <v>101805600</v>
      </c>
      <c r="F160" s="50">
        <f>VLOOKUP($A160,'Data shares'!$C:$FB,69)*100</f>
        <v>-33.31</v>
      </c>
      <c r="G160" s="49">
        <f>VLOOKUP($A160,'Data shares'!$C:$FB,42)</f>
        <v>16812900</v>
      </c>
      <c r="H160" s="49">
        <f>VLOOKUP($A160,'Data shares'!$C:$FB,43)</f>
        <v>52832000</v>
      </c>
      <c r="I160" s="50">
        <f>VLOOKUP($A160,'Data shares'!$C:$FB,45)*100</f>
        <v>-68.179999999999993</v>
      </c>
      <c r="J160" s="49">
        <f>VLOOKUP($A160,'Data shares'!$C:$FB,58)</f>
        <v>37831300</v>
      </c>
      <c r="K160" s="49">
        <f>VLOOKUP($A160,'Data shares'!$C:$FB,59)</f>
        <v>26572000</v>
      </c>
      <c r="L160" s="50">
        <f>VLOOKUP($A160,'Data shares'!$C:$FB,61)*100</f>
        <v>42.370000000000005</v>
      </c>
      <c r="M160" s="49">
        <f>VLOOKUP($A160,'Data shares'!$C:$FB,62)</f>
        <v>13254800</v>
      </c>
      <c r="N160" s="49">
        <f>VLOOKUP($A160,'Data shares'!$C:$FB,63)</f>
        <v>22401600</v>
      </c>
      <c r="O160" s="140">
        <f>VLOOKUP($A160,'Data shares'!$C:$FB,65)*100</f>
        <v>-40.83</v>
      </c>
    </row>
    <row r="161" spans="1:15" x14ac:dyDescent="0.25">
      <c r="A161" s="101" t="str">
        <f>'Data Vlaue (Cr)'!C156</f>
        <v>PGEL</v>
      </c>
      <c r="B161" s="50">
        <f>VLOOKUP($A161,'Data shares'!$C:$FB,7)</f>
        <v>540.04999999999995</v>
      </c>
      <c r="C161" s="50">
        <f>VLOOKUP($A161,'Data shares'!$C:$FB,10)*100</f>
        <v>4.1500000000000004</v>
      </c>
      <c r="D161" s="49">
        <f>VLOOKUP($A161,'Data shares'!$C:$FB,66)</f>
        <v>8330550</v>
      </c>
      <c r="E161" s="49">
        <f>VLOOKUP($A161,'Data shares'!$C:$FB,67)</f>
        <v>19988000</v>
      </c>
      <c r="F161" s="50">
        <f>VLOOKUP($A161,'Data shares'!$C:$FB,69)*100</f>
        <v>-58.320000000000007</v>
      </c>
      <c r="G161" s="49">
        <f>VLOOKUP($A161,'Data shares'!$C:$FB,42)</f>
        <v>3526400</v>
      </c>
      <c r="H161" s="49">
        <f>VLOOKUP($A161,'Data shares'!$C:$FB,43)</f>
        <v>10765400</v>
      </c>
      <c r="I161" s="50">
        <f>VLOOKUP($A161,'Data shares'!$C:$FB,45)*100</f>
        <v>-67.239999999999995</v>
      </c>
      <c r="J161" s="49">
        <f>VLOOKUP($A161,'Data shares'!$C:$FB,58)</f>
        <v>2983000</v>
      </c>
      <c r="K161" s="49">
        <f>VLOOKUP($A161,'Data shares'!$C:$FB,59)</f>
        <v>5174650</v>
      </c>
      <c r="L161" s="50">
        <f>VLOOKUP($A161,'Data shares'!$C:$FB,61)*100</f>
        <v>-42.35</v>
      </c>
      <c r="M161" s="49">
        <f>VLOOKUP($A161,'Data shares'!$C:$FB,62)</f>
        <v>1821150</v>
      </c>
      <c r="N161" s="49">
        <f>VLOOKUP($A161,'Data shares'!$C:$FB,63)</f>
        <v>4047950</v>
      </c>
      <c r="O161" s="140">
        <f>VLOOKUP($A161,'Data shares'!$C:$FB,65)*100</f>
        <v>-55.010000000000005</v>
      </c>
    </row>
    <row r="162" spans="1:15" x14ac:dyDescent="0.25">
      <c r="A162" s="101" t="str">
        <f>'Data Vlaue (Cr)'!C157</f>
        <v>PHOENIXLTD</v>
      </c>
      <c r="B162" s="50">
        <f>VLOOKUP($A162,'Data shares'!$C:$FB,7)</f>
        <v>1726.2</v>
      </c>
      <c r="C162" s="50">
        <f>VLOOKUP($A162,'Data shares'!$C:$FB,10)*100</f>
        <v>-0.12</v>
      </c>
      <c r="D162" s="49">
        <f>VLOOKUP($A162,'Data shares'!$C:$FB,66)</f>
        <v>2615900</v>
      </c>
      <c r="E162" s="49">
        <f>VLOOKUP($A162,'Data shares'!$C:$FB,67)</f>
        <v>3652600</v>
      </c>
      <c r="F162" s="50">
        <f>VLOOKUP($A162,'Data shares'!$C:$FB,69)*100</f>
        <v>-28.38</v>
      </c>
      <c r="G162" s="49">
        <f>VLOOKUP($A162,'Data shares'!$C:$FB,42)</f>
        <v>947100</v>
      </c>
      <c r="H162" s="49">
        <f>VLOOKUP($A162,'Data shares'!$C:$FB,43)</f>
        <v>1869700</v>
      </c>
      <c r="I162" s="50">
        <f>VLOOKUP($A162,'Data shares'!$C:$FB,45)*100</f>
        <v>-49.34</v>
      </c>
      <c r="J162" s="49">
        <f>VLOOKUP($A162,'Data shares'!$C:$FB,58)</f>
        <v>886200</v>
      </c>
      <c r="K162" s="49">
        <f>VLOOKUP($A162,'Data shares'!$C:$FB,59)</f>
        <v>565250</v>
      </c>
      <c r="L162" s="50">
        <f>VLOOKUP($A162,'Data shares'!$C:$FB,61)*100</f>
        <v>56.779999999999994</v>
      </c>
      <c r="M162" s="49">
        <f>VLOOKUP($A162,'Data shares'!$C:$FB,62)</f>
        <v>782600</v>
      </c>
      <c r="N162" s="49">
        <f>VLOOKUP($A162,'Data shares'!$C:$FB,63)</f>
        <v>1217650</v>
      </c>
      <c r="O162" s="140">
        <f>VLOOKUP($A162,'Data shares'!$C:$FB,65)*100</f>
        <v>-35.730000000000004</v>
      </c>
    </row>
    <row r="163" spans="1:15" x14ac:dyDescent="0.25">
      <c r="A163" s="101" t="str">
        <f>'Data Vlaue (Cr)'!C158</f>
        <v>PIDILITIND</v>
      </c>
      <c r="B163" s="50">
        <f>VLOOKUP($A163,'Data shares'!$C:$FB,7)</f>
        <v>1460.7</v>
      </c>
      <c r="C163" s="50">
        <f>VLOOKUP($A163,'Data shares'!$C:$FB,10)*100</f>
        <v>0.92999999999999994</v>
      </c>
      <c r="D163" s="49">
        <f>VLOOKUP($A163,'Data shares'!$C:$FB,66)</f>
        <v>6596500</v>
      </c>
      <c r="E163" s="49">
        <f>VLOOKUP($A163,'Data shares'!$C:$FB,67)</f>
        <v>5130000</v>
      </c>
      <c r="F163" s="50">
        <f>VLOOKUP($A163,'Data shares'!$C:$FB,69)*100</f>
        <v>28.59</v>
      </c>
      <c r="G163" s="49">
        <f>VLOOKUP($A163,'Data shares'!$C:$FB,42)</f>
        <v>2722000</v>
      </c>
      <c r="H163" s="49">
        <f>VLOOKUP($A163,'Data shares'!$C:$FB,43)</f>
        <v>2939500</v>
      </c>
      <c r="I163" s="50">
        <f>VLOOKUP($A163,'Data shares'!$C:$FB,45)*100</f>
        <v>-7.3999999999999995</v>
      </c>
      <c r="J163" s="49">
        <f>VLOOKUP($A163,'Data shares'!$C:$FB,58)</f>
        <v>2482000</v>
      </c>
      <c r="K163" s="49">
        <f>VLOOKUP($A163,'Data shares'!$C:$FB,59)</f>
        <v>1159000</v>
      </c>
      <c r="L163" s="50">
        <f>VLOOKUP($A163,'Data shares'!$C:$FB,61)*100</f>
        <v>114.14999999999999</v>
      </c>
      <c r="M163" s="49">
        <f>VLOOKUP($A163,'Data shares'!$C:$FB,62)</f>
        <v>1392500</v>
      </c>
      <c r="N163" s="49">
        <f>VLOOKUP($A163,'Data shares'!$C:$FB,63)</f>
        <v>1031500</v>
      </c>
      <c r="O163" s="140">
        <f>VLOOKUP($A163,'Data shares'!$C:$FB,65)*100</f>
        <v>35</v>
      </c>
    </row>
    <row r="164" spans="1:15" x14ac:dyDescent="0.25">
      <c r="A164" s="101" t="str">
        <f>'Data Vlaue (Cr)'!C159</f>
        <v>PIIND</v>
      </c>
      <c r="B164" s="50">
        <f>VLOOKUP($A164,'Data shares'!$C:$FB,7)</f>
        <v>3220.8</v>
      </c>
      <c r="C164" s="50">
        <f>VLOOKUP($A164,'Data shares'!$C:$FB,10)*100</f>
        <v>2.0099999999999998</v>
      </c>
      <c r="D164" s="49">
        <f>VLOOKUP($A164,'Data shares'!$C:$FB,66)</f>
        <v>856975</v>
      </c>
      <c r="E164" s="49">
        <f>VLOOKUP($A164,'Data shares'!$C:$FB,67)</f>
        <v>1752975</v>
      </c>
      <c r="F164" s="50">
        <f>VLOOKUP($A164,'Data shares'!$C:$FB,69)*100</f>
        <v>-51.11</v>
      </c>
      <c r="G164" s="49">
        <f>VLOOKUP($A164,'Data shares'!$C:$FB,42)</f>
        <v>289275</v>
      </c>
      <c r="H164" s="49">
        <f>VLOOKUP($A164,'Data shares'!$C:$FB,43)</f>
        <v>1108100</v>
      </c>
      <c r="I164" s="50">
        <f>VLOOKUP($A164,'Data shares'!$C:$FB,45)*100</f>
        <v>-73.89</v>
      </c>
      <c r="J164" s="49">
        <f>VLOOKUP($A164,'Data shares'!$C:$FB,58)</f>
        <v>410550</v>
      </c>
      <c r="K164" s="49">
        <f>VLOOKUP($A164,'Data shares'!$C:$FB,59)</f>
        <v>434525</v>
      </c>
      <c r="L164" s="50">
        <f>VLOOKUP($A164,'Data shares'!$C:$FB,61)*100</f>
        <v>-5.52</v>
      </c>
      <c r="M164" s="49">
        <f>VLOOKUP($A164,'Data shares'!$C:$FB,62)</f>
        <v>157150</v>
      </c>
      <c r="N164" s="49">
        <f>VLOOKUP($A164,'Data shares'!$C:$FB,63)</f>
        <v>210350</v>
      </c>
      <c r="O164" s="140">
        <f>VLOOKUP($A164,'Data shares'!$C:$FB,65)*100</f>
        <v>-25.290000000000003</v>
      </c>
    </row>
    <row r="165" spans="1:15" x14ac:dyDescent="0.25">
      <c r="A165" s="101" t="str">
        <f>'Data Vlaue (Cr)'!C160</f>
        <v>PNB</v>
      </c>
      <c r="B165" s="50">
        <f>VLOOKUP($A165,'Data shares'!$C:$FB,7)</f>
        <v>124.5</v>
      </c>
      <c r="C165" s="50">
        <f>VLOOKUP($A165,'Data shares'!$C:$FB,10)*100</f>
        <v>1.26</v>
      </c>
      <c r="D165" s="49">
        <f>VLOOKUP($A165,'Data shares'!$C:$FB,66)</f>
        <v>163072000</v>
      </c>
      <c r="E165" s="49">
        <f>VLOOKUP($A165,'Data shares'!$C:$FB,67)</f>
        <v>428928000</v>
      </c>
      <c r="F165" s="50">
        <f>VLOOKUP($A165,'Data shares'!$C:$FB,69)*100</f>
        <v>-61.980000000000004</v>
      </c>
      <c r="G165" s="49">
        <f>VLOOKUP($A165,'Data shares'!$C:$FB,42)</f>
        <v>42848000</v>
      </c>
      <c r="H165" s="49">
        <f>VLOOKUP($A165,'Data shares'!$C:$FB,43)</f>
        <v>199488000</v>
      </c>
      <c r="I165" s="50">
        <f>VLOOKUP($A165,'Data shares'!$C:$FB,45)*100</f>
        <v>-78.52</v>
      </c>
      <c r="J165" s="49">
        <f>VLOOKUP($A165,'Data shares'!$C:$FB,58)</f>
        <v>86408000</v>
      </c>
      <c r="K165" s="49">
        <f>VLOOKUP($A165,'Data shares'!$C:$FB,59)</f>
        <v>144288000</v>
      </c>
      <c r="L165" s="50">
        <f>VLOOKUP($A165,'Data shares'!$C:$FB,61)*100</f>
        <v>-40.11</v>
      </c>
      <c r="M165" s="49">
        <f>VLOOKUP($A165,'Data shares'!$C:$FB,62)</f>
        <v>33816000</v>
      </c>
      <c r="N165" s="49">
        <f>VLOOKUP($A165,'Data shares'!$C:$FB,63)</f>
        <v>85152000</v>
      </c>
      <c r="O165" s="140">
        <f>VLOOKUP($A165,'Data shares'!$C:$FB,65)*100</f>
        <v>-60.29</v>
      </c>
    </row>
    <row r="166" spans="1:15" x14ac:dyDescent="0.25">
      <c r="A166" s="101" t="str">
        <f>'Data Vlaue (Cr)'!C161</f>
        <v>PNBHOUSING</v>
      </c>
      <c r="B166" s="50">
        <f>VLOOKUP($A166,'Data shares'!$C:$FB,7)</f>
        <v>845.55</v>
      </c>
      <c r="C166" s="50">
        <f>VLOOKUP($A166,'Data shares'!$C:$FB,10)*100</f>
        <v>2.44</v>
      </c>
      <c r="D166" s="49">
        <f>VLOOKUP($A166,'Data shares'!$C:$FB,66)</f>
        <v>8528650</v>
      </c>
      <c r="E166" s="49">
        <f>VLOOKUP($A166,'Data shares'!$C:$FB,67)</f>
        <v>21843900</v>
      </c>
      <c r="F166" s="50">
        <f>VLOOKUP($A166,'Data shares'!$C:$FB,69)*100</f>
        <v>-60.96</v>
      </c>
      <c r="G166" s="49">
        <f>VLOOKUP($A166,'Data shares'!$C:$FB,42)</f>
        <v>1999400</v>
      </c>
      <c r="H166" s="49">
        <f>VLOOKUP($A166,'Data shares'!$C:$FB,43)</f>
        <v>9695400</v>
      </c>
      <c r="I166" s="50">
        <f>VLOOKUP($A166,'Data shares'!$C:$FB,45)*100</f>
        <v>-79.38</v>
      </c>
      <c r="J166" s="49">
        <f>VLOOKUP($A166,'Data shares'!$C:$FB,58)</f>
        <v>4187300</v>
      </c>
      <c r="K166" s="49">
        <f>VLOOKUP($A166,'Data shares'!$C:$FB,59)</f>
        <v>7218250</v>
      </c>
      <c r="L166" s="50">
        <f>VLOOKUP($A166,'Data shares'!$C:$FB,61)*100</f>
        <v>-41.99</v>
      </c>
      <c r="M166" s="49">
        <f>VLOOKUP($A166,'Data shares'!$C:$FB,62)</f>
        <v>2341950</v>
      </c>
      <c r="N166" s="49">
        <f>VLOOKUP($A166,'Data shares'!$C:$FB,63)</f>
        <v>4930250</v>
      </c>
      <c r="O166" s="140">
        <f>VLOOKUP($A166,'Data shares'!$C:$FB,65)*100</f>
        <v>-52.5</v>
      </c>
    </row>
    <row r="167" spans="1:15" x14ac:dyDescent="0.25">
      <c r="A167" s="101" t="str">
        <f>'Data Vlaue (Cr)'!C162</f>
        <v>POLICYBZR</v>
      </c>
      <c r="B167" s="50">
        <f>VLOOKUP($A167,'Data shares'!$C:$FB,7)</f>
        <v>1653.1</v>
      </c>
      <c r="C167" s="50">
        <f>VLOOKUP($A167,'Data shares'!$C:$FB,10)*100</f>
        <v>1.43</v>
      </c>
      <c r="D167" s="49">
        <f>VLOOKUP($A167,'Data shares'!$C:$FB,66)</f>
        <v>3081400</v>
      </c>
      <c r="E167" s="49">
        <f>VLOOKUP($A167,'Data shares'!$C:$FB,67)</f>
        <v>9944200</v>
      </c>
      <c r="F167" s="50">
        <f>VLOOKUP($A167,'Data shares'!$C:$FB,69)*100</f>
        <v>-69.010000000000005</v>
      </c>
      <c r="G167" s="49">
        <f>VLOOKUP($A167,'Data shares'!$C:$FB,42)</f>
        <v>1286250</v>
      </c>
      <c r="H167" s="49">
        <f>VLOOKUP($A167,'Data shares'!$C:$FB,43)</f>
        <v>5529300</v>
      </c>
      <c r="I167" s="50">
        <f>VLOOKUP($A167,'Data shares'!$C:$FB,45)*100</f>
        <v>-76.739999999999995</v>
      </c>
      <c r="J167" s="49">
        <f>VLOOKUP($A167,'Data shares'!$C:$FB,58)</f>
        <v>1064350</v>
      </c>
      <c r="K167" s="49">
        <f>VLOOKUP($A167,'Data shares'!$C:$FB,59)</f>
        <v>1879500</v>
      </c>
      <c r="L167" s="50">
        <f>VLOOKUP($A167,'Data shares'!$C:$FB,61)*100</f>
        <v>-43.37</v>
      </c>
      <c r="M167" s="49">
        <f>VLOOKUP($A167,'Data shares'!$C:$FB,62)</f>
        <v>730800</v>
      </c>
      <c r="N167" s="49">
        <f>VLOOKUP($A167,'Data shares'!$C:$FB,63)</f>
        <v>2535400</v>
      </c>
      <c r="O167" s="140">
        <f>VLOOKUP($A167,'Data shares'!$C:$FB,65)*100</f>
        <v>-71.179999999999993</v>
      </c>
    </row>
    <row r="168" spans="1:15" x14ac:dyDescent="0.25">
      <c r="A168" s="101" t="str">
        <f>'Data Vlaue (Cr)'!C163</f>
        <v>POLYCAB</v>
      </c>
      <c r="B168" s="50">
        <f>VLOOKUP($A168,'Data shares'!$C:$FB,7)</f>
        <v>6928</v>
      </c>
      <c r="C168" s="50">
        <f>VLOOKUP($A168,'Data shares'!$C:$FB,10)*100</f>
        <v>2.39</v>
      </c>
      <c r="D168" s="49">
        <f>VLOOKUP($A168,'Data shares'!$C:$FB,66)</f>
        <v>1805875</v>
      </c>
      <c r="E168" s="49">
        <f>VLOOKUP($A168,'Data shares'!$C:$FB,67)</f>
        <v>5074750</v>
      </c>
      <c r="F168" s="50">
        <f>VLOOKUP($A168,'Data shares'!$C:$FB,69)*100</f>
        <v>-64.41</v>
      </c>
      <c r="G168" s="49">
        <f>VLOOKUP($A168,'Data shares'!$C:$FB,42)</f>
        <v>514625</v>
      </c>
      <c r="H168" s="49">
        <f>VLOOKUP($A168,'Data shares'!$C:$FB,43)</f>
        <v>1829500</v>
      </c>
      <c r="I168" s="50">
        <f>VLOOKUP($A168,'Data shares'!$C:$FB,45)*100</f>
        <v>-71.87</v>
      </c>
      <c r="J168" s="49">
        <f>VLOOKUP($A168,'Data shares'!$C:$FB,58)</f>
        <v>905875</v>
      </c>
      <c r="K168" s="49">
        <f>VLOOKUP($A168,'Data shares'!$C:$FB,59)</f>
        <v>2085375</v>
      </c>
      <c r="L168" s="50">
        <f>VLOOKUP($A168,'Data shares'!$C:$FB,61)*100</f>
        <v>-56.56</v>
      </c>
      <c r="M168" s="49">
        <f>VLOOKUP($A168,'Data shares'!$C:$FB,62)</f>
        <v>385375</v>
      </c>
      <c r="N168" s="49">
        <f>VLOOKUP($A168,'Data shares'!$C:$FB,63)</f>
        <v>1159875</v>
      </c>
      <c r="O168" s="140">
        <f>VLOOKUP($A168,'Data shares'!$C:$FB,65)*100</f>
        <v>-66.77</v>
      </c>
    </row>
    <row r="169" spans="1:15" x14ac:dyDescent="0.25">
      <c r="A169" s="101" t="str">
        <f>'Data Vlaue (Cr)'!C164</f>
        <v>POWERGRID</v>
      </c>
      <c r="B169" s="50">
        <f>VLOOKUP($A169,'Data shares'!$C:$FB,7)</f>
        <v>259.8</v>
      </c>
      <c r="C169" s="50">
        <f>VLOOKUP($A169,'Data shares'!$C:$FB,10)*100</f>
        <v>2.1399999999999997</v>
      </c>
      <c r="D169" s="49">
        <f>VLOOKUP($A169,'Data shares'!$C:$FB,66)</f>
        <v>46399900</v>
      </c>
      <c r="E169" s="49">
        <f>VLOOKUP($A169,'Data shares'!$C:$FB,67)</f>
        <v>115240700</v>
      </c>
      <c r="F169" s="50">
        <f>VLOOKUP($A169,'Data shares'!$C:$FB,69)*100</f>
        <v>-59.74</v>
      </c>
      <c r="G169" s="49">
        <f>VLOOKUP($A169,'Data shares'!$C:$FB,42)</f>
        <v>12914300</v>
      </c>
      <c r="H169" s="49">
        <f>VLOOKUP($A169,'Data shares'!$C:$FB,43)</f>
        <v>74510400</v>
      </c>
      <c r="I169" s="50">
        <f>VLOOKUP($A169,'Data shares'!$C:$FB,45)*100</f>
        <v>-82.67</v>
      </c>
      <c r="J169" s="49">
        <f>VLOOKUP($A169,'Data shares'!$C:$FB,58)</f>
        <v>24363700</v>
      </c>
      <c r="K169" s="49">
        <f>VLOOKUP($A169,'Data shares'!$C:$FB,59)</f>
        <v>20673900</v>
      </c>
      <c r="L169" s="50">
        <f>VLOOKUP($A169,'Data shares'!$C:$FB,61)*100</f>
        <v>17.849999999999998</v>
      </c>
      <c r="M169" s="49">
        <f>VLOOKUP($A169,'Data shares'!$C:$FB,62)</f>
        <v>9121900</v>
      </c>
      <c r="N169" s="49">
        <f>VLOOKUP($A169,'Data shares'!$C:$FB,63)</f>
        <v>20056400</v>
      </c>
      <c r="O169" s="140">
        <f>VLOOKUP($A169,'Data shares'!$C:$FB,65)*100</f>
        <v>-54.52</v>
      </c>
    </row>
    <row r="170" spans="1:15" x14ac:dyDescent="0.25">
      <c r="A170" s="101" t="str">
        <f>'Data Vlaue (Cr)'!C165</f>
        <v>POWERINDIA</v>
      </c>
      <c r="B170" s="50">
        <f>VLOOKUP($A170,'Data shares'!$C:$FB,7)</f>
        <v>17683</v>
      </c>
      <c r="C170" s="50">
        <f>VLOOKUP($A170,'Data shares'!$C:$FB,10)*100</f>
        <v>5.83</v>
      </c>
      <c r="D170" s="49">
        <f>VLOOKUP($A170,'Data shares'!$C:$FB,66)</f>
        <v>394200</v>
      </c>
      <c r="E170" s="49">
        <f>VLOOKUP($A170,'Data shares'!$C:$FB,67)</f>
        <v>771200</v>
      </c>
      <c r="F170" s="50">
        <f>VLOOKUP($A170,'Data shares'!$C:$FB,69)*100</f>
        <v>-48.88</v>
      </c>
      <c r="G170" s="49">
        <f>VLOOKUP($A170,'Data shares'!$C:$FB,42)</f>
        <v>128400</v>
      </c>
      <c r="H170" s="49">
        <f>VLOOKUP($A170,'Data shares'!$C:$FB,43)</f>
        <v>243750</v>
      </c>
      <c r="I170" s="50">
        <f>VLOOKUP($A170,'Data shares'!$C:$FB,45)*100</f>
        <v>-47.32</v>
      </c>
      <c r="J170" s="49">
        <f>VLOOKUP($A170,'Data shares'!$C:$FB,58)</f>
        <v>210150</v>
      </c>
      <c r="K170" s="49">
        <f>VLOOKUP($A170,'Data shares'!$C:$FB,59)</f>
        <v>212600</v>
      </c>
      <c r="L170" s="50">
        <f>VLOOKUP($A170,'Data shares'!$C:$FB,61)*100</f>
        <v>-1.1499999999999999</v>
      </c>
      <c r="M170" s="49">
        <f>VLOOKUP($A170,'Data shares'!$C:$FB,62)</f>
        <v>55650</v>
      </c>
      <c r="N170" s="49">
        <f>VLOOKUP($A170,'Data shares'!$C:$FB,63)</f>
        <v>314850</v>
      </c>
      <c r="O170" s="140">
        <f>VLOOKUP($A170,'Data shares'!$C:$FB,65)*100</f>
        <v>-82.320000000000007</v>
      </c>
    </row>
    <row r="171" spans="1:15" x14ac:dyDescent="0.25">
      <c r="A171" s="101" t="str">
        <f>'Data Vlaue (Cr)'!C166</f>
        <v>PPLPHARMA</v>
      </c>
      <c r="B171" s="50">
        <f>VLOOKUP($A171,'Data shares'!$C:$FB,7)</f>
        <v>153.96</v>
      </c>
      <c r="C171" s="50">
        <f>VLOOKUP($A171,'Data shares'!$C:$FB,10)*100</f>
        <v>0.9900000000000001</v>
      </c>
      <c r="D171" s="49">
        <f>VLOOKUP($A171,'Data shares'!$C:$FB,66)</f>
        <v>31227000</v>
      </c>
      <c r="E171" s="49">
        <f>VLOOKUP($A171,'Data shares'!$C:$FB,67)</f>
        <v>37041375</v>
      </c>
      <c r="F171" s="50">
        <f>VLOOKUP($A171,'Data shares'!$C:$FB,69)*100</f>
        <v>-15.7</v>
      </c>
      <c r="G171" s="49">
        <f>VLOOKUP($A171,'Data shares'!$C:$FB,42)</f>
        <v>9048375</v>
      </c>
      <c r="H171" s="49">
        <f>VLOOKUP($A171,'Data shares'!$C:$FB,43)</f>
        <v>24525375</v>
      </c>
      <c r="I171" s="50">
        <f>VLOOKUP($A171,'Data shares'!$C:$FB,45)*100</f>
        <v>-63.11</v>
      </c>
      <c r="J171" s="49">
        <f>VLOOKUP($A171,'Data shares'!$C:$FB,58)</f>
        <v>12542250</v>
      </c>
      <c r="K171" s="49">
        <f>VLOOKUP($A171,'Data shares'!$C:$FB,59)</f>
        <v>6720000</v>
      </c>
      <c r="L171" s="50">
        <f>VLOOKUP($A171,'Data shares'!$C:$FB,61)*100</f>
        <v>86.64</v>
      </c>
      <c r="M171" s="49">
        <f>VLOOKUP($A171,'Data shares'!$C:$FB,62)</f>
        <v>9636375</v>
      </c>
      <c r="N171" s="49">
        <f>VLOOKUP($A171,'Data shares'!$C:$FB,63)</f>
        <v>5796000</v>
      </c>
      <c r="O171" s="140">
        <f>VLOOKUP($A171,'Data shares'!$C:$FB,65)*100</f>
        <v>66.259999999999991</v>
      </c>
    </row>
    <row r="172" spans="1:15" x14ac:dyDescent="0.25">
      <c r="A172" s="101" t="str">
        <f>'Data Vlaue (Cr)'!C167</f>
        <v>PREMIERENE</v>
      </c>
      <c r="B172" s="50">
        <f>VLOOKUP($A172,'Data shares'!$C:$FB,7)</f>
        <v>715.05</v>
      </c>
      <c r="C172" s="50">
        <f>VLOOKUP($A172,'Data shares'!$C:$FB,10)*100</f>
        <v>1.05</v>
      </c>
      <c r="D172" s="49">
        <f>VLOOKUP($A172,'Data shares'!$C:$FB,66)</f>
        <v>3556375</v>
      </c>
      <c r="E172" s="49">
        <f>VLOOKUP($A172,'Data shares'!$C:$FB,67)</f>
        <v>19844400</v>
      </c>
      <c r="F172" s="50">
        <f>VLOOKUP($A172,'Data shares'!$C:$FB,69)*100</f>
        <v>-82.08</v>
      </c>
      <c r="G172" s="49">
        <f>VLOOKUP($A172,'Data shares'!$C:$FB,42)</f>
        <v>1733050</v>
      </c>
      <c r="H172" s="49">
        <f>VLOOKUP($A172,'Data shares'!$C:$FB,43)</f>
        <v>6765450</v>
      </c>
      <c r="I172" s="50">
        <f>VLOOKUP($A172,'Data shares'!$C:$FB,45)*100</f>
        <v>-74.38</v>
      </c>
      <c r="J172" s="49">
        <f>VLOOKUP($A172,'Data shares'!$C:$FB,58)</f>
        <v>1357575</v>
      </c>
      <c r="K172" s="49">
        <f>VLOOKUP($A172,'Data shares'!$C:$FB,59)</f>
        <v>9507050</v>
      </c>
      <c r="L172" s="50">
        <f>VLOOKUP($A172,'Data shares'!$C:$FB,61)*100</f>
        <v>-85.72</v>
      </c>
      <c r="M172" s="49">
        <f>VLOOKUP($A172,'Data shares'!$C:$FB,62)</f>
        <v>465750</v>
      </c>
      <c r="N172" s="49">
        <f>VLOOKUP($A172,'Data shares'!$C:$FB,63)</f>
        <v>3571900</v>
      </c>
      <c r="O172" s="140">
        <f>VLOOKUP($A172,'Data shares'!$C:$FB,65)*100</f>
        <v>-86.960000000000008</v>
      </c>
    </row>
    <row r="173" spans="1:15" x14ac:dyDescent="0.25">
      <c r="A173" s="101" t="str">
        <f>'Data Vlaue (Cr)'!C168</f>
        <v>PRESTIGE</v>
      </c>
      <c r="B173" s="50">
        <f>VLOOKUP($A173,'Data shares'!$C:$FB,7)</f>
        <v>1422</v>
      </c>
      <c r="C173" s="50">
        <f>VLOOKUP($A173,'Data shares'!$C:$FB,10)*100</f>
        <v>2.16</v>
      </c>
      <c r="D173" s="49">
        <f>VLOOKUP($A173,'Data shares'!$C:$FB,66)</f>
        <v>2406150</v>
      </c>
      <c r="E173" s="49">
        <f>VLOOKUP($A173,'Data shares'!$C:$FB,67)</f>
        <v>7866450</v>
      </c>
      <c r="F173" s="50">
        <f>VLOOKUP($A173,'Data shares'!$C:$FB,69)*100</f>
        <v>-69.410000000000011</v>
      </c>
      <c r="G173" s="49">
        <f>VLOOKUP($A173,'Data shares'!$C:$FB,42)</f>
        <v>1069650</v>
      </c>
      <c r="H173" s="49">
        <f>VLOOKUP($A173,'Data shares'!$C:$FB,43)</f>
        <v>3547350</v>
      </c>
      <c r="I173" s="50">
        <f>VLOOKUP($A173,'Data shares'!$C:$FB,45)*100</f>
        <v>-69.849999999999994</v>
      </c>
      <c r="J173" s="49">
        <f>VLOOKUP($A173,'Data shares'!$C:$FB,58)</f>
        <v>896400</v>
      </c>
      <c r="K173" s="49">
        <f>VLOOKUP($A173,'Data shares'!$C:$FB,59)</f>
        <v>1859400</v>
      </c>
      <c r="L173" s="50">
        <f>VLOOKUP($A173,'Data shares'!$C:$FB,61)*100</f>
        <v>-51.790000000000006</v>
      </c>
      <c r="M173" s="49">
        <f>VLOOKUP($A173,'Data shares'!$C:$FB,62)</f>
        <v>440100</v>
      </c>
      <c r="N173" s="49">
        <f>VLOOKUP($A173,'Data shares'!$C:$FB,63)</f>
        <v>2459700</v>
      </c>
      <c r="O173" s="140">
        <f>VLOOKUP($A173,'Data shares'!$C:$FB,65)*100</f>
        <v>-82.11</v>
      </c>
    </row>
    <row r="174" spans="1:15" x14ac:dyDescent="0.25">
      <c r="A174" s="101" t="str">
        <f>'Data Vlaue (Cr)'!C169</f>
        <v>RBLBANK</v>
      </c>
      <c r="B174" s="50">
        <f>VLOOKUP($A174,'Data shares'!$C:$FB,7)</f>
        <v>297.35000000000002</v>
      </c>
      <c r="C174" s="50">
        <f>VLOOKUP($A174,'Data shares'!$C:$FB,10)*100</f>
        <v>0.67999999999999994</v>
      </c>
      <c r="D174" s="49">
        <f>VLOOKUP($A174,'Data shares'!$C:$FB,66)</f>
        <v>28470225</v>
      </c>
      <c r="E174" s="49">
        <f>VLOOKUP($A174,'Data shares'!$C:$FB,67)</f>
        <v>105619550</v>
      </c>
      <c r="F174" s="50">
        <f>VLOOKUP($A174,'Data shares'!$C:$FB,69)*100</f>
        <v>-73.040000000000006</v>
      </c>
      <c r="G174" s="49">
        <f>VLOOKUP($A174,'Data shares'!$C:$FB,42)</f>
        <v>6858000</v>
      </c>
      <c r="H174" s="49">
        <f>VLOOKUP($A174,'Data shares'!$C:$FB,43)</f>
        <v>57905650</v>
      </c>
      <c r="I174" s="50">
        <f>VLOOKUP($A174,'Data shares'!$C:$FB,45)*100</f>
        <v>-88.160000000000011</v>
      </c>
      <c r="J174" s="49">
        <f>VLOOKUP($A174,'Data shares'!$C:$FB,58)</f>
        <v>14792325</v>
      </c>
      <c r="K174" s="49">
        <f>VLOOKUP($A174,'Data shares'!$C:$FB,59)</f>
        <v>26489025</v>
      </c>
      <c r="L174" s="50">
        <f>VLOOKUP($A174,'Data shares'!$C:$FB,61)*100</f>
        <v>-44.16</v>
      </c>
      <c r="M174" s="49">
        <f>VLOOKUP($A174,'Data shares'!$C:$FB,62)</f>
        <v>6819900</v>
      </c>
      <c r="N174" s="49">
        <f>VLOOKUP($A174,'Data shares'!$C:$FB,63)</f>
        <v>21224875</v>
      </c>
      <c r="O174" s="140">
        <f>VLOOKUP($A174,'Data shares'!$C:$FB,65)*100</f>
        <v>-67.86999999999999</v>
      </c>
    </row>
    <row r="175" spans="1:15" x14ac:dyDescent="0.25">
      <c r="A175" s="101" t="str">
        <f>'Data Vlaue (Cr)'!C170</f>
        <v>RECLTD</v>
      </c>
      <c r="B175" s="50">
        <f>VLOOKUP($A175,'Data shares'!$C:$FB,7)</f>
        <v>377.5</v>
      </c>
      <c r="C175" s="50">
        <f>VLOOKUP($A175,'Data shares'!$C:$FB,10)*100</f>
        <v>3.7199999999999998</v>
      </c>
      <c r="D175" s="49">
        <f>VLOOKUP($A175,'Data shares'!$C:$FB,66)</f>
        <v>72769200</v>
      </c>
      <c r="E175" s="49">
        <f>VLOOKUP($A175,'Data shares'!$C:$FB,67)</f>
        <v>125386800</v>
      </c>
      <c r="F175" s="50">
        <f>VLOOKUP($A175,'Data shares'!$C:$FB,69)*100</f>
        <v>-41.959999999999994</v>
      </c>
      <c r="G175" s="49">
        <f>VLOOKUP($A175,'Data shares'!$C:$FB,42)</f>
        <v>15712200</v>
      </c>
      <c r="H175" s="49">
        <f>VLOOKUP($A175,'Data shares'!$C:$FB,43)</f>
        <v>58259600</v>
      </c>
      <c r="I175" s="50">
        <f>VLOOKUP($A175,'Data shares'!$C:$FB,45)*100</f>
        <v>-73.03</v>
      </c>
      <c r="J175" s="49">
        <f>VLOOKUP($A175,'Data shares'!$C:$FB,58)</f>
        <v>41003200</v>
      </c>
      <c r="K175" s="49">
        <f>VLOOKUP($A175,'Data shares'!$C:$FB,59)</f>
        <v>32292400</v>
      </c>
      <c r="L175" s="50">
        <f>VLOOKUP($A175,'Data shares'!$C:$FB,61)*100</f>
        <v>26.97</v>
      </c>
      <c r="M175" s="49">
        <f>VLOOKUP($A175,'Data shares'!$C:$FB,62)</f>
        <v>16053800</v>
      </c>
      <c r="N175" s="49">
        <f>VLOOKUP($A175,'Data shares'!$C:$FB,63)</f>
        <v>34834800</v>
      </c>
      <c r="O175" s="140">
        <f>VLOOKUP($A175,'Data shares'!$C:$FB,65)*100</f>
        <v>-53.910000000000004</v>
      </c>
    </row>
    <row r="176" spans="1:15" x14ac:dyDescent="0.25">
      <c r="A176" s="101" t="str">
        <f>'Data Vlaue (Cr)'!C171</f>
        <v>RELIANCE</v>
      </c>
      <c r="B176" s="50">
        <f>VLOOKUP($A176,'Data shares'!$C:$FB,7)</f>
        <v>1396.7</v>
      </c>
      <c r="C176" s="50">
        <f>VLOOKUP($A176,'Data shares'!$C:$FB,10)*100</f>
        <v>1.17</v>
      </c>
      <c r="D176" s="49">
        <f>VLOOKUP($A176,'Data shares'!$C:$FB,66)</f>
        <v>90570000</v>
      </c>
      <c r="E176" s="49">
        <f>VLOOKUP($A176,'Data shares'!$C:$FB,67)</f>
        <v>227155000</v>
      </c>
      <c r="F176" s="50">
        <f>VLOOKUP($A176,'Data shares'!$C:$FB,69)*100</f>
        <v>-60.129999999999995</v>
      </c>
      <c r="G176" s="49">
        <f>VLOOKUP($A176,'Data shares'!$C:$FB,42)</f>
        <v>12229000</v>
      </c>
      <c r="H176" s="49">
        <f>VLOOKUP($A176,'Data shares'!$C:$FB,43)</f>
        <v>73226000</v>
      </c>
      <c r="I176" s="50">
        <f>VLOOKUP($A176,'Data shares'!$C:$FB,45)*100</f>
        <v>-83.3</v>
      </c>
      <c r="J176" s="49">
        <f>VLOOKUP($A176,'Data shares'!$C:$FB,58)</f>
        <v>53386500</v>
      </c>
      <c r="K176" s="49">
        <f>VLOOKUP($A176,'Data shares'!$C:$FB,59)</f>
        <v>96671000</v>
      </c>
      <c r="L176" s="50">
        <f>VLOOKUP($A176,'Data shares'!$C:$FB,61)*100</f>
        <v>-44.78</v>
      </c>
      <c r="M176" s="49">
        <f>VLOOKUP($A176,'Data shares'!$C:$FB,62)</f>
        <v>24954500</v>
      </c>
      <c r="N176" s="49">
        <f>VLOOKUP($A176,'Data shares'!$C:$FB,63)</f>
        <v>57258000</v>
      </c>
      <c r="O176" s="140">
        <f>VLOOKUP($A176,'Data shares'!$C:$FB,65)*100</f>
        <v>-56.42</v>
      </c>
    </row>
    <row r="177" spans="1:15" x14ac:dyDescent="0.25">
      <c r="A177" s="101" t="str">
        <f>'Data Vlaue (Cr)'!C172</f>
        <v>RVNL</v>
      </c>
      <c r="B177" s="50">
        <f>VLOOKUP($A177,'Data shares'!$C:$FB,7)</f>
        <v>342.5</v>
      </c>
      <c r="C177" s="50">
        <f>VLOOKUP($A177,'Data shares'!$C:$FB,10)*100</f>
        <v>5.74</v>
      </c>
      <c r="D177" s="49">
        <f>VLOOKUP($A177,'Data shares'!$C:$FB,66)</f>
        <v>95216425</v>
      </c>
      <c r="E177" s="49">
        <f>VLOOKUP($A177,'Data shares'!$C:$FB,67)</f>
        <v>79176475</v>
      </c>
      <c r="F177" s="50">
        <f>VLOOKUP($A177,'Data shares'!$C:$FB,69)*100</f>
        <v>20.260000000000002</v>
      </c>
      <c r="G177" s="49">
        <f>VLOOKUP($A177,'Data shares'!$C:$FB,42)</f>
        <v>16518800</v>
      </c>
      <c r="H177" s="49">
        <f>VLOOKUP($A177,'Data shares'!$C:$FB,43)</f>
        <v>26149175</v>
      </c>
      <c r="I177" s="50">
        <f>VLOOKUP($A177,'Data shares'!$C:$FB,45)*100</f>
        <v>-36.83</v>
      </c>
      <c r="J177" s="49">
        <f>VLOOKUP($A177,'Data shares'!$C:$FB,58)</f>
        <v>63996625</v>
      </c>
      <c r="K177" s="49">
        <f>VLOOKUP($A177,'Data shares'!$C:$FB,59)</f>
        <v>40729700</v>
      </c>
      <c r="L177" s="50">
        <f>VLOOKUP($A177,'Data shares'!$C:$FB,61)*100</f>
        <v>57.13</v>
      </c>
      <c r="M177" s="49">
        <f>VLOOKUP($A177,'Data shares'!$C:$FB,62)</f>
        <v>14701000</v>
      </c>
      <c r="N177" s="49">
        <f>VLOOKUP($A177,'Data shares'!$C:$FB,63)</f>
        <v>12297600</v>
      </c>
      <c r="O177" s="140">
        <f>VLOOKUP($A177,'Data shares'!$C:$FB,65)*100</f>
        <v>19.54</v>
      </c>
    </row>
    <row r="178" spans="1:15" x14ac:dyDescent="0.25">
      <c r="A178" s="101" t="str">
        <f>'Data Vlaue (Cr)'!C173</f>
        <v>SAIL</v>
      </c>
      <c r="B178" s="50">
        <f>VLOOKUP($A178,'Data shares'!$C:$FB,7)</f>
        <v>155.74</v>
      </c>
      <c r="C178" s="50">
        <f>VLOOKUP($A178,'Data shares'!$C:$FB,10)*100</f>
        <v>0.12</v>
      </c>
      <c r="D178" s="49">
        <f>VLOOKUP($A178,'Data shares'!$C:$FB,66)</f>
        <v>103588000</v>
      </c>
      <c r="E178" s="49">
        <f>VLOOKUP($A178,'Data shares'!$C:$FB,67)</f>
        <v>221840000</v>
      </c>
      <c r="F178" s="50">
        <f>VLOOKUP($A178,'Data shares'!$C:$FB,69)*100</f>
        <v>-53.31</v>
      </c>
      <c r="G178" s="49">
        <f>VLOOKUP($A178,'Data shares'!$C:$FB,42)</f>
        <v>35602500</v>
      </c>
      <c r="H178" s="49">
        <f>VLOOKUP($A178,'Data shares'!$C:$FB,43)</f>
        <v>131670500</v>
      </c>
      <c r="I178" s="50">
        <f>VLOOKUP($A178,'Data shares'!$C:$FB,45)*100</f>
        <v>-72.960000000000008</v>
      </c>
      <c r="J178" s="49">
        <f>VLOOKUP($A178,'Data shares'!$C:$FB,58)</f>
        <v>52719900</v>
      </c>
      <c r="K178" s="49">
        <f>VLOOKUP($A178,'Data shares'!$C:$FB,59)</f>
        <v>59027300</v>
      </c>
      <c r="L178" s="50">
        <f>VLOOKUP($A178,'Data shares'!$C:$FB,61)*100</f>
        <v>-10.69</v>
      </c>
      <c r="M178" s="49">
        <f>VLOOKUP($A178,'Data shares'!$C:$FB,62)</f>
        <v>15265600</v>
      </c>
      <c r="N178" s="49">
        <f>VLOOKUP($A178,'Data shares'!$C:$FB,63)</f>
        <v>31142200</v>
      </c>
      <c r="O178" s="140">
        <f>VLOOKUP($A178,'Data shares'!$C:$FB,65)*100</f>
        <v>-50.980000000000004</v>
      </c>
    </row>
    <row r="179" spans="1:15" x14ac:dyDescent="0.25">
      <c r="A179" s="101" t="str">
        <f>'Data Vlaue (Cr)'!C174</f>
        <v>SAMMAANCAP</v>
      </c>
      <c r="B179" s="50">
        <f>VLOOKUP($A179,'Data shares'!$C:$FB,7)</f>
        <v>141.83000000000001</v>
      </c>
      <c r="C179" s="50">
        <f>VLOOKUP($A179,'Data shares'!$C:$FB,10)*100</f>
        <v>2.21</v>
      </c>
      <c r="D179" s="49">
        <f>VLOOKUP($A179,'Data shares'!$C:$FB,66)</f>
        <v>110944300</v>
      </c>
      <c r="E179" s="49">
        <f>VLOOKUP($A179,'Data shares'!$C:$FB,67)</f>
        <v>194016000</v>
      </c>
      <c r="F179" s="50">
        <f>VLOOKUP($A179,'Data shares'!$C:$FB,69)*100</f>
        <v>-42.82</v>
      </c>
      <c r="G179" s="49">
        <f>VLOOKUP($A179,'Data shares'!$C:$FB,42)</f>
        <v>37014400</v>
      </c>
      <c r="H179" s="49">
        <f>VLOOKUP($A179,'Data shares'!$C:$FB,43)</f>
        <v>171574300</v>
      </c>
      <c r="I179" s="50">
        <f>VLOOKUP($A179,'Data shares'!$C:$FB,45)*100</f>
        <v>-78.430000000000007</v>
      </c>
      <c r="J179" s="49">
        <f>VLOOKUP($A179,'Data shares'!$C:$FB,58)</f>
        <v>43709500</v>
      </c>
      <c r="K179" s="49">
        <f>VLOOKUP($A179,'Data shares'!$C:$FB,59)</f>
        <v>12710800</v>
      </c>
      <c r="L179" s="50">
        <f>VLOOKUP($A179,'Data shares'!$C:$FB,61)*100</f>
        <v>243.88</v>
      </c>
      <c r="M179" s="49">
        <f>VLOOKUP($A179,'Data shares'!$C:$FB,62)</f>
        <v>30220400</v>
      </c>
      <c r="N179" s="49">
        <f>VLOOKUP($A179,'Data shares'!$C:$FB,63)</f>
        <v>9730900</v>
      </c>
      <c r="O179" s="140">
        <f>VLOOKUP($A179,'Data shares'!$C:$FB,65)*100</f>
        <v>210.56</v>
      </c>
    </row>
    <row r="180" spans="1:15" x14ac:dyDescent="0.25">
      <c r="A180" s="101" t="str">
        <f>'Data Vlaue (Cr)'!C175</f>
        <v>SBICARD</v>
      </c>
      <c r="B180" s="50">
        <f>VLOOKUP($A180,'Data shares'!$C:$FB,7)</f>
        <v>782.4</v>
      </c>
      <c r="C180" s="50">
        <f>VLOOKUP($A180,'Data shares'!$C:$FB,10)*100</f>
        <v>1.48</v>
      </c>
      <c r="D180" s="49">
        <f>VLOOKUP($A180,'Data shares'!$C:$FB,66)</f>
        <v>26156800</v>
      </c>
      <c r="E180" s="49">
        <f>VLOOKUP($A180,'Data shares'!$C:$FB,67)</f>
        <v>23995200</v>
      </c>
      <c r="F180" s="50">
        <f>VLOOKUP($A180,'Data shares'!$C:$FB,69)*100</f>
        <v>9.01</v>
      </c>
      <c r="G180" s="49">
        <f>VLOOKUP($A180,'Data shares'!$C:$FB,42)</f>
        <v>7788000</v>
      </c>
      <c r="H180" s="49">
        <f>VLOOKUP($A180,'Data shares'!$C:$FB,43)</f>
        <v>14286400</v>
      </c>
      <c r="I180" s="50">
        <f>VLOOKUP($A180,'Data shares'!$C:$FB,45)*100</f>
        <v>-45.49</v>
      </c>
      <c r="J180" s="49">
        <f>VLOOKUP($A180,'Data shares'!$C:$FB,58)</f>
        <v>12660800</v>
      </c>
      <c r="K180" s="49">
        <f>VLOOKUP($A180,'Data shares'!$C:$FB,59)</f>
        <v>4690400</v>
      </c>
      <c r="L180" s="50">
        <f>VLOOKUP($A180,'Data shares'!$C:$FB,61)*100</f>
        <v>169.93</v>
      </c>
      <c r="M180" s="49">
        <f>VLOOKUP($A180,'Data shares'!$C:$FB,62)</f>
        <v>5708000</v>
      </c>
      <c r="N180" s="49">
        <f>VLOOKUP($A180,'Data shares'!$C:$FB,63)</f>
        <v>5018400</v>
      </c>
      <c r="O180" s="140">
        <f>VLOOKUP($A180,'Data shares'!$C:$FB,65)*100</f>
        <v>13.74</v>
      </c>
    </row>
    <row r="181" spans="1:15" x14ac:dyDescent="0.25">
      <c r="A181" s="101" t="str">
        <f>'Data Vlaue (Cr)'!C176</f>
        <v>SBILIFE</v>
      </c>
      <c r="B181" s="50">
        <f>VLOOKUP($A181,'Data shares'!$C:$FB,7)</f>
        <v>2053.1999999999998</v>
      </c>
      <c r="C181" s="50">
        <f>VLOOKUP($A181,'Data shares'!$C:$FB,10)*100</f>
        <v>0.74</v>
      </c>
      <c r="D181" s="49">
        <f>VLOOKUP($A181,'Data shares'!$C:$FB,66)</f>
        <v>17950500</v>
      </c>
      <c r="E181" s="49">
        <f>VLOOKUP($A181,'Data shares'!$C:$FB,67)</f>
        <v>8572875</v>
      </c>
      <c r="F181" s="50">
        <f>VLOOKUP($A181,'Data shares'!$C:$FB,69)*100</f>
        <v>109.39000000000001</v>
      </c>
      <c r="G181" s="49">
        <f>VLOOKUP($A181,'Data shares'!$C:$FB,42)</f>
        <v>3136500</v>
      </c>
      <c r="H181" s="49">
        <f>VLOOKUP($A181,'Data shares'!$C:$FB,43)</f>
        <v>5162625</v>
      </c>
      <c r="I181" s="50">
        <f>VLOOKUP($A181,'Data shares'!$C:$FB,45)*100</f>
        <v>-39.25</v>
      </c>
      <c r="J181" s="49">
        <f>VLOOKUP($A181,'Data shares'!$C:$FB,58)</f>
        <v>9775125</v>
      </c>
      <c r="K181" s="49">
        <f>VLOOKUP($A181,'Data shares'!$C:$FB,59)</f>
        <v>2241375</v>
      </c>
      <c r="L181" s="50">
        <f>VLOOKUP($A181,'Data shares'!$C:$FB,61)*100</f>
        <v>336.12</v>
      </c>
      <c r="M181" s="49">
        <f>VLOOKUP($A181,'Data shares'!$C:$FB,62)</f>
        <v>5038875</v>
      </c>
      <c r="N181" s="49">
        <f>VLOOKUP($A181,'Data shares'!$C:$FB,63)</f>
        <v>1168875</v>
      </c>
      <c r="O181" s="140">
        <f>VLOOKUP($A181,'Data shares'!$C:$FB,65)*100</f>
        <v>331.09000000000003</v>
      </c>
    </row>
    <row r="182" spans="1:15" x14ac:dyDescent="0.25">
      <c r="A182" s="101" t="str">
        <f>'Data Vlaue (Cr)'!C177</f>
        <v>SBIN</v>
      </c>
      <c r="B182" s="50">
        <f>VLOOKUP($A182,'Data shares'!$C:$FB,7)</f>
        <v>1063.5</v>
      </c>
      <c r="C182" s="50">
        <f>VLOOKUP($A182,'Data shares'!$C:$FB,10)*100</f>
        <v>0.98</v>
      </c>
      <c r="D182" s="49">
        <f>VLOOKUP($A182,'Data shares'!$C:$FB,66)</f>
        <v>91173000</v>
      </c>
      <c r="E182" s="49">
        <f>VLOOKUP($A182,'Data shares'!$C:$FB,67)</f>
        <v>161591250</v>
      </c>
      <c r="F182" s="50">
        <f>VLOOKUP($A182,'Data shares'!$C:$FB,69)*100</f>
        <v>-43.580000000000005</v>
      </c>
      <c r="G182" s="49">
        <f>VLOOKUP($A182,'Data shares'!$C:$FB,42)</f>
        <v>15054750</v>
      </c>
      <c r="H182" s="49">
        <f>VLOOKUP($A182,'Data shares'!$C:$FB,43)</f>
        <v>39948000</v>
      </c>
      <c r="I182" s="50">
        <f>VLOOKUP($A182,'Data shares'!$C:$FB,45)*100</f>
        <v>-62.31</v>
      </c>
      <c r="J182" s="49">
        <f>VLOOKUP($A182,'Data shares'!$C:$FB,58)</f>
        <v>44938500</v>
      </c>
      <c r="K182" s="49">
        <f>VLOOKUP($A182,'Data shares'!$C:$FB,59)</f>
        <v>70049250</v>
      </c>
      <c r="L182" s="50">
        <f>VLOOKUP($A182,'Data shares'!$C:$FB,61)*100</f>
        <v>-35.85</v>
      </c>
      <c r="M182" s="49">
        <f>VLOOKUP($A182,'Data shares'!$C:$FB,62)</f>
        <v>31179750</v>
      </c>
      <c r="N182" s="49">
        <f>VLOOKUP($A182,'Data shares'!$C:$FB,63)</f>
        <v>51594000</v>
      </c>
      <c r="O182" s="140">
        <f>VLOOKUP($A182,'Data shares'!$C:$FB,65)*100</f>
        <v>-39.57</v>
      </c>
    </row>
    <row r="183" spans="1:15" x14ac:dyDescent="0.25">
      <c r="A183" s="101" t="str">
        <f>'Data Vlaue (Cr)'!C178</f>
        <v>SHREECEM</v>
      </c>
      <c r="B183" s="50">
        <f>VLOOKUP($A183,'Data shares'!$C:$FB,7)</f>
        <v>27480</v>
      </c>
      <c r="C183" s="50">
        <f>VLOOKUP($A183,'Data shares'!$C:$FB,10)*100</f>
        <v>0.96</v>
      </c>
      <c r="D183" s="49">
        <f>VLOOKUP($A183,'Data shares'!$C:$FB,66)</f>
        <v>84750</v>
      </c>
      <c r="E183" s="49">
        <f>VLOOKUP($A183,'Data shares'!$C:$FB,67)</f>
        <v>350325</v>
      </c>
      <c r="F183" s="50">
        <f>VLOOKUP($A183,'Data shares'!$C:$FB,69)*100</f>
        <v>-75.81</v>
      </c>
      <c r="G183" s="49">
        <f>VLOOKUP($A183,'Data shares'!$C:$FB,42)</f>
        <v>54275</v>
      </c>
      <c r="H183" s="49">
        <f>VLOOKUP($A183,'Data shares'!$C:$FB,43)</f>
        <v>152575</v>
      </c>
      <c r="I183" s="50">
        <f>VLOOKUP($A183,'Data shares'!$C:$FB,45)*100</f>
        <v>-64.429999999999993</v>
      </c>
      <c r="J183" s="49">
        <f>VLOOKUP($A183,'Data shares'!$C:$FB,58)</f>
        <v>15675</v>
      </c>
      <c r="K183" s="49">
        <f>VLOOKUP($A183,'Data shares'!$C:$FB,59)</f>
        <v>111150</v>
      </c>
      <c r="L183" s="50">
        <f>VLOOKUP($A183,'Data shares'!$C:$FB,61)*100</f>
        <v>-85.9</v>
      </c>
      <c r="M183" s="49">
        <f>VLOOKUP($A183,'Data shares'!$C:$FB,62)</f>
        <v>14800</v>
      </c>
      <c r="N183" s="49">
        <f>VLOOKUP($A183,'Data shares'!$C:$FB,63)</f>
        <v>86600</v>
      </c>
      <c r="O183" s="140">
        <f>VLOOKUP($A183,'Data shares'!$C:$FB,65)*100</f>
        <v>-82.91</v>
      </c>
    </row>
    <row r="184" spans="1:15" x14ac:dyDescent="0.25">
      <c r="A184" s="101" t="str">
        <f>'Data Vlaue (Cr)'!C179</f>
        <v>SHRIRAMFIN</v>
      </c>
      <c r="B184" s="50">
        <f>VLOOKUP($A184,'Data shares'!$C:$FB,7)</f>
        <v>1018.8</v>
      </c>
      <c r="C184" s="50">
        <f>VLOOKUP($A184,'Data shares'!$C:$FB,10)*100</f>
        <v>1.77</v>
      </c>
      <c r="D184" s="49">
        <f>VLOOKUP($A184,'Data shares'!$C:$FB,66)</f>
        <v>28520250</v>
      </c>
      <c r="E184" s="49">
        <f>VLOOKUP($A184,'Data shares'!$C:$FB,67)</f>
        <v>78695100</v>
      </c>
      <c r="F184" s="50">
        <f>VLOOKUP($A184,'Data shares'!$C:$FB,69)*100</f>
        <v>-63.759999999999991</v>
      </c>
      <c r="G184" s="49">
        <f>VLOOKUP($A184,'Data shares'!$C:$FB,42)</f>
        <v>6620625</v>
      </c>
      <c r="H184" s="49">
        <f>VLOOKUP($A184,'Data shares'!$C:$FB,43)</f>
        <v>26706075</v>
      </c>
      <c r="I184" s="50">
        <f>VLOOKUP($A184,'Data shares'!$C:$FB,45)*100</f>
        <v>-75.209999999999994</v>
      </c>
      <c r="J184" s="49">
        <f>VLOOKUP($A184,'Data shares'!$C:$FB,58)</f>
        <v>13428525</v>
      </c>
      <c r="K184" s="49">
        <f>VLOOKUP($A184,'Data shares'!$C:$FB,59)</f>
        <v>30336900</v>
      </c>
      <c r="L184" s="50">
        <f>VLOOKUP($A184,'Data shares'!$C:$FB,61)*100</f>
        <v>-55.74</v>
      </c>
      <c r="M184" s="49">
        <f>VLOOKUP($A184,'Data shares'!$C:$FB,62)</f>
        <v>8471100</v>
      </c>
      <c r="N184" s="49">
        <f>VLOOKUP($A184,'Data shares'!$C:$FB,63)</f>
        <v>21652125</v>
      </c>
      <c r="O184" s="140">
        <f>VLOOKUP($A184,'Data shares'!$C:$FB,65)*100</f>
        <v>-60.88</v>
      </c>
    </row>
    <row r="185" spans="1:15" x14ac:dyDescent="0.25">
      <c r="A185" s="101" t="str">
        <f>'Data Vlaue (Cr)'!C180</f>
        <v>SIEMENS</v>
      </c>
      <c r="B185" s="50">
        <f>VLOOKUP($A185,'Data shares'!$C:$FB,7)</f>
        <v>2980.8</v>
      </c>
      <c r="C185" s="50">
        <f>VLOOKUP($A185,'Data shares'!$C:$FB,10)*100</f>
        <v>3</v>
      </c>
      <c r="D185" s="49">
        <f>VLOOKUP($A185,'Data shares'!$C:$FB,66)</f>
        <v>2721250</v>
      </c>
      <c r="E185" s="49">
        <f>VLOOKUP($A185,'Data shares'!$C:$FB,67)</f>
        <v>3008600</v>
      </c>
      <c r="F185" s="50">
        <f>VLOOKUP($A185,'Data shares'!$C:$FB,69)*100</f>
        <v>-9.5500000000000007</v>
      </c>
      <c r="G185" s="49">
        <f>VLOOKUP($A185,'Data shares'!$C:$FB,42)</f>
        <v>588700</v>
      </c>
      <c r="H185" s="49">
        <f>VLOOKUP($A185,'Data shares'!$C:$FB,43)</f>
        <v>1634325</v>
      </c>
      <c r="I185" s="50">
        <f>VLOOKUP($A185,'Data shares'!$C:$FB,45)*100</f>
        <v>-63.980000000000004</v>
      </c>
      <c r="J185" s="49">
        <f>VLOOKUP($A185,'Data shares'!$C:$FB,58)</f>
        <v>1667750</v>
      </c>
      <c r="K185" s="49">
        <f>VLOOKUP($A185,'Data shares'!$C:$FB,59)</f>
        <v>865900</v>
      </c>
      <c r="L185" s="50">
        <f>VLOOKUP($A185,'Data shares'!$C:$FB,61)*100</f>
        <v>92.600000000000009</v>
      </c>
      <c r="M185" s="49">
        <f>VLOOKUP($A185,'Data shares'!$C:$FB,62)</f>
        <v>464800</v>
      </c>
      <c r="N185" s="49">
        <f>VLOOKUP($A185,'Data shares'!$C:$FB,63)</f>
        <v>508375</v>
      </c>
      <c r="O185" s="140">
        <f>VLOOKUP($A185,'Data shares'!$C:$FB,65)*100</f>
        <v>-8.57</v>
      </c>
    </row>
    <row r="186" spans="1:15" x14ac:dyDescent="0.25">
      <c r="A186" s="101" t="str">
        <f>'Data Vlaue (Cr)'!C181</f>
        <v>SOLARINDS</v>
      </c>
      <c r="B186" s="50">
        <f>VLOOKUP($A186,'Data shares'!$C:$FB,7)</f>
        <v>13916</v>
      </c>
      <c r="C186" s="50">
        <f>VLOOKUP($A186,'Data shares'!$C:$FB,10)*100</f>
        <v>9.01</v>
      </c>
      <c r="D186" s="49">
        <f>VLOOKUP($A186,'Data shares'!$C:$FB,66)</f>
        <v>1992650</v>
      </c>
      <c r="E186" s="49">
        <f>VLOOKUP($A186,'Data shares'!$C:$FB,67)</f>
        <v>1400750</v>
      </c>
      <c r="F186" s="50">
        <f>VLOOKUP($A186,'Data shares'!$C:$FB,69)*100</f>
        <v>42.26</v>
      </c>
      <c r="G186" s="49">
        <f>VLOOKUP($A186,'Data shares'!$C:$FB,42)</f>
        <v>385050</v>
      </c>
      <c r="H186" s="49">
        <f>VLOOKUP($A186,'Data shares'!$C:$FB,43)</f>
        <v>781900</v>
      </c>
      <c r="I186" s="50">
        <f>VLOOKUP($A186,'Data shares'!$C:$FB,45)*100</f>
        <v>-50.749999999999993</v>
      </c>
      <c r="J186" s="49">
        <f>VLOOKUP($A186,'Data shares'!$C:$FB,58)</f>
        <v>1368000</v>
      </c>
      <c r="K186" s="49">
        <f>VLOOKUP($A186,'Data shares'!$C:$FB,59)</f>
        <v>392700</v>
      </c>
      <c r="L186" s="50">
        <f>VLOOKUP($A186,'Data shares'!$C:$FB,61)*100</f>
        <v>248.36</v>
      </c>
      <c r="M186" s="49">
        <f>VLOOKUP($A186,'Data shares'!$C:$FB,62)</f>
        <v>239600</v>
      </c>
      <c r="N186" s="49">
        <f>VLOOKUP($A186,'Data shares'!$C:$FB,63)</f>
        <v>226150</v>
      </c>
      <c r="O186" s="140">
        <f>VLOOKUP($A186,'Data shares'!$C:$FB,65)*100</f>
        <v>5.9499999999999993</v>
      </c>
    </row>
    <row r="187" spans="1:15" x14ac:dyDescent="0.25">
      <c r="A187" s="101" t="str">
        <f>'Data Vlaue (Cr)'!C182</f>
        <v>SONACOMS</v>
      </c>
      <c r="B187" s="50">
        <f>VLOOKUP($A187,'Data shares'!$C:$FB,7)</f>
        <v>494.1</v>
      </c>
      <c r="C187" s="50">
        <f>VLOOKUP($A187,'Data shares'!$C:$FB,10)*100</f>
        <v>1.29</v>
      </c>
      <c r="D187" s="49">
        <f>VLOOKUP($A187,'Data shares'!$C:$FB,66)</f>
        <v>12727750</v>
      </c>
      <c r="E187" s="49">
        <f>VLOOKUP($A187,'Data shares'!$C:$FB,67)</f>
        <v>58482725</v>
      </c>
      <c r="F187" s="50">
        <f>VLOOKUP($A187,'Data shares'!$C:$FB,69)*100</f>
        <v>-78.239999999999995</v>
      </c>
      <c r="G187" s="49">
        <f>VLOOKUP($A187,'Data shares'!$C:$FB,42)</f>
        <v>3052700</v>
      </c>
      <c r="H187" s="49">
        <f>VLOOKUP($A187,'Data shares'!$C:$FB,43)</f>
        <v>17768625</v>
      </c>
      <c r="I187" s="50">
        <f>VLOOKUP($A187,'Data shares'!$C:$FB,45)*100</f>
        <v>-82.820000000000007</v>
      </c>
      <c r="J187" s="49">
        <f>VLOOKUP($A187,'Data shares'!$C:$FB,58)</f>
        <v>7239750</v>
      </c>
      <c r="K187" s="49">
        <f>VLOOKUP($A187,'Data shares'!$C:$FB,59)</f>
        <v>32180750</v>
      </c>
      <c r="L187" s="50">
        <f>VLOOKUP($A187,'Data shares'!$C:$FB,61)*100</f>
        <v>-77.5</v>
      </c>
      <c r="M187" s="49">
        <f>VLOOKUP($A187,'Data shares'!$C:$FB,62)</f>
        <v>2435300</v>
      </c>
      <c r="N187" s="49">
        <f>VLOOKUP($A187,'Data shares'!$C:$FB,63)</f>
        <v>8533350</v>
      </c>
      <c r="O187" s="140">
        <f>VLOOKUP($A187,'Data shares'!$C:$FB,65)*100</f>
        <v>-71.460000000000008</v>
      </c>
    </row>
    <row r="188" spans="1:15" x14ac:dyDescent="0.25">
      <c r="A188" s="101" t="str">
        <f>'Data Vlaue (Cr)'!C183</f>
        <v>SRF</v>
      </c>
      <c r="B188" s="50">
        <f>VLOOKUP($A188,'Data shares'!$C:$FB,7)</f>
        <v>2817</v>
      </c>
      <c r="C188" s="50">
        <f>VLOOKUP($A188,'Data shares'!$C:$FB,10)*100</f>
        <v>5.0299999999999994</v>
      </c>
      <c r="D188" s="49">
        <f>VLOOKUP($A188,'Data shares'!$C:$FB,66)</f>
        <v>4452600</v>
      </c>
      <c r="E188" s="49">
        <f>VLOOKUP($A188,'Data shares'!$C:$FB,67)</f>
        <v>5731400</v>
      </c>
      <c r="F188" s="50">
        <f>VLOOKUP($A188,'Data shares'!$C:$FB,69)*100</f>
        <v>-22.31</v>
      </c>
      <c r="G188" s="49">
        <f>VLOOKUP($A188,'Data shares'!$C:$FB,42)</f>
        <v>1444400</v>
      </c>
      <c r="H188" s="49">
        <f>VLOOKUP($A188,'Data shares'!$C:$FB,43)</f>
        <v>3137200</v>
      </c>
      <c r="I188" s="50">
        <f>VLOOKUP($A188,'Data shares'!$C:$FB,45)*100</f>
        <v>-53.959999999999994</v>
      </c>
      <c r="J188" s="49">
        <f>VLOOKUP($A188,'Data shares'!$C:$FB,58)</f>
        <v>2206200</v>
      </c>
      <c r="K188" s="49">
        <f>VLOOKUP($A188,'Data shares'!$C:$FB,59)</f>
        <v>1740600</v>
      </c>
      <c r="L188" s="50">
        <f>VLOOKUP($A188,'Data shares'!$C:$FB,61)*100</f>
        <v>26.75</v>
      </c>
      <c r="M188" s="49">
        <f>VLOOKUP($A188,'Data shares'!$C:$FB,62)</f>
        <v>802000</v>
      </c>
      <c r="N188" s="49">
        <f>VLOOKUP($A188,'Data shares'!$C:$FB,63)</f>
        <v>853600</v>
      </c>
      <c r="O188" s="140">
        <f>VLOOKUP($A188,'Data shares'!$C:$FB,65)*100</f>
        <v>-6.04</v>
      </c>
    </row>
    <row r="189" spans="1:15" x14ac:dyDescent="0.25">
      <c r="A189" s="101" t="str">
        <f>'Data Vlaue (Cr)'!C184</f>
        <v>SUNPHARMA</v>
      </c>
      <c r="B189" s="50">
        <f>VLOOKUP($A189,'Data shares'!$C:$FB,7)</f>
        <v>1610.6</v>
      </c>
      <c r="C189" s="50">
        <f>VLOOKUP($A189,'Data shares'!$C:$FB,10)*100</f>
        <v>-1.73</v>
      </c>
      <c r="D189" s="49">
        <f>VLOOKUP($A189,'Data shares'!$C:$FB,66)</f>
        <v>8689450</v>
      </c>
      <c r="E189" s="49">
        <f>VLOOKUP($A189,'Data shares'!$C:$FB,67)</f>
        <v>20239800</v>
      </c>
      <c r="F189" s="50">
        <f>VLOOKUP($A189,'Data shares'!$C:$FB,69)*100</f>
        <v>-57.07</v>
      </c>
      <c r="G189" s="49">
        <f>VLOOKUP($A189,'Data shares'!$C:$FB,42)</f>
        <v>2064650</v>
      </c>
      <c r="H189" s="49">
        <f>VLOOKUP($A189,'Data shares'!$C:$FB,43)</f>
        <v>10101350</v>
      </c>
      <c r="I189" s="50">
        <f>VLOOKUP($A189,'Data shares'!$C:$FB,45)*100</f>
        <v>-79.56</v>
      </c>
      <c r="J189" s="49">
        <f>VLOOKUP($A189,'Data shares'!$C:$FB,58)</f>
        <v>4257050</v>
      </c>
      <c r="K189" s="49">
        <f>VLOOKUP($A189,'Data shares'!$C:$FB,59)</f>
        <v>5162500</v>
      </c>
      <c r="L189" s="50">
        <f>VLOOKUP($A189,'Data shares'!$C:$FB,61)*100</f>
        <v>-17.54</v>
      </c>
      <c r="M189" s="49">
        <f>VLOOKUP($A189,'Data shares'!$C:$FB,62)</f>
        <v>2367750</v>
      </c>
      <c r="N189" s="49">
        <f>VLOOKUP($A189,'Data shares'!$C:$FB,63)</f>
        <v>4975950</v>
      </c>
      <c r="O189" s="140">
        <f>VLOOKUP($A189,'Data shares'!$C:$FB,65)*100</f>
        <v>-52.42</v>
      </c>
    </row>
    <row r="190" spans="1:15" x14ac:dyDescent="0.25">
      <c r="A190" s="101" t="str">
        <f>'Data Vlaue (Cr)'!C185</f>
        <v>SUPREMEIND</v>
      </c>
      <c r="B190" s="50">
        <f>VLOOKUP($A190,'Data shares'!$C:$FB,7)</f>
        <v>3512.9</v>
      </c>
      <c r="C190" s="50">
        <f>VLOOKUP($A190,'Data shares'!$C:$FB,10)*100</f>
        <v>1.9900000000000002</v>
      </c>
      <c r="D190" s="49">
        <f>VLOOKUP($A190,'Data shares'!$C:$FB,66)</f>
        <v>829325</v>
      </c>
      <c r="E190" s="49">
        <f>VLOOKUP($A190,'Data shares'!$C:$FB,67)</f>
        <v>2221100</v>
      </c>
      <c r="F190" s="50">
        <f>VLOOKUP($A190,'Data shares'!$C:$FB,69)*100</f>
        <v>-62.660000000000004</v>
      </c>
      <c r="G190" s="49">
        <f>VLOOKUP($A190,'Data shares'!$C:$FB,42)</f>
        <v>312200</v>
      </c>
      <c r="H190" s="49">
        <f>VLOOKUP($A190,'Data shares'!$C:$FB,43)</f>
        <v>1107050</v>
      </c>
      <c r="I190" s="50">
        <f>VLOOKUP($A190,'Data shares'!$C:$FB,45)*100</f>
        <v>-71.8</v>
      </c>
      <c r="J190" s="49">
        <f>VLOOKUP($A190,'Data shares'!$C:$FB,58)</f>
        <v>426125</v>
      </c>
      <c r="K190" s="49">
        <f>VLOOKUP($A190,'Data shares'!$C:$FB,59)</f>
        <v>584150</v>
      </c>
      <c r="L190" s="50">
        <f>VLOOKUP($A190,'Data shares'!$C:$FB,61)*100</f>
        <v>-27.05</v>
      </c>
      <c r="M190" s="49">
        <f>VLOOKUP($A190,'Data shares'!$C:$FB,62)</f>
        <v>91000</v>
      </c>
      <c r="N190" s="49">
        <f>VLOOKUP($A190,'Data shares'!$C:$FB,63)</f>
        <v>529900</v>
      </c>
      <c r="O190" s="140">
        <f>VLOOKUP($A190,'Data shares'!$C:$FB,65)*100</f>
        <v>-82.83</v>
      </c>
    </row>
    <row r="191" spans="1:15" x14ac:dyDescent="0.25">
      <c r="A191" s="101" t="str">
        <f>'Data Vlaue (Cr)'!C186</f>
        <v>SUZLON</v>
      </c>
      <c r="B191" s="50">
        <f>VLOOKUP($A191,'Data shares'!$C:$FB,7)</f>
        <v>47.8</v>
      </c>
      <c r="C191" s="50">
        <f>VLOOKUP($A191,'Data shares'!$C:$FB,10)*100</f>
        <v>4.3900000000000006</v>
      </c>
      <c r="D191" s="49">
        <f>VLOOKUP($A191,'Data shares'!$C:$FB,66)</f>
        <v>218693800</v>
      </c>
      <c r="E191" s="49">
        <f>VLOOKUP($A191,'Data shares'!$C:$FB,67)</f>
        <v>513964725</v>
      </c>
      <c r="F191" s="50">
        <f>VLOOKUP($A191,'Data shares'!$C:$FB,69)*100</f>
        <v>-57.45</v>
      </c>
      <c r="G191" s="49">
        <f>VLOOKUP($A191,'Data shares'!$C:$FB,42)</f>
        <v>55467650</v>
      </c>
      <c r="H191" s="49">
        <f>VLOOKUP($A191,'Data shares'!$C:$FB,43)</f>
        <v>336632500</v>
      </c>
      <c r="I191" s="50">
        <f>VLOOKUP($A191,'Data shares'!$C:$FB,45)*100</f>
        <v>-83.52000000000001</v>
      </c>
      <c r="J191" s="49">
        <f>VLOOKUP($A191,'Data shares'!$C:$FB,58)</f>
        <v>122451200</v>
      </c>
      <c r="K191" s="49">
        <f>VLOOKUP($A191,'Data shares'!$C:$FB,59)</f>
        <v>102668400</v>
      </c>
      <c r="L191" s="50">
        <f>VLOOKUP($A191,'Data shares'!$C:$FB,61)*100</f>
        <v>19.27</v>
      </c>
      <c r="M191" s="49">
        <f>VLOOKUP($A191,'Data shares'!$C:$FB,62)</f>
        <v>40774950</v>
      </c>
      <c r="N191" s="49">
        <f>VLOOKUP($A191,'Data shares'!$C:$FB,63)</f>
        <v>74663825</v>
      </c>
      <c r="O191" s="140">
        <f>VLOOKUP($A191,'Data shares'!$C:$FB,65)*100</f>
        <v>-45.39</v>
      </c>
    </row>
    <row r="192" spans="1:15" x14ac:dyDescent="0.25">
      <c r="A192" s="101" t="str">
        <f>'Data Vlaue (Cr)'!C187</f>
        <v>SWIGGY</v>
      </c>
      <c r="B192" s="50">
        <f>VLOOKUP($A192,'Data shares'!$C:$FB,7)</f>
        <v>323.5</v>
      </c>
      <c r="C192" s="50">
        <f>VLOOKUP($A192,'Data shares'!$C:$FB,10)*100</f>
        <v>3.5999999999999996</v>
      </c>
      <c r="D192" s="49">
        <f>VLOOKUP($A192,'Data shares'!$C:$FB,66)</f>
        <v>19427200</v>
      </c>
      <c r="E192" s="49">
        <f>VLOOKUP($A192,'Data shares'!$C:$FB,67)</f>
        <v>33679100</v>
      </c>
      <c r="F192" s="50">
        <f>VLOOKUP($A192,'Data shares'!$C:$FB,69)*100</f>
        <v>-42.32</v>
      </c>
      <c r="G192" s="49">
        <f>VLOOKUP($A192,'Data shares'!$C:$FB,42)</f>
        <v>10036000</v>
      </c>
      <c r="H192" s="49">
        <f>VLOOKUP($A192,'Data shares'!$C:$FB,43)</f>
        <v>20519200</v>
      </c>
      <c r="I192" s="50">
        <f>VLOOKUP($A192,'Data shares'!$C:$FB,45)*100</f>
        <v>-51.09</v>
      </c>
      <c r="J192" s="49">
        <f>VLOOKUP($A192,'Data shares'!$C:$FB,58)</f>
        <v>5831800</v>
      </c>
      <c r="K192" s="49">
        <f>VLOOKUP($A192,'Data shares'!$C:$FB,59)</f>
        <v>5561400</v>
      </c>
      <c r="L192" s="50">
        <f>VLOOKUP($A192,'Data shares'!$C:$FB,61)*100</f>
        <v>4.8599999999999994</v>
      </c>
      <c r="M192" s="49">
        <f>VLOOKUP($A192,'Data shares'!$C:$FB,62)</f>
        <v>3559400</v>
      </c>
      <c r="N192" s="49">
        <f>VLOOKUP($A192,'Data shares'!$C:$FB,63)</f>
        <v>7598500</v>
      </c>
      <c r="O192" s="140">
        <f>VLOOKUP($A192,'Data shares'!$C:$FB,65)*100</f>
        <v>-53.16</v>
      </c>
    </row>
    <row r="193" spans="1:15" x14ac:dyDescent="0.25">
      <c r="A193" s="101" t="str">
        <f>'Data Vlaue (Cr)'!C188</f>
        <v>SYNGENE</v>
      </c>
      <c r="B193" s="50">
        <f>VLOOKUP($A193,'Data shares'!$C:$FB,7)</f>
        <v>480.3</v>
      </c>
      <c r="C193" s="50">
        <f>VLOOKUP($A193,'Data shares'!$C:$FB,10)*100</f>
        <v>-1.92</v>
      </c>
      <c r="D193" s="49">
        <f>VLOOKUP($A193,'Data shares'!$C:$FB,66)</f>
        <v>17521000</v>
      </c>
      <c r="E193" s="49">
        <f>VLOOKUP($A193,'Data shares'!$C:$FB,67)</f>
        <v>66740000</v>
      </c>
      <c r="F193" s="50">
        <f>VLOOKUP($A193,'Data shares'!$C:$FB,69)*100</f>
        <v>-73.75</v>
      </c>
      <c r="G193" s="49">
        <f>VLOOKUP($A193,'Data shares'!$C:$FB,42)</f>
        <v>3119000</v>
      </c>
      <c r="H193" s="49">
        <f>VLOOKUP($A193,'Data shares'!$C:$FB,43)</f>
        <v>15074000</v>
      </c>
      <c r="I193" s="50">
        <f>VLOOKUP($A193,'Data shares'!$C:$FB,45)*100</f>
        <v>-79.31</v>
      </c>
      <c r="J193" s="49">
        <f>VLOOKUP($A193,'Data shares'!$C:$FB,58)</f>
        <v>7194000</v>
      </c>
      <c r="K193" s="49">
        <f>VLOOKUP($A193,'Data shares'!$C:$FB,59)</f>
        <v>19438000</v>
      </c>
      <c r="L193" s="50">
        <f>VLOOKUP($A193,'Data shares'!$C:$FB,61)*100</f>
        <v>-62.99</v>
      </c>
      <c r="M193" s="49">
        <f>VLOOKUP($A193,'Data shares'!$C:$FB,62)</f>
        <v>7208000</v>
      </c>
      <c r="N193" s="49">
        <f>VLOOKUP($A193,'Data shares'!$C:$FB,63)</f>
        <v>32228000</v>
      </c>
      <c r="O193" s="140">
        <f>VLOOKUP($A193,'Data shares'!$C:$FB,65)*100</f>
        <v>-77.63</v>
      </c>
    </row>
    <row r="194" spans="1:15" x14ac:dyDescent="0.25">
      <c r="A194" s="101" t="str">
        <f>'Data Vlaue (Cr)'!C189</f>
        <v>TATACONSUM</v>
      </c>
      <c r="B194" s="50">
        <f>VLOOKUP($A194,'Data shares'!$C:$FB,7)</f>
        <v>1131.8</v>
      </c>
      <c r="C194" s="50">
        <f>VLOOKUP($A194,'Data shares'!$C:$FB,10)*100</f>
        <v>-4.68</v>
      </c>
      <c r="D194" s="49">
        <f>VLOOKUP($A194,'Data shares'!$C:$FB,66)</f>
        <v>40784700</v>
      </c>
      <c r="E194" s="49">
        <f>VLOOKUP($A194,'Data shares'!$C:$FB,67)</f>
        <v>30852250</v>
      </c>
      <c r="F194" s="50">
        <f>VLOOKUP($A194,'Data shares'!$C:$FB,69)*100</f>
        <v>32.190000000000005</v>
      </c>
      <c r="G194" s="49">
        <f>VLOOKUP($A194,'Data shares'!$C:$FB,42)</f>
        <v>6672600</v>
      </c>
      <c r="H194" s="49">
        <f>VLOOKUP($A194,'Data shares'!$C:$FB,43)</f>
        <v>10373000</v>
      </c>
      <c r="I194" s="50">
        <f>VLOOKUP($A194,'Data shares'!$C:$FB,45)*100</f>
        <v>-35.67</v>
      </c>
      <c r="J194" s="49">
        <f>VLOOKUP($A194,'Data shares'!$C:$FB,58)</f>
        <v>19178500</v>
      </c>
      <c r="K194" s="49">
        <f>VLOOKUP($A194,'Data shares'!$C:$FB,59)</f>
        <v>14808750</v>
      </c>
      <c r="L194" s="50">
        <f>VLOOKUP($A194,'Data shares'!$C:$FB,61)*100</f>
        <v>29.509999999999998</v>
      </c>
      <c r="M194" s="49">
        <f>VLOOKUP($A194,'Data shares'!$C:$FB,62)</f>
        <v>14933600</v>
      </c>
      <c r="N194" s="49">
        <f>VLOOKUP($A194,'Data shares'!$C:$FB,63)</f>
        <v>5670500</v>
      </c>
      <c r="O194" s="140">
        <f>VLOOKUP($A194,'Data shares'!$C:$FB,65)*100</f>
        <v>163.35999999999999</v>
      </c>
    </row>
    <row r="195" spans="1:15" x14ac:dyDescent="0.25">
      <c r="A195" s="101" t="str">
        <f>'Data Vlaue (Cr)'!C190</f>
        <v>TATAELXSI</v>
      </c>
      <c r="B195" s="50">
        <f>VLOOKUP($A195,'Data shares'!$C:$FB,7)</f>
        <v>5391</v>
      </c>
      <c r="C195" s="50">
        <f>VLOOKUP($A195,'Data shares'!$C:$FB,10)*100</f>
        <v>-0.44</v>
      </c>
      <c r="D195" s="49">
        <f>VLOOKUP($A195,'Data shares'!$C:$FB,66)</f>
        <v>911700</v>
      </c>
      <c r="E195" s="49">
        <f>VLOOKUP($A195,'Data shares'!$C:$FB,67)</f>
        <v>2821000</v>
      </c>
      <c r="F195" s="50">
        <f>VLOOKUP($A195,'Data shares'!$C:$FB,69)*100</f>
        <v>-67.679999999999993</v>
      </c>
      <c r="G195" s="49">
        <f>VLOOKUP($A195,'Data shares'!$C:$FB,42)</f>
        <v>166600</v>
      </c>
      <c r="H195" s="49">
        <f>VLOOKUP($A195,'Data shares'!$C:$FB,43)</f>
        <v>742100</v>
      </c>
      <c r="I195" s="50">
        <f>VLOOKUP($A195,'Data shares'!$C:$FB,45)*100</f>
        <v>-77.55</v>
      </c>
      <c r="J195" s="49">
        <f>VLOOKUP($A195,'Data shares'!$C:$FB,58)</f>
        <v>525100</v>
      </c>
      <c r="K195" s="49">
        <f>VLOOKUP($A195,'Data shares'!$C:$FB,59)</f>
        <v>1386600</v>
      </c>
      <c r="L195" s="50">
        <f>VLOOKUP($A195,'Data shares'!$C:$FB,61)*100</f>
        <v>-62.129999999999995</v>
      </c>
      <c r="M195" s="49">
        <f>VLOOKUP($A195,'Data shares'!$C:$FB,62)</f>
        <v>220000</v>
      </c>
      <c r="N195" s="49">
        <f>VLOOKUP($A195,'Data shares'!$C:$FB,63)</f>
        <v>692300</v>
      </c>
      <c r="O195" s="140">
        <f>VLOOKUP($A195,'Data shares'!$C:$FB,65)*100</f>
        <v>-68.22</v>
      </c>
    </row>
    <row r="196" spans="1:15" x14ac:dyDescent="0.25">
      <c r="A196" s="101" t="str">
        <f>'Data Vlaue (Cr)'!C191</f>
        <v>TATAPOWER</v>
      </c>
      <c r="B196" s="50">
        <f>VLOOKUP($A196,'Data shares'!$C:$FB,7)</f>
        <v>355.05</v>
      </c>
      <c r="C196" s="50">
        <f>VLOOKUP($A196,'Data shares'!$C:$FB,10)*100</f>
        <v>2.1</v>
      </c>
      <c r="D196" s="49">
        <f>VLOOKUP($A196,'Data shares'!$C:$FB,66)</f>
        <v>34624550</v>
      </c>
      <c r="E196" s="49">
        <f>VLOOKUP($A196,'Data shares'!$C:$FB,67)</f>
        <v>103226950</v>
      </c>
      <c r="F196" s="50">
        <f>VLOOKUP($A196,'Data shares'!$C:$FB,69)*100</f>
        <v>-66.459999999999994</v>
      </c>
      <c r="G196" s="49">
        <f>VLOOKUP($A196,'Data shares'!$C:$FB,42)</f>
        <v>7012200</v>
      </c>
      <c r="H196" s="49">
        <f>VLOOKUP($A196,'Data shares'!$C:$FB,43)</f>
        <v>49344950</v>
      </c>
      <c r="I196" s="50">
        <f>VLOOKUP($A196,'Data shares'!$C:$FB,45)*100</f>
        <v>-85.79</v>
      </c>
      <c r="J196" s="49">
        <f>VLOOKUP($A196,'Data shares'!$C:$FB,58)</f>
        <v>19187850</v>
      </c>
      <c r="K196" s="49">
        <f>VLOOKUP($A196,'Data shares'!$C:$FB,59)</f>
        <v>28807150</v>
      </c>
      <c r="L196" s="50">
        <f>VLOOKUP($A196,'Data shares'!$C:$FB,61)*100</f>
        <v>-33.39</v>
      </c>
      <c r="M196" s="49">
        <f>VLOOKUP($A196,'Data shares'!$C:$FB,62)</f>
        <v>8424500</v>
      </c>
      <c r="N196" s="49">
        <f>VLOOKUP($A196,'Data shares'!$C:$FB,63)</f>
        <v>25074850</v>
      </c>
      <c r="O196" s="140">
        <f>VLOOKUP($A196,'Data shares'!$C:$FB,65)*100</f>
        <v>-66.400000000000006</v>
      </c>
    </row>
    <row r="197" spans="1:15" x14ac:dyDescent="0.25">
      <c r="A197" s="101" t="str">
        <f>'Data Vlaue (Cr)'!C192</f>
        <v>TATASTEEL</v>
      </c>
      <c r="B197" s="50">
        <f>VLOOKUP($A197,'Data shares'!$C:$FB,7)</f>
        <v>193.85</v>
      </c>
      <c r="C197" s="50">
        <f>VLOOKUP($A197,'Data shares'!$C:$FB,10)*100</f>
        <v>0.82000000000000006</v>
      </c>
      <c r="D197" s="49">
        <f>VLOOKUP($A197,'Data shares'!$C:$FB,66)</f>
        <v>280918000</v>
      </c>
      <c r="E197" s="49">
        <f>VLOOKUP($A197,'Data shares'!$C:$FB,67)</f>
        <v>482592000</v>
      </c>
      <c r="F197" s="50">
        <f>VLOOKUP($A197,'Data shares'!$C:$FB,69)*100</f>
        <v>-41.79</v>
      </c>
      <c r="G197" s="49">
        <f>VLOOKUP($A197,'Data shares'!$C:$FB,42)</f>
        <v>49384500</v>
      </c>
      <c r="H197" s="49">
        <f>VLOOKUP($A197,'Data shares'!$C:$FB,43)</f>
        <v>157509000</v>
      </c>
      <c r="I197" s="50">
        <f>VLOOKUP($A197,'Data shares'!$C:$FB,45)*100</f>
        <v>-68.650000000000006</v>
      </c>
      <c r="J197" s="49">
        <f>VLOOKUP($A197,'Data shares'!$C:$FB,58)</f>
        <v>152366500</v>
      </c>
      <c r="K197" s="49">
        <f>VLOOKUP($A197,'Data shares'!$C:$FB,59)</f>
        <v>209176000</v>
      </c>
      <c r="L197" s="50">
        <f>VLOOKUP($A197,'Data shares'!$C:$FB,61)*100</f>
        <v>-27.16</v>
      </c>
      <c r="M197" s="49">
        <f>VLOOKUP($A197,'Data shares'!$C:$FB,62)</f>
        <v>79167000</v>
      </c>
      <c r="N197" s="49">
        <f>VLOOKUP($A197,'Data shares'!$C:$FB,63)</f>
        <v>115907000</v>
      </c>
      <c r="O197" s="140">
        <f>VLOOKUP($A197,'Data shares'!$C:$FB,65)*100</f>
        <v>-31.7</v>
      </c>
    </row>
    <row r="198" spans="1:15" x14ac:dyDescent="0.25">
      <c r="A198" s="101" t="str">
        <f>'Data Vlaue (Cr)'!C193</f>
        <v>TATATECH</v>
      </c>
      <c r="B198" s="50">
        <f>VLOOKUP($A198,'Data shares'!$C:$FB,7)</f>
        <v>660.65</v>
      </c>
      <c r="C198" s="50">
        <f>VLOOKUP($A198,'Data shares'!$C:$FB,10)*100</f>
        <v>1.4200000000000002</v>
      </c>
      <c r="D198" s="49">
        <f>VLOOKUP($A198,'Data shares'!$C:$FB,66)</f>
        <v>4139200</v>
      </c>
      <c r="E198" s="49">
        <f>VLOOKUP($A198,'Data shares'!$C:$FB,67)</f>
        <v>16584800</v>
      </c>
      <c r="F198" s="50">
        <f>VLOOKUP($A198,'Data shares'!$C:$FB,69)*100</f>
        <v>-75.039999999999992</v>
      </c>
      <c r="G198" s="49">
        <f>VLOOKUP($A198,'Data shares'!$C:$FB,42)</f>
        <v>1411200</v>
      </c>
      <c r="H198" s="49">
        <f>VLOOKUP($A198,'Data shares'!$C:$FB,43)</f>
        <v>9188000</v>
      </c>
      <c r="I198" s="50">
        <f>VLOOKUP($A198,'Data shares'!$C:$FB,45)*100</f>
        <v>-84.64</v>
      </c>
      <c r="J198" s="49">
        <f>VLOOKUP($A198,'Data shares'!$C:$FB,58)</f>
        <v>1880000</v>
      </c>
      <c r="K198" s="49">
        <f>VLOOKUP($A198,'Data shares'!$C:$FB,59)</f>
        <v>4988800</v>
      </c>
      <c r="L198" s="50">
        <f>VLOOKUP($A198,'Data shares'!$C:$FB,61)*100</f>
        <v>-62.32</v>
      </c>
      <c r="M198" s="49">
        <f>VLOOKUP($A198,'Data shares'!$C:$FB,62)</f>
        <v>848000</v>
      </c>
      <c r="N198" s="49">
        <f>VLOOKUP($A198,'Data shares'!$C:$FB,63)</f>
        <v>2408000</v>
      </c>
      <c r="O198" s="140">
        <f>VLOOKUP($A198,'Data shares'!$C:$FB,65)*100</f>
        <v>-64.78</v>
      </c>
    </row>
    <row r="199" spans="1:15" x14ac:dyDescent="0.25">
      <c r="A199" s="101" t="str">
        <f>'Data Vlaue (Cr)'!C194</f>
        <v>TCS</v>
      </c>
      <c r="B199" s="50">
        <f>VLOOKUP($A199,'Data shares'!$C:$FB,7)</f>
        <v>3200.1</v>
      </c>
      <c r="C199" s="50">
        <f>VLOOKUP($A199,'Data shares'!$C:$FB,10)*100</f>
        <v>1.3299999999999998</v>
      </c>
      <c r="D199" s="49">
        <f>VLOOKUP($A199,'Data shares'!$C:$FB,66)</f>
        <v>12786025</v>
      </c>
      <c r="E199" s="49">
        <f>VLOOKUP($A199,'Data shares'!$C:$FB,67)</f>
        <v>28970550</v>
      </c>
      <c r="F199" s="50">
        <f>VLOOKUP($A199,'Data shares'!$C:$FB,69)*100</f>
        <v>-55.87</v>
      </c>
      <c r="G199" s="49">
        <f>VLOOKUP($A199,'Data shares'!$C:$FB,42)</f>
        <v>2650200</v>
      </c>
      <c r="H199" s="49">
        <f>VLOOKUP($A199,'Data shares'!$C:$FB,43)</f>
        <v>11342975</v>
      </c>
      <c r="I199" s="50">
        <f>VLOOKUP($A199,'Data shares'!$C:$FB,45)*100</f>
        <v>-76.64</v>
      </c>
      <c r="J199" s="49">
        <f>VLOOKUP($A199,'Data shares'!$C:$FB,58)</f>
        <v>6290550</v>
      </c>
      <c r="K199" s="49">
        <f>VLOOKUP($A199,'Data shares'!$C:$FB,59)</f>
        <v>9744700</v>
      </c>
      <c r="L199" s="50">
        <f>VLOOKUP($A199,'Data shares'!$C:$FB,61)*100</f>
        <v>-35.449999999999996</v>
      </c>
      <c r="M199" s="49">
        <f>VLOOKUP($A199,'Data shares'!$C:$FB,62)</f>
        <v>3845275</v>
      </c>
      <c r="N199" s="49">
        <f>VLOOKUP($A199,'Data shares'!$C:$FB,63)</f>
        <v>7882875</v>
      </c>
      <c r="O199" s="140">
        <f>VLOOKUP($A199,'Data shares'!$C:$FB,65)*100</f>
        <v>-51.22</v>
      </c>
    </row>
    <row r="200" spans="1:15" x14ac:dyDescent="0.25">
      <c r="A200" s="101" t="str">
        <f>'Data Vlaue (Cr)'!C195</f>
        <v>TECHM</v>
      </c>
      <c r="B200" s="50">
        <f>VLOOKUP($A200,'Data shares'!$C:$FB,7)</f>
        <v>1762.9</v>
      </c>
      <c r="C200" s="50">
        <f>VLOOKUP($A200,'Data shares'!$C:$FB,10)*100</f>
        <v>1.02</v>
      </c>
      <c r="D200" s="49">
        <f>VLOOKUP($A200,'Data shares'!$C:$FB,66)</f>
        <v>15864600</v>
      </c>
      <c r="E200" s="49">
        <f>VLOOKUP($A200,'Data shares'!$C:$FB,67)</f>
        <v>26346600</v>
      </c>
      <c r="F200" s="50">
        <f>VLOOKUP($A200,'Data shares'!$C:$FB,69)*100</f>
        <v>-39.79</v>
      </c>
      <c r="G200" s="49">
        <f>VLOOKUP($A200,'Data shares'!$C:$FB,42)</f>
        <v>3307800</v>
      </c>
      <c r="H200" s="49">
        <f>VLOOKUP($A200,'Data shares'!$C:$FB,43)</f>
        <v>7720800</v>
      </c>
      <c r="I200" s="50">
        <f>VLOOKUP($A200,'Data shares'!$C:$FB,45)*100</f>
        <v>-57.16</v>
      </c>
      <c r="J200" s="49">
        <f>VLOOKUP($A200,'Data shares'!$C:$FB,58)</f>
        <v>8125800</v>
      </c>
      <c r="K200" s="49">
        <f>VLOOKUP($A200,'Data shares'!$C:$FB,59)</f>
        <v>12825000</v>
      </c>
      <c r="L200" s="50">
        <f>VLOOKUP($A200,'Data shares'!$C:$FB,61)*100</f>
        <v>-36.64</v>
      </c>
      <c r="M200" s="49">
        <f>VLOOKUP($A200,'Data shares'!$C:$FB,62)</f>
        <v>4431000</v>
      </c>
      <c r="N200" s="49">
        <f>VLOOKUP($A200,'Data shares'!$C:$FB,63)</f>
        <v>5800800</v>
      </c>
      <c r="O200" s="140">
        <f>VLOOKUP($A200,'Data shares'!$C:$FB,65)*100</f>
        <v>-23.61</v>
      </c>
    </row>
    <row r="201" spans="1:15" x14ac:dyDescent="0.25">
      <c r="A201" s="101" t="str">
        <f>'Data Vlaue (Cr)'!C196</f>
        <v>TIINDIA</v>
      </c>
      <c r="B201" s="50">
        <f>VLOOKUP($A201,'Data shares'!$C:$FB,7)</f>
        <v>2280.6999999999998</v>
      </c>
      <c r="C201" s="50">
        <f>VLOOKUP($A201,'Data shares'!$C:$FB,10)*100</f>
        <v>4.17</v>
      </c>
      <c r="D201" s="49">
        <f>VLOOKUP($A201,'Data shares'!$C:$FB,66)</f>
        <v>2773200</v>
      </c>
      <c r="E201" s="49">
        <f>VLOOKUP($A201,'Data shares'!$C:$FB,67)</f>
        <v>5210200</v>
      </c>
      <c r="F201" s="50">
        <f>VLOOKUP($A201,'Data shares'!$C:$FB,69)*100</f>
        <v>-46.77</v>
      </c>
      <c r="G201" s="49">
        <f>VLOOKUP($A201,'Data shares'!$C:$FB,42)</f>
        <v>1040600</v>
      </c>
      <c r="H201" s="49">
        <f>VLOOKUP($A201,'Data shares'!$C:$FB,43)</f>
        <v>2060600</v>
      </c>
      <c r="I201" s="50">
        <f>VLOOKUP($A201,'Data shares'!$C:$FB,45)*100</f>
        <v>-49.5</v>
      </c>
      <c r="J201" s="49">
        <f>VLOOKUP($A201,'Data shares'!$C:$FB,58)</f>
        <v>1326000</v>
      </c>
      <c r="K201" s="49">
        <f>VLOOKUP($A201,'Data shares'!$C:$FB,59)</f>
        <v>1661400</v>
      </c>
      <c r="L201" s="50">
        <f>VLOOKUP($A201,'Data shares'!$C:$FB,61)*100</f>
        <v>-20.190000000000001</v>
      </c>
      <c r="M201" s="49">
        <f>VLOOKUP($A201,'Data shares'!$C:$FB,62)</f>
        <v>406600</v>
      </c>
      <c r="N201" s="49">
        <f>VLOOKUP($A201,'Data shares'!$C:$FB,63)</f>
        <v>1488200</v>
      </c>
      <c r="O201" s="140">
        <f>VLOOKUP($A201,'Data shares'!$C:$FB,65)*100</f>
        <v>-72.680000000000007</v>
      </c>
    </row>
    <row r="202" spans="1:15" x14ac:dyDescent="0.25">
      <c r="A202" s="101" t="str">
        <f>'Data Vlaue (Cr)'!C197</f>
        <v>TITAN</v>
      </c>
      <c r="B202" s="50">
        <f>VLOOKUP($A202,'Data shares'!$C:$FB,7)</f>
        <v>3975.2</v>
      </c>
      <c r="C202" s="50">
        <f>VLOOKUP($A202,'Data shares'!$C:$FB,10)*100</f>
        <v>-0.54999999999999993</v>
      </c>
      <c r="D202" s="49">
        <f>VLOOKUP($A202,'Data shares'!$C:$FB,66)</f>
        <v>3473400</v>
      </c>
      <c r="E202" s="49">
        <f>VLOOKUP($A202,'Data shares'!$C:$FB,67)</f>
        <v>10776325</v>
      </c>
      <c r="F202" s="50">
        <f>VLOOKUP($A202,'Data shares'!$C:$FB,69)*100</f>
        <v>-67.77</v>
      </c>
      <c r="G202" s="49">
        <f>VLOOKUP($A202,'Data shares'!$C:$FB,42)</f>
        <v>879550</v>
      </c>
      <c r="H202" s="49">
        <f>VLOOKUP($A202,'Data shares'!$C:$FB,43)</f>
        <v>3474800</v>
      </c>
      <c r="I202" s="50">
        <f>VLOOKUP($A202,'Data shares'!$C:$FB,45)*100</f>
        <v>-74.69</v>
      </c>
      <c r="J202" s="49">
        <f>VLOOKUP($A202,'Data shares'!$C:$FB,58)</f>
        <v>1560300</v>
      </c>
      <c r="K202" s="49">
        <f>VLOOKUP($A202,'Data shares'!$C:$FB,59)</f>
        <v>4174450</v>
      </c>
      <c r="L202" s="50">
        <f>VLOOKUP($A202,'Data shares'!$C:$FB,61)*100</f>
        <v>-62.62</v>
      </c>
      <c r="M202" s="49">
        <f>VLOOKUP($A202,'Data shares'!$C:$FB,62)</f>
        <v>1033550</v>
      </c>
      <c r="N202" s="49">
        <f>VLOOKUP($A202,'Data shares'!$C:$FB,63)</f>
        <v>3127075</v>
      </c>
      <c r="O202" s="140">
        <f>VLOOKUP($A202,'Data shares'!$C:$FB,65)*100</f>
        <v>-66.95</v>
      </c>
    </row>
    <row r="203" spans="1:15" x14ac:dyDescent="0.25">
      <c r="A203" s="101" t="str">
        <f>'Data Vlaue (Cr)'!C198</f>
        <v>TMPV</v>
      </c>
      <c r="B203" s="50">
        <f>VLOOKUP($A203,'Data shares'!$C:$FB,7)</f>
        <v>340.45</v>
      </c>
      <c r="C203" s="50">
        <f>VLOOKUP($A203,'Data shares'!$C:$FB,10)*100</f>
        <v>-0.03</v>
      </c>
      <c r="D203" s="49">
        <f>VLOOKUP($A203,'Data shares'!$C:$FB,66)</f>
        <v>69204000</v>
      </c>
      <c r="E203" s="49">
        <f>VLOOKUP($A203,'Data shares'!$C:$FB,67)</f>
        <v>131646400</v>
      </c>
      <c r="F203" s="50">
        <f>VLOOKUP($A203,'Data shares'!$C:$FB,69)*100</f>
        <v>-47.43</v>
      </c>
      <c r="G203" s="49">
        <f>VLOOKUP($A203,'Data shares'!$C:$FB,42)</f>
        <v>12319200</v>
      </c>
      <c r="H203" s="49">
        <f>VLOOKUP($A203,'Data shares'!$C:$FB,43)</f>
        <v>49053600</v>
      </c>
      <c r="I203" s="50">
        <f>VLOOKUP($A203,'Data shares'!$C:$FB,45)*100</f>
        <v>-74.89</v>
      </c>
      <c r="J203" s="49">
        <f>VLOOKUP($A203,'Data shares'!$C:$FB,58)</f>
        <v>29830400</v>
      </c>
      <c r="K203" s="49">
        <f>VLOOKUP($A203,'Data shares'!$C:$FB,59)</f>
        <v>45568000</v>
      </c>
      <c r="L203" s="50">
        <f>VLOOKUP($A203,'Data shares'!$C:$FB,61)*100</f>
        <v>-34.54</v>
      </c>
      <c r="M203" s="49">
        <f>VLOOKUP($A203,'Data shares'!$C:$FB,62)</f>
        <v>27054400</v>
      </c>
      <c r="N203" s="49">
        <f>VLOOKUP($A203,'Data shares'!$C:$FB,63)</f>
        <v>37024800</v>
      </c>
      <c r="O203" s="140">
        <f>VLOOKUP($A203,'Data shares'!$C:$FB,65)*100</f>
        <v>-26.93</v>
      </c>
    </row>
    <row r="204" spans="1:15" x14ac:dyDescent="0.25">
      <c r="A204" s="101" t="str">
        <f>'Data Vlaue (Cr)'!C199</f>
        <v>TORNTPHARM</v>
      </c>
      <c r="B204" s="50">
        <f>VLOOKUP($A204,'Data shares'!$C:$FB,7)</f>
        <v>3958.7</v>
      </c>
      <c r="C204" s="50">
        <f>VLOOKUP($A204,'Data shares'!$C:$FB,10)*100</f>
        <v>-0.97</v>
      </c>
      <c r="D204" s="49">
        <f>VLOOKUP($A204,'Data shares'!$C:$FB,66)</f>
        <v>771250</v>
      </c>
      <c r="E204" s="49">
        <f>VLOOKUP($A204,'Data shares'!$C:$FB,67)</f>
        <v>3250000</v>
      </c>
      <c r="F204" s="50">
        <f>VLOOKUP($A204,'Data shares'!$C:$FB,69)*100</f>
        <v>-76.27000000000001</v>
      </c>
      <c r="G204" s="49">
        <f>VLOOKUP($A204,'Data shares'!$C:$FB,42)</f>
        <v>428500</v>
      </c>
      <c r="H204" s="49">
        <f>VLOOKUP($A204,'Data shares'!$C:$FB,43)</f>
        <v>1969750</v>
      </c>
      <c r="I204" s="50">
        <f>VLOOKUP($A204,'Data shares'!$C:$FB,45)*100</f>
        <v>-78.25</v>
      </c>
      <c r="J204" s="49">
        <f>VLOOKUP($A204,'Data shares'!$C:$FB,58)</f>
        <v>239750</v>
      </c>
      <c r="K204" s="49">
        <f>VLOOKUP($A204,'Data shares'!$C:$FB,59)</f>
        <v>570500</v>
      </c>
      <c r="L204" s="50">
        <f>VLOOKUP($A204,'Data shares'!$C:$FB,61)*100</f>
        <v>-57.98</v>
      </c>
      <c r="M204" s="49">
        <f>VLOOKUP($A204,'Data shares'!$C:$FB,62)</f>
        <v>103000</v>
      </c>
      <c r="N204" s="49">
        <f>VLOOKUP($A204,'Data shares'!$C:$FB,63)</f>
        <v>709750</v>
      </c>
      <c r="O204" s="140">
        <f>VLOOKUP($A204,'Data shares'!$C:$FB,65)*100</f>
        <v>-85.49</v>
      </c>
    </row>
    <row r="205" spans="1:15" x14ac:dyDescent="0.25">
      <c r="A205" s="101" t="str">
        <f>'Data Vlaue (Cr)'!C200</f>
        <v>TORNTPOWER</v>
      </c>
      <c r="B205" s="50">
        <f>VLOOKUP($A205,'Data shares'!$C:$FB,7)</f>
        <v>1332.9</v>
      </c>
      <c r="C205" s="50">
        <f>VLOOKUP($A205,'Data shares'!$C:$FB,10)*100</f>
        <v>1.77</v>
      </c>
      <c r="D205" s="49">
        <f>VLOOKUP($A205,'Data shares'!$C:$FB,66)</f>
        <v>1402925</v>
      </c>
      <c r="E205" s="49">
        <f>VLOOKUP($A205,'Data shares'!$C:$FB,67)</f>
        <v>3512625</v>
      </c>
      <c r="F205" s="50">
        <f>VLOOKUP($A205,'Data shares'!$C:$FB,69)*100</f>
        <v>-60.06</v>
      </c>
      <c r="G205" s="49">
        <f>VLOOKUP($A205,'Data shares'!$C:$FB,42)</f>
        <v>650675</v>
      </c>
      <c r="H205" s="49">
        <f>VLOOKUP($A205,'Data shares'!$C:$FB,43)</f>
        <v>2003025</v>
      </c>
      <c r="I205" s="50">
        <f>VLOOKUP($A205,'Data shares'!$C:$FB,45)*100</f>
        <v>-67.52</v>
      </c>
      <c r="J205" s="49">
        <f>VLOOKUP($A205,'Data shares'!$C:$FB,58)</f>
        <v>555900</v>
      </c>
      <c r="K205" s="49">
        <f>VLOOKUP($A205,'Data shares'!$C:$FB,59)</f>
        <v>947750</v>
      </c>
      <c r="L205" s="50">
        <f>VLOOKUP($A205,'Data shares'!$C:$FB,61)*100</f>
        <v>-41.349999999999994</v>
      </c>
      <c r="M205" s="49">
        <f>VLOOKUP($A205,'Data shares'!$C:$FB,62)</f>
        <v>196350</v>
      </c>
      <c r="N205" s="49">
        <f>VLOOKUP($A205,'Data shares'!$C:$FB,63)</f>
        <v>561850</v>
      </c>
      <c r="O205" s="140">
        <f>VLOOKUP($A205,'Data shares'!$C:$FB,65)*100</f>
        <v>-65.05</v>
      </c>
    </row>
    <row r="206" spans="1:15" x14ac:dyDescent="0.25">
      <c r="A206" s="101" t="str">
        <f>'Data Vlaue (Cr)'!C201</f>
        <v>TRENT</v>
      </c>
      <c r="B206" s="50">
        <f>VLOOKUP($A206,'Data shares'!$C:$FB,7)</f>
        <v>3864</v>
      </c>
      <c r="C206" s="50">
        <f>VLOOKUP($A206,'Data shares'!$C:$FB,10)*100</f>
        <v>1.82</v>
      </c>
      <c r="D206" s="49">
        <f>VLOOKUP($A206,'Data shares'!$C:$FB,66)</f>
        <v>3819200</v>
      </c>
      <c r="E206" s="49">
        <f>VLOOKUP($A206,'Data shares'!$C:$FB,67)</f>
        <v>13404800</v>
      </c>
      <c r="F206" s="50">
        <f>VLOOKUP($A206,'Data shares'!$C:$FB,69)*100</f>
        <v>-71.509999999999991</v>
      </c>
      <c r="G206" s="49">
        <f>VLOOKUP($A206,'Data shares'!$C:$FB,42)</f>
        <v>774900</v>
      </c>
      <c r="H206" s="49">
        <f>VLOOKUP($A206,'Data shares'!$C:$FB,43)</f>
        <v>5659200</v>
      </c>
      <c r="I206" s="50">
        <f>VLOOKUP($A206,'Data shares'!$C:$FB,45)*100</f>
        <v>-86.31</v>
      </c>
      <c r="J206" s="49">
        <f>VLOOKUP($A206,'Data shares'!$C:$FB,58)</f>
        <v>2206900</v>
      </c>
      <c r="K206" s="49">
        <f>VLOOKUP($A206,'Data shares'!$C:$FB,59)</f>
        <v>4556500</v>
      </c>
      <c r="L206" s="50">
        <f>VLOOKUP($A206,'Data shares'!$C:$FB,61)*100</f>
        <v>-51.570000000000007</v>
      </c>
      <c r="M206" s="49">
        <f>VLOOKUP($A206,'Data shares'!$C:$FB,62)</f>
        <v>837400</v>
      </c>
      <c r="N206" s="49">
        <f>VLOOKUP($A206,'Data shares'!$C:$FB,63)</f>
        <v>3189100</v>
      </c>
      <c r="O206" s="140">
        <f>VLOOKUP($A206,'Data shares'!$C:$FB,65)*100</f>
        <v>-73.740000000000009</v>
      </c>
    </row>
    <row r="207" spans="1:15" x14ac:dyDescent="0.25">
      <c r="A207" s="101" t="str">
        <f>'Data Vlaue (Cr)'!C202</f>
        <v>TVSMOTOR</v>
      </c>
      <c r="B207" s="50">
        <f>VLOOKUP($A207,'Data shares'!$C:$FB,7)</f>
        <v>3728.4</v>
      </c>
      <c r="C207" s="50">
        <f>VLOOKUP($A207,'Data shares'!$C:$FB,10)*100</f>
        <v>4.5</v>
      </c>
      <c r="D207" s="49">
        <f>VLOOKUP($A207,'Data shares'!$C:$FB,66)</f>
        <v>27550425</v>
      </c>
      <c r="E207" s="49">
        <f>VLOOKUP($A207,'Data shares'!$C:$FB,67)</f>
        <v>7905275</v>
      </c>
      <c r="F207" s="50">
        <f>VLOOKUP($A207,'Data shares'!$C:$FB,69)*100</f>
        <v>248.51000000000002</v>
      </c>
      <c r="G207" s="49">
        <f>VLOOKUP($A207,'Data shares'!$C:$FB,42)</f>
        <v>4484375</v>
      </c>
      <c r="H207" s="49">
        <f>VLOOKUP($A207,'Data shares'!$C:$FB,43)</f>
        <v>3742025</v>
      </c>
      <c r="I207" s="50">
        <f>VLOOKUP($A207,'Data shares'!$C:$FB,45)*100</f>
        <v>19.84</v>
      </c>
      <c r="J207" s="49">
        <f>VLOOKUP($A207,'Data shares'!$C:$FB,58)</f>
        <v>16626925</v>
      </c>
      <c r="K207" s="49">
        <f>VLOOKUP($A207,'Data shares'!$C:$FB,59)</f>
        <v>2389450</v>
      </c>
      <c r="L207" s="50">
        <f>VLOOKUP($A207,'Data shares'!$C:$FB,61)*100</f>
        <v>595.85</v>
      </c>
      <c r="M207" s="49">
        <f>VLOOKUP($A207,'Data shares'!$C:$FB,62)</f>
        <v>6439125</v>
      </c>
      <c r="N207" s="49">
        <f>VLOOKUP($A207,'Data shares'!$C:$FB,63)</f>
        <v>1773800</v>
      </c>
      <c r="O207" s="140">
        <f>VLOOKUP($A207,'Data shares'!$C:$FB,65)*100</f>
        <v>263.01</v>
      </c>
    </row>
    <row r="208" spans="1:15" x14ac:dyDescent="0.25">
      <c r="A208" s="101" t="str">
        <f>'Data Vlaue (Cr)'!C203</f>
        <v>ULTRACEMCO</v>
      </c>
      <c r="B208" s="50">
        <f>VLOOKUP($A208,'Data shares'!$C:$FB,7)</f>
        <v>12767</v>
      </c>
      <c r="C208" s="50">
        <f>VLOOKUP($A208,'Data shares'!$C:$FB,10)*100</f>
        <v>1.41</v>
      </c>
      <c r="D208" s="49">
        <f>VLOOKUP($A208,'Data shares'!$C:$FB,66)</f>
        <v>1601950</v>
      </c>
      <c r="E208" s="49">
        <f>VLOOKUP($A208,'Data shares'!$C:$FB,67)</f>
        <v>7474850</v>
      </c>
      <c r="F208" s="50">
        <f>VLOOKUP($A208,'Data shares'!$C:$FB,69)*100</f>
        <v>-78.569999999999993</v>
      </c>
      <c r="G208" s="49">
        <f>VLOOKUP($A208,'Data shares'!$C:$FB,42)</f>
        <v>332650</v>
      </c>
      <c r="H208" s="49">
        <f>VLOOKUP($A208,'Data shares'!$C:$FB,43)</f>
        <v>1821750</v>
      </c>
      <c r="I208" s="50">
        <f>VLOOKUP($A208,'Data shares'!$C:$FB,45)*100</f>
        <v>-81.739999999999995</v>
      </c>
      <c r="J208" s="49">
        <f>VLOOKUP($A208,'Data shares'!$C:$FB,58)</f>
        <v>825500</v>
      </c>
      <c r="K208" s="49">
        <f>VLOOKUP($A208,'Data shares'!$C:$FB,59)</f>
        <v>4158450</v>
      </c>
      <c r="L208" s="50">
        <f>VLOOKUP($A208,'Data shares'!$C:$FB,61)*100</f>
        <v>-80.150000000000006</v>
      </c>
      <c r="M208" s="49">
        <f>VLOOKUP($A208,'Data shares'!$C:$FB,62)</f>
        <v>443800</v>
      </c>
      <c r="N208" s="49">
        <f>VLOOKUP($A208,'Data shares'!$C:$FB,63)</f>
        <v>1494650</v>
      </c>
      <c r="O208" s="140">
        <f>VLOOKUP($A208,'Data shares'!$C:$FB,65)*100</f>
        <v>-70.309999999999988</v>
      </c>
    </row>
    <row r="209" spans="1:15" x14ac:dyDescent="0.25">
      <c r="A209" s="101" t="str">
        <f>'Data Vlaue (Cr)'!C204</f>
        <v>UNIONBANK</v>
      </c>
      <c r="B209" s="50">
        <f>VLOOKUP($A209,'Data shares'!$C:$FB,7)</f>
        <v>181.93</v>
      </c>
      <c r="C209" s="50">
        <f>VLOOKUP($A209,'Data shares'!$C:$FB,10)*100</f>
        <v>3.84</v>
      </c>
      <c r="D209" s="49">
        <f>VLOOKUP($A209,'Data shares'!$C:$FB,66)</f>
        <v>146228550</v>
      </c>
      <c r="E209" s="49">
        <f>VLOOKUP($A209,'Data shares'!$C:$FB,67)</f>
        <v>110832975</v>
      </c>
      <c r="F209" s="50">
        <f>VLOOKUP($A209,'Data shares'!$C:$FB,69)*100</f>
        <v>31.94</v>
      </c>
      <c r="G209" s="49">
        <f>VLOOKUP($A209,'Data shares'!$C:$FB,42)</f>
        <v>28877550</v>
      </c>
      <c r="H209" s="49">
        <f>VLOOKUP($A209,'Data shares'!$C:$FB,43)</f>
        <v>45727950</v>
      </c>
      <c r="I209" s="50">
        <f>VLOOKUP($A209,'Data shares'!$C:$FB,45)*100</f>
        <v>-36.85</v>
      </c>
      <c r="J209" s="49">
        <f>VLOOKUP($A209,'Data shares'!$C:$FB,58)</f>
        <v>89840775</v>
      </c>
      <c r="K209" s="49">
        <f>VLOOKUP($A209,'Data shares'!$C:$FB,59)</f>
        <v>43595100</v>
      </c>
      <c r="L209" s="50">
        <f>VLOOKUP($A209,'Data shares'!$C:$FB,61)*100</f>
        <v>106.08</v>
      </c>
      <c r="M209" s="49">
        <f>VLOOKUP($A209,'Data shares'!$C:$FB,62)</f>
        <v>27510225</v>
      </c>
      <c r="N209" s="49">
        <f>VLOOKUP($A209,'Data shares'!$C:$FB,63)</f>
        <v>21509925</v>
      </c>
      <c r="O209" s="140">
        <f>VLOOKUP($A209,'Data shares'!$C:$FB,65)*100</f>
        <v>27.900000000000002</v>
      </c>
    </row>
    <row r="210" spans="1:15" x14ac:dyDescent="0.25">
      <c r="A210" s="101" t="str">
        <f>'Data Vlaue (Cr)'!C205</f>
        <v>UNITDSPR</v>
      </c>
      <c r="B210" s="50">
        <f>VLOOKUP($A210,'Data shares'!$C:$FB,7)</f>
        <v>1326.7</v>
      </c>
      <c r="C210" s="50">
        <f>VLOOKUP($A210,'Data shares'!$C:$FB,10)*100</f>
        <v>1.1599999999999999</v>
      </c>
      <c r="D210" s="49">
        <f>VLOOKUP($A210,'Data shares'!$C:$FB,66)</f>
        <v>6155600</v>
      </c>
      <c r="E210" s="49">
        <f>VLOOKUP($A210,'Data shares'!$C:$FB,67)</f>
        <v>15522400</v>
      </c>
      <c r="F210" s="50">
        <f>VLOOKUP($A210,'Data shares'!$C:$FB,69)*100</f>
        <v>-60.34</v>
      </c>
      <c r="G210" s="49">
        <f>VLOOKUP($A210,'Data shares'!$C:$FB,42)</f>
        <v>2169600</v>
      </c>
      <c r="H210" s="49">
        <f>VLOOKUP($A210,'Data shares'!$C:$FB,43)</f>
        <v>8244800</v>
      </c>
      <c r="I210" s="50">
        <f>VLOOKUP($A210,'Data shares'!$C:$FB,45)*100</f>
        <v>-73.69</v>
      </c>
      <c r="J210" s="49">
        <f>VLOOKUP($A210,'Data shares'!$C:$FB,58)</f>
        <v>2840400</v>
      </c>
      <c r="K210" s="49">
        <f>VLOOKUP($A210,'Data shares'!$C:$FB,59)</f>
        <v>4095200</v>
      </c>
      <c r="L210" s="50">
        <f>VLOOKUP($A210,'Data shares'!$C:$FB,61)*100</f>
        <v>-30.64</v>
      </c>
      <c r="M210" s="49">
        <f>VLOOKUP($A210,'Data shares'!$C:$FB,62)</f>
        <v>1145600</v>
      </c>
      <c r="N210" s="49">
        <f>VLOOKUP($A210,'Data shares'!$C:$FB,63)</f>
        <v>3182400</v>
      </c>
      <c r="O210" s="140">
        <f>VLOOKUP($A210,'Data shares'!$C:$FB,65)*100</f>
        <v>-64</v>
      </c>
    </row>
    <row r="211" spans="1:15" x14ac:dyDescent="0.25">
      <c r="A211" s="101" t="str">
        <f>'Data Vlaue (Cr)'!C206</f>
        <v>UNOMINDA</v>
      </c>
      <c r="B211" s="50">
        <f>VLOOKUP($A211,'Data shares'!$C:$FB,7)</f>
        <v>1148.5999999999999</v>
      </c>
      <c r="C211" s="50">
        <f>VLOOKUP($A211,'Data shares'!$C:$FB,10)*100</f>
        <v>0.31</v>
      </c>
      <c r="D211" s="49">
        <f>VLOOKUP($A211,'Data shares'!$C:$FB,66)</f>
        <v>1099450</v>
      </c>
      <c r="E211" s="49">
        <f>VLOOKUP($A211,'Data shares'!$C:$FB,67)</f>
        <v>5151300</v>
      </c>
      <c r="F211" s="50">
        <f>VLOOKUP($A211,'Data shares'!$C:$FB,69)*100</f>
        <v>-78.66</v>
      </c>
      <c r="G211" s="49">
        <f>VLOOKUP($A211,'Data shares'!$C:$FB,42)</f>
        <v>623150</v>
      </c>
      <c r="H211" s="49">
        <f>VLOOKUP($A211,'Data shares'!$C:$FB,43)</f>
        <v>2442550</v>
      </c>
      <c r="I211" s="50">
        <f>VLOOKUP($A211,'Data shares'!$C:$FB,45)*100</f>
        <v>-74.489999999999995</v>
      </c>
      <c r="J211" s="49">
        <f>VLOOKUP($A211,'Data shares'!$C:$FB,58)</f>
        <v>320100</v>
      </c>
      <c r="K211" s="49">
        <f>VLOOKUP($A211,'Data shares'!$C:$FB,59)</f>
        <v>2093300</v>
      </c>
      <c r="L211" s="50">
        <f>VLOOKUP($A211,'Data shares'!$C:$FB,61)*100</f>
        <v>-84.71</v>
      </c>
      <c r="M211" s="49">
        <f>VLOOKUP($A211,'Data shares'!$C:$FB,62)</f>
        <v>156200</v>
      </c>
      <c r="N211" s="49">
        <f>VLOOKUP($A211,'Data shares'!$C:$FB,63)</f>
        <v>615450</v>
      </c>
      <c r="O211" s="140">
        <f>VLOOKUP($A211,'Data shares'!$C:$FB,65)*100</f>
        <v>-74.62</v>
      </c>
    </row>
    <row r="212" spans="1:15" x14ac:dyDescent="0.25">
      <c r="A212" s="101" t="str">
        <f>'Data Vlaue (Cr)'!C207</f>
        <v>UPL</v>
      </c>
      <c r="B212" s="50">
        <f>VLOOKUP($A212,'Data shares'!$C:$FB,7)</f>
        <v>715.1</v>
      </c>
      <c r="C212" s="50">
        <f>VLOOKUP($A212,'Data shares'!$C:$FB,10)*100</f>
        <v>-0.2</v>
      </c>
      <c r="D212" s="49">
        <f>VLOOKUP($A212,'Data shares'!$C:$FB,66)</f>
        <v>9055465</v>
      </c>
      <c r="E212" s="49">
        <f>VLOOKUP($A212,'Data shares'!$C:$FB,67)</f>
        <v>78856935</v>
      </c>
      <c r="F212" s="50">
        <f>VLOOKUP($A212,'Data shares'!$C:$FB,69)*100</f>
        <v>-88.52</v>
      </c>
      <c r="G212" s="49">
        <f>VLOOKUP($A212,'Data shares'!$C:$FB,42)</f>
        <v>2609730</v>
      </c>
      <c r="H212" s="49">
        <f>VLOOKUP($A212,'Data shares'!$C:$FB,43)</f>
        <v>40593090</v>
      </c>
      <c r="I212" s="50">
        <f>VLOOKUP($A212,'Data shares'!$C:$FB,45)*100</f>
        <v>-93.57</v>
      </c>
      <c r="J212" s="49">
        <f>VLOOKUP($A212,'Data shares'!$C:$FB,58)</f>
        <v>4257410</v>
      </c>
      <c r="K212" s="49">
        <f>VLOOKUP($A212,'Data shares'!$C:$FB,59)</f>
        <v>26196215</v>
      </c>
      <c r="L212" s="50">
        <f>VLOOKUP($A212,'Data shares'!$C:$FB,61)*100</f>
        <v>-83.75</v>
      </c>
      <c r="M212" s="49">
        <f>VLOOKUP($A212,'Data shares'!$C:$FB,62)</f>
        <v>2188325</v>
      </c>
      <c r="N212" s="49">
        <f>VLOOKUP($A212,'Data shares'!$C:$FB,63)</f>
        <v>12067630</v>
      </c>
      <c r="O212" s="140">
        <f>VLOOKUP($A212,'Data shares'!$C:$FB,65)*100</f>
        <v>-81.87</v>
      </c>
    </row>
    <row r="213" spans="1:15" x14ac:dyDescent="0.25">
      <c r="A213" s="101" t="str">
        <f>'Data Vlaue (Cr)'!C208</f>
        <v>VBL</v>
      </c>
      <c r="B213" s="50">
        <f>VLOOKUP($A213,'Data shares'!$C:$FB,7)</f>
        <v>468.4</v>
      </c>
      <c r="C213" s="50">
        <f>VLOOKUP($A213,'Data shares'!$C:$FB,10)*100</f>
        <v>-0.69</v>
      </c>
      <c r="D213" s="49">
        <f>VLOOKUP($A213,'Data shares'!$C:$FB,66)</f>
        <v>15325875</v>
      </c>
      <c r="E213" s="49">
        <f>VLOOKUP($A213,'Data shares'!$C:$FB,67)</f>
        <v>45046125</v>
      </c>
      <c r="F213" s="50">
        <f>VLOOKUP($A213,'Data shares'!$C:$FB,69)*100</f>
        <v>-65.98</v>
      </c>
      <c r="G213" s="49">
        <f>VLOOKUP($A213,'Data shares'!$C:$FB,42)</f>
        <v>5818500</v>
      </c>
      <c r="H213" s="49">
        <f>VLOOKUP($A213,'Data shares'!$C:$FB,43)</f>
        <v>26572500</v>
      </c>
      <c r="I213" s="50">
        <f>VLOOKUP($A213,'Data shares'!$C:$FB,45)*100</f>
        <v>-78.100000000000009</v>
      </c>
      <c r="J213" s="49">
        <f>VLOOKUP($A213,'Data shares'!$C:$FB,58)</f>
        <v>5175000</v>
      </c>
      <c r="K213" s="49">
        <f>VLOOKUP($A213,'Data shares'!$C:$FB,59)</f>
        <v>7341750</v>
      </c>
      <c r="L213" s="50">
        <f>VLOOKUP($A213,'Data shares'!$C:$FB,61)*100</f>
        <v>-29.509999999999998</v>
      </c>
      <c r="M213" s="49">
        <f>VLOOKUP($A213,'Data shares'!$C:$FB,62)</f>
        <v>4332375</v>
      </c>
      <c r="N213" s="49">
        <f>VLOOKUP($A213,'Data shares'!$C:$FB,63)</f>
        <v>11131875</v>
      </c>
      <c r="O213" s="140">
        <f>VLOOKUP($A213,'Data shares'!$C:$FB,65)*100</f>
        <v>-61.08</v>
      </c>
    </row>
    <row r="214" spans="1:15" x14ac:dyDescent="0.25">
      <c r="A214" s="101" t="str">
        <f>'Data Vlaue (Cr)'!C209</f>
        <v>VEDL</v>
      </c>
      <c r="B214" s="50">
        <f>VLOOKUP($A214,'Data shares'!$C:$FB,7)</f>
        <v>737.1</v>
      </c>
      <c r="C214" s="50">
        <f>VLOOKUP($A214,'Data shares'!$C:$FB,10)*100</f>
        <v>4.49</v>
      </c>
      <c r="D214" s="49">
        <f>VLOOKUP($A214,'Data shares'!$C:$FB,66)</f>
        <v>266120350</v>
      </c>
      <c r="E214" s="49">
        <f>VLOOKUP($A214,'Data shares'!$C:$FB,67)</f>
        <v>191828050</v>
      </c>
      <c r="F214" s="50">
        <f>VLOOKUP($A214,'Data shares'!$C:$FB,69)*100</f>
        <v>38.729999999999997</v>
      </c>
      <c r="G214" s="49">
        <f>VLOOKUP($A214,'Data shares'!$C:$FB,42)</f>
        <v>38364000</v>
      </c>
      <c r="H214" s="49">
        <f>VLOOKUP($A214,'Data shares'!$C:$FB,43)</f>
        <v>49768550</v>
      </c>
      <c r="I214" s="50">
        <f>VLOOKUP($A214,'Data shares'!$C:$FB,45)*100</f>
        <v>-22.919999999999998</v>
      </c>
      <c r="J214" s="49">
        <f>VLOOKUP($A214,'Data shares'!$C:$FB,58)</f>
        <v>167381350</v>
      </c>
      <c r="K214" s="49">
        <f>VLOOKUP($A214,'Data shares'!$C:$FB,59)</f>
        <v>98801100</v>
      </c>
      <c r="L214" s="50">
        <f>VLOOKUP($A214,'Data shares'!$C:$FB,61)*100</f>
        <v>69.410000000000011</v>
      </c>
      <c r="M214" s="49">
        <f>VLOOKUP($A214,'Data shares'!$C:$FB,62)</f>
        <v>60375000</v>
      </c>
      <c r="N214" s="49">
        <f>VLOOKUP($A214,'Data shares'!$C:$FB,63)</f>
        <v>43258400</v>
      </c>
      <c r="O214" s="140">
        <f>VLOOKUP($A214,'Data shares'!$C:$FB,65)*100</f>
        <v>39.57</v>
      </c>
    </row>
    <row r="215" spans="1:15" x14ac:dyDescent="0.25">
      <c r="A215" s="101" t="str">
        <f>'Data Vlaue (Cr)'!C210</f>
        <v>VOLTAS</v>
      </c>
      <c r="B215" s="50">
        <f>VLOOKUP($A215,'Data shares'!$C:$FB,7)</f>
        <v>1372.9</v>
      </c>
      <c r="C215" s="50">
        <f>VLOOKUP($A215,'Data shares'!$C:$FB,10)*100</f>
        <v>3.18</v>
      </c>
      <c r="D215" s="49">
        <f>VLOOKUP($A215,'Data shares'!$C:$FB,66)</f>
        <v>7618500</v>
      </c>
      <c r="E215" s="49">
        <f>VLOOKUP($A215,'Data shares'!$C:$FB,67)</f>
        <v>14633625</v>
      </c>
      <c r="F215" s="50">
        <f>VLOOKUP($A215,'Data shares'!$C:$FB,69)*100</f>
        <v>-47.94</v>
      </c>
      <c r="G215" s="49">
        <f>VLOOKUP($A215,'Data shares'!$C:$FB,42)</f>
        <v>2882250</v>
      </c>
      <c r="H215" s="49">
        <f>VLOOKUP($A215,'Data shares'!$C:$FB,43)</f>
        <v>5173875</v>
      </c>
      <c r="I215" s="50">
        <f>VLOOKUP($A215,'Data shares'!$C:$FB,45)*100</f>
        <v>-44.29</v>
      </c>
      <c r="J215" s="49">
        <f>VLOOKUP($A215,'Data shares'!$C:$FB,58)</f>
        <v>3518250</v>
      </c>
      <c r="K215" s="49">
        <f>VLOOKUP($A215,'Data shares'!$C:$FB,59)</f>
        <v>6369750</v>
      </c>
      <c r="L215" s="50">
        <f>VLOOKUP($A215,'Data shares'!$C:$FB,61)*100</f>
        <v>-44.769999999999996</v>
      </c>
      <c r="M215" s="49">
        <f>VLOOKUP($A215,'Data shares'!$C:$FB,62)</f>
        <v>1218000</v>
      </c>
      <c r="N215" s="49">
        <f>VLOOKUP($A215,'Data shares'!$C:$FB,63)</f>
        <v>3090000</v>
      </c>
      <c r="O215" s="140">
        <f>VLOOKUP($A215,'Data shares'!$C:$FB,65)*100</f>
        <v>-60.58</v>
      </c>
    </row>
    <row r="216" spans="1:15" x14ac:dyDescent="0.25">
      <c r="A216" s="101" t="str">
        <f>'Data Vlaue (Cr)'!C211</f>
        <v>WAAREEENER</v>
      </c>
      <c r="B216" s="50">
        <f>VLOOKUP($A216,'Data shares'!$C:$FB,7)</f>
        <v>2749.6</v>
      </c>
      <c r="C216" s="50">
        <f>VLOOKUP($A216,'Data shares'!$C:$FB,10)*100</f>
        <v>2.02</v>
      </c>
      <c r="D216" s="49">
        <f>VLOOKUP($A216,'Data shares'!$C:$FB,66)</f>
        <v>2545550</v>
      </c>
      <c r="E216" s="49">
        <f>VLOOKUP($A216,'Data shares'!$C:$FB,67)</f>
        <v>8230250</v>
      </c>
      <c r="F216" s="50">
        <f>VLOOKUP($A216,'Data shares'!$C:$FB,69)*100</f>
        <v>-69.069999999999993</v>
      </c>
      <c r="G216" s="49">
        <f>VLOOKUP($A216,'Data shares'!$C:$FB,42)</f>
        <v>593250</v>
      </c>
      <c r="H216" s="49">
        <f>VLOOKUP($A216,'Data shares'!$C:$FB,43)</f>
        <v>2010575</v>
      </c>
      <c r="I216" s="50">
        <f>VLOOKUP($A216,'Data shares'!$C:$FB,45)*100</f>
        <v>-70.489999999999995</v>
      </c>
      <c r="J216" s="49">
        <f>VLOOKUP($A216,'Data shares'!$C:$FB,58)</f>
        <v>1439200</v>
      </c>
      <c r="K216" s="49">
        <f>VLOOKUP($A216,'Data shares'!$C:$FB,59)</f>
        <v>3986500</v>
      </c>
      <c r="L216" s="50">
        <f>VLOOKUP($A216,'Data shares'!$C:$FB,61)*100</f>
        <v>-63.9</v>
      </c>
      <c r="M216" s="49">
        <f>VLOOKUP($A216,'Data shares'!$C:$FB,62)</f>
        <v>513100</v>
      </c>
      <c r="N216" s="49">
        <f>VLOOKUP($A216,'Data shares'!$C:$FB,63)</f>
        <v>2233175</v>
      </c>
      <c r="O216" s="140">
        <f>VLOOKUP($A216,'Data shares'!$C:$FB,65)*100</f>
        <v>-77.02</v>
      </c>
    </row>
    <row r="217" spans="1:15" x14ac:dyDescent="0.25">
      <c r="A217" s="101" t="str">
        <f>'Data Vlaue (Cr)'!C212</f>
        <v>WIPRO</v>
      </c>
      <c r="B217" s="50">
        <f>VLOOKUP($A217,'Data shares'!$C:$FB,7)</f>
        <v>237.35</v>
      </c>
      <c r="C217" s="50">
        <f>VLOOKUP($A217,'Data shares'!$C:$FB,10)*100</f>
        <v>1.0900000000000001</v>
      </c>
      <c r="D217" s="49">
        <f>VLOOKUP($A217,'Data shares'!$C:$FB,66)</f>
        <v>71166000</v>
      </c>
      <c r="E217" s="49">
        <f>VLOOKUP($A217,'Data shares'!$C:$FB,67)</f>
        <v>142182000</v>
      </c>
      <c r="F217" s="50">
        <f>VLOOKUP($A217,'Data shares'!$C:$FB,69)*100</f>
        <v>-49.95</v>
      </c>
      <c r="G217" s="49">
        <f>VLOOKUP($A217,'Data shares'!$C:$FB,42)</f>
        <v>16224000</v>
      </c>
      <c r="H217" s="49">
        <f>VLOOKUP($A217,'Data shares'!$C:$FB,43)</f>
        <v>75492000</v>
      </c>
      <c r="I217" s="50">
        <f>VLOOKUP($A217,'Data shares'!$C:$FB,45)*100</f>
        <v>-78.510000000000005</v>
      </c>
      <c r="J217" s="49">
        <f>VLOOKUP($A217,'Data shares'!$C:$FB,58)</f>
        <v>37488000</v>
      </c>
      <c r="K217" s="49">
        <f>VLOOKUP($A217,'Data shares'!$C:$FB,59)</f>
        <v>39087000</v>
      </c>
      <c r="L217" s="50">
        <f>VLOOKUP($A217,'Data shares'!$C:$FB,61)*100</f>
        <v>-4.09</v>
      </c>
      <c r="M217" s="49">
        <f>VLOOKUP($A217,'Data shares'!$C:$FB,62)</f>
        <v>17454000</v>
      </c>
      <c r="N217" s="49">
        <f>VLOOKUP($A217,'Data shares'!$C:$FB,63)</f>
        <v>27603000</v>
      </c>
      <c r="O217" s="140">
        <f>VLOOKUP($A217,'Data shares'!$C:$FB,65)*100</f>
        <v>-36.770000000000003</v>
      </c>
    </row>
    <row r="218" spans="1:15" x14ac:dyDescent="0.25">
      <c r="A218" s="101" t="str">
        <f>'Data Vlaue (Cr)'!C213</f>
        <v>YESBANK</v>
      </c>
      <c r="B218" s="50">
        <f>VLOOKUP($A218,'Data shares'!$C:$FB,7)</f>
        <v>21.48</v>
      </c>
      <c r="C218" s="50">
        <f>VLOOKUP($A218,'Data shares'!$C:$FB,10)*100</f>
        <v>2.19</v>
      </c>
      <c r="D218" s="49">
        <f>VLOOKUP($A218,'Data shares'!$C:$FB,66)</f>
        <v>526367500</v>
      </c>
      <c r="E218" s="49">
        <f>VLOOKUP($A218,'Data shares'!$C:$FB,67)</f>
        <v>1351295000</v>
      </c>
      <c r="F218" s="50">
        <f>VLOOKUP($A218,'Data shares'!$C:$FB,69)*100</f>
        <v>-61.050000000000004</v>
      </c>
      <c r="G218" s="49">
        <f>VLOOKUP($A218,'Data shares'!$C:$FB,42)</f>
        <v>113857100</v>
      </c>
      <c r="H218" s="49">
        <f>VLOOKUP($A218,'Data shares'!$C:$FB,43)</f>
        <v>771902000</v>
      </c>
      <c r="I218" s="50">
        <f>VLOOKUP($A218,'Data shares'!$C:$FB,45)*100</f>
        <v>-85.25</v>
      </c>
      <c r="J218" s="49">
        <f>VLOOKUP($A218,'Data shares'!$C:$FB,58)</f>
        <v>293957200</v>
      </c>
      <c r="K218" s="49">
        <f>VLOOKUP($A218,'Data shares'!$C:$FB,59)</f>
        <v>383618500</v>
      </c>
      <c r="L218" s="50">
        <f>VLOOKUP($A218,'Data shares'!$C:$FB,61)*100</f>
        <v>-23.369999999999997</v>
      </c>
      <c r="M218" s="49">
        <f>VLOOKUP($A218,'Data shares'!$C:$FB,62)</f>
        <v>118553200</v>
      </c>
      <c r="N218" s="49">
        <f>VLOOKUP($A218,'Data shares'!$C:$FB,63)</f>
        <v>195774500</v>
      </c>
      <c r="O218" s="140">
        <f>VLOOKUP($A218,'Data shares'!$C:$FB,65)*100</f>
        <v>-39.44</v>
      </c>
    </row>
    <row r="219" spans="1:15" x14ac:dyDescent="0.25">
      <c r="A219" s="101"/>
      <c r="B219" s="50"/>
      <c r="C219" s="50"/>
      <c r="D219" s="49"/>
      <c r="E219" s="49"/>
      <c r="F219" s="50"/>
      <c r="G219" s="49"/>
      <c r="H219" s="49"/>
      <c r="I219" s="50"/>
      <c r="J219" s="49"/>
      <c r="K219" s="49"/>
      <c r="L219" s="50"/>
      <c r="M219" s="49"/>
      <c r="N219" s="49"/>
      <c r="O219" s="140"/>
    </row>
    <row r="220" spans="1:15" x14ac:dyDescent="0.25">
      <c r="A220" s="101" t="str">
        <f>'Data Vlaue (Cr)'!C214</f>
        <v>ZYDUSLIFE</v>
      </c>
      <c r="B220" s="50">
        <f>VLOOKUP($A220,'Data shares'!$C:$FB,7)</f>
        <v>896.9</v>
      </c>
      <c r="C220" s="50">
        <f>VLOOKUP($A220,'Data shares'!$C:$FB,10)*100</f>
        <v>0.4</v>
      </c>
      <c r="D220" s="49">
        <f>VLOOKUP($A220,'Data shares'!$C:$FB,66)</f>
        <v>3133800</v>
      </c>
      <c r="E220" s="49">
        <f>VLOOKUP($A220,'Data shares'!$C:$FB,67)</f>
        <v>11642400</v>
      </c>
      <c r="F220" s="50">
        <f>VLOOKUP($A220,'Data shares'!$C:$FB,69)*100</f>
        <v>-73.08</v>
      </c>
      <c r="G220" s="49">
        <f>VLOOKUP($A220,'Data shares'!$C:$FB,42)</f>
        <v>1047600</v>
      </c>
      <c r="H220" s="49">
        <f>VLOOKUP($A220,'Data shares'!$C:$FB,43)</f>
        <v>7110000</v>
      </c>
      <c r="I220" s="50">
        <f>VLOOKUP($A220,'Data shares'!$C:$FB,45)*100</f>
        <v>-85.27</v>
      </c>
      <c r="J220" s="49">
        <f>VLOOKUP($A220,'Data shares'!$C:$FB,58)</f>
        <v>1144800</v>
      </c>
      <c r="K220" s="49">
        <f>VLOOKUP($A220,'Data shares'!$C:$FB,59)</f>
        <v>2669400</v>
      </c>
      <c r="L220" s="50">
        <f>VLOOKUP($A220,'Data shares'!$C:$FB,61)*100</f>
        <v>-57.110000000000007</v>
      </c>
      <c r="M220" s="49">
        <f>VLOOKUP($A220,'Data shares'!$C:$FB,62)</f>
        <v>941400</v>
      </c>
      <c r="N220" s="49">
        <f>VLOOKUP($A220,'Data shares'!$C:$FB,63)</f>
        <v>1863000</v>
      </c>
      <c r="O220" s="140">
        <f>VLOOKUP($A220,'Data shares'!$C:$FB,65)*100</f>
        <v>-49.47</v>
      </c>
    </row>
    <row r="221" spans="1:15" x14ac:dyDescent="0.25">
      <c r="A221" s="101"/>
      <c r="B221" s="50"/>
      <c r="C221" s="50"/>
      <c r="D221" s="49"/>
      <c r="E221" s="49"/>
      <c r="F221" s="50"/>
      <c r="G221" s="49"/>
      <c r="H221" s="49"/>
      <c r="I221" s="50"/>
      <c r="J221" s="49"/>
      <c r="K221" s="49"/>
      <c r="L221" s="50"/>
      <c r="M221" s="49"/>
      <c r="N221" s="49"/>
      <c r="O221" s="140"/>
    </row>
    <row r="222" spans="1:15" x14ac:dyDescent="0.25">
      <c r="A222" s="101"/>
      <c r="B222" s="50"/>
      <c r="C222" s="50"/>
      <c r="D222" s="49"/>
      <c r="E222" s="49"/>
      <c r="F222" s="50"/>
      <c r="G222" s="49"/>
      <c r="H222" s="49"/>
      <c r="I222" s="50"/>
      <c r="J222" s="49"/>
      <c r="K222" s="49"/>
      <c r="L222" s="50"/>
      <c r="M222" s="49"/>
      <c r="N222" s="49"/>
      <c r="O222" s="140"/>
    </row>
    <row r="223" spans="1:15" x14ac:dyDescent="0.25">
      <c r="A223" s="101"/>
      <c r="B223" s="50"/>
      <c r="C223" s="50"/>
      <c r="D223" s="49"/>
      <c r="E223" s="49"/>
      <c r="F223" s="50"/>
      <c r="G223" s="49"/>
      <c r="H223" s="49"/>
      <c r="I223" s="50"/>
      <c r="J223" s="49"/>
      <c r="K223" s="49"/>
      <c r="L223" s="50"/>
      <c r="M223" s="49"/>
      <c r="N223" s="49"/>
      <c r="O223" s="140"/>
    </row>
    <row r="224" spans="1:15" x14ac:dyDescent="0.25">
      <c r="A224" s="101"/>
      <c r="B224" s="50"/>
      <c r="C224" s="50"/>
      <c r="D224" s="49"/>
      <c r="E224" s="49"/>
      <c r="F224" s="50"/>
      <c r="G224" s="49"/>
      <c r="H224" s="49"/>
      <c r="I224" s="50"/>
      <c r="J224" s="49"/>
      <c r="K224" s="49"/>
      <c r="L224" s="50"/>
      <c r="M224" s="49"/>
      <c r="N224" s="49"/>
      <c r="O224" s="140"/>
    </row>
    <row r="225" spans="1:15" x14ac:dyDescent="0.25">
      <c r="A225" s="101"/>
      <c r="B225" s="17"/>
      <c r="C225" s="17"/>
      <c r="D225" s="17"/>
      <c r="E225" s="17"/>
      <c r="F225" s="17"/>
      <c r="G225" s="17"/>
      <c r="H225" s="17"/>
      <c r="I225" s="17"/>
      <c r="J225" s="17"/>
      <c r="K225" s="17"/>
      <c r="L225" s="17"/>
      <c r="M225" s="17"/>
      <c r="N225" s="17"/>
      <c r="O225" s="17"/>
    </row>
    <row r="226" spans="1:15" x14ac:dyDescent="0.25">
      <c r="A226" s="102"/>
      <c r="B226" s="17"/>
      <c r="C226" s="17"/>
      <c r="D226" s="17"/>
      <c r="E226" s="17"/>
      <c r="F226" s="17"/>
      <c r="G226" s="17"/>
      <c r="H226" s="17"/>
      <c r="I226" s="17"/>
      <c r="J226" s="17"/>
      <c r="K226" s="17"/>
      <c r="L226" s="17"/>
      <c r="M226" s="17"/>
      <c r="N226" s="17"/>
      <c r="O226" s="17"/>
    </row>
    <row r="227" spans="1:15" x14ac:dyDescent="0.25">
      <c r="A227" s="133" t="s">
        <v>391</v>
      </c>
      <c r="B227" s="133"/>
      <c r="C227" s="133"/>
      <c r="D227" s="133">
        <f>SUM(D7:D221)</f>
        <v>15266897171</v>
      </c>
      <c r="E227" s="133">
        <f>SUM(E7:E221)</f>
        <v>53652434938</v>
      </c>
      <c r="F227" s="134">
        <f>(D227-E227)/E227</f>
        <v>-0.71544819561978479</v>
      </c>
      <c r="G227" s="133">
        <f>SUM(G7:G221)</f>
        <v>2812465371</v>
      </c>
      <c r="H227" s="133">
        <f>SUM(H7:H221)</f>
        <v>12116077933</v>
      </c>
      <c r="I227" s="134">
        <f>(G227-H227)/H227</f>
        <v>-0.7678732848573202</v>
      </c>
      <c r="J227" s="133">
        <f>SUM(J7:J221)</f>
        <v>8314921222</v>
      </c>
      <c r="K227" s="133">
        <f>SUM(K7:K221)</f>
        <v>22632948421</v>
      </c>
      <c r="L227" s="134">
        <f>(J227-K227)/K227</f>
        <v>-0.63261873498174048</v>
      </c>
      <c r="M227" s="133">
        <f>SUM(M7:M221)</f>
        <v>4139510578</v>
      </c>
      <c r="N227" s="133">
        <f>SUM(N7:N221)</f>
        <v>18903408584</v>
      </c>
      <c r="O227" s="134">
        <f>(M227-N227)/N227</f>
        <v>-0.78101776938241096</v>
      </c>
    </row>
    <row r="228" spans="1:15" x14ac:dyDescent="0.25">
      <c r="A228" s="133" t="s">
        <v>398</v>
      </c>
      <c r="B228" s="133"/>
      <c r="C228" s="133"/>
      <c r="D228" s="133">
        <f>D227/10000000</f>
        <v>1526.6897171000001</v>
      </c>
      <c r="E228" s="133">
        <f>E227/10000000</f>
        <v>5365.2434937999997</v>
      </c>
      <c r="F228" s="134">
        <f>(D228-E228)/E228</f>
        <v>-0.71544819561978479</v>
      </c>
      <c r="G228" s="133">
        <f>G227/10000000</f>
        <v>281.24653710000001</v>
      </c>
      <c r="H228" s="133">
        <f>H227/10000000</f>
        <v>1211.6077932999999</v>
      </c>
      <c r="I228" s="134">
        <f>(G228-H228)/H228</f>
        <v>-0.76787328485732009</v>
      </c>
      <c r="J228" s="133">
        <f>J227/10000000</f>
        <v>831.49212220000004</v>
      </c>
      <c r="K228" s="133">
        <f>K227/10000000</f>
        <v>2263.2948421000001</v>
      </c>
      <c r="L228" s="134">
        <f>(J228-K228)/K228</f>
        <v>-0.63261873498174048</v>
      </c>
      <c r="M228" s="133">
        <f>M227/10000000</f>
        <v>413.9510578</v>
      </c>
      <c r="N228" s="133">
        <f>N227/10000000</f>
        <v>1890.3408583999999</v>
      </c>
      <c r="O228" s="134">
        <f>(M228-N228)/N228</f>
        <v>-0.78101776938241096</v>
      </c>
    </row>
    <row r="229" spans="1:15" x14ac:dyDescent="0.25">
      <c r="A229" s="17"/>
      <c r="B229" s="17"/>
      <c r="C229" s="17"/>
      <c r="D229" s="17"/>
      <c r="E229" s="17"/>
      <c r="F229" s="17"/>
      <c r="G229" s="17"/>
      <c r="H229" s="17"/>
      <c r="I229" s="17"/>
      <c r="J229" s="17"/>
      <c r="K229" s="17"/>
      <c r="L229" s="17"/>
      <c r="M229" s="17"/>
      <c r="N229" s="17"/>
      <c r="O229" s="17"/>
    </row>
  </sheetData>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2"/>
  <sheetViews>
    <sheetView workbookViewId="0">
      <pane ySplit="6" topLeftCell="A213" activePane="bottomLeft" state="frozen"/>
      <selection pane="bottomLeft" activeCell="M221" sqref="M221"/>
    </sheetView>
  </sheetViews>
  <sheetFormatPr defaultRowHeight="15" x14ac:dyDescent="0.25"/>
  <cols>
    <col min="1" max="1" width="14.5703125" bestFit="1" customWidth="1"/>
    <col min="2" max="7" width="9.28515625" bestFit="1" customWidth="1"/>
    <col min="8" max="8" width="10.140625" bestFit="1" customWidth="1"/>
    <col min="9" max="9" width="9.28515625" bestFit="1" customWidth="1"/>
    <col min="10" max="10" width="10.140625" bestFit="1" customWidth="1"/>
    <col min="11" max="15" width="9.28515625" bestFit="1" customWidth="1"/>
  </cols>
  <sheetData>
    <row r="1" spans="1:19" ht="23.25" customHeight="1" x14ac:dyDescent="0.25"/>
    <row r="2" spans="1:19" ht="15.75" thickBot="1" x14ac:dyDescent="0.3"/>
    <row r="3" spans="1:19" ht="18.75" customHeight="1" thickBot="1" x14ac:dyDescent="0.3">
      <c r="A3" s="306" t="s">
        <v>311</v>
      </c>
      <c r="B3" s="307"/>
      <c r="C3" s="307"/>
      <c r="D3" s="307"/>
      <c r="E3" s="307"/>
      <c r="F3" s="307"/>
      <c r="G3" s="307"/>
      <c r="H3" s="307"/>
      <c r="I3" s="307"/>
      <c r="J3" s="307"/>
      <c r="K3" s="307"/>
      <c r="L3" s="266"/>
      <c r="M3" s="266"/>
      <c r="N3" s="266"/>
      <c r="O3" s="308"/>
    </row>
    <row r="4" spans="1:19" s="104" customFormat="1" x14ac:dyDescent="0.25">
      <c r="A4" s="285" t="s">
        <v>330</v>
      </c>
      <c r="B4" s="285" t="s">
        <v>311</v>
      </c>
      <c r="C4" s="285"/>
      <c r="D4" s="285"/>
      <c r="E4" s="285"/>
      <c r="F4" s="285"/>
      <c r="G4" s="285"/>
      <c r="H4" s="285" t="s">
        <v>365</v>
      </c>
      <c r="I4" s="285"/>
      <c r="J4" s="285"/>
      <c r="K4" s="285"/>
      <c r="L4" s="285" t="s">
        <v>309</v>
      </c>
      <c r="M4" s="285"/>
      <c r="N4" s="285"/>
      <c r="O4" s="285"/>
    </row>
    <row r="5" spans="1:19" s="104" customFormat="1" x14ac:dyDescent="0.25">
      <c r="A5" s="304"/>
      <c r="B5" s="304" t="s">
        <v>316</v>
      </c>
      <c r="C5" s="304"/>
      <c r="D5" s="304"/>
      <c r="E5" s="304" t="s">
        <v>317</v>
      </c>
      <c r="F5" s="304"/>
      <c r="G5" s="304"/>
      <c r="H5" s="304" t="s">
        <v>336</v>
      </c>
      <c r="I5" s="304"/>
      <c r="J5" s="304" t="s">
        <v>342</v>
      </c>
      <c r="K5" s="304"/>
      <c r="L5" s="304" t="s">
        <v>336</v>
      </c>
      <c r="M5" s="304"/>
      <c r="N5" s="304" t="s">
        <v>342</v>
      </c>
      <c r="O5" s="305"/>
    </row>
    <row r="6" spans="1:19" s="104" customFormat="1" x14ac:dyDescent="0.25">
      <c r="A6" s="76" t="s">
        <v>318</v>
      </c>
      <c r="B6" s="3">
        <f>'Total Valume'!B6</f>
        <v>46050</v>
      </c>
      <c r="C6" s="76" t="s">
        <v>322</v>
      </c>
      <c r="D6" s="76" t="s">
        <v>328</v>
      </c>
      <c r="E6" s="3">
        <f>B6</f>
        <v>46050</v>
      </c>
      <c r="F6" s="76" t="s">
        <v>322</v>
      </c>
      <c r="G6" s="76" t="s">
        <v>328</v>
      </c>
      <c r="H6" s="3">
        <f>E6</f>
        <v>46050</v>
      </c>
      <c r="I6" s="76" t="s">
        <v>333</v>
      </c>
      <c r="J6" s="3">
        <f>E6</f>
        <v>46050</v>
      </c>
      <c r="K6" s="76" t="s">
        <v>333</v>
      </c>
      <c r="L6" s="3">
        <f>E6</f>
        <v>46050</v>
      </c>
      <c r="M6" s="76" t="s">
        <v>333</v>
      </c>
      <c r="N6" s="3">
        <f>E6</f>
        <v>46050</v>
      </c>
      <c r="O6" s="76" t="s">
        <v>333</v>
      </c>
    </row>
    <row r="7" spans="1:19" x14ac:dyDescent="0.25">
      <c r="A7" s="105" t="str">
        <f>'Data Vlaue (Cr)'!C2</f>
        <v>360ONE</v>
      </c>
      <c r="B7" s="143">
        <f>VLOOKUP($A7,'Data shares'!$C:$FA,118)</f>
        <v>0.6</v>
      </c>
      <c r="C7" s="143">
        <f>VLOOKUP($A7,'Data shares'!$C:$FA,119)</f>
        <v>0.54</v>
      </c>
      <c r="D7" s="143">
        <f>VLOOKUP($A7,'Data shares'!$C:$FA,121)*100</f>
        <v>11.110000000000001</v>
      </c>
      <c r="E7" s="143">
        <f>VLOOKUP($A7,'Data shares'!$C:$FA,124)</f>
        <v>0.43</v>
      </c>
      <c r="F7" s="143">
        <f>VLOOKUP($A7,'Data shares'!$C:$FA,125)</f>
        <v>0.44</v>
      </c>
      <c r="G7" s="143">
        <f>VLOOKUP($A7,'Data shares'!$C:$FA,127)*100</f>
        <v>-2.27</v>
      </c>
      <c r="H7" s="103">
        <f>VLOOKUP($A7,'OI(Volume)'!$A$7:$O$440,8)</f>
        <v>319000</v>
      </c>
      <c r="I7" s="103">
        <f>VLOOKUP($A7,'OI(Volume)'!$A$7:$O$440,9)</f>
        <v>48000</v>
      </c>
      <c r="J7" s="103">
        <f>VLOOKUP($A7,'OI(Volume)'!$A$7:$O$440,11)</f>
        <v>192500</v>
      </c>
      <c r="K7" s="103">
        <f>VLOOKUP($A7,'OI(Volume)'!$A$7:$O$440,12)</f>
        <v>47000</v>
      </c>
      <c r="L7" s="103">
        <f>VLOOKUP($A7,'OI(Value)'!$A$7:$O$323,8,0)</f>
        <v>36</v>
      </c>
      <c r="M7" s="103">
        <f>VLOOKUP($A7,'OI(Value)'!$A$7:$O$323,9,0)</f>
        <v>5</v>
      </c>
      <c r="N7" s="103">
        <f>VLOOKUP($A7,'OI(Value)'!$A$7:$O$323,11,0)</f>
        <v>22</v>
      </c>
      <c r="O7" s="103">
        <f>VLOOKUP($A7,'OI(Value)'!$A$7:$O$323,12,0)</f>
        <v>5</v>
      </c>
      <c r="P7" s="179">
        <f>VLOOKUP(A7,'OI(Value)'!A7:O182,8,0)</f>
        <v>36</v>
      </c>
      <c r="Q7" s="179">
        <f>VLOOKUP(A7,'OI(Value)'!A7:O182,9,0)</f>
        <v>5</v>
      </c>
      <c r="R7" s="179">
        <f>VLOOKUP(A7,'OI(Value)'!A7:O182,11,0)</f>
        <v>22</v>
      </c>
      <c r="S7" s="179">
        <f>VLOOKUP(A7,'OI(Value)'!A7:O182,12,0)</f>
        <v>5</v>
      </c>
    </row>
    <row r="8" spans="1:19" x14ac:dyDescent="0.25">
      <c r="A8" s="105" t="str">
        <f>'Data Vlaue (Cr)'!C3</f>
        <v>ABB</v>
      </c>
      <c r="B8" s="143">
        <f>VLOOKUP($A8,'Data shares'!$C:$FA,118)</f>
        <v>0.97</v>
      </c>
      <c r="C8" s="143">
        <f>VLOOKUP($A8,'Data shares'!$C:$FA,119)</f>
        <v>1.34</v>
      </c>
      <c r="D8" s="143">
        <f>VLOOKUP($A8,'Data shares'!$C:$FA,121)*100</f>
        <v>-27.61</v>
      </c>
      <c r="E8" s="143">
        <f>VLOOKUP($A8,'Data shares'!$C:$FA,124)</f>
        <v>0.33</v>
      </c>
      <c r="F8" s="143">
        <f>VLOOKUP($A8,'Data shares'!$C:$FA,125)</f>
        <v>0.86</v>
      </c>
      <c r="G8" s="143">
        <f>VLOOKUP($A8,'Data shares'!$C:$FA,127)*100</f>
        <v>-61.629999999999995</v>
      </c>
      <c r="H8" s="103">
        <f>VLOOKUP($A8,'OI(Volume)'!$A$7:$O$440,8)</f>
        <v>548125</v>
      </c>
      <c r="I8" s="103">
        <f>VLOOKUP($A8,'OI(Volume)'!$A$7:$O$440,9)</f>
        <v>242375</v>
      </c>
      <c r="J8" s="103">
        <f>VLOOKUP($A8,'OI(Volume)'!$A$7:$O$440,11)</f>
        <v>533000</v>
      </c>
      <c r="K8" s="103">
        <f>VLOOKUP($A8,'OI(Volume)'!$A$7:$O$440,12)</f>
        <v>124000</v>
      </c>
      <c r="L8" s="103">
        <f>VLOOKUP($A8,'OI(Value)'!$A$7:$O$323,8,0)</f>
        <v>278</v>
      </c>
      <c r="M8" s="103">
        <f>VLOOKUP($A8,'OI(Value)'!$A$7:$O$323,9,0)</f>
        <v>123</v>
      </c>
      <c r="N8" s="103">
        <f>VLOOKUP($A8,'OI(Value)'!$A$7:$O$323,11,0)</f>
        <v>270</v>
      </c>
      <c r="O8" s="103">
        <f>VLOOKUP($A8,'OI(Value)'!$A$7:$O$323,12,0)</f>
        <v>63</v>
      </c>
      <c r="P8" s="179">
        <f>VLOOKUP(A8,'OI(Value)'!A8:O226,8,0)</f>
        <v>278</v>
      </c>
      <c r="Q8" s="179">
        <f>VLOOKUP(A8,'OI(Value)'!A8:O226,9,0)</f>
        <v>123</v>
      </c>
      <c r="R8" s="179">
        <f>VLOOKUP(A8,'OI(Value)'!A8:O226,11,0)</f>
        <v>270</v>
      </c>
      <c r="S8" s="179">
        <f>VLOOKUP(A8,'OI(Value)'!A8:O226,11,0)</f>
        <v>270</v>
      </c>
    </row>
    <row r="9" spans="1:19" x14ac:dyDescent="0.25">
      <c r="A9" s="105" t="str">
        <f>'Data Vlaue (Cr)'!C4</f>
        <v>ABCAPITAL</v>
      </c>
      <c r="B9" s="143">
        <f>VLOOKUP($A9,'Data shares'!$C:$FA,118)</f>
        <v>0.75</v>
      </c>
      <c r="C9" s="143">
        <f>VLOOKUP($A9,'Data shares'!$C:$FA,119)</f>
        <v>0.8</v>
      </c>
      <c r="D9" s="143">
        <f>VLOOKUP($A9,'Data shares'!$C:$FA,121)*100</f>
        <v>-6.25</v>
      </c>
      <c r="E9" s="143">
        <f>VLOOKUP($A9,'Data shares'!$C:$FA,124)</f>
        <v>0.5</v>
      </c>
      <c r="F9" s="143">
        <f>VLOOKUP($A9,'Data shares'!$C:$FA,125)</f>
        <v>1.1000000000000001</v>
      </c>
      <c r="G9" s="143">
        <f>VLOOKUP($A9,'Data shares'!$C:$FA,127)*100</f>
        <v>-54.55</v>
      </c>
      <c r="H9" s="103">
        <f>VLOOKUP($A9,'OI(Volume)'!$A$7:$O$440,8)</f>
        <v>7926700</v>
      </c>
      <c r="I9" s="103">
        <f>VLOOKUP($A9,'OI(Volume)'!$A$7:$O$440,9)</f>
        <v>1553100</v>
      </c>
      <c r="J9" s="103">
        <f>VLOOKUP($A9,'OI(Volume)'!$A$7:$O$440,11)</f>
        <v>5958200</v>
      </c>
      <c r="K9" s="103">
        <f>VLOOKUP($A9,'OI(Volume)'!$A$7:$O$440,12)</f>
        <v>880400</v>
      </c>
      <c r="L9" s="103">
        <f>VLOOKUP($A9,'OI(Value)'!$A$7:$O$323,8,0)</f>
        <v>278</v>
      </c>
      <c r="M9" s="103">
        <f>VLOOKUP($A9,'OI(Value)'!$A$7:$O$323,9,0)</f>
        <v>54</v>
      </c>
      <c r="N9" s="103">
        <f>VLOOKUP($A9,'OI(Value)'!$A$7:$O$323,11,0)</f>
        <v>209</v>
      </c>
      <c r="O9" s="103">
        <f>VLOOKUP($A9,'OI(Value)'!$A$7:$O$323,12,0)</f>
        <v>31</v>
      </c>
      <c r="P9" s="179">
        <f>VLOOKUP(A9,'OI(Value)'!A9:O227,8,0)</f>
        <v>278</v>
      </c>
      <c r="Q9" s="179">
        <f>VLOOKUP(A9,'OI(Value)'!A9:O227,9,0)</f>
        <v>54</v>
      </c>
      <c r="R9" s="179">
        <f>VLOOKUP(A9,'OI(Value)'!A9:O227,11,0)</f>
        <v>209</v>
      </c>
      <c r="S9" s="179">
        <f>VLOOKUP(A9,'OI(Value)'!A9:O227,11,0)</f>
        <v>209</v>
      </c>
    </row>
    <row r="10" spans="1:19" x14ac:dyDescent="0.25">
      <c r="A10" s="105" t="str">
        <f>'Data Vlaue (Cr)'!C5</f>
        <v>ADANIENSOL</v>
      </c>
      <c r="B10" s="143">
        <f>VLOOKUP($A10,'Data shares'!$C:$FA,118)</f>
        <v>0.66</v>
      </c>
      <c r="C10" s="143">
        <f>VLOOKUP($A10,'Data shares'!$C:$FA,119)</f>
        <v>0.64</v>
      </c>
      <c r="D10" s="143">
        <f>VLOOKUP($A10,'Data shares'!$C:$FA,121)*100</f>
        <v>3.1300000000000003</v>
      </c>
      <c r="E10" s="143">
        <f>VLOOKUP($A10,'Data shares'!$C:$FA,124)</f>
        <v>0.49</v>
      </c>
      <c r="F10" s="143">
        <f>VLOOKUP($A10,'Data shares'!$C:$FA,125)</f>
        <v>0.68</v>
      </c>
      <c r="G10" s="143">
        <f>VLOOKUP($A10,'Data shares'!$C:$FA,127)*100</f>
        <v>-27.939999999999998</v>
      </c>
      <c r="H10" s="103">
        <f>VLOOKUP($A10,'OI(Volume)'!$A$7:$O$440,8)</f>
        <v>2712150</v>
      </c>
      <c r="I10" s="103">
        <f>VLOOKUP($A10,'OI(Volume)'!$A$7:$O$440,9)</f>
        <v>97875</v>
      </c>
      <c r="J10" s="103">
        <f>VLOOKUP($A10,'OI(Volume)'!$A$7:$O$440,11)</f>
        <v>1788075</v>
      </c>
      <c r="K10" s="103">
        <f>VLOOKUP($A10,'OI(Volume)'!$A$7:$O$440,12)</f>
        <v>120825</v>
      </c>
      <c r="L10" s="103">
        <f>VLOOKUP($A10,'OI(Value)'!$A$7:$O$323,8,0)</f>
        <v>240</v>
      </c>
      <c r="M10" s="103">
        <f>VLOOKUP($A10,'OI(Value)'!$A$7:$O$323,9,0)</f>
        <v>9</v>
      </c>
      <c r="N10" s="103">
        <f>VLOOKUP($A10,'OI(Value)'!$A$7:$O$323,11,0)</f>
        <v>158</v>
      </c>
      <c r="O10" s="103">
        <f>VLOOKUP($A10,'OI(Value)'!$A$7:$O$323,12,0)</f>
        <v>11</v>
      </c>
      <c r="P10" s="179">
        <f>VLOOKUP(A10,'OI(Value)'!A10:O228,8,0)</f>
        <v>240</v>
      </c>
      <c r="Q10" s="179">
        <f>VLOOKUP(A10,'OI(Value)'!A10:O228,9,0)</f>
        <v>9</v>
      </c>
      <c r="R10" s="179">
        <f>VLOOKUP(A10,'OI(Value)'!A10:O228,11,0)</f>
        <v>158</v>
      </c>
      <c r="S10" s="179">
        <f>VLOOKUP(A10,'OI(Value)'!A10:O228,11,0)</f>
        <v>158</v>
      </c>
    </row>
    <row r="11" spans="1:19" x14ac:dyDescent="0.25">
      <c r="A11" s="105" t="str">
        <f>'Data Vlaue (Cr)'!C6</f>
        <v>ADANIENT</v>
      </c>
      <c r="B11" s="143">
        <f>VLOOKUP($A11,'Data shares'!$C:$FA,118)</f>
        <v>1.08</v>
      </c>
      <c r="C11" s="143">
        <f>VLOOKUP($A11,'Data shares'!$C:$FA,119)</f>
        <v>1.02</v>
      </c>
      <c r="D11" s="143">
        <f>VLOOKUP($A11,'Data shares'!$C:$FA,121)*100</f>
        <v>5.88</v>
      </c>
      <c r="E11" s="143">
        <f>VLOOKUP($A11,'Data shares'!$C:$FA,124)</f>
        <v>0.68</v>
      </c>
      <c r="F11" s="143">
        <f>VLOOKUP($A11,'Data shares'!$C:$FA,125)</f>
        <v>0.54</v>
      </c>
      <c r="G11" s="143">
        <f>VLOOKUP($A11,'Data shares'!$C:$FA,127)*100</f>
        <v>25.929999999999996</v>
      </c>
      <c r="H11" s="103">
        <f>VLOOKUP($A11,'OI(Volume)'!$A$7:$O$440,8)</f>
        <v>5297805</v>
      </c>
      <c r="I11" s="103">
        <f>VLOOKUP($A11,'OI(Volume)'!$A$7:$O$440,9)</f>
        <v>358749</v>
      </c>
      <c r="J11" s="103">
        <f>VLOOKUP($A11,'OI(Volume)'!$A$7:$O$440,11)</f>
        <v>5744928</v>
      </c>
      <c r="K11" s="103">
        <f>VLOOKUP($A11,'OI(Volume)'!$A$7:$O$440,12)</f>
        <v>723369</v>
      </c>
      <c r="L11" s="103">
        <f>VLOOKUP($A11,'OI(Value)'!$A$7:$O$323,8,0)</f>
        <v>1062</v>
      </c>
      <c r="M11" s="103">
        <f>VLOOKUP($A11,'OI(Value)'!$A$7:$O$323,9,0)</f>
        <v>72</v>
      </c>
      <c r="N11" s="103">
        <f>VLOOKUP($A11,'OI(Value)'!$A$7:$O$323,11,0)</f>
        <v>1152</v>
      </c>
      <c r="O11" s="103">
        <f>VLOOKUP($A11,'OI(Value)'!$A$7:$O$323,12,0)</f>
        <v>145</v>
      </c>
      <c r="P11" s="179">
        <f>VLOOKUP(A11,'OI(Value)'!A11:O229,8,0)</f>
        <v>1062</v>
      </c>
      <c r="Q11" s="179">
        <f>VLOOKUP(A11,'OI(Value)'!A11:O229,9,0)</f>
        <v>72</v>
      </c>
      <c r="R11" s="179">
        <f>VLOOKUP(A11,'OI(Value)'!A11:O229,11,0)</f>
        <v>1152</v>
      </c>
      <c r="S11" s="179">
        <f>VLOOKUP(A11,'OI(Value)'!A11:O229,11,0)</f>
        <v>1152</v>
      </c>
    </row>
    <row r="12" spans="1:19" x14ac:dyDescent="0.25">
      <c r="A12" s="105" t="str">
        <f>'Data Vlaue (Cr)'!C7</f>
        <v>ADANIGREEN</v>
      </c>
      <c r="B12" s="143">
        <f>VLOOKUP($A12,'Data shares'!$C:$FA,118)</f>
        <v>0.81</v>
      </c>
      <c r="C12" s="143">
        <f>VLOOKUP($A12,'Data shares'!$C:$FA,119)</f>
        <v>0.82</v>
      </c>
      <c r="D12" s="143">
        <f>VLOOKUP($A12,'Data shares'!$C:$FA,121)*100</f>
        <v>-1.22</v>
      </c>
      <c r="E12" s="143">
        <f>VLOOKUP($A12,'Data shares'!$C:$FA,124)</f>
        <v>0.51</v>
      </c>
      <c r="F12" s="143">
        <f>VLOOKUP($A12,'Data shares'!$C:$FA,125)</f>
        <v>0.59</v>
      </c>
      <c r="G12" s="143">
        <f>VLOOKUP($A12,'Data shares'!$C:$FA,127)*100</f>
        <v>-13.56</v>
      </c>
      <c r="H12" s="103">
        <f>VLOOKUP($A12,'OI(Volume)'!$A$7:$O$440,8)</f>
        <v>6651000</v>
      </c>
      <c r="I12" s="103">
        <f>VLOOKUP($A12,'OI(Volume)'!$A$7:$O$440,9)</f>
        <v>1230000</v>
      </c>
      <c r="J12" s="103">
        <f>VLOOKUP($A12,'OI(Volume)'!$A$7:$O$440,11)</f>
        <v>5368800</v>
      </c>
      <c r="K12" s="103">
        <f>VLOOKUP($A12,'OI(Volume)'!$A$7:$O$440,12)</f>
        <v>901200</v>
      </c>
      <c r="L12" s="103">
        <f>VLOOKUP($A12,'OI(Value)'!$A$7:$O$323,8,0)</f>
        <v>549</v>
      </c>
      <c r="M12" s="103">
        <f>VLOOKUP($A12,'OI(Value)'!$A$7:$O$323,9,0)</f>
        <v>102</v>
      </c>
      <c r="N12" s="103">
        <f>VLOOKUP($A12,'OI(Value)'!$A$7:$O$323,11,0)</f>
        <v>443</v>
      </c>
      <c r="O12" s="103">
        <f>VLOOKUP($A12,'OI(Value)'!$A$7:$O$323,12,0)</f>
        <v>74</v>
      </c>
      <c r="P12" s="179">
        <f>VLOOKUP(A12,'OI(Value)'!A12:O230,8,0)</f>
        <v>549</v>
      </c>
      <c r="Q12" s="179">
        <f>VLOOKUP(A12,'OI(Value)'!A12:O230,9,0)</f>
        <v>102</v>
      </c>
      <c r="R12" s="179">
        <f>VLOOKUP(A12,'OI(Value)'!A12:O230,11,0)</f>
        <v>443</v>
      </c>
      <c r="S12" s="179">
        <f>VLOOKUP(A12,'OI(Value)'!A12:O230,11,0)</f>
        <v>443</v>
      </c>
    </row>
    <row r="13" spans="1:19" x14ac:dyDescent="0.25">
      <c r="A13" s="105" t="str">
        <f>'Data Vlaue (Cr)'!C8</f>
        <v>ADANIPORTS</v>
      </c>
      <c r="B13" s="143">
        <f>VLOOKUP($A13,'Data shares'!$C:$FA,118)</f>
        <v>0.95</v>
      </c>
      <c r="C13" s="143">
        <f>VLOOKUP($A13,'Data shares'!$C:$FA,119)</f>
        <v>1.05</v>
      </c>
      <c r="D13" s="143">
        <f>VLOOKUP($A13,'Data shares'!$C:$FA,121)*100</f>
        <v>-9.5200000000000014</v>
      </c>
      <c r="E13" s="143">
        <f>VLOOKUP($A13,'Data shares'!$C:$FA,124)</f>
        <v>0.62</v>
      </c>
      <c r="F13" s="143">
        <f>VLOOKUP($A13,'Data shares'!$C:$FA,125)</f>
        <v>0.76</v>
      </c>
      <c r="G13" s="143">
        <f>VLOOKUP($A13,'Data shares'!$C:$FA,127)*100</f>
        <v>-18.420000000000002</v>
      </c>
      <c r="H13" s="103">
        <f>VLOOKUP($A13,'OI(Volume)'!$A$7:$O$440,8)</f>
        <v>4731950</v>
      </c>
      <c r="I13" s="103">
        <f>VLOOKUP($A13,'OI(Volume)'!$A$7:$O$440,9)</f>
        <v>909625</v>
      </c>
      <c r="J13" s="103">
        <f>VLOOKUP($A13,'OI(Volume)'!$A$7:$O$440,11)</f>
        <v>4473550</v>
      </c>
      <c r="K13" s="103">
        <f>VLOOKUP($A13,'OI(Volume)'!$A$7:$O$440,12)</f>
        <v>477850</v>
      </c>
      <c r="L13" s="103">
        <f>VLOOKUP($A13,'OI(Value)'!$A$7:$O$323,8,0)</f>
        <v>656</v>
      </c>
      <c r="M13" s="103">
        <f>VLOOKUP($A13,'OI(Value)'!$A$7:$O$323,9,0)</f>
        <v>126</v>
      </c>
      <c r="N13" s="103">
        <f>VLOOKUP($A13,'OI(Value)'!$A$7:$O$323,11,0)</f>
        <v>620</v>
      </c>
      <c r="O13" s="103">
        <f>VLOOKUP($A13,'OI(Value)'!$A$7:$O$323,12,0)</f>
        <v>66</v>
      </c>
      <c r="P13" s="179">
        <f>VLOOKUP(A13,'OI(Value)'!A13:O231,8,0)</f>
        <v>656</v>
      </c>
      <c r="Q13" s="179">
        <f>VLOOKUP(A13,'OI(Value)'!A13:O231,9,0)</f>
        <v>126</v>
      </c>
      <c r="R13" s="179">
        <f>VLOOKUP(A13,'OI(Value)'!A13:O231,11,0)</f>
        <v>620</v>
      </c>
      <c r="S13" s="179">
        <f>VLOOKUP(A13,'OI(Value)'!A13:O231,11,0)</f>
        <v>620</v>
      </c>
    </row>
    <row r="14" spans="1:19" x14ac:dyDescent="0.25">
      <c r="A14" s="105" t="str">
        <f>'Data Vlaue (Cr)'!C9</f>
        <v>ALKEM</v>
      </c>
      <c r="B14" s="143">
        <f>VLOOKUP($A14,'Data shares'!$C:$FA,118)</f>
        <v>0.92</v>
      </c>
      <c r="C14" s="143">
        <f>VLOOKUP($A14,'Data shares'!$C:$FA,119)</f>
        <v>0.8</v>
      </c>
      <c r="D14" s="143">
        <f>VLOOKUP($A14,'Data shares'!$C:$FA,121)*100</f>
        <v>15</v>
      </c>
      <c r="E14" s="143">
        <f>VLOOKUP($A14,'Data shares'!$C:$FA,124)</f>
        <v>0.85</v>
      </c>
      <c r="F14" s="143">
        <f>VLOOKUP($A14,'Data shares'!$C:$FA,125)</f>
        <v>1.73</v>
      </c>
      <c r="G14" s="143">
        <f>VLOOKUP($A14,'Data shares'!$C:$FA,127)*100</f>
        <v>-50.870000000000005</v>
      </c>
      <c r="H14" s="103">
        <f>VLOOKUP($A14,'OI(Volume)'!$A$7:$O$440,8)</f>
        <v>61125</v>
      </c>
      <c r="I14" s="103">
        <f>VLOOKUP($A14,'OI(Volume)'!$A$7:$O$440,9)</f>
        <v>21625</v>
      </c>
      <c r="J14" s="103">
        <f>VLOOKUP($A14,'OI(Volume)'!$A$7:$O$440,11)</f>
        <v>56250</v>
      </c>
      <c r="K14" s="103">
        <f>VLOOKUP($A14,'OI(Volume)'!$A$7:$O$440,12)</f>
        <v>24500</v>
      </c>
      <c r="L14" s="103">
        <f>VLOOKUP($A14,'OI(Value)'!$A$7:$O$323,8,0)</f>
        <v>35</v>
      </c>
      <c r="M14" s="103">
        <f>VLOOKUP($A14,'OI(Value)'!$A$7:$O$323,9,0)</f>
        <v>12</v>
      </c>
      <c r="N14" s="103">
        <f>VLOOKUP($A14,'OI(Value)'!$A$7:$O$323,11,0)</f>
        <v>32</v>
      </c>
      <c r="O14" s="103">
        <f>VLOOKUP($A14,'OI(Value)'!$A$7:$O$323,12,0)</f>
        <v>14</v>
      </c>
      <c r="P14" s="179">
        <f>VLOOKUP(A14,'OI(Value)'!A14:O232,8,0)</f>
        <v>35</v>
      </c>
      <c r="Q14" s="179">
        <f>VLOOKUP(A14,'OI(Value)'!A14:O232,9,0)</f>
        <v>12</v>
      </c>
      <c r="R14" s="179">
        <f>VLOOKUP(A14,'OI(Value)'!A14:O232,11,0)</f>
        <v>32</v>
      </c>
      <c r="S14" s="179">
        <f>VLOOKUP(A14,'OI(Value)'!A14:O232,11,0)</f>
        <v>32</v>
      </c>
    </row>
    <row r="15" spans="1:19" x14ac:dyDescent="0.25">
      <c r="A15" s="105" t="str">
        <f>'Data Vlaue (Cr)'!C10</f>
        <v>AMBER</v>
      </c>
      <c r="B15" s="143">
        <f>VLOOKUP($A15,'Data shares'!$C:$FA,118)</f>
        <v>0.81</v>
      </c>
      <c r="C15" s="143">
        <f>VLOOKUP($A15,'Data shares'!$C:$FA,119)</f>
        <v>0.94</v>
      </c>
      <c r="D15" s="143">
        <f>VLOOKUP($A15,'Data shares'!$C:$FA,121)*100</f>
        <v>-13.83</v>
      </c>
      <c r="E15" s="143">
        <f>VLOOKUP($A15,'Data shares'!$C:$FA,124)</f>
        <v>0.38</v>
      </c>
      <c r="F15" s="143">
        <f>VLOOKUP($A15,'Data shares'!$C:$FA,125)</f>
        <v>0.89</v>
      </c>
      <c r="G15" s="143">
        <f>VLOOKUP($A15,'Data shares'!$C:$FA,127)*100</f>
        <v>-57.3</v>
      </c>
      <c r="H15" s="103">
        <f>VLOOKUP($A15,'OI(Volume)'!$A$7:$O$440,8)</f>
        <v>113200</v>
      </c>
      <c r="I15" s="103">
        <f>VLOOKUP($A15,'OI(Volume)'!$A$7:$O$440,9)</f>
        <v>22300</v>
      </c>
      <c r="J15" s="103">
        <f>VLOOKUP($A15,'OI(Volume)'!$A$7:$O$440,11)</f>
        <v>91300</v>
      </c>
      <c r="K15" s="103">
        <f>VLOOKUP($A15,'OI(Volume)'!$A$7:$O$440,12)</f>
        <v>5800</v>
      </c>
      <c r="L15" s="103">
        <f>VLOOKUP($A15,'OI(Value)'!$A$7:$O$323,8,0)</f>
        <v>64</v>
      </c>
      <c r="M15" s="103">
        <f>VLOOKUP($A15,'OI(Value)'!$A$7:$O$323,9,0)</f>
        <v>13</v>
      </c>
      <c r="N15" s="103">
        <f>VLOOKUP($A15,'OI(Value)'!$A$7:$O$323,11,0)</f>
        <v>52</v>
      </c>
      <c r="O15" s="103">
        <f>VLOOKUP($A15,'OI(Value)'!$A$7:$O$323,12,0)</f>
        <v>3</v>
      </c>
      <c r="P15" s="179">
        <f>VLOOKUP(A15,'OI(Value)'!A15:O233,8,0)</f>
        <v>64</v>
      </c>
      <c r="Q15" s="179">
        <f>VLOOKUP(A15,'OI(Value)'!A15:O233,9,0)</f>
        <v>13</v>
      </c>
      <c r="R15" s="179">
        <f>VLOOKUP(A15,'OI(Value)'!A15:O233,11,0)</f>
        <v>52</v>
      </c>
      <c r="S15" s="179">
        <f>VLOOKUP(A15,'OI(Value)'!A15:O233,11,0)</f>
        <v>52</v>
      </c>
    </row>
    <row r="16" spans="1:19" x14ac:dyDescent="0.25">
      <c r="A16" s="105" t="str">
        <f>'Data Vlaue (Cr)'!C11</f>
        <v>AMBUJACEM</v>
      </c>
      <c r="B16" s="143">
        <f>VLOOKUP($A16,'Data shares'!$C:$FA,118)</f>
        <v>1.1599999999999999</v>
      </c>
      <c r="C16" s="143">
        <f>VLOOKUP($A16,'Data shares'!$C:$FA,119)</f>
        <v>1.25</v>
      </c>
      <c r="D16" s="143">
        <f>VLOOKUP($A16,'Data shares'!$C:$FA,121)*100</f>
        <v>-7.1999999999999993</v>
      </c>
      <c r="E16" s="143">
        <f>VLOOKUP($A16,'Data shares'!$C:$FA,124)</f>
        <v>0.59</v>
      </c>
      <c r="F16" s="143">
        <f>VLOOKUP($A16,'Data shares'!$C:$FA,125)</f>
        <v>1.07</v>
      </c>
      <c r="G16" s="143">
        <f>VLOOKUP($A16,'Data shares'!$C:$FA,127)*100</f>
        <v>-44.86</v>
      </c>
      <c r="H16" s="103">
        <f>VLOOKUP($A16,'OI(Volume)'!$A$7:$O$440,8)</f>
        <v>7437150</v>
      </c>
      <c r="I16" s="103">
        <f>VLOOKUP($A16,'OI(Volume)'!$A$7:$O$440,9)</f>
        <v>704550</v>
      </c>
      <c r="J16" s="103">
        <f>VLOOKUP($A16,'OI(Volume)'!$A$7:$O$440,11)</f>
        <v>8604750</v>
      </c>
      <c r="K16" s="103">
        <f>VLOOKUP($A16,'OI(Volume)'!$A$7:$O$440,12)</f>
        <v>181650</v>
      </c>
      <c r="L16" s="103">
        <f>VLOOKUP($A16,'OI(Value)'!$A$7:$O$323,8,0)</f>
        <v>400</v>
      </c>
      <c r="M16" s="103">
        <f>VLOOKUP($A16,'OI(Value)'!$A$7:$O$323,9,0)</f>
        <v>38</v>
      </c>
      <c r="N16" s="103">
        <f>VLOOKUP($A16,'OI(Value)'!$A$7:$O$323,11,0)</f>
        <v>462</v>
      </c>
      <c r="O16" s="103">
        <f>VLOOKUP($A16,'OI(Value)'!$A$7:$O$323,12,0)</f>
        <v>10</v>
      </c>
      <c r="P16" s="179">
        <f>VLOOKUP(A16,'OI(Value)'!A16:O234,8,0)</f>
        <v>400</v>
      </c>
      <c r="Q16" s="179">
        <f>VLOOKUP(A16,'OI(Value)'!A16:O234,9,0)</f>
        <v>38</v>
      </c>
      <c r="R16" s="179">
        <f>VLOOKUP(A16,'OI(Value)'!A16:O234,11,0)</f>
        <v>462</v>
      </c>
      <c r="S16" s="179">
        <f>VLOOKUP(A16,'OI(Value)'!A16:O234,11,0)</f>
        <v>462</v>
      </c>
    </row>
    <row r="17" spans="1:19" x14ac:dyDescent="0.25">
      <c r="A17" s="105" t="str">
        <f>'Data Vlaue (Cr)'!C12</f>
        <v>ANGELONE</v>
      </c>
      <c r="B17" s="143">
        <f>VLOOKUP($A17,'Data shares'!$C:$FA,118)</f>
        <v>0.72</v>
      </c>
      <c r="C17" s="143">
        <f>VLOOKUP($A17,'Data shares'!$C:$FA,119)</f>
        <v>0.96</v>
      </c>
      <c r="D17" s="143">
        <f>VLOOKUP($A17,'Data shares'!$C:$FA,121)*100</f>
        <v>-25</v>
      </c>
      <c r="E17" s="143">
        <f>VLOOKUP($A17,'Data shares'!$C:$FA,124)</f>
        <v>0.35</v>
      </c>
      <c r="F17" s="143">
        <f>VLOOKUP($A17,'Data shares'!$C:$FA,125)</f>
        <v>0.92</v>
      </c>
      <c r="G17" s="143">
        <f>VLOOKUP($A17,'Data shares'!$C:$FA,127)*100</f>
        <v>-61.96</v>
      </c>
      <c r="H17" s="103">
        <f>VLOOKUP($A17,'OI(Volume)'!$A$7:$O$440,8)</f>
        <v>971750</v>
      </c>
      <c r="I17" s="103">
        <f>VLOOKUP($A17,'OI(Volume)'!$A$7:$O$440,9)</f>
        <v>233500</v>
      </c>
      <c r="J17" s="103">
        <f>VLOOKUP($A17,'OI(Volume)'!$A$7:$O$440,11)</f>
        <v>695250</v>
      </c>
      <c r="K17" s="103">
        <f>VLOOKUP($A17,'OI(Volume)'!$A$7:$O$440,12)</f>
        <v>-16250</v>
      </c>
      <c r="L17" s="103">
        <f>VLOOKUP($A17,'OI(Value)'!$A$7:$O$323,8,0)</f>
        <v>255</v>
      </c>
      <c r="M17" s="103">
        <f>VLOOKUP($A17,'OI(Value)'!$A$7:$O$323,9,0)</f>
        <v>61</v>
      </c>
      <c r="N17" s="103">
        <f>VLOOKUP($A17,'OI(Value)'!$A$7:$O$323,11,0)</f>
        <v>183</v>
      </c>
      <c r="O17" s="103">
        <f>VLOOKUP($A17,'OI(Value)'!$A$7:$O$323,12,0)</f>
        <v>-4</v>
      </c>
      <c r="P17" s="179">
        <f>VLOOKUP(A17,'OI(Value)'!A17:O235,8,0)</f>
        <v>255</v>
      </c>
      <c r="Q17" s="179">
        <f>VLOOKUP(A17,'OI(Value)'!A17:O235,9,0)</f>
        <v>61</v>
      </c>
      <c r="R17" s="179">
        <f>VLOOKUP(A17,'OI(Value)'!A17:O235,11,0)</f>
        <v>183</v>
      </c>
      <c r="S17" s="179">
        <f>VLOOKUP(A17,'OI(Value)'!A17:O235,11,0)</f>
        <v>183</v>
      </c>
    </row>
    <row r="18" spans="1:19" x14ac:dyDescent="0.25">
      <c r="A18" s="105" t="str">
        <f>'Data Vlaue (Cr)'!C13</f>
        <v>APLAPOLLO</v>
      </c>
      <c r="B18" s="143">
        <f>VLOOKUP($A18,'Data shares'!$C:$FA,118)</f>
        <v>0.55000000000000004</v>
      </c>
      <c r="C18" s="143">
        <f>VLOOKUP($A18,'Data shares'!$C:$FA,119)</f>
        <v>0.48</v>
      </c>
      <c r="D18" s="143">
        <f>VLOOKUP($A18,'Data shares'!$C:$FA,121)*100</f>
        <v>14.580000000000002</v>
      </c>
      <c r="E18" s="143">
        <f>VLOOKUP($A18,'Data shares'!$C:$FA,124)</f>
        <v>0.32</v>
      </c>
      <c r="F18" s="143">
        <f>VLOOKUP($A18,'Data shares'!$C:$FA,125)</f>
        <v>0.39</v>
      </c>
      <c r="G18" s="143">
        <f>VLOOKUP($A18,'Data shares'!$C:$FA,127)*100</f>
        <v>-17.95</v>
      </c>
      <c r="H18" s="103">
        <f>VLOOKUP($A18,'OI(Volume)'!$A$7:$O$440,8)</f>
        <v>1069950</v>
      </c>
      <c r="I18" s="103">
        <f>VLOOKUP($A18,'OI(Volume)'!$A$7:$O$440,9)</f>
        <v>-46550</v>
      </c>
      <c r="J18" s="103">
        <f>VLOOKUP($A18,'OI(Volume)'!$A$7:$O$440,11)</f>
        <v>587300</v>
      </c>
      <c r="K18" s="103">
        <f>VLOOKUP($A18,'OI(Volume)'!$A$7:$O$440,12)</f>
        <v>54950</v>
      </c>
      <c r="L18" s="103">
        <f>VLOOKUP($A18,'OI(Value)'!$A$7:$O$323,8,0)</f>
        <v>225</v>
      </c>
      <c r="M18" s="103">
        <f>VLOOKUP($A18,'OI(Value)'!$A$7:$O$323,9,0)</f>
        <v>-10</v>
      </c>
      <c r="N18" s="103">
        <f>VLOOKUP($A18,'OI(Value)'!$A$7:$O$323,11,0)</f>
        <v>123</v>
      </c>
      <c r="O18" s="103">
        <f>VLOOKUP($A18,'OI(Value)'!$A$7:$O$323,12,0)</f>
        <v>12</v>
      </c>
      <c r="P18" s="179">
        <f>VLOOKUP(A18,'OI(Value)'!A18:O236,8,0)</f>
        <v>225</v>
      </c>
      <c r="Q18" s="179">
        <f>VLOOKUP(A18,'OI(Value)'!A18:O236,9,0)</f>
        <v>-10</v>
      </c>
      <c r="R18" s="179">
        <f>VLOOKUP(A18,'OI(Value)'!A18:O236,11,0)</f>
        <v>123</v>
      </c>
      <c r="S18" s="179">
        <f>VLOOKUP(A18,'OI(Value)'!A18:O236,11,0)</f>
        <v>123</v>
      </c>
    </row>
    <row r="19" spans="1:19" x14ac:dyDescent="0.25">
      <c r="A19" s="105" t="str">
        <f>'Data Vlaue (Cr)'!C14</f>
        <v>APOLLOHOSP</v>
      </c>
      <c r="B19" s="143">
        <f>VLOOKUP($A19,'Data shares'!$C:$FA,118)</f>
        <v>0.76</v>
      </c>
      <c r="C19" s="143">
        <f>VLOOKUP($A19,'Data shares'!$C:$FA,119)</f>
        <v>0.8</v>
      </c>
      <c r="D19" s="143">
        <f>VLOOKUP($A19,'Data shares'!$C:$FA,121)*100</f>
        <v>-5</v>
      </c>
      <c r="E19" s="143">
        <f>VLOOKUP($A19,'Data shares'!$C:$FA,124)</f>
        <v>0.31</v>
      </c>
      <c r="F19" s="143">
        <f>VLOOKUP($A19,'Data shares'!$C:$FA,125)</f>
        <v>0.51</v>
      </c>
      <c r="G19" s="143">
        <f>VLOOKUP($A19,'Data shares'!$C:$FA,127)*100</f>
        <v>-39.22</v>
      </c>
      <c r="H19" s="103">
        <f>VLOOKUP($A19,'OI(Volume)'!$A$7:$O$440,8)</f>
        <v>641875</v>
      </c>
      <c r="I19" s="103">
        <f>VLOOKUP($A19,'OI(Volume)'!$A$7:$O$440,9)</f>
        <v>214625</v>
      </c>
      <c r="J19" s="103">
        <f>VLOOKUP($A19,'OI(Volume)'!$A$7:$O$440,11)</f>
        <v>487625</v>
      </c>
      <c r="K19" s="103">
        <f>VLOOKUP($A19,'OI(Volume)'!$A$7:$O$440,12)</f>
        <v>145250</v>
      </c>
      <c r="L19" s="103">
        <f>VLOOKUP($A19,'OI(Value)'!$A$7:$O$323,8,0)</f>
        <v>442</v>
      </c>
      <c r="M19" s="103">
        <f>VLOOKUP($A19,'OI(Value)'!$A$7:$O$323,9,0)</f>
        <v>148</v>
      </c>
      <c r="N19" s="103">
        <f>VLOOKUP($A19,'OI(Value)'!$A$7:$O$323,11,0)</f>
        <v>336</v>
      </c>
      <c r="O19" s="103">
        <f>VLOOKUP($A19,'OI(Value)'!$A$7:$O$323,12,0)</f>
        <v>100</v>
      </c>
      <c r="P19" s="179">
        <f>VLOOKUP(A19,'OI(Value)'!A19:O237,8,0)</f>
        <v>442</v>
      </c>
      <c r="Q19" s="179">
        <f>VLOOKUP(A19,'OI(Value)'!A19:O237,9,0)</f>
        <v>148</v>
      </c>
      <c r="R19" s="179">
        <f>VLOOKUP(A19,'OI(Value)'!A19:O237,11,0)</f>
        <v>336</v>
      </c>
      <c r="S19" s="179">
        <f>VLOOKUP(A19,'OI(Value)'!A19:O237,11,0)</f>
        <v>336</v>
      </c>
    </row>
    <row r="20" spans="1:19" x14ac:dyDescent="0.25">
      <c r="A20" s="105" t="str">
        <f>'Data Vlaue (Cr)'!C15</f>
        <v>ASHOKLEY</v>
      </c>
      <c r="B20" s="143">
        <f>VLOOKUP($A20,'Data shares'!$C:$FA,118)</f>
        <v>0.61</v>
      </c>
      <c r="C20" s="143">
        <f>VLOOKUP($A20,'Data shares'!$C:$FA,119)</f>
        <v>0.57999999999999996</v>
      </c>
      <c r="D20" s="143">
        <f>VLOOKUP($A20,'Data shares'!$C:$FA,121)*100</f>
        <v>5.17</v>
      </c>
      <c r="E20" s="143">
        <f>VLOOKUP($A20,'Data shares'!$C:$FA,124)</f>
        <v>0.36</v>
      </c>
      <c r="F20" s="143">
        <f>VLOOKUP($A20,'Data shares'!$C:$FA,125)</f>
        <v>0.49</v>
      </c>
      <c r="G20" s="143">
        <f>VLOOKUP($A20,'Data shares'!$C:$FA,127)*100</f>
        <v>-26.529999999999998</v>
      </c>
      <c r="H20" s="103">
        <f>VLOOKUP($A20,'OI(Volume)'!$A$7:$O$440,8)</f>
        <v>38600000</v>
      </c>
      <c r="I20" s="103">
        <f>VLOOKUP($A20,'OI(Volume)'!$A$7:$O$440,9)</f>
        <v>3265000</v>
      </c>
      <c r="J20" s="103">
        <f>VLOOKUP($A20,'OI(Volume)'!$A$7:$O$440,11)</f>
        <v>23435000</v>
      </c>
      <c r="K20" s="103">
        <f>VLOOKUP($A20,'OI(Volume)'!$A$7:$O$440,12)</f>
        <v>3105000</v>
      </c>
      <c r="L20" s="103">
        <f>VLOOKUP($A20,'OI(Value)'!$A$7:$O$323,8,0)</f>
        <v>747</v>
      </c>
      <c r="M20" s="103">
        <f>VLOOKUP($A20,'OI(Value)'!$A$7:$O$323,9,0)</f>
        <v>63</v>
      </c>
      <c r="N20" s="103">
        <f>VLOOKUP($A20,'OI(Value)'!$A$7:$O$323,11,0)</f>
        <v>454</v>
      </c>
      <c r="O20" s="103">
        <f>VLOOKUP($A20,'OI(Value)'!$A$7:$O$323,12,0)</f>
        <v>60</v>
      </c>
      <c r="P20" s="179">
        <f>VLOOKUP(A20,'OI(Value)'!A20:O238,8,0)</f>
        <v>747</v>
      </c>
      <c r="Q20" s="179">
        <f>VLOOKUP(A20,'OI(Value)'!A20:O238,9,0)</f>
        <v>63</v>
      </c>
      <c r="R20" s="179">
        <f>VLOOKUP(A20,'OI(Value)'!A20:O238,11,0)</f>
        <v>454</v>
      </c>
      <c r="S20" s="179">
        <f>VLOOKUP(A20,'OI(Value)'!A20:O238,11,0)</f>
        <v>454</v>
      </c>
    </row>
    <row r="21" spans="1:19" x14ac:dyDescent="0.25">
      <c r="A21" s="105" t="str">
        <f>'Data Vlaue (Cr)'!C16</f>
        <v>ASIANPAINT</v>
      </c>
      <c r="B21" s="143">
        <f>VLOOKUP($A21,'Data shares'!$C:$FA,118)</f>
        <v>0.64</v>
      </c>
      <c r="C21" s="143">
        <f>VLOOKUP($A21,'Data shares'!$C:$FA,119)</f>
        <v>0.91</v>
      </c>
      <c r="D21" s="143">
        <f>VLOOKUP($A21,'Data shares'!$C:$FA,121)*100</f>
        <v>-29.67</v>
      </c>
      <c r="E21" s="143">
        <f>VLOOKUP($A21,'Data shares'!$C:$FA,124)</f>
        <v>0.7</v>
      </c>
      <c r="F21" s="143">
        <f>VLOOKUP($A21,'Data shares'!$C:$FA,125)</f>
        <v>0.97</v>
      </c>
      <c r="G21" s="143">
        <f>VLOOKUP($A21,'Data shares'!$C:$FA,127)*100</f>
        <v>-27.839999999999996</v>
      </c>
      <c r="H21" s="103">
        <f>VLOOKUP($A21,'OI(Volume)'!$A$7:$O$440,8)</f>
        <v>4972250</v>
      </c>
      <c r="I21" s="103">
        <f>VLOOKUP($A21,'OI(Volume)'!$A$7:$O$440,9)</f>
        <v>2057000</v>
      </c>
      <c r="J21" s="103">
        <f>VLOOKUP($A21,'OI(Volume)'!$A$7:$O$440,11)</f>
        <v>3173250</v>
      </c>
      <c r="K21" s="103">
        <f>VLOOKUP($A21,'OI(Volume)'!$A$7:$O$440,12)</f>
        <v>520750</v>
      </c>
      <c r="L21" s="103">
        <f>VLOOKUP($A21,'OI(Value)'!$A$7:$O$323,8,0)</f>
        <v>1250</v>
      </c>
      <c r="M21" s="103">
        <f>VLOOKUP($A21,'OI(Value)'!$A$7:$O$323,9,0)</f>
        <v>517</v>
      </c>
      <c r="N21" s="103">
        <f>VLOOKUP($A21,'OI(Value)'!$A$7:$O$323,11,0)</f>
        <v>798</v>
      </c>
      <c r="O21" s="103">
        <f>VLOOKUP($A21,'OI(Value)'!$A$7:$O$323,12,0)</f>
        <v>131</v>
      </c>
      <c r="P21" s="179">
        <f>VLOOKUP(A21,'OI(Value)'!A21:O239,8,0)</f>
        <v>1250</v>
      </c>
      <c r="Q21" s="179">
        <f>VLOOKUP(A21,'OI(Value)'!A21:O239,9,0)</f>
        <v>517</v>
      </c>
      <c r="R21" s="179">
        <f>VLOOKUP(A21,'OI(Value)'!A21:O239,11,0)</f>
        <v>798</v>
      </c>
      <c r="S21" s="179">
        <f>VLOOKUP(A21,'OI(Value)'!A21:O239,11,0)</f>
        <v>798</v>
      </c>
    </row>
    <row r="22" spans="1:19" x14ac:dyDescent="0.25">
      <c r="A22" s="105" t="str">
        <f>'Data Vlaue (Cr)'!C17</f>
        <v>ASTRAL</v>
      </c>
      <c r="B22" s="143">
        <f>VLOOKUP($A22,'Data shares'!$C:$FA,118)</f>
        <v>0.64</v>
      </c>
      <c r="C22" s="143">
        <f>VLOOKUP($A22,'Data shares'!$C:$FA,119)</f>
        <v>0.79</v>
      </c>
      <c r="D22" s="143">
        <f>VLOOKUP($A22,'Data shares'!$C:$FA,121)*100</f>
        <v>-18.990000000000002</v>
      </c>
      <c r="E22" s="143">
        <f>VLOOKUP($A22,'Data shares'!$C:$FA,124)</f>
        <v>0.56000000000000005</v>
      </c>
      <c r="F22" s="143">
        <f>VLOOKUP($A22,'Data shares'!$C:$FA,125)</f>
        <v>0.54</v>
      </c>
      <c r="G22" s="143">
        <f>VLOOKUP($A22,'Data shares'!$C:$FA,127)*100</f>
        <v>3.6999999999999997</v>
      </c>
      <c r="H22" s="103">
        <f>VLOOKUP($A22,'OI(Volume)'!$A$7:$O$440,8)</f>
        <v>1094375</v>
      </c>
      <c r="I22" s="103">
        <f>VLOOKUP($A22,'OI(Volume)'!$A$7:$O$440,9)</f>
        <v>340850</v>
      </c>
      <c r="J22" s="103">
        <f>VLOOKUP($A22,'OI(Volume)'!$A$7:$O$440,11)</f>
        <v>701675</v>
      </c>
      <c r="K22" s="103">
        <f>VLOOKUP($A22,'OI(Volume)'!$A$7:$O$440,12)</f>
        <v>102850</v>
      </c>
      <c r="L22" s="103">
        <f>VLOOKUP($A22,'OI(Value)'!$A$7:$O$323,8,0)</f>
        <v>159</v>
      </c>
      <c r="M22" s="103">
        <f>VLOOKUP($A22,'OI(Value)'!$A$7:$O$323,9,0)</f>
        <v>50</v>
      </c>
      <c r="N22" s="103">
        <f>VLOOKUP($A22,'OI(Value)'!$A$7:$O$323,11,0)</f>
        <v>102</v>
      </c>
      <c r="O22" s="103">
        <f>VLOOKUP($A22,'OI(Value)'!$A$7:$O$323,12,0)</f>
        <v>15</v>
      </c>
      <c r="P22" s="179">
        <f>VLOOKUP(A22,'OI(Value)'!A22:O240,8,0)</f>
        <v>159</v>
      </c>
      <c r="Q22" s="179">
        <f>VLOOKUP(A22,'OI(Value)'!A22:O240,9,0)</f>
        <v>50</v>
      </c>
      <c r="R22" s="179">
        <f>VLOOKUP(A22,'OI(Value)'!A22:O240,11,0)</f>
        <v>102</v>
      </c>
      <c r="S22" s="179">
        <f>VLOOKUP(A22,'OI(Value)'!A22:O240,11,0)</f>
        <v>102</v>
      </c>
    </row>
    <row r="23" spans="1:19" x14ac:dyDescent="0.25">
      <c r="A23" s="105" t="str">
        <f>'Data Vlaue (Cr)'!C18</f>
        <v>AUBANK</v>
      </c>
      <c r="B23" s="143">
        <f>VLOOKUP($A23,'Data shares'!$C:$FA,118)</f>
        <v>0.74</v>
      </c>
      <c r="C23" s="143">
        <f>VLOOKUP($A23,'Data shares'!$C:$FA,119)</f>
        <v>0.82</v>
      </c>
      <c r="D23" s="143">
        <f>VLOOKUP($A23,'Data shares'!$C:$FA,121)*100</f>
        <v>-9.76</v>
      </c>
      <c r="E23" s="143">
        <f>VLOOKUP($A23,'Data shares'!$C:$FA,124)</f>
        <v>0.5</v>
      </c>
      <c r="F23" s="143">
        <f>VLOOKUP($A23,'Data shares'!$C:$FA,125)</f>
        <v>0.95</v>
      </c>
      <c r="G23" s="143">
        <f>VLOOKUP($A23,'Data shares'!$C:$FA,127)*100</f>
        <v>-47.370000000000005</v>
      </c>
      <c r="H23" s="103">
        <f>VLOOKUP($A23,'OI(Volume)'!$A$7:$O$440,8)</f>
        <v>4267000</v>
      </c>
      <c r="I23" s="103">
        <f>VLOOKUP($A23,'OI(Volume)'!$A$7:$O$440,9)</f>
        <v>768000</v>
      </c>
      <c r="J23" s="103">
        <f>VLOOKUP($A23,'OI(Volume)'!$A$7:$O$440,11)</f>
        <v>3168000</v>
      </c>
      <c r="K23" s="103">
        <f>VLOOKUP($A23,'OI(Volume)'!$A$7:$O$440,12)</f>
        <v>292000</v>
      </c>
      <c r="L23" s="103">
        <f>VLOOKUP($A23,'OI(Value)'!$A$7:$O$323,8,0)</f>
        <v>413</v>
      </c>
      <c r="M23" s="103">
        <f>VLOOKUP($A23,'OI(Value)'!$A$7:$O$323,9,0)</f>
        <v>74</v>
      </c>
      <c r="N23" s="103">
        <f>VLOOKUP($A23,'OI(Value)'!$A$7:$O$323,11,0)</f>
        <v>307</v>
      </c>
      <c r="O23" s="103">
        <f>VLOOKUP($A23,'OI(Value)'!$A$7:$O$323,12,0)</f>
        <v>28</v>
      </c>
      <c r="P23" s="179">
        <f>VLOOKUP(A23,'OI(Value)'!A23:O241,8,0)</f>
        <v>413</v>
      </c>
      <c r="Q23" s="179">
        <f>VLOOKUP(A23,'OI(Value)'!A23:O241,9,0)</f>
        <v>74</v>
      </c>
      <c r="R23" s="179">
        <f>VLOOKUP(A23,'OI(Value)'!A23:O241,11,0)</f>
        <v>307</v>
      </c>
      <c r="S23" s="179">
        <f>VLOOKUP(A23,'OI(Value)'!A23:O241,11,0)</f>
        <v>307</v>
      </c>
    </row>
    <row r="24" spans="1:19" x14ac:dyDescent="0.25">
      <c r="A24" s="105" t="str">
        <f>'Data Vlaue (Cr)'!C19</f>
        <v>AUROPHARMA</v>
      </c>
      <c r="B24" s="143">
        <f>VLOOKUP($A24,'Data shares'!$C:$FA,118)</f>
        <v>1.1599999999999999</v>
      </c>
      <c r="C24" s="143">
        <f>VLOOKUP($A24,'Data shares'!$C:$FA,119)</f>
        <v>1.27</v>
      </c>
      <c r="D24" s="143">
        <f>VLOOKUP($A24,'Data shares'!$C:$FA,121)*100</f>
        <v>-8.66</v>
      </c>
      <c r="E24" s="143">
        <f>VLOOKUP($A24,'Data shares'!$C:$FA,124)</f>
        <v>0.52</v>
      </c>
      <c r="F24" s="143">
        <f>VLOOKUP($A24,'Data shares'!$C:$FA,125)</f>
        <v>0.73</v>
      </c>
      <c r="G24" s="143">
        <f>VLOOKUP($A24,'Data shares'!$C:$FA,127)*100</f>
        <v>-28.77</v>
      </c>
      <c r="H24" s="103">
        <f>VLOOKUP($A24,'OI(Volume)'!$A$7:$O$440,8)</f>
        <v>1297450</v>
      </c>
      <c r="I24" s="103">
        <f>VLOOKUP($A24,'OI(Volume)'!$A$7:$O$440,9)</f>
        <v>264000</v>
      </c>
      <c r="J24" s="103">
        <f>VLOOKUP($A24,'OI(Volume)'!$A$7:$O$440,11)</f>
        <v>1503150</v>
      </c>
      <c r="K24" s="103">
        <f>VLOOKUP($A24,'OI(Volume)'!$A$7:$O$440,12)</f>
        <v>188650</v>
      </c>
      <c r="L24" s="103">
        <f>VLOOKUP($A24,'OI(Value)'!$A$7:$O$323,8,0)</f>
        <v>148</v>
      </c>
      <c r="M24" s="103">
        <f>VLOOKUP($A24,'OI(Value)'!$A$7:$O$323,9,0)</f>
        <v>30</v>
      </c>
      <c r="N24" s="103">
        <f>VLOOKUP($A24,'OI(Value)'!$A$7:$O$323,11,0)</f>
        <v>172</v>
      </c>
      <c r="O24" s="103">
        <f>VLOOKUP($A24,'OI(Value)'!$A$7:$O$323,12,0)</f>
        <v>22</v>
      </c>
      <c r="P24" s="179">
        <f>VLOOKUP(A24,'OI(Value)'!A24:O242,8,0)</f>
        <v>148</v>
      </c>
      <c r="Q24" s="179">
        <f>VLOOKUP(A24,'OI(Value)'!A24:O242,9,0)</f>
        <v>30</v>
      </c>
      <c r="R24" s="179">
        <f>VLOOKUP(A24,'OI(Value)'!A24:O242,11,0)</f>
        <v>172</v>
      </c>
      <c r="S24" s="179">
        <f>VLOOKUP(A24,'OI(Value)'!A24:O242,11,0)</f>
        <v>172</v>
      </c>
    </row>
    <row r="25" spans="1:19" x14ac:dyDescent="0.25">
      <c r="A25" s="105" t="str">
        <f>'Data Vlaue (Cr)'!C20</f>
        <v>AXISBANK</v>
      </c>
      <c r="B25" s="143">
        <f>VLOOKUP($A25,'Data shares'!$C:$FA,118)</f>
        <v>0.88</v>
      </c>
      <c r="C25" s="143">
        <f>VLOOKUP($A25,'Data shares'!$C:$FA,119)</f>
        <v>1.1499999999999999</v>
      </c>
      <c r="D25" s="143">
        <f>VLOOKUP($A25,'Data shares'!$C:$FA,121)*100</f>
        <v>-23.48</v>
      </c>
      <c r="E25" s="143">
        <f>VLOOKUP($A25,'Data shares'!$C:$FA,124)</f>
        <v>0.69</v>
      </c>
      <c r="F25" s="143">
        <f>VLOOKUP($A25,'Data shares'!$C:$FA,125)</f>
        <v>0.47</v>
      </c>
      <c r="G25" s="143">
        <f>VLOOKUP($A25,'Data shares'!$C:$FA,127)*100</f>
        <v>46.81</v>
      </c>
      <c r="H25" s="103">
        <f>VLOOKUP($A25,'OI(Volume)'!$A$7:$O$440,8)</f>
        <v>12759375</v>
      </c>
      <c r="I25" s="103">
        <f>VLOOKUP($A25,'OI(Volume)'!$A$7:$O$440,9)</f>
        <v>4115000</v>
      </c>
      <c r="J25" s="103">
        <f>VLOOKUP($A25,'OI(Volume)'!$A$7:$O$440,11)</f>
        <v>11201875</v>
      </c>
      <c r="K25" s="103">
        <f>VLOOKUP($A25,'OI(Volume)'!$A$7:$O$440,12)</f>
        <v>1229375</v>
      </c>
      <c r="L25" s="103">
        <f>VLOOKUP($A25,'OI(Value)'!$A$7:$O$323,8,0)</f>
        <v>1689</v>
      </c>
      <c r="M25" s="103">
        <f>VLOOKUP($A25,'OI(Value)'!$A$7:$O$323,9,0)</f>
        <v>545</v>
      </c>
      <c r="N25" s="103">
        <f>VLOOKUP($A25,'OI(Value)'!$A$7:$O$323,11,0)</f>
        <v>1483</v>
      </c>
      <c r="O25" s="103">
        <f>VLOOKUP($A25,'OI(Value)'!$A$7:$O$323,12,0)</f>
        <v>163</v>
      </c>
      <c r="P25" s="179">
        <f>VLOOKUP(A25,'OI(Value)'!A25:O243,8,0)</f>
        <v>1689</v>
      </c>
      <c r="Q25" s="179">
        <f>VLOOKUP(A25,'OI(Value)'!A25:O243,9,0)</f>
        <v>545</v>
      </c>
      <c r="R25" s="179">
        <f>VLOOKUP(A25,'OI(Value)'!A25:O243,11,0)</f>
        <v>1483</v>
      </c>
      <c r="S25" s="179">
        <f>VLOOKUP(A25,'OI(Value)'!A25:O243,11,0)</f>
        <v>1483</v>
      </c>
    </row>
    <row r="26" spans="1:19" x14ac:dyDescent="0.25">
      <c r="A26" s="105" t="str">
        <f>'Data Vlaue (Cr)'!C21</f>
        <v>BAJAJ-AUTO</v>
      </c>
      <c r="B26" s="143">
        <f>VLOOKUP($A26,'Data shares'!$C:$FA,118)</f>
        <v>0.87</v>
      </c>
      <c r="C26" s="143">
        <f>VLOOKUP($A26,'Data shares'!$C:$FA,119)</f>
        <v>0.83</v>
      </c>
      <c r="D26" s="143">
        <f>VLOOKUP($A26,'Data shares'!$C:$FA,121)*100</f>
        <v>4.82</v>
      </c>
      <c r="E26" s="143">
        <f>VLOOKUP($A26,'Data shares'!$C:$FA,124)</f>
        <v>1.1200000000000001</v>
      </c>
      <c r="F26" s="143">
        <f>VLOOKUP($A26,'Data shares'!$C:$FA,125)</f>
        <v>0.62</v>
      </c>
      <c r="G26" s="143">
        <f>VLOOKUP($A26,'Data shares'!$C:$FA,127)*100</f>
        <v>80.650000000000006</v>
      </c>
      <c r="H26" s="103">
        <f>VLOOKUP($A26,'OI(Volume)'!$A$7:$O$440,8)</f>
        <v>509025</v>
      </c>
      <c r="I26" s="103">
        <f>VLOOKUP($A26,'OI(Volume)'!$A$7:$O$440,9)</f>
        <v>97425</v>
      </c>
      <c r="J26" s="103">
        <f>VLOOKUP($A26,'OI(Volume)'!$A$7:$O$440,11)</f>
        <v>440625</v>
      </c>
      <c r="K26" s="103">
        <f>VLOOKUP($A26,'OI(Volume)'!$A$7:$O$440,12)</f>
        <v>100275</v>
      </c>
      <c r="L26" s="103">
        <f>VLOOKUP($A26,'OI(Value)'!$A$7:$O$323,8,0)</f>
        <v>481</v>
      </c>
      <c r="M26" s="103">
        <f>VLOOKUP($A26,'OI(Value)'!$A$7:$O$323,9,0)</f>
        <v>92</v>
      </c>
      <c r="N26" s="103">
        <f>VLOOKUP($A26,'OI(Value)'!$A$7:$O$323,11,0)</f>
        <v>417</v>
      </c>
      <c r="O26" s="103">
        <f>VLOOKUP($A26,'OI(Value)'!$A$7:$O$323,12,0)</f>
        <v>95</v>
      </c>
      <c r="P26" s="179">
        <f>VLOOKUP(A26,'OI(Value)'!A26:O244,8,0)</f>
        <v>481</v>
      </c>
      <c r="Q26" s="179">
        <f>VLOOKUP(A26,'OI(Value)'!A26:O244,9,0)</f>
        <v>92</v>
      </c>
      <c r="R26" s="179">
        <f>VLOOKUP(A26,'OI(Value)'!A26:O244,11,0)</f>
        <v>417</v>
      </c>
      <c r="S26" s="179">
        <f>VLOOKUP(A26,'OI(Value)'!A26:O244,11,0)</f>
        <v>417</v>
      </c>
    </row>
    <row r="27" spans="1:19" x14ac:dyDescent="0.25">
      <c r="A27" s="105" t="str">
        <f>'Data Vlaue (Cr)'!C22</f>
        <v>BAJAJFINSV</v>
      </c>
      <c r="B27" s="143">
        <f>VLOOKUP($A27,'Data shares'!$C:$FA,118)</f>
        <v>1.07</v>
      </c>
      <c r="C27" s="143">
        <f>VLOOKUP($A27,'Data shares'!$C:$FA,119)</f>
        <v>1.06</v>
      </c>
      <c r="D27" s="143">
        <f>VLOOKUP($A27,'Data shares'!$C:$FA,121)*100</f>
        <v>0.94000000000000006</v>
      </c>
      <c r="E27" s="143">
        <f>VLOOKUP($A27,'Data shares'!$C:$FA,124)</f>
        <v>0.56999999999999995</v>
      </c>
      <c r="F27" s="143">
        <f>VLOOKUP($A27,'Data shares'!$C:$FA,125)</f>
        <v>0.92</v>
      </c>
      <c r="G27" s="143">
        <f>VLOOKUP($A27,'Data shares'!$C:$FA,127)*100</f>
        <v>-38.04</v>
      </c>
      <c r="H27" s="103">
        <f>VLOOKUP($A27,'OI(Volume)'!$A$7:$O$440,8)</f>
        <v>1799500</v>
      </c>
      <c r="I27" s="103">
        <f>VLOOKUP($A27,'OI(Volume)'!$A$7:$O$440,9)</f>
        <v>210750</v>
      </c>
      <c r="J27" s="103">
        <f>VLOOKUP($A27,'OI(Volume)'!$A$7:$O$440,11)</f>
        <v>1930500</v>
      </c>
      <c r="K27" s="103">
        <f>VLOOKUP($A27,'OI(Volume)'!$A$7:$O$440,12)</f>
        <v>249750</v>
      </c>
      <c r="L27" s="103">
        <f>VLOOKUP($A27,'OI(Value)'!$A$7:$O$323,8,0)</f>
        <v>351</v>
      </c>
      <c r="M27" s="103">
        <f>VLOOKUP($A27,'OI(Value)'!$A$7:$O$323,9,0)</f>
        <v>41</v>
      </c>
      <c r="N27" s="103">
        <f>VLOOKUP($A27,'OI(Value)'!$A$7:$O$323,11,0)</f>
        <v>377</v>
      </c>
      <c r="O27" s="103">
        <f>VLOOKUP($A27,'OI(Value)'!$A$7:$O$323,12,0)</f>
        <v>49</v>
      </c>
      <c r="P27" s="179">
        <f>VLOOKUP(A27,'OI(Value)'!A27:O245,8,0)</f>
        <v>351</v>
      </c>
      <c r="Q27" s="179">
        <f>VLOOKUP(A27,'OI(Value)'!A27:O245,9,0)</f>
        <v>41</v>
      </c>
      <c r="R27" s="179">
        <f>VLOOKUP(A27,'OI(Value)'!A27:O245,11,0)</f>
        <v>377</v>
      </c>
      <c r="S27" s="179">
        <f>VLOOKUP(A27,'OI(Value)'!A27:O245,11,0)</f>
        <v>377</v>
      </c>
    </row>
    <row r="28" spans="1:19" x14ac:dyDescent="0.25">
      <c r="A28" s="105" t="str">
        <f>'Data Vlaue (Cr)'!C23</f>
        <v>BAJAJHLDNG</v>
      </c>
      <c r="B28" s="143">
        <f>VLOOKUP($A28,'Data shares'!$C:$FA,118)</f>
        <v>0.71</v>
      </c>
      <c r="C28" s="143">
        <f>VLOOKUP($A28,'Data shares'!$C:$FA,119)</f>
        <v>0.97</v>
      </c>
      <c r="D28" s="143">
        <f>VLOOKUP($A28,'Data shares'!$C:$FA,121)*100</f>
        <v>-26.8</v>
      </c>
      <c r="E28" s="143">
        <f>VLOOKUP($A28,'Data shares'!$C:$FA,124)</f>
        <v>0.36</v>
      </c>
      <c r="F28" s="143">
        <f>VLOOKUP($A28,'Data shares'!$C:$FA,125)</f>
        <v>1.96</v>
      </c>
      <c r="G28" s="143">
        <f>VLOOKUP($A28,'Data shares'!$C:$FA,127)*100</f>
        <v>-81.63</v>
      </c>
      <c r="H28" s="103">
        <f>VLOOKUP($A28,'OI(Volume)'!$A$7:$O$440,8)</f>
        <v>29300</v>
      </c>
      <c r="I28" s="103">
        <f>VLOOKUP($A28,'OI(Volume)'!$A$7:$O$440,9)</f>
        <v>17800</v>
      </c>
      <c r="J28" s="103">
        <f>VLOOKUP($A28,'OI(Volume)'!$A$7:$O$440,11)</f>
        <v>20900</v>
      </c>
      <c r="K28" s="103">
        <f>VLOOKUP($A28,'OI(Volume)'!$A$7:$O$440,12)</f>
        <v>9800</v>
      </c>
      <c r="L28" s="103">
        <f>VLOOKUP($A28,'OI(Value)'!$A$7:$O$323,8,0)</f>
        <v>31</v>
      </c>
      <c r="M28" s="103">
        <f>VLOOKUP($A28,'OI(Value)'!$A$7:$O$323,9,0)</f>
        <v>19</v>
      </c>
      <c r="N28" s="103">
        <f>VLOOKUP($A28,'OI(Value)'!$A$7:$O$323,11,0)</f>
        <v>22</v>
      </c>
      <c r="O28" s="103">
        <f>VLOOKUP($A28,'OI(Value)'!$A$7:$O$323,12,0)</f>
        <v>11</v>
      </c>
      <c r="P28" s="179">
        <f>VLOOKUP(A28,'OI(Value)'!A28:O246,8,0)</f>
        <v>31</v>
      </c>
      <c r="Q28" s="179">
        <f>VLOOKUP(A28,'OI(Value)'!A28:O246,9,0)</f>
        <v>19</v>
      </c>
      <c r="R28" s="179">
        <f>VLOOKUP(A28,'OI(Value)'!A28:O246,11,0)</f>
        <v>22</v>
      </c>
      <c r="S28" s="179">
        <f>VLOOKUP(A28,'OI(Value)'!A28:O246,11,0)</f>
        <v>22</v>
      </c>
    </row>
    <row r="29" spans="1:19" x14ac:dyDescent="0.25">
      <c r="A29" s="105" t="str">
        <f>'Data Vlaue (Cr)'!C24</f>
        <v>BAJFINANCE</v>
      </c>
      <c r="B29" s="143">
        <f>VLOOKUP($A29,'Data shares'!$C:$FA,118)</f>
        <v>1.1599999999999999</v>
      </c>
      <c r="C29" s="143">
        <f>VLOOKUP($A29,'Data shares'!$C:$FA,119)</f>
        <v>1.23</v>
      </c>
      <c r="D29" s="143">
        <f>VLOOKUP($A29,'Data shares'!$C:$FA,121)*100</f>
        <v>-5.6899999999999995</v>
      </c>
      <c r="E29" s="143">
        <f>VLOOKUP($A29,'Data shares'!$C:$FA,124)</f>
        <v>0.45</v>
      </c>
      <c r="F29" s="143">
        <f>VLOOKUP($A29,'Data shares'!$C:$FA,125)</f>
        <v>0.79</v>
      </c>
      <c r="G29" s="143">
        <f>VLOOKUP($A29,'Data shares'!$C:$FA,127)*100</f>
        <v>-43.04</v>
      </c>
      <c r="H29" s="103">
        <f>VLOOKUP($A29,'OI(Volume)'!$A$7:$O$440,8)</f>
        <v>10672500</v>
      </c>
      <c r="I29" s="103">
        <f>VLOOKUP($A29,'OI(Volume)'!$A$7:$O$440,9)</f>
        <v>1346250</v>
      </c>
      <c r="J29" s="103">
        <f>VLOOKUP($A29,'OI(Volume)'!$A$7:$O$440,11)</f>
        <v>12360750</v>
      </c>
      <c r="K29" s="103">
        <f>VLOOKUP($A29,'OI(Volume)'!$A$7:$O$440,12)</f>
        <v>892500</v>
      </c>
      <c r="L29" s="103">
        <f>VLOOKUP($A29,'OI(Value)'!$A$7:$O$323,8,0)</f>
        <v>1002</v>
      </c>
      <c r="M29" s="103">
        <f>VLOOKUP($A29,'OI(Value)'!$A$7:$O$323,9,0)</f>
        <v>126</v>
      </c>
      <c r="N29" s="103">
        <f>VLOOKUP($A29,'OI(Value)'!$A$7:$O$323,11,0)</f>
        <v>1160</v>
      </c>
      <c r="O29" s="103">
        <f>VLOOKUP($A29,'OI(Value)'!$A$7:$O$323,12,0)</f>
        <v>84</v>
      </c>
      <c r="P29" s="179">
        <f>VLOOKUP(A29,'OI(Value)'!A29:O247,8,0)</f>
        <v>1002</v>
      </c>
      <c r="Q29" s="179">
        <f>VLOOKUP(A29,'OI(Value)'!A29:O247,9,0)</f>
        <v>126</v>
      </c>
      <c r="R29" s="179">
        <f>VLOOKUP(A29,'OI(Value)'!A29:O247,11,0)</f>
        <v>1160</v>
      </c>
      <c r="S29" s="179">
        <f>VLOOKUP(A29,'OI(Value)'!A29:O247,11,0)</f>
        <v>1160</v>
      </c>
    </row>
    <row r="30" spans="1:19" x14ac:dyDescent="0.25">
      <c r="A30" s="105" t="str">
        <f>'Data Vlaue (Cr)'!C25</f>
        <v>BANDHANBNK</v>
      </c>
      <c r="B30" s="143">
        <f>VLOOKUP($A30,'Data shares'!$C:$FA,118)</f>
        <v>0.86</v>
      </c>
      <c r="C30" s="143">
        <f>VLOOKUP($A30,'Data shares'!$C:$FA,119)</f>
        <v>1.18</v>
      </c>
      <c r="D30" s="143">
        <f>VLOOKUP($A30,'Data shares'!$C:$FA,121)*100</f>
        <v>-27.12</v>
      </c>
      <c r="E30" s="143">
        <f>VLOOKUP($A30,'Data shares'!$C:$FA,124)</f>
        <v>0.32</v>
      </c>
      <c r="F30" s="143">
        <f>VLOOKUP($A30,'Data shares'!$C:$FA,125)</f>
        <v>0.86</v>
      </c>
      <c r="G30" s="143">
        <f>VLOOKUP($A30,'Data shares'!$C:$FA,127)*100</f>
        <v>-62.79</v>
      </c>
      <c r="H30" s="103">
        <f>VLOOKUP($A30,'OI(Volume)'!$A$7:$O$440,8)</f>
        <v>15454800</v>
      </c>
      <c r="I30" s="103">
        <f>VLOOKUP($A30,'OI(Volume)'!$A$7:$O$440,9)</f>
        <v>6166800</v>
      </c>
      <c r="J30" s="103">
        <f>VLOOKUP($A30,'OI(Volume)'!$A$7:$O$440,11)</f>
        <v>13230000</v>
      </c>
      <c r="K30" s="103">
        <f>VLOOKUP($A30,'OI(Volume)'!$A$7:$O$440,12)</f>
        <v>2228400</v>
      </c>
      <c r="L30" s="103">
        <f>VLOOKUP($A30,'OI(Value)'!$A$7:$O$323,8,0)</f>
        <v>239</v>
      </c>
      <c r="M30" s="103">
        <f>VLOOKUP($A30,'OI(Value)'!$A$7:$O$323,9,0)</f>
        <v>95</v>
      </c>
      <c r="N30" s="103">
        <f>VLOOKUP($A30,'OI(Value)'!$A$7:$O$323,11,0)</f>
        <v>204</v>
      </c>
      <c r="O30" s="103">
        <f>VLOOKUP($A30,'OI(Value)'!$A$7:$O$323,12,0)</f>
        <v>34</v>
      </c>
      <c r="P30" s="179">
        <f>VLOOKUP(A30,'OI(Value)'!A30:O248,8,0)</f>
        <v>239</v>
      </c>
      <c r="Q30" s="179">
        <f>VLOOKUP(A30,'OI(Value)'!A30:O248,9,0)</f>
        <v>95</v>
      </c>
      <c r="R30" s="179">
        <f>VLOOKUP(A30,'OI(Value)'!A30:O248,11,0)</f>
        <v>204</v>
      </c>
      <c r="S30" s="179">
        <f>VLOOKUP(A30,'OI(Value)'!A30:O248,11,0)</f>
        <v>204</v>
      </c>
    </row>
    <row r="31" spans="1:19" x14ac:dyDescent="0.25">
      <c r="A31" s="105" t="str">
        <f>'Data Vlaue (Cr)'!C26</f>
        <v>BANKBARODA</v>
      </c>
      <c r="B31" s="143">
        <f>VLOOKUP($A31,'Data shares'!$C:$FA,118)</f>
        <v>0.99</v>
      </c>
      <c r="C31" s="143">
        <f>VLOOKUP($A31,'Data shares'!$C:$FA,119)</f>
        <v>1.03</v>
      </c>
      <c r="D31" s="143">
        <f>VLOOKUP($A31,'Data shares'!$C:$FA,121)*100</f>
        <v>-3.88</v>
      </c>
      <c r="E31" s="143">
        <f>VLOOKUP($A31,'Data shares'!$C:$FA,124)</f>
        <v>0.45</v>
      </c>
      <c r="F31" s="143">
        <f>VLOOKUP($A31,'Data shares'!$C:$FA,125)</f>
        <v>0.71</v>
      </c>
      <c r="G31" s="143">
        <f>VLOOKUP($A31,'Data shares'!$C:$FA,127)*100</f>
        <v>-36.620000000000005</v>
      </c>
      <c r="H31" s="103">
        <f>VLOOKUP($A31,'OI(Volume)'!$A$7:$O$440,8)</f>
        <v>21229650</v>
      </c>
      <c r="I31" s="103">
        <f>VLOOKUP($A31,'OI(Volume)'!$A$7:$O$440,9)</f>
        <v>1813500</v>
      </c>
      <c r="J31" s="103">
        <f>VLOOKUP($A31,'OI(Volume)'!$A$7:$O$440,11)</f>
        <v>21016125</v>
      </c>
      <c r="K31" s="103">
        <f>VLOOKUP($A31,'OI(Volume)'!$A$7:$O$440,12)</f>
        <v>933075</v>
      </c>
      <c r="L31" s="103">
        <f>VLOOKUP($A31,'OI(Value)'!$A$7:$O$323,8,0)</f>
        <v>654</v>
      </c>
      <c r="M31" s="103">
        <f>VLOOKUP($A31,'OI(Value)'!$A$7:$O$323,9,0)</f>
        <v>56</v>
      </c>
      <c r="N31" s="103">
        <f>VLOOKUP($A31,'OI(Value)'!$A$7:$O$323,11,0)</f>
        <v>648</v>
      </c>
      <c r="O31" s="103">
        <f>VLOOKUP($A31,'OI(Value)'!$A$7:$O$323,12,0)</f>
        <v>29</v>
      </c>
      <c r="P31" s="179">
        <f>VLOOKUP(A31,'OI(Value)'!A31:O249,8,0)</f>
        <v>654</v>
      </c>
      <c r="Q31" s="179">
        <f>VLOOKUP(A31,'OI(Value)'!A31:O249,9,0)</f>
        <v>56</v>
      </c>
      <c r="R31" s="179">
        <f>VLOOKUP(A31,'OI(Value)'!A31:O249,11,0)</f>
        <v>648</v>
      </c>
      <c r="S31" s="179">
        <f>VLOOKUP(A31,'OI(Value)'!A31:O249,11,0)</f>
        <v>648</v>
      </c>
    </row>
    <row r="32" spans="1:19" x14ac:dyDescent="0.25">
      <c r="A32" s="105" t="str">
        <f>'Data Vlaue (Cr)'!C27</f>
        <v>BANKINDIA</v>
      </c>
      <c r="B32" s="143">
        <f>VLOOKUP($A32,'Data shares'!$C:$FA,118)</f>
        <v>0.85</v>
      </c>
      <c r="C32" s="143">
        <f>VLOOKUP($A32,'Data shares'!$C:$FA,119)</f>
        <v>0.59</v>
      </c>
      <c r="D32" s="143">
        <f>VLOOKUP($A32,'Data shares'!$C:$FA,121)*100</f>
        <v>44.07</v>
      </c>
      <c r="E32" s="143">
        <f>VLOOKUP($A32,'Data shares'!$C:$FA,124)</f>
        <v>0.66</v>
      </c>
      <c r="F32" s="143">
        <f>VLOOKUP($A32,'Data shares'!$C:$FA,125)</f>
        <v>0.56000000000000005</v>
      </c>
      <c r="G32" s="143">
        <f>VLOOKUP($A32,'Data shares'!$C:$FA,127)*100</f>
        <v>17.86</v>
      </c>
      <c r="H32" s="103">
        <f>VLOOKUP($A32,'OI(Volume)'!$A$7:$O$440,8)</f>
        <v>14846000</v>
      </c>
      <c r="I32" s="103">
        <f>VLOOKUP($A32,'OI(Volume)'!$A$7:$O$440,9)</f>
        <v>946400</v>
      </c>
      <c r="J32" s="103">
        <f>VLOOKUP($A32,'OI(Volume)'!$A$7:$O$440,11)</f>
        <v>12656800</v>
      </c>
      <c r="K32" s="103">
        <f>VLOOKUP($A32,'OI(Volume)'!$A$7:$O$440,12)</f>
        <v>4414800</v>
      </c>
      <c r="L32" s="103">
        <f>VLOOKUP($A32,'OI(Value)'!$A$7:$O$323,8,0)</f>
        <v>249</v>
      </c>
      <c r="M32" s="103">
        <f>VLOOKUP($A32,'OI(Value)'!$A$7:$O$323,9,0)</f>
        <v>16</v>
      </c>
      <c r="N32" s="103">
        <f>VLOOKUP($A32,'OI(Value)'!$A$7:$O$323,11,0)</f>
        <v>212</v>
      </c>
      <c r="O32" s="103">
        <f>VLOOKUP($A32,'OI(Value)'!$A$7:$O$323,12,0)</f>
        <v>74</v>
      </c>
      <c r="P32" s="179">
        <f>VLOOKUP(A32,'OI(Value)'!A32:O250,8,0)</f>
        <v>249</v>
      </c>
      <c r="Q32" s="179">
        <f>VLOOKUP(A32,'OI(Value)'!A32:O250,9,0)</f>
        <v>16</v>
      </c>
      <c r="R32" s="179">
        <f>VLOOKUP(A32,'OI(Value)'!A32:O250,11,0)</f>
        <v>212</v>
      </c>
      <c r="S32" s="179">
        <f>VLOOKUP(A32,'OI(Value)'!A32:O250,11,0)</f>
        <v>212</v>
      </c>
    </row>
    <row r="33" spans="1:19" x14ac:dyDescent="0.25">
      <c r="A33" s="105" t="str">
        <f>'Data Vlaue (Cr)'!C28</f>
        <v>BANKNIFTY</v>
      </c>
      <c r="B33" s="143">
        <f>VLOOKUP($A33,'Data shares'!$C:$FA,118)</f>
        <v>1.1399999999999999</v>
      </c>
      <c r="C33" s="143">
        <f>VLOOKUP($A33,'Data shares'!$C:$FA,119)</f>
        <v>1.1200000000000001</v>
      </c>
      <c r="D33" s="143">
        <f>VLOOKUP($A33,'Data shares'!$C:$FA,121)*100</f>
        <v>1.79</v>
      </c>
      <c r="E33" s="143">
        <f>VLOOKUP($A33,'Data shares'!$C:$FA,124)</f>
        <v>0.94</v>
      </c>
      <c r="F33" s="143">
        <f>VLOOKUP($A33,'Data shares'!$C:$FA,125)</f>
        <v>0.86</v>
      </c>
      <c r="G33" s="143">
        <f>VLOOKUP($A33,'Data shares'!$C:$FA,127)*100</f>
        <v>9.3000000000000007</v>
      </c>
      <c r="H33" s="103">
        <f>VLOOKUP($A33,'OI(Volume)'!$A$7:$O$440,8)</f>
        <v>7888220</v>
      </c>
      <c r="I33" s="103">
        <f>VLOOKUP($A33,'OI(Volume)'!$A$7:$O$440,9)</f>
        <v>1499905</v>
      </c>
      <c r="J33" s="103">
        <f>VLOOKUP($A33,'OI(Volume)'!$A$7:$O$440,11)</f>
        <v>8986070</v>
      </c>
      <c r="K33" s="103">
        <f>VLOOKUP($A33,'OI(Volume)'!$A$7:$O$440,12)</f>
        <v>1827445</v>
      </c>
      <c r="L33" s="103">
        <f>VLOOKUP($A33,'OI(Value)'!$A$7:$O$323,8,0)</f>
        <v>47224</v>
      </c>
      <c r="M33" s="103">
        <f>VLOOKUP($A33,'OI(Value)'!$A$7:$O$323,9,0)</f>
        <v>8979</v>
      </c>
      <c r="N33" s="103">
        <f>VLOOKUP($A33,'OI(Value)'!$A$7:$O$323,11,0)</f>
        <v>53796</v>
      </c>
      <c r="O33" s="103">
        <f>VLOOKUP($A33,'OI(Value)'!$A$7:$O$323,12,0)</f>
        <v>10940</v>
      </c>
      <c r="P33" s="179">
        <f>VLOOKUP(A33,'OI(Value)'!A33:O251,8,0)</f>
        <v>47224</v>
      </c>
      <c r="Q33" s="179">
        <f>VLOOKUP(A33,'OI(Value)'!A33:O251,9,0)</f>
        <v>8979</v>
      </c>
      <c r="R33" s="179">
        <f>VLOOKUP(A33,'OI(Value)'!A33:O251,11,0)</f>
        <v>53796</v>
      </c>
      <c r="S33" s="179">
        <f>VLOOKUP(A33,'OI(Value)'!A33:O251,11,0)</f>
        <v>53796</v>
      </c>
    </row>
    <row r="34" spans="1:19" x14ac:dyDescent="0.25">
      <c r="A34" s="105" t="str">
        <f>'Data Vlaue (Cr)'!C29</f>
        <v>BDL</v>
      </c>
      <c r="B34" s="143">
        <f>VLOOKUP($A34,'Data shares'!$C:$FA,118)</f>
        <v>0.74</v>
      </c>
      <c r="C34" s="143">
        <f>VLOOKUP($A34,'Data shares'!$C:$FA,119)</f>
        <v>1</v>
      </c>
      <c r="D34" s="143">
        <f>VLOOKUP($A34,'Data shares'!$C:$FA,121)*100</f>
        <v>-26</v>
      </c>
      <c r="E34" s="143">
        <f>VLOOKUP($A34,'Data shares'!$C:$FA,124)</f>
        <v>0.22</v>
      </c>
      <c r="F34" s="143">
        <f>VLOOKUP($A34,'Data shares'!$C:$FA,125)</f>
        <v>0.41</v>
      </c>
      <c r="G34" s="143">
        <f>VLOOKUP($A34,'Data shares'!$C:$FA,127)*100</f>
        <v>-46.339999999999996</v>
      </c>
      <c r="H34" s="103">
        <f>VLOOKUP($A34,'OI(Volume)'!$A$7:$O$440,8)</f>
        <v>2046100</v>
      </c>
      <c r="I34" s="103">
        <f>VLOOKUP($A34,'OI(Volume)'!$A$7:$O$440,9)</f>
        <v>886200</v>
      </c>
      <c r="J34" s="103">
        <f>VLOOKUP($A34,'OI(Volume)'!$A$7:$O$440,11)</f>
        <v>1504300</v>
      </c>
      <c r="K34" s="103">
        <f>VLOOKUP($A34,'OI(Volume)'!$A$7:$O$440,12)</f>
        <v>348600</v>
      </c>
      <c r="L34" s="103">
        <f>VLOOKUP($A34,'OI(Value)'!$A$7:$O$323,8,0)</f>
        <v>323</v>
      </c>
      <c r="M34" s="103">
        <f>VLOOKUP($A34,'OI(Value)'!$A$7:$O$323,9,0)</f>
        <v>140</v>
      </c>
      <c r="N34" s="103">
        <f>VLOOKUP($A34,'OI(Value)'!$A$7:$O$323,11,0)</f>
        <v>237</v>
      </c>
      <c r="O34" s="103">
        <f>VLOOKUP($A34,'OI(Value)'!$A$7:$O$323,12,0)</f>
        <v>55</v>
      </c>
      <c r="P34" s="179">
        <f>VLOOKUP(A34,'OI(Value)'!A34:O252,8,0)</f>
        <v>323</v>
      </c>
      <c r="Q34" s="179">
        <f>VLOOKUP(A34,'OI(Value)'!A34:O252,9,0)</f>
        <v>140</v>
      </c>
      <c r="R34" s="179">
        <f>VLOOKUP(A34,'OI(Value)'!A34:O252,11,0)</f>
        <v>237</v>
      </c>
      <c r="S34" s="179">
        <f>VLOOKUP(A34,'OI(Value)'!A34:O252,11,0)</f>
        <v>237</v>
      </c>
    </row>
    <row r="35" spans="1:19" x14ac:dyDescent="0.25">
      <c r="A35" s="105" t="str">
        <f>'Data Vlaue (Cr)'!C30</f>
        <v>BEL</v>
      </c>
      <c r="B35" s="143">
        <f>VLOOKUP($A35,'Data shares'!$C:$FA,118)</f>
        <v>0.67</v>
      </c>
      <c r="C35" s="143">
        <f>VLOOKUP($A35,'Data shares'!$C:$FA,119)</f>
        <v>0.71</v>
      </c>
      <c r="D35" s="143">
        <f>VLOOKUP($A35,'Data shares'!$C:$FA,121)*100</f>
        <v>-5.63</v>
      </c>
      <c r="E35" s="143">
        <f>VLOOKUP($A35,'Data shares'!$C:$FA,124)</f>
        <v>0.38</v>
      </c>
      <c r="F35" s="143">
        <f>VLOOKUP($A35,'Data shares'!$C:$FA,125)</f>
        <v>0.47</v>
      </c>
      <c r="G35" s="143">
        <f>VLOOKUP($A35,'Data shares'!$C:$FA,127)*100</f>
        <v>-19.149999999999999</v>
      </c>
      <c r="H35" s="103">
        <f>VLOOKUP($A35,'OI(Volume)'!$A$7:$O$440,8)</f>
        <v>47962650</v>
      </c>
      <c r="I35" s="103">
        <f>VLOOKUP($A35,'OI(Volume)'!$A$7:$O$440,9)</f>
        <v>21346500</v>
      </c>
      <c r="J35" s="103">
        <f>VLOOKUP($A35,'OI(Volume)'!$A$7:$O$440,11)</f>
        <v>32138025</v>
      </c>
      <c r="K35" s="103">
        <f>VLOOKUP($A35,'OI(Volume)'!$A$7:$O$440,12)</f>
        <v>13167000</v>
      </c>
      <c r="L35" s="103">
        <f>VLOOKUP($A35,'OI(Value)'!$A$7:$O$323,8,0)</f>
        <v>2187</v>
      </c>
      <c r="M35" s="103">
        <f>VLOOKUP($A35,'OI(Value)'!$A$7:$O$323,9,0)</f>
        <v>973</v>
      </c>
      <c r="N35" s="103">
        <f>VLOOKUP($A35,'OI(Value)'!$A$7:$O$323,11,0)</f>
        <v>1465</v>
      </c>
      <c r="O35" s="103">
        <f>VLOOKUP($A35,'OI(Value)'!$A$7:$O$323,12,0)</f>
        <v>600</v>
      </c>
      <c r="P35" s="179">
        <f>VLOOKUP(A35,'OI(Value)'!A35:O253,8,0)</f>
        <v>2187</v>
      </c>
      <c r="Q35" s="179">
        <f>VLOOKUP(A35,'OI(Value)'!A35:O253,9,0)</f>
        <v>973</v>
      </c>
      <c r="R35" s="179">
        <f>VLOOKUP(A35,'OI(Value)'!A35:O253,11,0)</f>
        <v>1465</v>
      </c>
      <c r="S35" s="179">
        <f>VLOOKUP(A35,'OI(Value)'!A35:O253,11,0)</f>
        <v>1465</v>
      </c>
    </row>
    <row r="36" spans="1:19" x14ac:dyDescent="0.25">
      <c r="A36" s="105" t="str">
        <f>'Data Vlaue (Cr)'!C31</f>
        <v>BHARATFORG</v>
      </c>
      <c r="B36" s="143">
        <f>VLOOKUP($A36,'Data shares'!$C:$FA,118)</f>
        <v>0.7</v>
      </c>
      <c r="C36" s="143">
        <f>VLOOKUP($A36,'Data shares'!$C:$FA,119)</f>
        <v>0.91</v>
      </c>
      <c r="D36" s="143">
        <f>VLOOKUP($A36,'Data shares'!$C:$FA,121)*100</f>
        <v>-23.080000000000002</v>
      </c>
      <c r="E36" s="143">
        <f>VLOOKUP($A36,'Data shares'!$C:$FA,124)</f>
        <v>0.25</v>
      </c>
      <c r="F36" s="143">
        <f>VLOOKUP($A36,'Data shares'!$C:$FA,125)</f>
        <v>0.51</v>
      </c>
      <c r="G36" s="143">
        <f>VLOOKUP($A36,'Data shares'!$C:$FA,127)*100</f>
        <v>-50.980000000000004</v>
      </c>
      <c r="H36" s="103">
        <f>VLOOKUP($A36,'OI(Volume)'!$A$7:$O$440,8)</f>
        <v>1466500</v>
      </c>
      <c r="I36" s="103">
        <f>VLOOKUP($A36,'OI(Volume)'!$A$7:$O$440,9)</f>
        <v>616000</v>
      </c>
      <c r="J36" s="103">
        <f>VLOOKUP($A36,'OI(Volume)'!$A$7:$O$440,11)</f>
        <v>1020500</v>
      </c>
      <c r="K36" s="103">
        <f>VLOOKUP($A36,'OI(Volume)'!$A$7:$O$440,12)</f>
        <v>250000</v>
      </c>
      <c r="L36" s="103">
        <f>VLOOKUP($A36,'OI(Value)'!$A$7:$O$323,8,0)</f>
        <v>214</v>
      </c>
      <c r="M36" s="103">
        <f>VLOOKUP($A36,'OI(Value)'!$A$7:$O$323,9,0)</f>
        <v>90</v>
      </c>
      <c r="N36" s="103">
        <f>VLOOKUP($A36,'OI(Value)'!$A$7:$O$323,11,0)</f>
        <v>149</v>
      </c>
      <c r="O36" s="103">
        <f>VLOOKUP($A36,'OI(Value)'!$A$7:$O$323,12,0)</f>
        <v>37</v>
      </c>
      <c r="P36" s="179">
        <f>VLOOKUP(A36,'OI(Value)'!A36:O254,8,0)</f>
        <v>214</v>
      </c>
      <c r="Q36" s="179">
        <f>VLOOKUP(A36,'OI(Value)'!A36:O254,9,0)</f>
        <v>90</v>
      </c>
      <c r="R36" s="179">
        <f>VLOOKUP(A36,'OI(Value)'!A36:O254,11,0)</f>
        <v>149</v>
      </c>
      <c r="S36" s="179">
        <f>VLOOKUP(A36,'OI(Value)'!A36:O254,11,0)</f>
        <v>149</v>
      </c>
    </row>
    <row r="37" spans="1:19" x14ac:dyDescent="0.25">
      <c r="A37" s="105" t="str">
        <f>'Data Vlaue (Cr)'!C32</f>
        <v>BHARTIARTL</v>
      </c>
      <c r="B37" s="143">
        <f>VLOOKUP($A37,'Data shares'!$C:$FA,118)</f>
        <v>0.73</v>
      </c>
      <c r="C37" s="143">
        <f>VLOOKUP($A37,'Data shares'!$C:$FA,119)</f>
        <v>0.76</v>
      </c>
      <c r="D37" s="143">
        <f>VLOOKUP($A37,'Data shares'!$C:$FA,121)*100</f>
        <v>-3.95</v>
      </c>
      <c r="E37" s="143">
        <f>VLOOKUP($A37,'Data shares'!$C:$FA,124)</f>
        <v>0.48</v>
      </c>
      <c r="F37" s="143">
        <f>VLOOKUP($A37,'Data shares'!$C:$FA,125)</f>
        <v>0.54</v>
      </c>
      <c r="G37" s="143">
        <f>VLOOKUP($A37,'Data shares'!$C:$FA,127)*100</f>
        <v>-11.110000000000001</v>
      </c>
      <c r="H37" s="103">
        <f>VLOOKUP($A37,'OI(Volume)'!$A$7:$O$440,8)</f>
        <v>5147100</v>
      </c>
      <c r="I37" s="103">
        <f>VLOOKUP($A37,'OI(Volume)'!$A$7:$O$440,9)</f>
        <v>2070050</v>
      </c>
      <c r="J37" s="103">
        <f>VLOOKUP($A37,'OI(Volume)'!$A$7:$O$440,11)</f>
        <v>3752500</v>
      </c>
      <c r="K37" s="103">
        <f>VLOOKUP($A37,'OI(Volume)'!$A$7:$O$440,12)</f>
        <v>1404575</v>
      </c>
      <c r="L37" s="103">
        <f>VLOOKUP($A37,'OI(Value)'!$A$7:$O$323,8,0)</f>
        <v>1013</v>
      </c>
      <c r="M37" s="103">
        <f>VLOOKUP($A37,'OI(Value)'!$A$7:$O$323,9,0)</f>
        <v>408</v>
      </c>
      <c r="N37" s="103">
        <f>VLOOKUP($A37,'OI(Value)'!$A$7:$O$323,11,0)</f>
        <v>739</v>
      </c>
      <c r="O37" s="103">
        <f>VLOOKUP($A37,'OI(Value)'!$A$7:$O$323,12,0)</f>
        <v>277</v>
      </c>
      <c r="P37" s="179">
        <f>VLOOKUP(A37,'OI(Value)'!A37:O255,8,0)</f>
        <v>1013</v>
      </c>
      <c r="Q37" s="179">
        <f>VLOOKUP(A37,'OI(Value)'!A37:O255,9,0)</f>
        <v>408</v>
      </c>
      <c r="R37" s="179">
        <f>VLOOKUP(A37,'OI(Value)'!A37:O255,11,0)</f>
        <v>739</v>
      </c>
      <c r="S37" s="179">
        <f>VLOOKUP(A37,'OI(Value)'!A37:O255,11,0)</f>
        <v>739</v>
      </c>
    </row>
    <row r="38" spans="1:19" x14ac:dyDescent="0.25">
      <c r="A38" s="105" t="str">
        <f>'Data Vlaue (Cr)'!C33</f>
        <v>BHEL</v>
      </c>
      <c r="B38" s="143">
        <f>VLOOKUP($A38,'Data shares'!$C:$FA,118)</f>
        <v>0.47</v>
      </c>
      <c r="C38" s="143">
        <f>VLOOKUP($A38,'Data shares'!$C:$FA,119)</f>
        <v>0.54</v>
      </c>
      <c r="D38" s="143">
        <f>VLOOKUP($A38,'Data shares'!$C:$FA,121)*100</f>
        <v>-12.959999999999999</v>
      </c>
      <c r="E38" s="143">
        <f>VLOOKUP($A38,'Data shares'!$C:$FA,124)</f>
        <v>0.28999999999999998</v>
      </c>
      <c r="F38" s="143">
        <f>VLOOKUP($A38,'Data shares'!$C:$FA,125)</f>
        <v>0.7</v>
      </c>
      <c r="G38" s="143">
        <f>VLOOKUP($A38,'Data shares'!$C:$FA,127)*100</f>
        <v>-58.57</v>
      </c>
      <c r="H38" s="103">
        <f>VLOOKUP($A38,'OI(Volume)'!$A$7:$O$440,8)</f>
        <v>40036500</v>
      </c>
      <c r="I38" s="103">
        <f>VLOOKUP($A38,'OI(Volume)'!$A$7:$O$440,9)</f>
        <v>8494500</v>
      </c>
      <c r="J38" s="103">
        <f>VLOOKUP($A38,'OI(Volume)'!$A$7:$O$440,11)</f>
        <v>19007625</v>
      </c>
      <c r="K38" s="103">
        <f>VLOOKUP($A38,'OI(Volume)'!$A$7:$O$440,12)</f>
        <v>1890000</v>
      </c>
      <c r="L38" s="103">
        <f>VLOOKUP($A38,'OI(Value)'!$A$7:$O$323,8,0)</f>
        <v>1044</v>
      </c>
      <c r="M38" s="103">
        <f>VLOOKUP($A38,'OI(Value)'!$A$7:$O$323,9,0)</f>
        <v>222</v>
      </c>
      <c r="N38" s="103">
        <f>VLOOKUP($A38,'OI(Value)'!$A$7:$O$323,11,0)</f>
        <v>496</v>
      </c>
      <c r="O38" s="103">
        <f>VLOOKUP($A38,'OI(Value)'!$A$7:$O$323,12,0)</f>
        <v>49</v>
      </c>
      <c r="P38" s="179">
        <f>VLOOKUP(A38,'OI(Value)'!A38:O256,8,0)</f>
        <v>1044</v>
      </c>
      <c r="Q38" s="179">
        <f>VLOOKUP(A38,'OI(Value)'!A38:O256,9,0)</f>
        <v>222</v>
      </c>
      <c r="R38" s="179">
        <f>VLOOKUP(A38,'OI(Value)'!A38:O256,11,0)</f>
        <v>496</v>
      </c>
      <c r="S38" s="179">
        <f>VLOOKUP(A38,'OI(Value)'!A38:O256,11,0)</f>
        <v>496</v>
      </c>
    </row>
    <row r="39" spans="1:19" x14ac:dyDescent="0.25">
      <c r="A39" s="105" t="str">
        <f>'Data Vlaue (Cr)'!C34</f>
        <v>BIOCON</v>
      </c>
      <c r="B39" s="143">
        <f>VLOOKUP($A39,'Data shares'!$C:$FA,118)</f>
        <v>0.98</v>
      </c>
      <c r="C39" s="143">
        <f>VLOOKUP($A39,'Data shares'!$C:$FA,119)</f>
        <v>1.03</v>
      </c>
      <c r="D39" s="143">
        <f>VLOOKUP($A39,'Data shares'!$C:$FA,121)*100</f>
        <v>-4.8500000000000005</v>
      </c>
      <c r="E39" s="143">
        <f>VLOOKUP($A39,'Data shares'!$C:$FA,124)</f>
        <v>0.39</v>
      </c>
      <c r="F39" s="143">
        <f>VLOOKUP($A39,'Data shares'!$C:$FA,125)</f>
        <v>0.69</v>
      </c>
      <c r="G39" s="143">
        <f>VLOOKUP($A39,'Data shares'!$C:$FA,127)*100</f>
        <v>-43.480000000000004</v>
      </c>
      <c r="H39" s="103">
        <f>VLOOKUP($A39,'OI(Volume)'!$A$7:$O$440,8)</f>
        <v>7542500</v>
      </c>
      <c r="I39" s="103">
        <f>VLOOKUP($A39,'OI(Volume)'!$A$7:$O$440,9)</f>
        <v>1222500</v>
      </c>
      <c r="J39" s="103">
        <f>VLOOKUP($A39,'OI(Volume)'!$A$7:$O$440,11)</f>
        <v>7360000</v>
      </c>
      <c r="K39" s="103">
        <f>VLOOKUP($A39,'OI(Volume)'!$A$7:$O$440,12)</f>
        <v>875000</v>
      </c>
      <c r="L39" s="103">
        <f>VLOOKUP($A39,'OI(Value)'!$A$7:$O$323,8,0)</f>
        <v>280</v>
      </c>
      <c r="M39" s="103">
        <f>VLOOKUP($A39,'OI(Value)'!$A$7:$O$323,9,0)</f>
        <v>45</v>
      </c>
      <c r="N39" s="103">
        <f>VLOOKUP($A39,'OI(Value)'!$A$7:$O$323,11,0)</f>
        <v>274</v>
      </c>
      <c r="O39" s="103">
        <f>VLOOKUP($A39,'OI(Value)'!$A$7:$O$323,12,0)</f>
        <v>33</v>
      </c>
      <c r="P39" s="179">
        <f>VLOOKUP(A39,'OI(Value)'!A39:O257,8,0)</f>
        <v>280</v>
      </c>
      <c r="Q39" s="179">
        <f>VLOOKUP(A39,'OI(Value)'!A39:O257,9,0)</f>
        <v>45</v>
      </c>
      <c r="R39" s="179">
        <f>VLOOKUP(A39,'OI(Value)'!A39:O257,11,0)</f>
        <v>274</v>
      </c>
      <c r="S39" s="179">
        <f>VLOOKUP(A39,'OI(Value)'!A39:O257,11,0)</f>
        <v>274</v>
      </c>
    </row>
    <row r="40" spans="1:19" x14ac:dyDescent="0.25">
      <c r="A40" s="105" t="str">
        <f>'Data Vlaue (Cr)'!C35</f>
        <v>BLUESTARCO</v>
      </c>
      <c r="B40" s="143">
        <f>VLOOKUP($A40,'Data shares'!$C:$FA,118)</f>
        <v>1.01</v>
      </c>
      <c r="C40" s="143">
        <f>VLOOKUP($A40,'Data shares'!$C:$FA,119)</f>
        <v>1.39</v>
      </c>
      <c r="D40" s="143">
        <f>VLOOKUP($A40,'Data shares'!$C:$FA,121)*100</f>
        <v>-27.339999999999996</v>
      </c>
      <c r="E40" s="143">
        <f>VLOOKUP($A40,'Data shares'!$C:$FA,124)</f>
        <v>0.91</v>
      </c>
      <c r="F40" s="143">
        <f>VLOOKUP($A40,'Data shares'!$C:$FA,125)</f>
        <v>3.35</v>
      </c>
      <c r="G40" s="143">
        <f>VLOOKUP($A40,'Data shares'!$C:$FA,127)*100</f>
        <v>-72.84</v>
      </c>
      <c r="H40" s="103">
        <f>VLOOKUP($A40,'OI(Volume)'!$A$7:$O$440,8)</f>
        <v>210275</v>
      </c>
      <c r="I40" s="103">
        <f>VLOOKUP($A40,'OI(Volume)'!$A$7:$O$440,9)</f>
        <v>108550</v>
      </c>
      <c r="J40" s="103">
        <f>VLOOKUP($A40,'OI(Volume)'!$A$7:$O$440,11)</f>
        <v>212875</v>
      </c>
      <c r="K40" s="103">
        <f>VLOOKUP($A40,'OI(Volume)'!$A$7:$O$440,12)</f>
        <v>71175</v>
      </c>
      <c r="L40" s="103">
        <f>VLOOKUP($A40,'OI(Value)'!$A$7:$O$323,8,0)</f>
        <v>36</v>
      </c>
      <c r="M40" s="103">
        <f>VLOOKUP($A40,'OI(Value)'!$A$7:$O$323,9,0)</f>
        <v>19</v>
      </c>
      <c r="N40" s="103">
        <f>VLOOKUP($A40,'OI(Value)'!$A$7:$O$323,11,0)</f>
        <v>36</v>
      </c>
      <c r="O40" s="103">
        <f>VLOOKUP($A40,'OI(Value)'!$A$7:$O$323,12,0)</f>
        <v>12</v>
      </c>
      <c r="P40" s="179">
        <f>VLOOKUP(A40,'OI(Value)'!A40:O258,8,0)</f>
        <v>36</v>
      </c>
      <c r="Q40" s="179">
        <f>VLOOKUP(A40,'OI(Value)'!A40:O258,9,0)</f>
        <v>19</v>
      </c>
      <c r="R40" s="179">
        <f>VLOOKUP(A40,'OI(Value)'!A40:O258,11,0)</f>
        <v>36</v>
      </c>
      <c r="S40" s="179">
        <f>VLOOKUP(A40,'OI(Value)'!A40:O258,11,0)</f>
        <v>36</v>
      </c>
    </row>
    <row r="41" spans="1:19" x14ac:dyDescent="0.25">
      <c r="A41" s="105" t="str">
        <f>'Data Vlaue (Cr)'!C36</f>
        <v>BOSCHLTD</v>
      </c>
      <c r="B41" s="143">
        <f>VLOOKUP($A41,'Data shares'!$C:$FA,118)</f>
        <v>0.74</v>
      </c>
      <c r="C41" s="143">
        <f>VLOOKUP($A41,'Data shares'!$C:$FA,119)</f>
        <v>0.79</v>
      </c>
      <c r="D41" s="143">
        <f>VLOOKUP($A41,'Data shares'!$C:$FA,121)*100</f>
        <v>-6.3299999999999992</v>
      </c>
      <c r="E41" s="143">
        <f>VLOOKUP($A41,'Data shares'!$C:$FA,124)</f>
        <v>0.34</v>
      </c>
      <c r="F41" s="143">
        <f>VLOOKUP($A41,'Data shares'!$C:$FA,125)</f>
        <v>0.21</v>
      </c>
      <c r="G41" s="143">
        <f>VLOOKUP($A41,'Data shares'!$C:$FA,127)*100</f>
        <v>61.9</v>
      </c>
      <c r="H41" s="103">
        <f>VLOOKUP($A41,'OI(Volume)'!$A$7:$O$440,8)</f>
        <v>49900</v>
      </c>
      <c r="I41" s="103">
        <f>VLOOKUP($A41,'OI(Volume)'!$A$7:$O$440,9)</f>
        <v>14900</v>
      </c>
      <c r="J41" s="103">
        <f>VLOOKUP($A41,'OI(Volume)'!$A$7:$O$440,11)</f>
        <v>36750</v>
      </c>
      <c r="K41" s="103">
        <f>VLOOKUP($A41,'OI(Volume)'!$A$7:$O$440,12)</f>
        <v>9050</v>
      </c>
      <c r="L41" s="103">
        <f>VLOOKUP($A41,'OI(Value)'!$A$7:$O$323,8,0)</f>
        <v>180</v>
      </c>
      <c r="M41" s="103">
        <f>VLOOKUP($A41,'OI(Value)'!$A$7:$O$323,9,0)</f>
        <v>54</v>
      </c>
      <c r="N41" s="103">
        <f>VLOOKUP($A41,'OI(Value)'!$A$7:$O$323,11,0)</f>
        <v>133</v>
      </c>
      <c r="O41" s="103">
        <f>VLOOKUP($A41,'OI(Value)'!$A$7:$O$323,12,0)</f>
        <v>33</v>
      </c>
      <c r="P41" s="179">
        <f>VLOOKUP(A41,'OI(Value)'!A41:O259,8,0)</f>
        <v>180</v>
      </c>
      <c r="Q41" s="179">
        <f>VLOOKUP(A41,'OI(Value)'!A41:O259,9,0)</f>
        <v>54</v>
      </c>
      <c r="R41" s="179">
        <f>VLOOKUP(A41,'OI(Value)'!A41:O259,11,0)</f>
        <v>133</v>
      </c>
      <c r="S41" s="179">
        <f>VLOOKUP(A41,'OI(Value)'!A41:O259,11,0)</f>
        <v>133</v>
      </c>
    </row>
    <row r="42" spans="1:19" x14ac:dyDescent="0.25">
      <c r="A42" s="105" t="str">
        <f>'Data Vlaue (Cr)'!C37</f>
        <v>BPCL</v>
      </c>
      <c r="B42" s="143">
        <f>VLOOKUP($A42,'Data shares'!$C:$FA,118)</f>
        <v>0.82</v>
      </c>
      <c r="C42" s="143">
        <f>VLOOKUP($A42,'Data shares'!$C:$FA,119)</f>
        <v>0.68</v>
      </c>
      <c r="D42" s="143">
        <f>VLOOKUP($A42,'Data shares'!$C:$FA,121)*100</f>
        <v>20.59</v>
      </c>
      <c r="E42" s="143">
        <f>VLOOKUP($A42,'Data shares'!$C:$FA,124)</f>
        <v>0.5</v>
      </c>
      <c r="F42" s="143">
        <f>VLOOKUP($A42,'Data shares'!$C:$FA,125)</f>
        <v>0.6</v>
      </c>
      <c r="G42" s="143">
        <f>VLOOKUP($A42,'Data shares'!$C:$FA,127)*100</f>
        <v>-16.669999999999998</v>
      </c>
      <c r="H42" s="103">
        <f>VLOOKUP($A42,'OI(Volume)'!$A$7:$O$440,8)</f>
        <v>8107375</v>
      </c>
      <c r="I42" s="103">
        <f>VLOOKUP($A42,'OI(Volume)'!$A$7:$O$440,9)</f>
        <v>329825</v>
      </c>
      <c r="J42" s="103">
        <f>VLOOKUP($A42,'OI(Volume)'!$A$7:$O$440,11)</f>
        <v>6618225</v>
      </c>
      <c r="K42" s="103">
        <f>VLOOKUP($A42,'OI(Volume)'!$A$7:$O$440,12)</f>
        <v>1309425</v>
      </c>
      <c r="L42" s="103">
        <f>VLOOKUP($A42,'OI(Value)'!$A$7:$O$323,8,0)</f>
        <v>296</v>
      </c>
      <c r="M42" s="103">
        <f>VLOOKUP($A42,'OI(Value)'!$A$7:$O$323,9,0)</f>
        <v>12</v>
      </c>
      <c r="N42" s="103">
        <f>VLOOKUP($A42,'OI(Value)'!$A$7:$O$323,11,0)</f>
        <v>241</v>
      </c>
      <c r="O42" s="103">
        <f>VLOOKUP($A42,'OI(Value)'!$A$7:$O$323,12,0)</f>
        <v>48</v>
      </c>
      <c r="P42" s="179">
        <f>VLOOKUP(A42,'OI(Value)'!A42:O260,8,0)</f>
        <v>296</v>
      </c>
      <c r="Q42" s="179">
        <f>VLOOKUP(A42,'OI(Value)'!A42:O260,9,0)</f>
        <v>12</v>
      </c>
      <c r="R42" s="179">
        <f>VLOOKUP(A42,'OI(Value)'!A42:O260,11,0)</f>
        <v>241</v>
      </c>
      <c r="S42" s="179">
        <f>VLOOKUP(A42,'OI(Value)'!A42:O260,11,0)</f>
        <v>241</v>
      </c>
    </row>
    <row r="43" spans="1:19" x14ac:dyDescent="0.25">
      <c r="A43" s="105" t="str">
        <f>'Data Vlaue (Cr)'!C38</f>
        <v>BRITANNIA</v>
      </c>
      <c r="B43" s="143">
        <f>VLOOKUP($A43,'Data shares'!$C:$FA,118)</f>
        <v>0.56999999999999995</v>
      </c>
      <c r="C43" s="143">
        <f>VLOOKUP($A43,'Data shares'!$C:$FA,119)</f>
        <v>0.69</v>
      </c>
      <c r="D43" s="143">
        <f>VLOOKUP($A43,'Data shares'!$C:$FA,121)*100</f>
        <v>-17.39</v>
      </c>
      <c r="E43" s="143">
        <f>VLOOKUP($A43,'Data shares'!$C:$FA,124)</f>
        <v>0.53</v>
      </c>
      <c r="F43" s="143">
        <f>VLOOKUP($A43,'Data shares'!$C:$FA,125)</f>
        <v>0.67</v>
      </c>
      <c r="G43" s="143">
        <f>VLOOKUP($A43,'Data shares'!$C:$FA,127)*100</f>
        <v>-20.9</v>
      </c>
      <c r="H43" s="103">
        <f>VLOOKUP($A43,'OI(Volume)'!$A$7:$O$440,8)</f>
        <v>413125</v>
      </c>
      <c r="I43" s="103">
        <f>VLOOKUP($A43,'OI(Volume)'!$A$7:$O$440,9)</f>
        <v>224250</v>
      </c>
      <c r="J43" s="103">
        <f>VLOOKUP($A43,'OI(Volume)'!$A$7:$O$440,11)</f>
        <v>233875</v>
      </c>
      <c r="K43" s="103">
        <f>VLOOKUP($A43,'OI(Volume)'!$A$7:$O$440,12)</f>
        <v>103875</v>
      </c>
      <c r="L43" s="103">
        <f>VLOOKUP($A43,'OI(Value)'!$A$7:$O$323,8,0)</f>
        <v>238</v>
      </c>
      <c r="M43" s="103">
        <f>VLOOKUP($A43,'OI(Value)'!$A$7:$O$323,9,0)</f>
        <v>129</v>
      </c>
      <c r="N43" s="103">
        <f>VLOOKUP($A43,'OI(Value)'!$A$7:$O$323,11,0)</f>
        <v>135</v>
      </c>
      <c r="O43" s="103">
        <f>VLOOKUP($A43,'OI(Value)'!$A$7:$O$323,12,0)</f>
        <v>60</v>
      </c>
      <c r="P43" s="179">
        <f>VLOOKUP(A43,'OI(Value)'!A43:O261,8,0)</f>
        <v>238</v>
      </c>
      <c r="Q43" s="179">
        <f>VLOOKUP(A43,'OI(Value)'!A43:O261,9,0)</f>
        <v>129</v>
      </c>
      <c r="R43" s="179">
        <f>VLOOKUP(A43,'OI(Value)'!A43:O261,11,0)</f>
        <v>135</v>
      </c>
      <c r="S43" s="179">
        <f>VLOOKUP(A43,'OI(Value)'!A43:O261,11,0)</f>
        <v>135</v>
      </c>
    </row>
    <row r="44" spans="1:19" x14ac:dyDescent="0.25">
      <c r="A44" s="105" t="str">
        <f>'Data Vlaue (Cr)'!C39</f>
        <v>BSE</v>
      </c>
      <c r="B44" s="143">
        <f>VLOOKUP($A44,'Data shares'!$C:$FA,118)</f>
        <v>0.66</v>
      </c>
      <c r="C44" s="143">
        <f>VLOOKUP($A44,'Data shares'!$C:$FA,119)</f>
        <v>0.8</v>
      </c>
      <c r="D44" s="143">
        <f>VLOOKUP($A44,'Data shares'!$C:$FA,121)*100</f>
        <v>-17.5</v>
      </c>
      <c r="E44" s="143">
        <f>VLOOKUP($A44,'Data shares'!$C:$FA,124)</f>
        <v>0.39</v>
      </c>
      <c r="F44" s="143">
        <f>VLOOKUP($A44,'Data shares'!$C:$FA,125)</f>
        <v>0.51</v>
      </c>
      <c r="G44" s="143">
        <f>VLOOKUP($A44,'Data shares'!$C:$FA,127)*100</f>
        <v>-23.53</v>
      </c>
      <c r="H44" s="103">
        <f>VLOOKUP($A44,'OI(Volume)'!$A$7:$O$440,8)</f>
        <v>4221750</v>
      </c>
      <c r="I44" s="103">
        <f>VLOOKUP($A44,'OI(Volume)'!$A$7:$O$440,9)</f>
        <v>1492500</v>
      </c>
      <c r="J44" s="103">
        <f>VLOOKUP($A44,'OI(Volume)'!$A$7:$O$440,11)</f>
        <v>2775750</v>
      </c>
      <c r="K44" s="103">
        <f>VLOOKUP($A44,'OI(Volume)'!$A$7:$O$440,12)</f>
        <v>592125</v>
      </c>
      <c r="L44" s="103">
        <f>VLOOKUP($A44,'OI(Value)'!$A$7:$O$323,8,0)</f>
        <v>1199</v>
      </c>
      <c r="M44" s="103">
        <f>VLOOKUP($A44,'OI(Value)'!$A$7:$O$323,9,0)</f>
        <v>424</v>
      </c>
      <c r="N44" s="103">
        <f>VLOOKUP($A44,'OI(Value)'!$A$7:$O$323,11,0)</f>
        <v>788</v>
      </c>
      <c r="O44" s="103">
        <f>VLOOKUP($A44,'OI(Value)'!$A$7:$O$323,12,0)</f>
        <v>168</v>
      </c>
      <c r="P44" s="179">
        <f>VLOOKUP(A44,'OI(Value)'!A44:O262,8,0)</f>
        <v>1199</v>
      </c>
      <c r="Q44" s="179">
        <f>VLOOKUP(A44,'OI(Value)'!A44:O262,9,0)</f>
        <v>424</v>
      </c>
      <c r="R44" s="179">
        <f>VLOOKUP(A44,'OI(Value)'!A44:O262,11,0)</f>
        <v>788</v>
      </c>
      <c r="S44" s="179">
        <f>VLOOKUP(A44,'OI(Value)'!A44:O262,11,0)</f>
        <v>788</v>
      </c>
    </row>
    <row r="45" spans="1:19" x14ac:dyDescent="0.25">
      <c r="A45" s="105" t="str">
        <f>'Data Vlaue (Cr)'!C40</f>
        <v>CAMS</v>
      </c>
      <c r="B45" s="143">
        <f>VLOOKUP($A45,'Data shares'!$C:$FA,118)</f>
        <v>0.99</v>
      </c>
      <c r="C45" s="143">
        <f>VLOOKUP($A45,'Data shares'!$C:$FA,119)</f>
        <v>1.02</v>
      </c>
      <c r="D45" s="143">
        <f>VLOOKUP($A45,'Data shares'!$C:$FA,121)*100</f>
        <v>-2.94</v>
      </c>
      <c r="E45" s="143">
        <f>VLOOKUP($A45,'Data shares'!$C:$FA,124)</f>
        <v>0.55000000000000004</v>
      </c>
      <c r="F45" s="143">
        <f>VLOOKUP($A45,'Data shares'!$C:$FA,125)</f>
        <v>0.49</v>
      </c>
      <c r="G45" s="143">
        <f>VLOOKUP($A45,'Data shares'!$C:$FA,127)*100</f>
        <v>12.24</v>
      </c>
      <c r="H45" s="103">
        <f>VLOOKUP($A45,'OI(Volume)'!$A$7:$O$440,8)</f>
        <v>1799250</v>
      </c>
      <c r="I45" s="103">
        <f>VLOOKUP($A45,'OI(Volume)'!$A$7:$O$440,9)</f>
        <v>363000</v>
      </c>
      <c r="J45" s="103">
        <f>VLOOKUP($A45,'OI(Volume)'!$A$7:$O$440,11)</f>
        <v>1773750</v>
      </c>
      <c r="K45" s="103">
        <f>VLOOKUP($A45,'OI(Volume)'!$A$7:$O$440,12)</f>
        <v>304500</v>
      </c>
      <c r="L45" s="103">
        <f>VLOOKUP($A45,'OI(Value)'!$A$7:$O$323,8,0)</f>
        <v>128</v>
      </c>
      <c r="M45" s="103">
        <f>VLOOKUP($A45,'OI(Value)'!$A$7:$O$323,9,0)</f>
        <v>26</v>
      </c>
      <c r="N45" s="103">
        <f>VLOOKUP($A45,'OI(Value)'!$A$7:$O$323,11,0)</f>
        <v>126</v>
      </c>
      <c r="O45" s="103">
        <f>VLOOKUP($A45,'OI(Value)'!$A$7:$O$323,12,0)</f>
        <v>22</v>
      </c>
      <c r="P45" s="179">
        <f>VLOOKUP(A45,'OI(Value)'!A45:O263,8,0)</f>
        <v>128</v>
      </c>
      <c r="Q45" s="179">
        <f>VLOOKUP(A45,'OI(Value)'!A45:O263,9,0)</f>
        <v>26</v>
      </c>
      <c r="R45" s="179">
        <f>VLOOKUP(A45,'OI(Value)'!A45:O263,11,0)</f>
        <v>126</v>
      </c>
      <c r="S45" s="179">
        <f>VLOOKUP(A45,'OI(Value)'!A45:O263,11,0)</f>
        <v>126</v>
      </c>
    </row>
    <row r="46" spans="1:19" x14ac:dyDescent="0.25">
      <c r="A46" s="105" t="str">
        <f>'Data Vlaue (Cr)'!C41</f>
        <v>CANBK</v>
      </c>
      <c r="B46" s="143">
        <f>VLOOKUP($A46,'Data shares'!$C:$FA,118)</f>
        <v>1.03</v>
      </c>
      <c r="C46" s="143">
        <f>VLOOKUP($A46,'Data shares'!$C:$FA,119)</f>
        <v>1.01</v>
      </c>
      <c r="D46" s="143">
        <f>VLOOKUP($A46,'Data shares'!$C:$FA,121)*100</f>
        <v>1.9800000000000002</v>
      </c>
      <c r="E46" s="143">
        <f>VLOOKUP($A46,'Data shares'!$C:$FA,124)</f>
        <v>0.56999999999999995</v>
      </c>
      <c r="F46" s="143">
        <f>VLOOKUP($A46,'Data shares'!$C:$FA,125)</f>
        <v>0.78</v>
      </c>
      <c r="G46" s="143">
        <f>VLOOKUP($A46,'Data shares'!$C:$FA,127)*100</f>
        <v>-26.919999999999998</v>
      </c>
      <c r="H46" s="103">
        <f>VLOOKUP($A46,'OI(Volume)'!$A$7:$O$440,8)</f>
        <v>51441750</v>
      </c>
      <c r="I46" s="103">
        <f>VLOOKUP($A46,'OI(Volume)'!$A$7:$O$440,9)</f>
        <v>12359250</v>
      </c>
      <c r="J46" s="103">
        <f>VLOOKUP($A46,'OI(Volume)'!$A$7:$O$440,11)</f>
        <v>52737750</v>
      </c>
      <c r="K46" s="103">
        <f>VLOOKUP($A46,'OI(Volume)'!$A$7:$O$440,12)</f>
        <v>13331250</v>
      </c>
      <c r="L46" s="103">
        <f>VLOOKUP($A46,'OI(Value)'!$A$7:$O$323,8,0)</f>
        <v>815</v>
      </c>
      <c r="M46" s="103">
        <f>VLOOKUP($A46,'OI(Value)'!$A$7:$O$323,9,0)</f>
        <v>196</v>
      </c>
      <c r="N46" s="103">
        <f>VLOOKUP($A46,'OI(Value)'!$A$7:$O$323,11,0)</f>
        <v>835</v>
      </c>
      <c r="O46" s="103">
        <f>VLOOKUP($A46,'OI(Value)'!$A$7:$O$323,12,0)</f>
        <v>211</v>
      </c>
      <c r="P46" s="179">
        <f>VLOOKUP(A46,'OI(Value)'!A46:O264,8,0)</f>
        <v>815</v>
      </c>
      <c r="Q46" s="179">
        <f>VLOOKUP(A46,'OI(Value)'!A46:O264,9,0)</f>
        <v>196</v>
      </c>
      <c r="R46" s="179">
        <f>VLOOKUP(A46,'OI(Value)'!A46:O264,11,0)</f>
        <v>835</v>
      </c>
      <c r="S46" s="179">
        <f>VLOOKUP(A46,'OI(Value)'!A46:O264,11,0)</f>
        <v>835</v>
      </c>
    </row>
    <row r="47" spans="1:19" x14ac:dyDescent="0.25">
      <c r="A47" s="105" t="str">
        <f>'Data Vlaue (Cr)'!C42</f>
        <v>CDSL</v>
      </c>
      <c r="B47" s="143">
        <f>VLOOKUP($A47,'Data shares'!$C:$FA,118)</f>
        <v>0.83</v>
      </c>
      <c r="C47" s="143">
        <f>VLOOKUP($A47,'Data shares'!$C:$FA,119)</f>
        <v>1</v>
      </c>
      <c r="D47" s="143">
        <f>VLOOKUP($A47,'Data shares'!$C:$FA,121)*100</f>
        <v>-17</v>
      </c>
      <c r="E47" s="143">
        <f>VLOOKUP($A47,'Data shares'!$C:$FA,124)</f>
        <v>0.32</v>
      </c>
      <c r="F47" s="143">
        <f>VLOOKUP($A47,'Data shares'!$C:$FA,125)</f>
        <v>0.94</v>
      </c>
      <c r="G47" s="143">
        <f>VLOOKUP($A47,'Data shares'!$C:$FA,127)*100</f>
        <v>-65.959999999999994</v>
      </c>
      <c r="H47" s="103">
        <f>VLOOKUP($A47,'OI(Volume)'!$A$7:$O$440,8)</f>
        <v>4920525</v>
      </c>
      <c r="I47" s="103">
        <f>VLOOKUP($A47,'OI(Volume)'!$A$7:$O$440,9)</f>
        <v>1321925</v>
      </c>
      <c r="J47" s="103">
        <f>VLOOKUP($A47,'OI(Volume)'!$A$7:$O$440,11)</f>
        <v>4067900</v>
      </c>
      <c r="K47" s="103">
        <f>VLOOKUP($A47,'OI(Volume)'!$A$7:$O$440,12)</f>
        <v>480225</v>
      </c>
      <c r="L47" s="103">
        <f>VLOOKUP($A47,'OI(Value)'!$A$7:$O$323,8,0)</f>
        <v>672</v>
      </c>
      <c r="M47" s="103">
        <f>VLOOKUP($A47,'OI(Value)'!$A$7:$O$323,9,0)</f>
        <v>181</v>
      </c>
      <c r="N47" s="103">
        <f>VLOOKUP($A47,'OI(Value)'!$A$7:$O$323,11,0)</f>
        <v>555</v>
      </c>
      <c r="O47" s="103">
        <f>VLOOKUP($A47,'OI(Value)'!$A$7:$O$323,12,0)</f>
        <v>66</v>
      </c>
      <c r="P47" s="179">
        <f>VLOOKUP(A47,'OI(Value)'!A47:O265,8,0)</f>
        <v>672</v>
      </c>
      <c r="Q47" s="179">
        <f>VLOOKUP(A47,'OI(Value)'!A47:O265,9,0)</f>
        <v>181</v>
      </c>
      <c r="R47" s="179">
        <f>VLOOKUP(A47,'OI(Value)'!A47:O265,11,0)</f>
        <v>555</v>
      </c>
      <c r="S47" s="179">
        <f>VLOOKUP(A47,'OI(Value)'!A47:O265,11,0)</f>
        <v>555</v>
      </c>
    </row>
    <row r="48" spans="1:19" x14ac:dyDescent="0.25">
      <c r="A48" s="105" t="str">
        <f>'Data Vlaue (Cr)'!C43</f>
        <v>CGPOWER</v>
      </c>
      <c r="B48" s="143">
        <f>VLOOKUP($A48,'Data shares'!$C:$FA,118)</f>
        <v>0.96</v>
      </c>
      <c r="C48" s="143">
        <f>VLOOKUP($A48,'Data shares'!$C:$FA,119)</f>
        <v>0.68</v>
      </c>
      <c r="D48" s="143">
        <f>VLOOKUP($A48,'Data shares'!$C:$FA,121)*100</f>
        <v>41.18</v>
      </c>
      <c r="E48" s="143">
        <f>VLOOKUP($A48,'Data shares'!$C:$FA,124)</f>
        <v>0.33</v>
      </c>
      <c r="F48" s="143">
        <f>VLOOKUP($A48,'Data shares'!$C:$FA,125)</f>
        <v>0.7</v>
      </c>
      <c r="G48" s="143">
        <f>VLOOKUP($A48,'Data shares'!$C:$FA,127)*100</f>
        <v>-52.86</v>
      </c>
      <c r="H48" s="103">
        <f>VLOOKUP($A48,'OI(Volume)'!$A$7:$O$440,8)</f>
        <v>5662700</v>
      </c>
      <c r="I48" s="103">
        <f>VLOOKUP($A48,'OI(Volume)'!$A$7:$O$440,9)</f>
        <v>85850</v>
      </c>
      <c r="J48" s="103">
        <f>VLOOKUP($A48,'OI(Volume)'!$A$7:$O$440,11)</f>
        <v>5408550</v>
      </c>
      <c r="K48" s="103">
        <f>VLOOKUP($A48,'OI(Volume)'!$A$7:$O$440,12)</f>
        <v>1588650</v>
      </c>
      <c r="L48" s="103">
        <f>VLOOKUP($A48,'OI(Value)'!$A$7:$O$323,8,0)</f>
        <v>330</v>
      </c>
      <c r="M48" s="103">
        <f>VLOOKUP($A48,'OI(Value)'!$A$7:$O$323,9,0)</f>
        <v>5</v>
      </c>
      <c r="N48" s="103">
        <f>VLOOKUP($A48,'OI(Value)'!$A$7:$O$323,11,0)</f>
        <v>315</v>
      </c>
      <c r="O48" s="103">
        <f>VLOOKUP($A48,'OI(Value)'!$A$7:$O$323,12,0)</f>
        <v>93</v>
      </c>
      <c r="P48" s="179">
        <f>VLOOKUP(A48,'OI(Value)'!A48:O266,8,0)</f>
        <v>330</v>
      </c>
      <c r="Q48" s="179">
        <f>VLOOKUP(A48,'OI(Value)'!A48:O266,9,0)</f>
        <v>5</v>
      </c>
      <c r="R48" s="179">
        <f>VLOOKUP(A48,'OI(Value)'!A48:O266,11,0)</f>
        <v>315</v>
      </c>
      <c r="S48" s="179">
        <f>VLOOKUP(A48,'OI(Value)'!A48:O266,11,0)</f>
        <v>315</v>
      </c>
    </row>
    <row r="49" spans="1:19" x14ac:dyDescent="0.25">
      <c r="A49" s="105" t="str">
        <f>'Data Vlaue (Cr)'!C44</f>
        <v>CHOLAFIN</v>
      </c>
      <c r="B49" s="143">
        <f>VLOOKUP($A49,'Data shares'!$C:$FA,118)</f>
        <v>1.05</v>
      </c>
      <c r="C49" s="143">
        <f>VLOOKUP($A49,'Data shares'!$C:$FA,119)</f>
        <v>1.1100000000000001</v>
      </c>
      <c r="D49" s="143">
        <f>VLOOKUP($A49,'Data shares'!$C:$FA,121)*100</f>
        <v>-5.41</v>
      </c>
      <c r="E49" s="143">
        <f>VLOOKUP($A49,'Data shares'!$C:$FA,124)</f>
        <v>0.83</v>
      </c>
      <c r="F49" s="143">
        <f>VLOOKUP($A49,'Data shares'!$C:$FA,125)</f>
        <v>0.83</v>
      </c>
      <c r="G49" s="143">
        <f>VLOOKUP($A49,'Data shares'!$C:$FA,127)*100</f>
        <v>0</v>
      </c>
      <c r="H49" s="103">
        <f>VLOOKUP($A49,'OI(Volume)'!$A$7:$O$440,8)</f>
        <v>1267500</v>
      </c>
      <c r="I49" s="103">
        <f>VLOOKUP($A49,'OI(Volume)'!$A$7:$O$440,9)</f>
        <v>316250</v>
      </c>
      <c r="J49" s="103">
        <f>VLOOKUP($A49,'OI(Volume)'!$A$7:$O$440,11)</f>
        <v>1330625</v>
      </c>
      <c r="K49" s="103">
        <f>VLOOKUP($A49,'OI(Volume)'!$A$7:$O$440,12)</f>
        <v>270625</v>
      </c>
      <c r="L49" s="103">
        <f>VLOOKUP($A49,'OI(Value)'!$A$7:$O$323,8,0)</f>
        <v>209</v>
      </c>
      <c r="M49" s="103">
        <f>VLOOKUP($A49,'OI(Value)'!$A$7:$O$323,9,0)</f>
        <v>52</v>
      </c>
      <c r="N49" s="103">
        <f>VLOOKUP($A49,'OI(Value)'!$A$7:$O$323,11,0)</f>
        <v>219</v>
      </c>
      <c r="O49" s="103">
        <f>VLOOKUP($A49,'OI(Value)'!$A$7:$O$323,12,0)</f>
        <v>45</v>
      </c>
      <c r="P49" s="179">
        <f>VLOOKUP(A49,'OI(Value)'!A49:O267,8,0)</f>
        <v>209</v>
      </c>
      <c r="Q49" s="179">
        <f>VLOOKUP(A49,'OI(Value)'!A49:O267,9,0)</f>
        <v>52</v>
      </c>
      <c r="R49" s="179">
        <f>VLOOKUP(A49,'OI(Value)'!A49:O267,11,0)</f>
        <v>219</v>
      </c>
      <c r="S49" s="179">
        <f>VLOOKUP(A49,'OI(Value)'!A49:O267,11,0)</f>
        <v>219</v>
      </c>
    </row>
    <row r="50" spans="1:19" x14ac:dyDescent="0.25">
      <c r="A50" s="105" t="str">
        <f>'Data Vlaue (Cr)'!C45</f>
        <v>CIPLA</v>
      </c>
      <c r="B50" s="143">
        <f>VLOOKUP($A50,'Data shares'!$C:$FA,118)</f>
        <v>0.83</v>
      </c>
      <c r="C50" s="143">
        <f>VLOOKUP($A50,'Data shares'!$C:$FA,119)</f>
        <v>0.91</v>
      </c>
      <c r="D50" s="143">
        <f>VLOOKUP($A50,'Data shares'!$C:$FA,121)*100</f>
        <v>-8.7900000000000009</v>
      </c>
      <c r="E50" s="143">
        <f>VLOOKUP($A50,'Data shares'!$C:$FA,124)</f>
        <v>0.53</v>
      </c>
      <c r="F50" s="143">
        <f>VLOOKUP($A50,'Data shares'!$C:$FA,125)</f>
        <v>0.91</v>
      </c>
      <c r="G50" s="143">
        <f>VLOOKUP($A50,'Data shares'!$C:$FA,127)*100</f>
        <v>-41.760000000000005</v>
      </c>
      <c r="H50" s="103">
        <f>VLOOKUP($A50,'OI(Volume)'!$A$7:$O$440,8)</f>
        <v>3496125</v>
      </c>
      <c r="I50" s="103">
        <f>VLOOKUP($A50,'OI(Volume)'!$A$7:$O$440,9)</f>
        <v>561000</v>
      </c>
      <c r="J50" s="103">
        <f>VLOOKUP($A50,'OI(Volume)'!$A$7:$O$440,11)</f>
        <v>2908125</v>
      </c>
      <c r="K50" s="103">
        <f>VLOOKUP($A50,'OI(Volume)'!$A$7:$O$440,12)</f>
        <v>241500</v>
      </c>
      <c r="L50" s="103">
        <f>VLOOKUP($A50,'OI(Value)'!$A$7:$O$323,8,0)</f>
        <v>466</v>
      </c>
      <c r="M50" s="103">
        <f>VLOOKUP($A50,'OI(Value)'!$A$7:$O$323,9,0)</f>
        <v>75</v>
      </c>
      <c r="N50" s="103">
        <f>VLOOKUP($A50,'OI(Value)'!$A$7:$O$323,11,0)</f>
        <v>388</v>
      </c>
      <c r="O50" s="103">
        <f>VLOOKUP($A50,'OI(Value)'!$A$7:$O$323,12,0)</f>
        <v>32</v>
      </c>
      <c r="P50" s="179">
        <f>VLOOKUP(A50,'OI(Value)'!A50:O268,8,0)</f>
        <v>466</v>
      </c>
      <c r="Q50" s="179">
        <f>VLOOKUP(A50,'OI(Value)'!A50:O268,9,0)</f>
        <v>75</v>
      </c>
      <c r="R50" s="179">
        <f>VLOOKUP(A50,'OI(Value)'!A50:O268,11,0)</f>
        <v>388</v>
      </c>
      <c r="S50" s="179">
        <f>VLOOKUP(A50,'OI(Value)'!A50:O268,11,0)</f>
        <v>388</v>
      </c>
    </row>
    <row r="51" spans="1:19" x14ac:dyDescent="0.25">
      <c r="A51" s="105" t="str">
        <f>'Data Vlaue (Cr)'!C46</f>
        <v>COALINDIA</v>
      </c>
      <c r="B51" s="143">
        <f>VLOOKUP($A51,'Data shares'!$C:$FA,118)</f>
        <v>0.61</v>
      </c>
      <c r="C51" s="143">
        <f>VLOOKUP($A51,'Data shares'!$C:$FA,119)</f>
        <v>0.6</v>
      </c>
      <c r="D51" s="143">
        <f>VLOOKUP($A51,'Data shares'!$C:$FA,121)*100</f>
        <v>1.67</v>
      </c>
      <c r="E51" s="143">
        <f>VLOOKUP($A51,'Data shares'!$C:$FA,124)</f>
        <v>0.3</v>
      </c>
      <c r="F51" s="143">
        <f>VLOOKUP($A51,'Data shares'!$C:$FA,125)</f>
        <v>0.52</v>
      </c>
      <c r="G51" s="143">
        <f>VLOOKUP($A51,'Data shares'!$C:$FA,127)*100</f>
        <v>-42.309999999999995</v>
      </c>
      <c r="H51" s="103">
        <f>VLOOKUP($A51,'OI(Volume)'!$A$7:$O$440,8)</f>
        <v>20425500</v>
      </c>
      <c r="I51" s="103">
        <f>VLOOKUP($A51,'OI(Volume)'!$A$7:$O$440,9)</f>
        <v>5148900</v>
      </c>
      <c r="J51" s="103">
        <f>VLOOKUP($A51,'OI(Volume)'!$A$7:$O$440,11)</f>
        <v>12424050</v>
      </c>
      <c r="K51" s="103">
        <f>VLOOKUP($A51,'OI(Volume)'!$A$7:$O$440,12)</f>
        <v>3322350</v>
      </c>
      <c r="L51" s="103">
        <f>VLOOKUP($A51,'OI(Value)'!$A$7:$O$323,8,0)</f>
        <v>900</v>
      </c>
      <c r="M51" s="103">
        <f>VLOOKUP($A51,'OI(Value)'!$A$7:$O$323,9,0)</f>
        <v>227</v>
      </c>
      <c r="N51" s="103">
        <f>VLOOKUP($A51,'OI(Value)'!$A$7:$O$323,11,0)</f>
        <v>547</v>
      </c>
      <c r="O51" s="103">
        <f>VLOOKUP($A51,'OI(Value)'!$A$7:$O$323,12,0)</f>
        <v>146</v>
      </c>
      <c r="P51" s="179">
        <f>VLOOKUP(A51,'OI(Value)'!A51:O269,8,0)</f>
        <v>900</v>
      </c>
      <c r="Q51" s="179">
        <f>VLOOKUP(A51,'OI(Value)'!A51:O269,9,0)</f>
        <v>227</v>
      </c>
      <c r="R51" s="179">
        <f>VLOOKUP(A51,'OI(Value)'!A51:O269,11,0)</f>
        <v>547</v>
      </c>
      <c r="S51" s="179">
        <f>VLOOKUP(A51,'OI(Value)'!A51:O269,11,0)</f>
        <v>547</v>
      </c>
    </row>
    <row r="52" spans="1:19" x14ac:dyDescent="0.25">
      <c r="A52" s="105" t="str">
        <f>'Data Vlaue (Cr)'!C47</f>
        <v>COFORGE</v>
      </c>
      <c r="B52" s="143">
        <f>VLOOKUP($A52,'Data shares'!$C:$FA,118)</f>
        <v>0.73</v>
      </c>
      <c r="C52" s="143">
        <f>VLOOKUP($A52,'Data shares'!$C:$FA,119)</f>
        <v>0.81</v>
      </c>
      <c r="D52" s="143">
        <f>VLOOKUP($A52,'Data shares'!$C:$FA,121)*100</f>
        <v>-9.879999999999999</v>
      </c>
      <c r="E52" s="143">
        <f>VLOOKUP($A52,'Data shares'!$C:$FA,124)</f>
        <v>0.94</v>
      </c>
      <c r="F52" s="143">
        <f>VLOOKUP($A52,'Data shares'!$C:$FA,125)</f>
        <v>0.5</v>
      </c>
      <c r="G52" s="143">
        <f>VLOOKUP($A52,'Data shares'!$C:$FA,127)*100</f>
        <v>88</v>
      </c>
      <c r="H52" s="103">
        <f>VLOOKUP($A52,'OI(Volume)'!$A$7:$O$440,8)</f>
        <v>2921250</v>
      </c>
      <c r="I52" s="103">
        <f>VLOOKUP($A52,'OI(Volume)'!$A$7:$O$440,9)</f>
        <v>541500</v>
      </c>
      <c r="J52" s="103">
        <f>VLOOKUP($A52,'OI(Volume)'!$A$7:$O$440,11)</f>
        <v>2146125</v>
      </c>
      <c r="K52" s="103">
        <f>VLOOKUP($A52,'OI(Volume)'!$A$7:$O$440,12)</f>
        <v>225000</v>
      </c>
      <c r="L52" s="103">
        <f>VLOOKUP($A52,'OI(Value)'!$A$7:$O$323,8,0)</f>
        <v>495</v>
      </c>
      <c r="M52" s="103">
        <f>VLOOKUP($A52,'OI(Value)'!$A$7:$O$323,9,0)</f>
        <v>92</v>
      </c>
      <c r="N52" s="103">
        <f>VLOOKUP($A52,'OI(Value)'!$A$7:$O$323,11,0)</f>
        <v>363</v>
      </c>
      <c r="O52" s="103">
        <f>VLOOKUP($A52,'OI(Value)'!$A$7:$O$323,12,0)</f>
        <v>38</v>
      </c>
      <c r="P52" s="179">
        <f>VLOOKUP(A52,'OI(Value)'!A52:O270,8,0)</f>
        <v>495</v>
      </c>
      <c r="Q52" s="179">
        <f>VLOOKUP(A52,'OI(Value)'!A52:O270,9,0)</f>
        <v>92</v>
      </c>
      <c r="R52" s="179">
        <f>VLOOKUP(A52,'OI(Value)'!A52:O270,11,0)</f>
        <v>363</v>
      </c>
      <c r="S52" s="179">
        <f>VLOOKUP(A52,'OI(Value)'!A52:O270,11,0)</f>
        <v>363</v>
      </c>
    </row>
    <row r="53" spans="1:19" x14ac:dyDescent="0.25">
      <c r="A53" s="105" t="str">
        <f>'Data Vlaue (Cr)'!C48</f>
        <v>COLPAL</v>
      </c>
      <c r="B53" s="143">
        <f>VLOOKUP($A53,'Data shares'!$C:$FA,118)</f>
        <v>0.99</v>
      </c>
      <c r="C53" s="143">
        <f>VLOOKUP($A53,'Data shares'!$C:$FA,119)</f>
        <v>0.92</v>
      </c>
      <c r="D53" s="143">
        <f>VLOOKUP($A53,'Data shares'!$C:$FA,121)*100</f>
        <v>7.61</v>
      </c>
      <c r="E53" s="143">
        <f>VLOOKUP($A53,'Data shares'!$C:$FA,124)</f>
        <v>0.68</v>
      </c>
      <c r="F53" s="143">
        <f>VLOOKUP($A53,'Data shares'!$C:$FA,125)</f>
        <v>0.56999999999999995</v>
      </c>
      <c r="G53" s="143">
        <f>VLOOKUP($A53,'Data shares'!$C:$FA,127)*100</f>
        <v>19.3</v>
      </c>
      <c r="H53" s="103">
        <f>VLOOKUP($A53,'OI(Volume)'!$A$7:$O$440,8)</f>
        <v>911250</v>
      </c>
      <c r="I53" s="103">
        <f>VLOOKUP($A53,'OI(Volume)'!$A$7:$O$440,9)</f>
        <v>107325</v>
      </c>
      <c r="J53" s="103">
        <f>VLOOKUP($A53,'OI(Volume)'!$A$7:$O$440,11)</f>
        <v>903375</v>
      </c>
      <c r="K53" s="103">
        <f>VLOOKUP($A53,'OI(Volume)'!$A$7:$O$440,12)</f>
        <v>163800</v>
      </c>
      <c r="L53" s="103">
        <f>VLOOKUP($A53,'OI(Value)'!$A$7:$O$323,8,0)</f>
        <v>197</v>
      </c>
      <c r="M53" s="103">
        <f>VLOOKUP($A53,'OI(Value)'!$A$7:$O$323,9,0)</f>
        <v>23</v>
      </c>
      <c r="N53" s="103">
        <f>VLOOKUP($A53,'OI(Value)'!$A$7:$O$323,11,0)</f>
        <v>195</v>
      </c>
      <c r="O53" s="103">
        <f>VLOOKUP($A53,'OI(Value)'!$A$7:$O$323,12,0)</f>
        <v>35</v>
      </c>
      <c r="P53" s="179">
        <f>VLOOKUP(A53,'OI(Value)'!A53:O271,8,0)</f>
        <v>197</v>
      </c>
      <c r="Q53" s="179">
        <f>VLOOKUP(A53,'OI(Value)'!A53:O271,9,0)</f>
        <v>23</v>
      </c>
      <c r="R53" s="179">
        <f>VLOOKUP(A53,'OI(Value)'!A53:O271,11,0)</f>
        <v>195</v>
      </c>
      <c r="S53" s="179">
        <f>VLOOKUP(A53,'OI(Value)'!A53:O271,11,0)</f>
        <v>195</v>
      </c>
    </row>
    <row r="54" spans="1:19" x14ac:dyDescent="0.25">
      <c r="A54" s="105" t="str">
        <f>'Data Vlaue (Cr)'!C49</f>
        <v>CONCOR</v>
      </c>
      <c r="B54" s="143">
        <f>VLOOKUP($A54,'Data shares'!$C:$FA,118)</f>
        <v>1.1100000000000001</v>
      </c>
      <c r="C54" s="143">
        <f>VLOOKUP($A54,'Data shares'!$C:$FA,119)</f>
        <v>1.21</v>
      </c>
      <c r="D54" s="143">
        <f>VLOOKUP($A54,'Data shares'!$C:$FA,121)*100</f>
        <v>-8.2600000000000016</v>
      </c>
      <c r="E54" s="143">
        <f>VLOOKUP($A54,'Data shares'!$C:$FA,124)</f>
        <v>0.36</v>
      </c>
      <c r="F54" s="143">
        <f>VLOOKUP($A54,'Data shares'!$C:$FA,125)</f>
        <v>0.89</v>
      </c>
      <c r="G54" s="143">
        <f>VLOOKUP($A54,'Data shares'!$C:$FA,127)*100</f>
        <v>-59.550000000000004</v>
      </c>
      <c r="H54" s="103">
        <f>VLOOKUP($A54,'OI(Volume)'!$A$7:$O$440,8)</f>
        <v>6873750</v>
      </c>
      <c r="I54" s="103">
        <f>VLOOKUP($A54,'OI(Volume)'!$A$7:$O$440,9)</f>
        <v>1138750</v>
      </c>
      <c r="J54" s="103">
        <f>VLOOKUP($A54,'OI(Volume)'!$A$7:$O$440,11)</f>
        <v>7648750</v>
      </c>
      <c r="K54" s="103">
        <f>VLOOKUP($A54,'OI(Volume)'!$A$7:$O$440,12)</f>
        <v>726250</v>
      </c>
      <c r="L54" s="103">
        <f>VLOOKUP($A54,'OI(Value)'!$A$7:$O$323,8,0)</f>
        <v>341</v>
      </c>
      <c r="M54" s="103">
        <f>VLOOKUP($A54,'OI(Value)'!$A$7:$O$323,9,0)</f>
        <v>57</v>
      </c>
      <c r="N54" s="103">
        <f>VLOOKUP($A54,'OI(Value)'!$A$7:$O$323,11,0)</f>
        <v>380</v>
      </c>
      <c r="O54" s="103">
        <f>VLOOKUP($A54,'OI(Value)'!$A$7:$O$323,12,0)</f>
        <v>36</v>
      </c>
      <c r="P54" s="179">
        <f>VLOOKUP(A54,'OI(Value)'!A54:O272,8,0)</f>
        <v>341</v>
      </c>
      <c r="Q54" s="179">
        <f>VLOOKUP(A54,'OI(Value)'!A54:O272,9,0)</f>
        <v>57</v>
      </c>
      <c r="R54" s="179">
        <f>VLOOKUP(A54,'OI(Value)'!A54:O272,11,0)</f>
        <v>380</v>
      </c>
      <c r="S54" s="179">
        <f>VLOOKUP(A54,'OI(Value)'!A54:O272,11,0)</f>
        <v>380</v>
      </c>
    </row>
    <row r="55" spans="1:19" x14ac:dyDescent="0.25">
      <c r="A55" s="105" t="str">
        <f>'Data Vlaue (Cr)'!C50</f>
        <v>CROMPTON</v>
      </c>
      <c r="B55" s="143">
        <f>VLOOKUP($A55,'Data shares'!$C:$FA,118)</f>
        <v>0.63</v>
      </c>
      <c r="C55" s="143">
        <f>VLOOKUP($A55,'Data shares'!$C:$FA,119)</f>
        <v>0.69</v>
      </c>
      <c r="D55" s="143">
        <f>VLOOKUP($A55,'Data shares'!$C:$FA,121)*100</f>
        <v>-8.6999999999999993</v>
      </c>
      <c r="E55" s="143">
        <f>VLOOKUP($A55,'Data shares'!$C:$FA,124)</f>
        <v>0.36</v>
      </c>
      <c r="F55" s="143">
        <f>VLOOKUP($A55,'Data shares'!$C:$FA,125)</f>
        <v>1.43</v>
      </c>
      <c r="G55" s="143">
        <f>VLOOKUP($A55,'Data shares'!$C:$FA,127)*100</f>
        <v>-74.83</v>
      </c>
      <c r="H55" s="103">
        <f>VLOOKUP($A55,'OI(Volume)'!$A$7:$O$440,8)</f>
        <v>9037800</v>
      </c>
      <c r="I55" s="103">
        <f>VLOOKUP($A55,'OI(Volume)'!$A$7:$O$440,9)</f>
        <v>1904400</v>
      </c>
      <c r="J55" s="103">
        <f>VLOOKUP($A55,'OI(Volume)'!$A$7:$O$440,11)</f>
        <v>5700600</v>
      </c>
      <c r="K55" s="103">
        <f>VLOOKUP($A55,'OI(Volume)'!$A$7:$O$440,12)</f>
        <v>804600</v>
      </c>
      <c r="L55" s="103">
        <f>VLOOKUP($A55,'OI(Value)'!$A$7:$O$323,8,0)</f>
        <v>205</v>
      </c>
      <c r="M55" s="103">
        <f>VLOOKUP($A55,'OI(Value)'!$A$7:$O$323,9,0)</f>
        <v>43</v>
      </c>
      <c r="N55" s="103">
        <f>VLOOKUP($A55,'OI(Value)'!$A$7:$O$323,11,0)</f>
        <v>129</v>
      </c>
      <c r="O55" s="103">
        <f>VLOOKUP($A55,'OI(Value)'!$A$7:$O$323,12,0)</f>
        <v>18</v>
      </c>
      <c r="P55" s="179">
        <f>VLOOKUP(A55,'OI(Value)'!A55:O273,8,0)</f>
        <v>205</v>
      </c>
      <c r="Q55" s="179">
        <f>VLOOKUP(A55,'OI(Value)'!A55:O273,9,0)</f>
        <v>43</v>
      </c>
      <c r="R55" s="179">
        <f>VLOOKUP(A55,'OI(Value)'!A55:O273,11,0)</f>
        <v>129</v>
      </c>
      <c r="S55" s="179">
        <f>VLOOKUP(A55,'OI(Value)'!A55:O273,11,0)</f>
        <v>129</v>
      </c>
    </row>
    <row r="56" spans="1:19" x14ac:dyDescent="0.25">
      <c r="A56" s="105" t="str">
        <f>'Data Vlaue (Cr)'!C51</f>
        <v>CUMMINSIND</v>
      </c>
      <c r="B56" s="143">
        <f>VLOOKUP($A56,'Data shares'!$C:$FA,118)</f>
        <v>1.05</v>
      </c>
      <c r="C56" s="143">
        <f>VLOOKUP($A56,'Data shares'!$C:$FA,119)</f>
        <v>1.2</v>
      </c>
      <c r="D56" s="143">
        <f>VLOOKUP($A56,'Data shares'!$C:$FA,121)*100</f>
        <v>-12.5</v>
      </c>
      <c r="E56" s="143">
        <f>VLOOKUP($A56,'Data shares'!$C:$FA,124)</f>
        <v>0.44</v>
      </c>
      <c r="F56" s="143">
        <f>VLOOKUP($A56,'Data shares'!$C:$FA,125)</f>
        <v>0.77</v>
      </c>
      <c r="G56" s="143">
        <f>VLOOKUP($A56,'Data shares'!$C:$FA,127)*100</f>
        <v>-42.86</v>
      </c>
      <c r="H56" s="103">
        <f>VLOOKUP($A56,'OI(Volume)'!$A$7:$O$440,8)</f>
        <v>279000</v>
      </c>
      <c r="I56" s="103">
        <f>VLOOKUP($A56,'OI(Volume)'!$A$7:$O$440,9)</f>
        <v>78600</v>
      </c>
      <c r="J56" s="103">
        <f>VLOOKUP($A56,'OI(Volume)'!$A$7:$O$440,11)</f>
        <v>292000</v>
      </c>
      <c r="K56" s="103">
        <f>VLOOKUP($A56,'OI(Volume)'!$A$7:$O$440,12)</f>
        <v>50800</v>
      </c>
      <c r="L56" s="103">
        <f>VLOOKUP($A56,'OI(Value)'!$A$7:$O$323,8,0)</f>
        <v>112</v>
      </c>
      <c r="M56" s="103">
        <f>VLOOKUP($A56,'OI(Value)'!$A$7:$O$323,9,0)</f>
        <v>32</v>
      </c>
      <c r="N56" s="103">
        <f>VLOOKUP($A56,'OI(Value)'!$A$7:$O$323,11,0)</f>
        <v>118</v>
      </c>
      <c r="O56" s="103">
        <f>VLOOKUP($A56,'OI(Value)'!$A$7:$O$323,12,0)</f>
        <v>20</v>
      </c>
      <c r="P56" s="179">
        <f>VLOOKUP(A56,'OI(Value)'!A56:O274,8,0)</f>
        <v>112</v>
      </c>
      <c r="Q56" s="179">
        <f>VLOOKUP(A56,'OI(Value)'!A56:O274,9,0)</f>
        <v>32</v>
      </c>
      <c r="R56" s="179">
        <f>VLOOKUP(A56,'OI(Value)'!A56:O274,11,0)</f>
        <v>118</v>
      </c>
      <c r="S56" s="179">
        <f>VLOOKUP(A56,'OI(Value)'!A56:O274,11,0)</f>
        <v>118</v>
      </c>
    </row>
    <row r="57" spans="1:19" x14ac:dyDescent="0.25">
      <c r="A57" s="105" t="str">
        <f>'Data Vlaue (Cr)'!C52</f>
        <v>DABUR</v>
      </c>
      <c r="B57" s="143">
        <f>VLOOKUP($A57,'Data shares'!$C:$FA,118)</f>
        <v>0.65</v>
      </c>
      <c r="C57" s="143">
        <f>VLOOKUP($A57,'Data shares'!$C:$FA,119)</f>
        <v>0.76</v>
      </c>
      <c r="D57" s="143">
        <f>VLOOKUP($A57,'Data shares'!$C:$FA,121)*100</f>
        <v>-14.469999999999999</v>
      </c>
      <c r="E57" s="143">
        <f>VLOOKUP($A57,'Data shares'!$C:$FA,124)</f>
        <v>0.51</v>
      </c>
      <c r="F57" s="143">
        <f>VLOOKUP($A57,'Data shares'!$C:$FA,125)</f>
        <v>0.62</v>
      </c>
      <c r="G57" s="143">
        <f>VLOOKUP($A57,'Data shares'!$C:$FA,127)*100</f>
        <v>-17.740000000000002</v>
      </c>
      <c r="H57" s="103">
        <f>VLOOKUP($A57,'OI(Volume)'!$A$7:$O$440,8)</f>
        <v>5113750</v>
      </c>
      <c r="I57" s="103">
        <f>VLOOKUP($A57,'OI(Volume)'!$A$7:$O$440,9)</f>
        <v>1715000</v>
      </c>
      <c r="J57" s="103">
        <f>VLOOKUP($A57,'OI(Volume)'!$A$7:$O$440,11)</f>
        <v>3342500</v>
      </c>
      <c r="K57" s="103">
        <f>VLOOKUP($A57,'OI(Volume)'!$A$7:$O$440,12)</f>
        <v>753750</v>
      </c>
      <c r="L57" s="103">
        <f>VLOOKUP($A57,'OI(Value)'!$A$7:$O$323,8,0)</f>
        <v>265</v>
      </c>
      <c r="M57" s="103">
        <f>VLOOKUP($A57,'OI(Value)'!$A$7:$O$323,9,0)</f>
        <v>89</v>
      </c>
      <c r="N57" s="103">
        <f>VLOOKUP($A57,'OI(Value)'!$A$7:$O$323,11,0)</f>
        <v>173</v>
      </c>
      <c r="O57" s="103">
        <f>VLOOKUP($A57,'OI(Value)'!$A$7:$O$323,12,0)</f>
        <v>39</v>
      </c>
      <c r="P57" s="179">
        <f>VLOOKUP(A57,'OI(Value)'!A57:O275,8,0)</f>
        <v>265</v>
      </c>
      <c r="Q57" s="179">
        <f>VLOOKUP(A57,'OI(Value)'!A57:O275,9,0)</f>
        <v>89</v>
      </c>
      <c r="R57" s="179">
        <f>VLOOKUP(A57,'OI(Value)'!A57:O275,11,0)</f>
        <v>173</v>
      </c>
      <c r="S57" s="179">
        <f>VLOOKUP(A57,'OI(Value)'!A57:O275,11,0)</f>
        <v>173</v>
      </c>
    </row>
    <row r="58" spans="1:19" x14ac:dyDescent="0.25">
      <c r="A58" s="105" t="str">
        <f>'Data Vlaue (Cr)'!C53</f>
        <v>DALBHARAT</v>
      </c>
      <c r="B58" s="143">
        <f>VLOOKUP($A58,'Data shares'!$C:$FA,118)</f>
        <v>0.7</v>
      </c>
      <c r="C58" s="143">
        <f>VLOOKUP($A58,'Data shares'!$C:$FA,119)</f>
        <v>0.74</v>
      </c>
      <c r="D58" s="143">
        <f>VLOOKUP($A58,'Data shares'!$C:$FA,121)*100</f>
        <v>-5.41</v>
      </c>
      <c r="E58" s="143">
        <f>VLOOKUP($A58,'Data shares'!$C:$FA,124)</f>
        <v>1.1200000000000001</v>
      </c>
      <c r="F58" s="143">
        <f>VLOOKUP($A58,'Data shares'!$C:$FA,125)</f>
        <v>0.75</v>
      </c>
      <c r="G58" s="143">
        <f>VLOOKUP($A58,'Data shares'!$C:$FA,127)*100</f>
        <v>49.33</v>
      </c>
      <c r="H58" s="103">
        <f>VLOOKUP($A58,'OI(Volume)'!$A$7:$O$440,8)</f>
        <v>556725</v>
      </c>
      <c r="I58" s="103">
        <f>VLOOKUP($A58,'OI(Volume)'!$A$7:$O$440,9)</f>
        <v>101725</v>
      </c>
      <c r="J58" s="103">
        <f>VLOOKUP($A58,'OI(Volume)'!$A$7:$O$440,11)</f>
        <v>392275</v>
      </c>
      <c r="K58" s="103">
        <f>VLOOKUP($A58,'OI(Volume)'!$A$7:$O$440,12)</f>
        <v>56875</v>
      </c>
      <c r="L58" s="103">
        <f>VLOOKUP($A58,'OI(Value)'!$A$7:$O$323,8,0)</f>
        <v>116</v>
      </c>
      <c r="M58" s="103">
        <f>VLOOKUP($A58,'OI(Value)'!$A$7:$O$323,9,0)</f>
        <v>21</v>
      </c>
      <c r="N58" s="103">
        <f>VLOOKUP($A58,'OI(Value)'!$A$7:$O$323,11,0)</f>
        <v>82</v>
      </c>
      <c r="O58" s="103">
        <f>VLOOKUP($A58,'OI(Value)'!$A$7:$O$323,12,0)</f>
        <v>12</v>
      </c>
      <c r="P58" s="179">
        <f>VLOOKUP(A58,'OI(Value)'!A58:O276,8,0)</f>
        <v>116</v>
      </c>
      <c r="Q58" s="179">
        <f>VLOOKUP(A58,'OI(Value)'!A58:O276,9,0)</f>
        <v>21</v>
      </c>
      <c r="R58" s="179">
        <f>VLOOKUP(A58,'OI(Value)'!A58:O276,11,0)</f>
        <v>82</v>
      </c>
      <c r="S58" s="179">
        <f>VLOOKUP(A58,'OI(Value)'!A58:O276,11,0)</f>
        <v>82</v>
      </c>
    </row>
    <row r="59" spans="1:19" x14ac:dyDescent="0.25">
      <c r="A59" s="105" t="str">
        <f>'Data Vlaue (Cr)'!C54</f>
        <v>DELHIVERY</v>
      </c>
      <c r="B59" s="143">
        <f>VLOOKUP($A59,'Data shares'!$C:$FA,118)</f>
        <v>0.89</v>
      </c>
      <c r="C59" s="143">
        <f>VLOOKUP($A59,'Data shares'!$C:$FA,119)</f>
        <v>1.23</v>
      </c>
      <c r="D59" s="143">
        <f>VLOOKUP($A59,'Data shares'!$C:$FA,121)*100</f>
        <v>-27.639999999999997</v>
      </c>
      <c r="E59" s="143">
        <f>VLOOKUP($A59,'Data shares'!$C:$FA,124)</f>
        <v>0.52</v>
      </c>
      <c r="F59" s="143">
        <f>VLOOKUP($A59,'Data shares'!$C:$FA,125)</f>
        <v>0.36</v>
      </c>
      <c r="G59" s="143">
        <f>VLOOKUP($A59,'Data shares'!$C:$FA,127)*100</f>
        <v>44.440000000000005</v>
      </c>
      <c r="H59" s="103">
        <f>VLOOKUP($A59,'OI(Volume)'!$A$7:$O$440,8)</f>
        <v>3851200</v>
      </c>
      <c r="I59" s="103">
        <f>VLOOKUP($A59,'OI(Volume)'!$A$7:$O$440,9)</f>
        <v>1577000</v>
      </c>
      <c r="J59" s="103">
        <f>VLOOKUP($A59,'OI(Volume)'!$A$7:$O$440,11)</f>
        <v>3411300</v>
      </c>
      <c r="K59" s="103">
        <f>VLOOKUP($A59,'OI(Volume)'!$A$7:$O$440,12)</f>
        <v>610050</v>
      </c>
      <c r="L59" s="103">
        <f>VLOOKUP($A59,'OI(Value)'!$A$7:$O$323,8,0)</f>
        <v>158</v>
      </c>
      <c r="M59" s="103">
        <f>VLOOKUP($A59,'OI(Value)'!$A$7:$O$323,9,0)</f>
        <v>65</v>
      </c>
      <c r="N59" s="103">
        <f>VLOOKUP($A59,'OI(Value)'!$A$7:$O$323,11,0)</f>
        <v>140</v>
      </c>
      <c r="O59" s="103">
        <f>VLOOKUP($A59,'OI(Value)'!$A$7:$O$323,12,0)</f>
        <v>25</v>
      </c>
      <c r="P59" s="179">
        <f>VLOOKUP(A59,'OI(Value)'!A59:O277,8,0)</f>
        <v>158</v>
      </c>
      <c r="Q59" s="179">
        <f>VLOOKUP(A59,'OI(Value)'!A59:O277,9,0)</f>
        <v>65</v>
      </c>
      <c r="R59" s="179">
        <f>VLOOKUP(A59,'OI(Value)'!A59:O277,11,0)</f>
        <v>140</v>
      </c>
      <c r="S59" s="179">
        <f>VLOOKUP(A59,'OI(Value)'!A59:O277,11,0)</f>
        <v>140</v>
      </c>
    </row>
    <row r="60" spans="1:19" x14ac:dyDescent="0.25">
      <c r="A60" s="105" t="str">
        <f>'Data Vlaue (Cr)'!C55</f>
        <v>DIVISLAB</v>
      </c>
      <c r="B60" s="143">
        <f>VLOOKUP($A60,'Data shares'!$C:$FA,118)</f>
        <v>0.63</v>
      </c>
      <c r="C60" s="143">
        <f>VLOOKUP($A60,'Data shares'!$C:$FA,119)</f>
        <v>0.87</v>
      </c>
      <c r="D60" s="143">
        <f>VLOOKUP($A60,'Data shares'!$C:$FA,121)*100</f>
        <v>-27.589999999999996</v>
      </c>
      <c r="E60" s="143">
        <f>VLOOKUP($A60,'Data shares'!$C:$FA,124)</f>
        <v>0.46</v>
      </c>
      <c r="F60" s="143">
        <f>VLOOKUP($A60,'Data shares'!$C:$FA,125)</f>
        <v>0.74</v>
      </c>
      <c r="G60" s="143">
        <f>VLOOKUP($A60,'Data shares'!$C:$FA,127)*100</f>
        <v>-37.840000000000003</v>
      </c>
      <c r="H60" s="103">
        <f>VLOOKUP($A60,'OI(Volume)'!$A$7:$O$440,8)</f>
        <v>445100</v>
      </c>
      <c r="I60" s="103">
        <f>VLOOKUP($A60,'OI(Volume)'!$A$7:$O$440,9)</f>
        <v>197100</v>
      </c>
      <c r="J60" s="103">
        <f>VLOOKUP($A60,'OI(Volume)'!$A$7:$O$440,11)</f>
        <v>281400</v>
      </c>
      <c r="K60" s="103">
        <f>VLOOKUP($A60,'OI(Volume)'!$A$7:$O$440,12)</f>
        <v>66000</v>
      </c>
      <c r="L60" s="103">
        <f>VLOOKUP($A60,'OI(Value)'!$A$7:$O$323,8,0)</f>
        <v>277</v>
      </c>
      <c r="M60" s="103">
        <f>VLOOKUP($A60,'OI(Value)'!$A$7:$O$323,9,0)</f>
        <v>123</v>
      </c>
      <c r="N60" s="103">
        <f>VLOOKUP($A60,'OI(Value)'!$A$7:$O$323,11,0)</f>
        <v>175</v>
      </c>
      <c r="O60" s="103">
        <f>VLOOKUP($A60,'OI(Value)'!$A$7:$O$323,12,0)</f>
        <v>41</v>
      </c>
      <c r="P60" s="179">
        <f>VLOOKUP(A60,'OI(Value)'!A60:O278,8,0)</f>
        <v>277</v>
      </c>
      <c r="Q60" s="179">
        <f>VLOOKUP(A60,'OI(Value)'!A60:O278,9,0)</f>
        <v>123</v>
      </c>
      <c r="R60" s="179">
        <f>VLOOKUP(A60,'OI(Value)'!A60:O278,11,0)</f>
        <v>175</v>
      </c>
      <c r="S60" s="179">
        <f>VLOOKUP(A60,'OI(Value)'!A60:O278,11,0)</f>
        <v>175</v>
      </c>
    </row>
    <row r="61" spans="1:19" x14ac:dyDescent="0.25">
      <c r="A61" s="105" t="str">
        <f>'Data Vlaue (Cr)'!C56</f>
        <v>DIXON</v>
      </c>
      <c r="B61" s="143">
        <f>VLOOKUP($A61,'Data shares'!$C:$FA,118)</f>
        <v>0.88</v>
      </c>
      <c r="C61" s="143">
        <f>VLOOKUP($A61,'Data shares'!$C:$FA,119)</f>
        <v>0.92</v>
      </c>
      <c r="D61" s="143">
        <f>VLOOKUP($A61,'Data shares'!$C:$FA,121)*100</f>
        <v>-4.3499999999999996</v>
      </c>
      <c r="E61" s="143">
        <f>VLOOKUP($A61,'Data shares'!$C:$FA,124)</f>
        <v>0.51</v>
      </c>
      <c r="F61" s="143">
        <f>VLOOKUP($A61,'Data shares'!$C:$FA,125)</f>
        <v>0.61</v>
      </c>
      <c r="G61" s="143">
        <f>VLOOKUP($A61,'Data shares'!$C:$FA,127)*100</f>
        <v>-16.39</v>
      </c>
      <c r="H61" s="103">
        <f>VLOOKUP($A61,'OI(Volume)'!$A$7:$O$440,8)</f>
        <v>923200</v>
      </c>
      <c r="I61" s="103">
        <f>VLOOKUP($A61,'OI(Volume)'!$A$7:$O$440,9)</f>
        <v>171400</v>
      </c>
      <c r="J61" s="103">
        <f>VLOOKUP($A61,'OI(Volume)'!$A$7:$O$440,11)</f>
        <v>812150</v>
      </c>
      <c r="K61" s="103">
        <f>VLOOKUP($A61,'OI(Volume)'!$A$7:$O$440,12)</f>
        <v>118200</v>
      </c>
      <c r="L61" s="103">
        <f>VLOOKUP($A61,'OI(Value)'!$A$7:$O$323,8,0)</f>
        <v>953</v>
      </c>
      <c r="M61" s="103">
        <f>VLOOKUP($A61,'OI(Value)'!$A$7:$O$323,9,0)</f>
        <v>177</v>
      </c>
      <c r="N61" s="103">
        <f>VLOOKUP($A61,'OI(Value)'!$A$7:$O$323,11,0)</f>
        <v>838</v>
      </c>
      <c r="O61" s="103">
        <f>VLOOKUP($A61,'OI(Value)'!$A$7:$O$323,12,0)</f>
        <v>122</v>
      </c>
      <c r="P61" s="179">
        <f>VLOOKUP(A61,'OI(Value)'!A61:O279,8,0)</f>
        <v>953</v>
      </c>
      <c r="Q61" s="179">
        <f>VLOOKUP(A61,'OI(Value)'!A61:O279,9,0)</f>
        <v>177</v>
      </c>
      <c r="R61" s="179">
        <f>VLOOKUP(A61,'OI(Value)'!A61:O279,11,0)</f>
        <v>838</v>
      </c>
      <c r="S61" s="179">
        <f>VLOOKUP(A61,'OI(Value)'!A61:O279,11,0)</f>
        <v>838</v>
      </c>
    </row>
    <row r="62" spans="1:19" x14ac:dyDescent="0.25">
      <c r="A62" s="105" t="str">
        <f>'Data Vlaue (Cr)'!C57</f>
        <v>DLF</v>
      </c>
      <c r="B62" s="143">
        <f>VLOOKUP($A62,'Data shares'!$C:$FA,118)</f>
        <v>0.8</v>
      </c>
      <c r="C62" s="143">
        <f>VLOOKUP($A62,'Data shares'!$C:$FA,119)</f>
        <v>0.8</v>
      </c>
      <c r="D62" s="143">
        <f>VLOOKUP($A62,'Data shares'!$C:$FA,121)*100</f>
        <v>0</v>
      </c>
      <c r="E62" s="143">
        <f>VLOOKUP($A62,'Data shares'!$C:$FA,124)</f>
        <v>0.45</v>
      </c>
      <c r="F62" s="143">
        <f>VLOOKUP($A62,'Data shares'!$C:$FA,125)</f>
        <v>0.64</v>
      </c>
      <c r="G62" s="143">
        <f>VLOOKUP($A62,'Data shares'!$C:$FA,127)*100</f>
        <v>-29.69</v>
      </c>
      <c r="H62" s="103">
        <f>VLOOKUP($A62,'OI(Volume)'!$A$7:$O$440,8)</f>
        <v>11482350</v>
      </c>
      <c r="I62" s="103">
        <f>VLOOKUP($A62,'OI(Volume)'!$A$7:$O$440,9)</f>
        <v>1201200</v>
      </c>
      <c r="J62" s="103">
        <f>VLOOKUP($A62,'OI(Volume)'!$A$7:$O$440,11)</f>
        <v>9161625</v>
      </c>
      <c r="K62" s="103">
        <f>VLOOKUP($A62,'OI(Volume)'!$A$7:$O$440,12)</f>
        <v>931425</v>
      </c>
      <c r="L62" s="103">
        <f>VLOOKUP($A62,'OI(Value)'!$A$7:$O$323,8,0)</f>
        <v>722</v>
      </c>
      <c r="M62" s="103">
        <f>VLOOKUP($A62,'OI(Value)'!$A$7:$O$323,9,0)</f>
        <v>75</v>
      </c>
      <c r="N62" s="103">
        <f>VLOOKUP($A62,'OI(Value)'!$A$7:$O$323,11,0)</f>
        <v>576</v>
      </c>
      <c r="O62" s="103">
        <f>VLOOKUP($A62,'OI(Value)'!$A$7:$O$323,12,0)</f>
        <v>59</v>
      </c>
      <c r="P62" s="179">
        <f>VLOOKUP(A62,'OI(Value)'!A62:O280,8,0)</f>
        <v>722</v>
      </c>
      <c r="Q62" s="179">
        <f>VLOOKUP(A62,'OI(Value)'!A62:O280,9,0)</f>
        <v>75</v>
      </c>
      <c r="R62" s="179">
        <f>VLOOKUP(A62,'OI(Value)'!A62:O280,11,0)</f>
        <v>576</v>
      </c>
      <c r="S62" s="179">
        <f>VLOOKUP(A62,'OI(Value)'!A62:O280,11,0)</f>
        <v>576</v>
      </c>
    </row>
    <row r="63" spans="1:19" x14ac:dyDescent="0.25">
      <c r="A63" s="105" t="str">
        <f>'Data Vlaue (Cr)'!C58</f>
        <v>DMART</v>
      </c>
      <c r="B63" s="143">
        <f>VLOOKUP($A63,'Data shares'!$C:$FA,118)</f>
        <v>0.56999999999999995</v>
      </c>
      <c r="C63" s="143">
        <f>VLOOKUP($A63,'Data shares'!$C:$FA,119)</f>
        <v>0.9</v>
      </c>
      <c r="D63" s="143">
        <f>VLOOKUP($A63,'Data shares'!$C:$FA,121)*100</f>
        <v>-36.67</v>
      </c>
      <c r="E63" s="143">
        <f>VLOOKUP($A63,'Data shares'!$C:$FA,124)</f>
        <v>0.24</v>
      </c>
      <c r="F63" s="143">
        <f>VLOOKUP($A63,'Data shares'!$C:$FA,125)</f>
        <v>0.41</v>
      </c>
      <c r="G63" s="143">
        <f>VLOOKUP($A63,'Data shares'!$C:$FA,127)*100</f>
        <v>-41.46</v>
      </c>
      <c r="H63" s="103">
        <f>VLOOKUP($A63,'OI(Volume)'!$A$7:$O$440,8)</f>
        <v>1255650</v>
      </c>
      <c r="I63" s="103">
        <f>VLOOKUP($A63,'OI(Volume)'!$A$7:$O$440,9)</f>
        <v>549750</v>
      </c>
      <c r="J63" s="103">
        <f>VLOOKUP($A63,'OI(Volume)'!$A$7:$O$440,11)</f>
        <v>714900</v>
      </c>
      <c r="K63" s="103">
        <f>VLOOKUP($A63,'OI(Volume)'!$A$7:$O$440,12)</f>
        <v>78600</v>
      </c>
      <c r="L63" s="103">
        <f>VLOOKUP($A63,'OI(Value)'!$A$7:$O$323,8,0)</f>
        <v>469</v>
      </c>
      <c r="M63" s="103">
        <f>VLOOKUP($A63,'OI(Value)'!$A$7:$O$323,9,0)</f>
        <v>205</v>
      </c>
      <c r="N63" s="103">
        <f>VLOOKUP($A63,'OI(Value)'!$A$7:$O$323,11,0)</f>
        <v>267</v>
      </c>
      <c r="O63" s="103">
        <f>VLOOKUP($A63,'OI(Value)'!$A$7:$O$323,12,0)</f>
        <v>29</v>
      </c>
      <c r="P63" s="179">
        <f>VLOOKUP(A63,'OI(Value)'!A63:O281,8,0)</f>
        <v>469</v>
      </c>
      <c r="Q63" s="179">
        <f>VLOOKUP(A63,'OI(Value)'!A63:O281,9,0)</f>
        <v>205</v>
      </c>
      <c r="R63" s="179">
        <f>VLOOKUP(A63,'OI(Value)'!A63:O281,11,0)</f>
        <v>267</v>
      </c>
      <c r="S63" s="179">
        <f>VLOOKUP(A63,'OI(Value)'!A63:O281,11,0)</f>
        <v>267</v>
      </c>
    </row>
    <row r="64" spans="1:19" x14ac:dyDescent="0.25">
      <c r="A64" s="105" t="str">
        <f>'Data Vlaue (Cr)'!C59</f>
        <v>DRREDDY</v>
      </c>
      <c r="B64" s="143">
        <f>VLOOKUP($A64,'Data shares'!$C:$FA,118)</f>
        <v>0.89</v>
      </c>
      <c r="C64" s="143">
        <f>VLOOKUP($A64,'Data shares'!$C:$FA,119)</f>
        <v>0.9</v>
      </c>
      <c r="D64" s="143">
        <f>VLOOKUP($A64,'Data shares'!$C:$FA,121)*100</f>
        <v>-1.1100000000000001</v>
      </c>
      <c r="E64" s="143">
        <f>VLOOKUP($A64,'Data shares'!$C:$FA,124)</f>
        <v>1</v>
      </c>
      <c r="F64" s="143">
        <f>VLOOKUP($A64,'Data shares'!$C:$FA,125)</f>
        <v>0.81</v>
      </c>
      <c r="G64" s="143">
        <f>VLOOKUP($A64,'Data shares'!$C:$FA,127)*100</f>
        <v>23.46</v>
      </c>
      <c r="H64" s="103">
        <f>VLOOKUP($A64,'OI(Volume)'!$A$7:$O$440,8)</f>
        <v>2485625</v>
      </c>
      <c r="I64" s="103">
        <f>VLOOKUP($A64,'OI(Volume)'!$A$7:$O$440,9)</f>
        <v>465000</v>
      </c>
      <c r="J64" s="103">
        <f>VLOOKUP($A64,'OI(Volume)'!$A$7:$O$440,11)</f>
        <v>2207500</v>
      </c>
      <c r="K64" s="103">
        <f>VLOOKUP($A64,'OI(Volume)'!$A$7:$O$440,12)</f>
        <v>390000</v>
      </c>
      <c r="L64" s="103">
        <f>VLOOKUP($A64,'OI(Value)'!$A$7:$O$323,8,0)</f>
        <v>306</v>
      </c>
      <c r="M64" s="103">
        <f>VLOOKUP($A64,'OI(Value)'!$A$7:$O$323,9,0)</f>
        <v>57</v>
      </c>
      <c r="N64" s="103">
        <f>VLOOKUP($A64,'OI(Value)'!$A$7:$O$323,11,0)</f>
        <v>272</v>
      </c>
      <c r="O64" s="103">
        <f>VLOOKUP($A64,'OI(Value)'!$A$7:$O$323,12,0)</f>
        <v>48</v>
      </c>
      <c r="P64" s="179">
        <f>VLOOKUP(A64,'OI(Value)'!A64:O282,8,0)</f>
        <v>306</v>
      </c>
      <c r="Q64" s="179">
        <f>VLOOKUP(A64,'OI(Value)'!A64:O282,9,0)</f>
        <v>57</v>
      </c>
      <c r="R64" s="179">
        <f>VLOOKUP(A64,'OI(Value)'!A64:O282,11,0)</f>
        <v>272</v>
      </c>
      <c r="S64" s="179">
        <f>VLOOKUP(A64,'OI(Value)'!A64:O282,11,0)</f>
        <v>272</v>
      </c>
    </row>
    <row r="65" spans="1:19" x14ac:dyDescent="0.25">
      <c r="A65" s="105" t="str">
        <f>'Data Vlaue (Cr)'!C60</f>
        <v>EICHERMOT</v>
      </c>
      <c r="B65" s="143">
        <f>VLOOKUP($A65,'Data shares'!$C:$FA,118)</f>
        <v>1.03</v>
      </c>
      <c r="C65" s="143">
        <f>VLOOKUP($A65,'Data shares'!$C:$FA,119)</f>
        <v>1.04</v>
      </c>
      <c r="D65" s="143">
        <f>VLOOKUP($A65,'Data shares'!$C:$FA,121)*100</f>
        <v>-0.96</v>
      </c>
      <c r="E65" s="143">
        <f>VLOOKUP($A65,'Data shares'!$C:$FA,124)</f>
        <v>1.28</v>
      </c>
      <c r="F65" s="143">
        <f>VLOOKUP($A65,'Data shares'!$C:$FA,125)</f>
        <v>0.38</v>
      </c>
      <c r="G65" s="143">
        <f>VLOOKUP($A65,'Data shares'!$C:$FA,127)*100</f>
        <v>236.83999999999997</v>
      </c>
      <c r="H65" s="103">
        <f>VLOOKUP($A65,'OI(Volume)'!$A$7:$O$440,8)</f>
        <v>721800</v>
      </c>
      <c r="I65" s="103">
        <f>VLOOKUP($A65,'OI(Volume)'!$A$7:$O$440,9)</f>
        <v>148200</v>
      </c>
      <c r="J65" s="103">
        <f>VLOOKUP($A65,'OI(Volume)'!$A$7:$O$440,11)</f>
        <v>742700</v>
      </c>
      <c r="K65" s="103">
        <f>VLOOKUP($A65,'OI(Volume)'!$A$7:$O$440,12)</f>
        <v>148500</v>
      </c>
      <c r="L65" s="103">
        <f>VLOOKUP($A65,'OI(Value)'!$A$7:$O$323,8,0)</f>
        <v>514</v>
      </c>
      <c r="M65" s="103">
        <f>VLOOKUP($A65,'OI(Value)'!$A$7:$O$323,9,0)</f>
        <v>105</v>
      </c>
      <c r="N65" s="103">
        <f>VLOOKUP($A65,'OI(Value)'!$A$7:$O$323,11,0)</f>
        <v>528</v>
      </c>
      <c r="O65" s="103">
        <f>VLOOKUP($A65,'OI(Value)'!$A$7:$O$323,12,0)</f>
        <v>106</v>
      </c>
      <c r="P65" s="179">
        <f>VLOOKUP(A65,'OI(Value)'!A65:O283,8,0)</f>
        <v>514</v>
      </c>
      <c r="Q65" s="179">
        <f>VLOOKUP(A65,'OI(Value)'!A65:O283,9,0)</f>
        <v>105</v>
      </c>
      <c r="R65" s="179">
        <f>VLOOKUP(A65,'OI(Value)'!A65:O283,11,0)</f>
        <v>528</v>
      </c>
      <c r="S65" s="179">
        <f>VLOOKUP(A65,'OI(Value)'!A65:O283,11,0)</f>
        <v>528</v>
      </c>
    </row>
    <row r="66" spans="1:19" x14ac:dyDescent="0.25">
      <c r="A66" s="105" t="str">
        <f>'Data Vlaue (Cr)'!C61</f>
        <v>ETERNAL</v>
      </c>
      <c r="B66" s="143">
        <f>VLOOKUP($A66,'Data shares'!$C:$FA,118)</f>
        <v>0.71</v>
      </c>
      <c r="C66" s="143">
        <f>VLOOKUP($A66,'Data shares'!$C:$FA,119)</f>
        <v>0.69</v>
      </c>
      <c r="D66" s="143">
        <f>VLOOKUP($A66,'Data shares'!$C:$FA,121)*100</f>
        <v>2.9000000000000004</v>
      </c>
      <c r="E66" s="143">
        <f>VLOOKUP($A66,'Data shares'!$C:$FA,124)</f>
        <v>0.56000000000000005</v>
      </c>
      <c r="F66" s="143">
        <f>VLOOKUP($A66,'Data shares'!$C:$FA,125)</f>
        <v>0.63</v>
      </c>
      <c r="G66" s="143">
        <f>VLOOKUP($A66,'Data shares'!$C:$FA,127)*100</f>
        <v>-11.110000000000001</v>
      </c>
      <c r="H66" s="103">
        <f>VLOOKUP($A66,'OI(Volume)'!$A$7:$O$440,8)</f>
        <v>56878375</v>
      </c>
      <c r="I66" s="103">
        <f>VLOOKUP($A66,'OI(Volume)'!$A$7:$O$440,9)</f>
        <v>4270425</v>
      </c>
      <c r="J66" s="103">
        <f>VLOOKUP($A66,'OI(Volume)'!$A$7:$O$440,11)</f>
        <v>40279250</v>
      </c>
      <c r="K66" s="103">
        <f>VLOOKUP($A66,'OI(Volume)'!$A$7:$O$440,12)</f>
        <v>4112800</v>
      </c>
      <c r="L66" s="103">
        <f>VLOOKUP($A66,'OI(Value)'!$A$7:$O$323,8,0)</f>
        <v>1521</v>
      </c>
      <c r="M66" s="103">
        <f>VLOOKUP($A66,'OI(Value)'!$A$7:$O$323,9,0)</f>
        <v>114</v>
      </c>
      <c r="N66" s="103">
        <f>VLOOKUP($A66,'OI(Value)'!$A$7:$O$323,11,0)</f>
        <v>1077</v>
      </c>
      <c r="O66" s="103">
        <f>VLOOKUP($A66,'OI(Value)'!$A$7:$O$323,12,0)</f>
        <v>110</v>
      </c>
      <c r="P66" s="179">
        <f>VLOOKUP(A66,'OI(Value)'!A66:O284,8,0)</f>
        <v>1521</v>
      </c>
      <c r="Q66" s="179">
        <f>VLOOKUP(A66,'OI(Value)'!A66:O284,9,0)</f>
        <v>114</v>
      </c>
      <c r="R66" s="179">
        <f>VLOOKUP(A66,'OI(Value)'!A66:O284,11,0)</f>
        <v>1077</v>
      </c>
      <c r="S66" s="179">
        <f>VLOOKUP(A66,'OI(Value)'!A66:O284,11,0)</f>
        <v>1077</v>
      </c>
    </row>
    <row r="67" spans="1:19" x14ac:dyDescent="0.25">
      <c r="A67" s="105" t="str">
        <f>'Data Vlaue (Cr)'!C62</f>
        <v>EXIDEIND</v>
      </c>
      <c r="B67" s="143">
        <f>VLOOKUP($A67,'Data shares'!$C:$FA,118)</f>
        <v>1.06</v>
      </c>
      <c r="C67" s="143">
        <f>VLOOKUP($A67,'Data shares'!$C:$FA,119)</f>
        <v>1.24</v>
      </c>
      <c r="D67" s="143">
        <f>VLOOKUP($A67,'Data shares'!$C:$FA,121)*100</f>
        <v>-14.52</v>
      </c>
      <c r="E67" s="143">
        <f>VLOOKUP($A67,'Data shares'!$C:$FA,124)</f>
        <v>0.59</v>
      </c>
      <c r="F67" s="143">
        <f>VLOOKUP($A67,'Data shares'!$C:$FA,125)</f>
        <v>0.91</v>
      </c>
      <c r="G67" s="143">
        <f>VLOOKUP($A67,'Data shares'!$C:$FA,127)*100</f>
        <v>-35.160000000000004</v>
      </c>
      <c r="H67" s="103">
        <f>VLOOKUP($A67,'OI(Volume)'!$A$7:$O$440,8)</f>
        <v>7405200</v>
      </c>
      <c r="I67" s="103">
        <f>VLOOKUP($A67,'OI(Volume)'!$A$7:$O$440,9)</f>
        <v>2302200</v>
      </c>
      <c r="J67" s="103">
        <f>VLOOKUP($A67,'OI(Volume)'!$A$7:$O$440,11)</f>
        <v>7864200</v>
      </c>
      <c r="K67" s="103">
        <f>VLOOKUP($A67,'OI(Volume)'!$A$7:$O$440,12)</f>
        <v>1544400</v>
      </c>
      <c r="L67" s="103">
        <f>VLOOKUP($A67,'OI(Value)'!$A$7:$O$323,8,0)</f>
        <v>239</v>
      </c>
      <c r="M67" s="103">
        <f>VLOOKUP($A67,'OI(Value)'!$A$7:$O$323,9,0)</f>
        <v>74</v>
      </c>
      <c r="N67" s="103">
        <f>VLOOKUP($A67,'OI(Value)'!$A$7:$O$323,11,0)</f>
        <v>254</v>
      </c>
      <c r="O67" s="103">
        <f>VLOOKUP($A67,'OI(Value)'!$A$7:$O$323,12,0)</f>
        <v>50</v>
      </c>
      <c r="P67" s="179">
        <f>VLOOKUP(A67,'OI(Value)'!A67:O285,8,0)</f>
        <v>239</v>
      </c>
      <c r="Q67" s="179">
        <f>VLOOKUP(A67,'OI(Value)'!A67:O285,9,0)</f>
        <v>74</v>
      </c>
      <c r="R67" s="179">
        <f>VLOOKUP(A67,'OI(Value)'!A67:O285,11,0)</f>
        <v>254</v>
      </c>
      <c r="S67" s="179">
        <f>VLOOKUP(A67,'OI(Value)'!A67:O285,11,0)</f>
        <v>254</v>
      </c>
    </row>
    <row r="68" spans="1:19" x14ac:dyDescent="0.25">
      <c r="A68" s="105" t="str">
        <f>'Data Vlaue (Cr)'!C63</f>
        <v>FEDERALBNK</v>
      </c>
      <c r="B68" s="143">
        <f>VLOOKUP($A68,'Data shares'!$C:$FA,118)</f>
        <v>1.1399999999999999</v>
      </c>
      <c r="C68" s="143">
        <f>VLOOKUP($A68,'Data shares'!$C:$FA,119)</f>
        <v>1.1399999999999999</v>
      </c>
      <c r="D68" s="143">
        <f>VLOOKUP($A68,'Data shares'!$C:$FA,121)*100</f>
        <v>0</v>
      </c>
      <c r="E68" s="143">
        <f>VLOOKUP($A68,'Data shares'!$C:$FA,124)</f>
        <v>0.59</v>
      </c>
      <c r="F68" s="143">
        <f>VLOOKUP($A68,'Data shares'!$C:$FA,125)</f>
        <v>0.72</v>
      </c>
      <c r="G68" s="143">
        <f>VLOOKUP($A68,'Data shares'!$C:$FA,127)*100</f>
        <v>-18.060000000000002</v>
      </c>
      <c r="H68" s="103">
        <f>VLOOKUP($A68,'OI(Volume)'!$A$7:$O$440,8)</f>
        <v>22665000</v>
      </c>
      <c r="I68" s="103">
        <f>VLOOKUP($A68,'OI(Volume)'!$A$7:$O$440,9)</f>
        <v>1865000</v>
      </c>
      <c r="J68" s="103">
        <f>VLOOKUP($A68,'OI(Volume)'!$A$7:$O$440,11)</f>
        <v>25765000</v>
      </c>
      <c r="K68" s="103">
        <f>VLOOKUP($A68,'OI(Volume)'!$A$7:$O$440,12)</f>
        <v>2150000</v>
      </c>
      <c r="L68" s="103">
        <f>VLOOKUP($A68,'OI(Value)'!$A$7:$O$323,8,0)</f>
        <v>648</v>
      </c>
      <c r="M68" s="103">
        <f>VLOOKUP($A68,'OI(Value)'!$A$7:$O$323,9,0)</f>
        <v>53</v>
      </c>
      <c r="N68" s="103">
        <f>VLOOKUP($A68,'OI(Value)'!$A$7:$O$323,11,0)</f>
        <v>737</v>
      </c>
      <c r="O68" s="103">
        <f>VLOOKUP($A68,'OI(Value)'!$A$7:$O$323,12,0)</f>
        <v>62</v>
      </c>
      <c r="P68" s="179">
        <f>VLOOKUP(A68,'OI(Value)'!A68:O286,8,0)</f>
        <v>648</v>
      </c>
      <c r="Q68" s="179">
        <f>VLOOKUP(A68,'OI(Value)'!A68:O286,9,0)</f>
        <v>53</v>
      </c>
      <c r="R68" s="179">
        <f>VLOOKUP(A68,'OI(Value)'!A68:O286,11,0)</f>
        <v>737</v>
      </c>
      <c r="S68" s="179">
        <f>VLOOKUP(A68,'OI(Value)'!A68:O286,11,0)</f>
        <v>737</v>
      </c>
    </row>
    <row r="69" spans="1:19" x14ac:dyDescent="0.25">
      <c r="A69" s="105" t="str">
        <f>'Data Vlaue (Cr)'!C64</f>
        <v>FINNIFTY</v>
      </c>
      <c r="B69" s="143">
        <f>VLOOKUP($A69,'Data shares'!$C:$FA,118)</f>
        <v>0.78</v>
      </c>
      <c r="C69" s="143">
        <f>VLOOKUP($A69,'Data shares'!$C:$FA,119)</f>
        <v>0.5</v>
      </c>
      <c r="D69" s="143">
        <f>VLOOKUP($A69,'Data shares'!$C:$FA,121)*100</f>
        <v>56.000000000000007</v>
      </c>
      <c r="E69" s="143">
        <f>VLOOKUP($A69,'Data shares'!$C:$FA,124)</f>
        <v>1.3</v>
      </c>
      <c r="F69" s="143">
        <f>VLOOKUP($A69,'Data shares'!$C:$FA,125)</f>
        <v>0.92</v>
      </c>
      <c r="G69" s="143">
        <f>VLOOKUP($A69,'Data shares'!$C:$FA,127)*100</f>
        <v>41.3</v>
      </c>
      <c r="H69" s="103">
        <f>VLOOKUP($A69,'OI(Volume)'!$A$7:$O$440,8)</f>
        <v>120720</v>
      </c>
      <c r="I69" s="103">
        <f>VLOOKUP($A69,'OI(Volume)'!$A$7:$O$440,9)</f>
        <v>67740</v>
      </c>
      <c r="J69" s="103">
        <f>VLOOKUP($A69,'OI(Volume)'!$A$7:$O$440,11)</f>
        <v>94680</v>
      </c>
      <c r="K69" s="103">
        <f>VLOOKUP($A69,'OI(Volume)'!$A$7:$O$440,12)</f>
        <v>68340</v>
      </c>
      <c r="L69" s="103">
        <f>VLOOKUP($A69,'OI(Value)'!$A$7:$O$323,8,0)</f>
        <v>331</v>
      </c>
      <c r="M69" s="103">
        <f>VLOOKUP($A69,'OI(Value)'!$A$7:$O$323,9,0)</f>
        <v>186</v>
      </c>
      <c r="N69" s="103">
        <f>VLOOKUP($A69,'OI(Value)'!$A$7:$O$323,11,0)</f>
        <v>260</v>
      </c>
      <c r="O69" s="103">
        <f>VLOOKUP($A69,'OI(Value)'!$A$7:$O$323,12,0)</f>
        <v>188</v>
      </c>
      <c r="P69" s="179">
        <f>VLOOKUP(A69,'OI(Value)'!A69:O287,8,0)</f>
        <v>331</v>
      </c>
      <c r="Q69" s="179">
        <f>VLOOKUP(A69,'OI(Value)'!A69:O287,9,0)</f>
        <v>186</v>
      </c>
      <c r="R69" s="179">
        <f>VLOOKUP(A69,'OI(Value)'!A69:O287,11,0)</f>
        <v>260</v>
      </c>
      <c r="S69" s="179">
        <f>VLOOKUP(A69,'OI(Value)'!A69:O287,11,0)</f>
        <v>260</v>
      </c>
    </row>
    <row r="70" spans="1:19" x14ac:dyDescent="0.25">
      <c r="A70" s="105" t="str">
        <f>'Data Vlaue (Cr)'!C65</f>
        <v>FORTIS</v>
      </c>
      <c r="B70" s="143">
        <f>VLOOKUP($A70,'Data shares'!$C:$FA,118)</f>
        <v>0.98</v>
      </c>
      <c r="C70" s="143">
        <f>VLOOKUP($A70,'Data shares'!$C:$FA,119)</f>
        <v>1.24</v>
      </c>
      <c r="D70" s="143">
        <f>VLOOKUP($A70,'Data shares'!$C:$FA,121)*100</f>
        <v>-20.97</v>
      </c>
      <c r="E70" s="143">
        <f>VLOOKUP($A70,'Data shares'!$C:$FA,124)</f>
        <v>0.46</v>
      </c>
      <c r="F70" s="143">
        <f>VLOOKUP($A70,'Data shares'!$C:$FA,125)</f>
        <v>1.17</v>
      </c>
      <c r="G70" s="143">
        <f>VLOOKUP($A70,'Data shares'!$C:$FA,127)*100</f>
        <v>-60.68</v>
      </c>
      <c r="H70" s="103">
        <f>VLOOKUP($A70,'OI(Volume)'!$A$7:$O$440,8)</f>
        <v>915275</v>
      </c>
      <c r="I70" s="103">
        <f>VLOOKUP($A70,'OI(Volume)'!$A$7:$O$440,9)</f>
        <v>336350</v>
      </c>
      <c r="J70" s="103">
        <f>VLOOKUP($A70,'OI(Volume)'!$A$7:$O$440,11)</f>
        <v>900550</v>
      </c>
      <c r="K70" s="103">
        <f>VLOOKUP($A70,'OI(Volume)'!$A$7:$O$440,12)</f>
        <v>184450</v>
      </c>
      <c r="L70" s="103">
        <f>VLOOKUP($A70,'OI(Value)'!$A$7:$O$323,8,0)</f>
        <v>78</v>
      </c>
      <c r="M70" s="103">
        <f>VLOOKUP($A70,'OI(Value)'!$A$7:$O$323,9,0)</f>
        <v>29</v>
      </c>
      <c r="N70" s="103">
        <f>VLOOKUP($A70,'OI(Value)'!$A$7:$O$323,11,0)</f>
        <v>77</v>
      </c>
      <c r="O70" s="103">
        <f>VLOOKUP($A70,'OI(Value)'!$A$7:$O$323,12,0)</f>
        <v>16</v>
      </c>
      <c r="P70" s="179">
        <f>VLOOKUP(A70,'OI(Value)'!A70:O288,8,0)</f>
        <v>78</v>
      </c>
      <c r="Q70" s="179">
        <f>VLOOKUP(A70,'OI(Value)'!A70:O288,9,0)</f>
        <v>29</v>
      </c>
      <c r="R70" s="179">
        <f>VLOOKUP(A70,'OI(Value)'!A70:O288,11,0)</f>
        <v>77</v>
      </c>
      <c r="S70" s="179">
        <f>VLOOKUP(A70,'OI(Value)'!A70:O288,11,0)</f>
        <v>77</v>
      </c>
    </row>
    <row r="71" spans="1:19" x14ac:dyDescent="0.25">
      <c r="A71" s="105" t="str">
        <f>'Data Vlaue (Cr)'!C66</f>
        <v>GAIL</v>
      </c>
      <c r="B71" s="143">
        <f>VLOOKUP($A71,'Data shares'!$C:$FA,118)</f>
        <v>0.98</v>
      </c>
      <c r="C71" s="143">
        <f>VLOOKUP($A71,'Data shares'!$C:$FA,119)</f>
        <v>1.23</v>
      </c>
      <c r="D71" s="143">
        <f>VLOOKUP($A71,'Data shares'!$C:$FA,121)*100</f>
        <v>-20.330000000000002</v>
      </c>
      <c r="E71" s="143">
        <f>VLOOKUP($A71,'Data shares'!$C:$FA,124)</f>
        <v>0.38</v>
      </c>
      <c r="F71" s="143">
        <f>VLOOKUP($A71,'Data shares'!$C:$FA,125)</f>
        <v>0.85</v>
      </c>
      <c r="G71" s="143">
        <f>VLOOKUP($A71,'Data shares'!$C:$FA,127)*100</f>
        <v>-55.289999999999992</v>
      </c>
      <c r="H71" s="103">
        <f>VLOOKUP($A71,'OI(Volume)'!$A$7:$O$440,8)</f>
        <v>26239500</v>
      </c>
      <c r="I71" s="103">
        <f>VLOOKUP($A71,'OI(Volume)'!$A$7:$O$440,9)</f>
        <v>8180550</v>
      </c>
      <c r="J71" s="103">
        <f>VLOOKUP($A71,'OI(Volume)'!$A$7:$O$440,11)</f>
        <v>25653600</v>
      </c>
      <c r="K71" s="103">
        <f>VLOOKUP($A71,'OI(Volume)'!$A$7:$O$440,12)</f>
        <v>3433500</v>
      </c>
      <c r="L71" s="103">
        <f>VLOOKUP($A71,'OI(Value)'!$A$7:$O$323,8,0)</f>
        <v>443</v>
      </c>
      <c r="M71" s="103">
        <f>VLOOKUP($A71,'OI(Value)'!$A$7:$O$323,9,0)</f>
        <v>138</v>
      </c>
      <c r="N71" s="103">
        <f>VLOOKUP($A71,'OI(Value)'!$A$7:$O$323,11,0)</f>
        <v>433</v>
      </c>
      <c r="O71" s="103">
        <f>VLOOKUP($A71,'OI(Value)'!$A$7:$O$323,12,0)</f>
        <v>58</v>
      </c>
      <c r="P71" s="179">
        <f>VLOOKUP(A71,'OI(Value)'!A71:O289,8,0)</f>
        <v>443</v>
      </c>
      <c r="Q71" s="179">
        <f>VLOOKUP(A71,'OI(Value)'!A71:O289,9,0)</f>
        <v>138</v>
      </c>
      <c r="R71" s="179">
        <f>VLOOKUP(A71,'OI(Value)'!A71:O289,11,0)</f>
        <v>433</v>
      </c>
      <c r="S71" s="179">
        <f>VLOOKUP(A71,'OI(Value)'!A71:O289,11,0)</f>
        <v>433</v>
      </c>
    </row>
    <row r="72" spans="1:19" x14ac:dyDescent="0.25">
      <c r="A72" s="105" t="str">
        <f>'Data Vlaue (Cr)'!C67</f>
        <v>GLENMARK</v>
      </c>
      <c r="B72" s="143">
        <f>VLOOKUP($A72,'Data shares'!$C:$FA,118)</f>
        <v>0.72</v>
      </c>
      <c r="C72" s="143">
        <f>VLOOKUP($A72,'Data shares'!$C:$FA,119)</f>
        <v>0.75</v>
      </c>
      <c r="D72" s="143">
        <f>VLOOKUP($A72,'Data shares'!$C:$FA,121)*100</f>
        <v>-4</v>
      </c>
      <c r="E72" s="143">
        <f>VLOOKUP($A72,'Data shares'!$C:$FA,124)</f>
        <v>0.56999999999999995</v>
      </c>
      <c r="F72" s="143">
        <f>VLOOKUP($A72,'Data shares'!$C:$FA,125)</f>
        <v>0.55000000000000004</v>
      </c>
      <c r="G72" s="143">
        <f>VLOOKUP($A72,'Data shares'!$C:$FA,127)*100</f>
        <v>3.64</v>
      </c>
      <c r="H72" s="103">
        <f>VLOOKUP($A72,'OI(Volume)'!$A$7:$O$440,8)</f>
        <v>1199250</v>
      </c>
      <c r="I72" s="103">
        <f>VLOOKUP($A72,'OI(Volume)'!$A$7:$O$440,9)</f>
        <v>147000</v>
      </c>
      <c r="J72" s="103">
        <f>VLOOKUP($A72,'OI(Volume)'!$A$7:$O$440,11)</f>
        <v>863625</v>
      </c>
      <c r="K72" s="103">
        <f>VLOOKUP($A72,'OI(Volume)'!$A$7:$O$440,12)</f>
        <v>73875</v>
      </c>
      <c r="L72" s="103">
        <f>VLOOKUP($A72,'OI(Value)'!$A$7:$O$323,8,0)</f>
        <v>240</v>
      </c>
      <c r="M72" s="103">
        <f>VLOOKUP($A72,'OI(Value)'!$A$7:$O$323,9,0)</f>
        <v>29</v>
      </c>
      <c r="N72" s="103">
        <f>VLOOKUP($A72,'OI(Value)'!$A$7:$O$323,11,0)</f>
        <v>173</v>
      </c>
      <c r="O72" s="103">
        <f>VLOOKUP($A72,'OI(Value)'!$A$7:$O$323,12,0)</f>
        <v>15</v>
      </c>
      <c r="P72" s="179">
        <f>VLOOKUP(A72,'OI(Value)'!A72:O290,8,0)</f>
        <v>240</v>
      </c>
      <c r="Q72" s="179">
        <f>VLOOKUP(A72,'OI(Value)'!A72:O290,9,0)</f>
        <v>29</v>
      </c>
      <c r="R72" s="179">
        <f>VLOOKUP(A72,'OI(Value)'!A72:O290,11,0)</f>
        <v>173</v>
      </c>
      <c r="S72" s="179">
        <f>VLOOKUP(A72,'OI(Value)'!A72:O290,11,0)</f>
        <v>173</v>
      </c>
    </row>
    <row r="73" spans="1:19" x14ac:dyDescent="0.25">
      <c r="A73" s="105" t="str">
        <f>'Data Vlaue (Cr)'!C68</f>
        <v>GMRAIRPORT</v>
      </c>
      <c r="B73" s="143">
        <f>VLOOKUP($A73,'Data shares'!$C:$FA,118)</f>
        <v>0.87</v>
      </c>
      <c r="C73" s="143">
        <f>VLOOKUP($A73,'Data shares'!$C:$FA,119)</f>
        <v>0.88</v>
      </c>
      <c r="D73" s="143">
        <f>VLOOKUP($A73,'Data shares'!$C:$FA,121)*100</f>
        <v>-1.1400000000000001</v>
      </c>
      <c r="E73" s="143">
        <f>VLOOKUP($A73,'Data shares'!$C:$FA,124)</f>
        <v>0.21</v>
      </c>
      <c r="F73" s="143">
        <f>VLOOKUP($A73,'Data shares'!$C:$FA,125)</f>
        <v>0.67</v>
      </c>
      <c r="G73" s="143">
        <f>VLOOKUP($A73,'Data shares'!$C:$FA,127)*100</f>
        <v>-68.66</v>
      </c>
      <c r="H73" s="103">
        <f>VLOOKUP($A73,'OI(Volume)'!$A$7:$O$440,8)</f>
        <v>47827575</v>
      </c>
      <c r="I73" s="103">
        <f>VLOOKUP($A73,'OI(Volume)'!$A$7:$O$440,9)</f>
        <v>3271275</v>
      </c>
      <c r="J73" s="103">
        <f>VLOOKUP($A73,'OI(Volume)'!$A$7:$O$440,11)</f>
        <v>41661675</v>
      </c>
      <c r="K73" s="103">
        <f>VLOOKUP($A73,'OI(Volume)'!$A$7:$O$440,12)</f>
        <v>2252925</v>
      </c>
      <c r="L73" s="103">
        <f>VLOOKUP($A73,'OI(Value)'!$A$7:$O$323,8,0)</f>
        <v>452</v>
      </c>
      <c r="M73" s="103">
        <f>VLOOKUP($A73,'OI(Value)'!$A$7:$O$323,9,0)</f>
        <v>31</v>
      </c>
      <c r="N73" s="103">
        <f>VLOOKUP($A73,'OI(Value)'!$A$7:$O$323,11,0)</f>
        <v>394</v>
      </c>
      <c r="O73" s="103">
        <f>VLOOKUP($A73,'OI(Value)'!$A$7:$O$323,12,0)</f>
        <v>21</v>
      </c>
      <c r="P73" s="179">
        <f>VLOOKUP(A73,'OI(Value)'!A73:O291,8,0)</f>
        <v>452</v>
      </c>
      <c r="Q73" s="179">
        <f>VLOOKUP(A73,'OI(Value)'!A73:O291,9,0)</f>
        <v>31</v>
      </c>
      <c r="R73" s="179">
        <f>VLOOKUP(A73,'OI(Value)'!A73:O291,11,0)</f>
        <v>394</v>
      </c>
      <c r="S73" s="179">
        <f>VLOOKUP(A73,'OI(Value)'!A73:O291,11,0)</f>
        <v>394</v>
      </c>
    </row>
    <row r="74" spans="1:19" x14ac:dyDescent="0.25">
      <c r="A74" s="105" t="str">
        <f>'Data Vlaue (Cr)'!C69</f>
        <v>GODREJCP</v>
      </c>
      <c r="B74" s="143">
        <f>VLOOKUP($A74,'Data shares'!$C:$FA,118)</f>
        <v>0.99</v>
      </c>
      <c r="C74" s="143">
        <f>VLOOKUP($A74,'Data shares'!$C:$FA,119)</f>
        <v>0.76</v>
      </c>
      <c r="D74" s="143">
        <f>VLOOKUP($A74,'Data shares'!$C:$FA,121)*100</f>
        <v>30.259999999999998</v>
      </c>
      <c r="E74" s="143">
        <f>VLOOKUP($A74,'Data shares'!$C:$FA,124)</f>
        <v>0.91</v>
      </c>
      <c r="F74" s="143">
        <f>VLOOKUP($A74,'Data shares'!$C:$FA,125)</f>
        <v>1.38</v>
      </c>
      <c r="G74" s="143">
        <f>VLOOKUP($A74,'Data shares'!$C:$FA,127)*100</f>
        <v>-34.06</v>
      </c>
      <c r="H74" s="103">
        <f>VLOOKUP($A74,'OI(Volume)'!$A$7:$O$440,8)</f>
        <v>1211000</v>
      </c>
      <c r="I74" s="103">
        <f>VLOOKUP($A74,'OI(Volume)'!$A$7:$O$440,9)</f>
        <v>235000</v>
      </c>
      <c r="J74" s="103">
        <f>VLOOKUP($A74,'OI(Volume)'!$A$7:$O$440,11)</f>
        <v>1200500</v>
      </c>
      <c r="K74" s="103">
        <f>VLOOKUP($A74,'OI(Volume)'!$A$7:$O$440,12)</f>
        <v>454000</v>
      </c>
      <c r="L74" s="103">
        <f>VLOOKUP($A74,'OI(Value)'!$A$7:$O$323,8,0)</f>
        <v>142</v>
      </c>
      <c r="M74" s="103">
        <f>VLOOKUP($A74,'OI(Value)'!$A$7:$O$323,9,0)</f>
        <v>28</v>
      </c>
      <c r="N74" s="103">
        <f>VLOOKUP($A74,'OI(Value)'!$A$7:$O$323,11,0)</f>
        <v>141</v>
      </c>
      <c r="O74" s="103">
        <f>VLOOKUP($A74,'OI(Value)'!$A$7:$O$323,12,0)</f>
        <v>53</v>
      </c>
      <c r="P74" s="179">
        <f>VLOOKUP(A74,'OI(Value)'!A74:O292,8,0)</f>
        <v>142</v>
      </c>
      <c r="Q74" s="179">
        <f>VLOOKUP(A74,'OI(Value)'!A74:O292,9,0)</f>
        <v>28</v>
      </c>
      <c r="R74" s="179">
        <f>VLOOKUP(A74,'OI(Value)'!A74:O292,11,0)</f>
        <v>141</v>
      </c>
      <c r="S74" s="179">
        <f>VLOOKUP(A74,'OI(Value)'!A74:O292,11,0)</f>
        <v>141</v>
      </c>
    </row>
    <row r="75" spans="1:19" x14ac:dyDescent="0.25">
      <c r="A75" s="105" t="str">
        <f>'Data Vlaue (Cr)'!C70</f>
        <v>GODREJPROP</v>
      </c>
      <c r="B75" s="143">
        <f>VLOOKUP($A75,'Data shares'!$C:$FA,118)</f>
        <v>0.61</v>
      </c>
      <c r="C75" s="143">
        <f>VLOOKUP($A75,'Data shares'!$C:$FA,119)</f>
        <v>0.57999999999999996</v>
      </c>
      <c r="D75" s="143">
        <f>VLOOKUP($A75,'Data shares'!$C:$FA,121)*100</f>
        <v>5.17</v>
      </c>
      <c r="E75" s="143">
        <f>VLOOKUP($A75,'Data shares'!$C:$FA,124)</f>
        <v>0.32</v>
      </c>
      <c r="F75" s="143">
        <f>VLOOKUP($A75,'Data shares'!$C:$FA,125)</f>
        <v>0.69</v>
      </c>
      <c r="G75" s="143">
        <f>VLOOKUP($A75,'Data shares'!$C:$FA,127)*100</f>
        <v>-53.620000000000005</v>
      </c>
      <c r="H75" s="103">
        <f>VLOOKUP($A75,'OI(Volume)'!$A$7:$O$440,8)</f>
        <v>3764750</v>
      </c>
      <c r="I75" s="103">
        <f>VLOOKUP($A75,'OI(Volume)'!$A$7:$O$440,9)</f>
        <v>179025</v>
      </c>
      <c r="J75" s="103">
        <f>VLOOKUP($A75,'OI(Volume)'!$A$7:$O$440,11)</f>
        <v>2308900</v>
      </c>
      <c r="K75" s="103">
        <f>VLOOKUP($A75,'OI(Volume)'!$A$7:$O$440,12)</f>
        <v>215600</v>
      </c>
      <c r="L75" s="103">
        <f>VLOOKUP($A75,'OI(Value)'!$A$7:$O$323,8,0)</f>
        <v>588</v>
      </c>
      <c r="M75" s="103">
        <f>VLOOKUP($A75,'OI(Value)'!$A$7:$O$323,9,0)</f>
        <v>28</v>
      </c>
      <c r="N75" s="103">
        <f>VLOOKUP($A75,'OI(Value)'!$A$7:$O$323,11,0)</f>
        <v>360</v>
      </c>
      <c r="O75" s="103">
        <f>VLOOKUP($A75,'OI(Value)'!$A$7:$O$323,12,0)</f>
        <v>34</v>
      </c>
      <c r="P75" s="179">
        <f>VLOOKUP(A75,'OI(Value)'!A75:O293,8,0)</f>
        <v>588</v>
      </c>
      <c r="Q75" s="179">
        <f>VLOOKUP(A75,'OI(Value)'!A75:O293,9,0)</f>
        <v>28</v>
      </c>
      <c r="R75" s="179">
        <f>VLOOKUP(A75,'OI(Value)'!A75:O293,11,0)</f>
        <v>360</v>
      </c>
      <c r="S75" s="179">
        <f>VLOOKUP(A75,'OI(Value)'!A75:O293,11,0)</f>
        <v>360</v>
      </c>
    </row>
    <row r="76" spans="1:19" x14ac:dyDescent="0.25">
      <c r="A76" s="105" t="str">
        <f>'Data Vlaue (Cr)'!C71</f>
        <v>GRASIM</v>
      </c>
      <c r="B76" s="143">
        <f>VLOOKUP($A76,'Data shares'!$C:$FA,118)</f>
        <v>0.99</v>
      </c>
      <c r="C76" s="143">
        <f>VLOOKUP($A76,'Data shares'!$C:$FA,119)</f>
        <v>0.96</v>
      </c>
      <c r="D76" s="143">
        <f>VLOOKUP($A76,'Data shares'!$C:$FA,121)*100</f>
        <v>3.1300000000000003</v>
      </c>
      <c r="E76" s="143">
        <f>VLOOKUP($A76,'Data shares'!$C:$FA,124)</f>
        <v>0.62</v>
      </c>
      <c r="F76" s="143">
        <f>VLOOKUP($A76,'Data shares'!$C:$FA,125)</f>
        <v>0.7</v>
      </c>
      <c r="G76" s="143">
        <f>VLOOKUP($A76,'Data shares'!$C:$FA,127)*100</f>
        <v>-11.43</v>
      </c>
      <c r="H76" s="103">
        <f>VLOOKUP($A76,'OI(Volume)'!$A$7:$O$440,8)</f>
        <v>643250</v>
      </c>
      <c r="I76" s="103">
        <f>VLOOKUP($A76,'OI(Volume)'!$A$7:$O$440,9)</f>
        <v>180000</v>
      </c>
      <c r="J76" s="103">
        <f>VLOOKUP($A76,'OI(Volume)'!$A$7:$O$440,11)</f>
        <v>635250</v>
      </c>
      <c r="K76" s="103">
        <f>VLOOKUP($A76,'OI(Volume)'!$A$7:$O$440,12)</f>
        <v>192000</v>
      </c>
      <c r="L76" s="103">
        <f>VLOOKUP($A76,'OI(Value)'!$A$7:$O$323,8,0)</f>
        <v>184</v>
      </c>
      <c r="M76" s="103">
        <f>VLOOKUP($A76,'OI(Value)'!$A$7:$O$323,9,0)</f>
        <v>51</v>
      </c>
      <c r="N76" s="103">
        <f>VLOOKUP($A76,'OI(Value)'!$A$7:$O$323,11,0)</f>
        <v>181</v>
      </c>
      <c r="O76" s="103">
        <f>VLOOKUP($A76,'OI(Value)'!$A$7:$O$323,12,0)</f>
        <v>55</v>
      </c>
      <c r="P76" s="179">
        <f>VLOOKUP(A76,'OI(Value)'!A76:O294,8,0)</f>
        <v>184</v>
      </c>
      <c r="Q76" s="179">
        <f>VLOOKUP(A76,'OI(Value)'!A76:O294,9,0)</f>
        <v>51</v>
      </c>
      <c r="R76" s="179">
        <f>VLOOKUP(A76,'OI(Value)'!A76:O294,11,0)</f>
        <v>181</v>
      </c>
      <c r="S76" s="179">
        <f>VLOOKUP(A76,'OI(Value)'!A76:O294,11,0)</f>
        <v>181</v>
      </c>
    </row>
    <row r="77" spans="1:19" x14ac:dyDescent="0.25">
      <c r="A77" s="105" t="str">
        <f>'Data Vlaue (Cr)'!C72</f>
        <v>HAL</v>
      </c>
      <c r="B77" s="143">
        <f>VLOOKUP($A77,'Data shares'!$C:$FA,118)</f>
        <v>0.8</v>
      </c>
      <c r="C77" s="143">
        <f>VLOOKUP($A77,'Data shares'!$C:$FA,119)</f>
        <v>0.93</v>
      </c>
      <c r="D77" s="143">
        <f>VLOOKUP($A77,'Data shares'!$C:$FA,121)*100</f>
        <v>-13.98</v>
      </c>
      <c r="E77" s="143">
        <f>VLOOKUP($A77,'Data shares'!$C:$FA,124)</f>
        <v>0.25</v>
      </c>
      <c r="F77" s="143">
        <f>VLOOKUP($A77,'Data shares'!$C:$FA,125)</f>
        <v>0.47</v>
      </c>
      <c r="G77" s="143">
        <f>VLOOKUP($A77,'Data shares'!$C:$FA,127)*100</f>
        <v>-46.81</v>
      </c>
      <c r="H77" s="103">
        <f>VLOOKUP($A77,'OI(Volume)'!$A$7:$O$440,8)</f>
        <v>3196800</v>
      </c>
      <c r="I77" s="103">
        <f>VLOOKUP($A77,'OI(Volume)'!$A$7:$O$440,9)</f>
        <v>823500</v>
      </c>
      <c r="J77" s="103">
        <f>VLOOKUP($A77,'OI(Volume)'!$A$7:$O$440,11)</f>
        <v>2566350</v>
      </c>
      <c r="K77" s="103">
        <f>VLOOKUP($A77,'OI(Volume)'!$A$7:$O$440,12)</f>
        <v>347400</v>
      </c>
      <c r="L77" s="103">
        <f>VLOOKUP($A77,'OI(Value)'!$A$7:$O$323,8,0)</f>
        <v>1483</v>
      </c>
      <c r="M77" s="103">
        <f>VLOOKUP($A77,'OI(Value)'!$A$7:$O$323,9,0)</f>
        <v>382</v>
      </c>
      <c r="N77" s="103">
        <f>VLOOKUP($A77,'OI(Value)'!$A$7:$O$323,11,0)</f>
        <v>1191</v>
      </c>
      <c r="O77" s="103">
        <f>VLOOKUP($A77,'OI(Value)'!$A$7:$O$323,12,0)</f>
        <v>161</v>
      </c>
      <c r="P77" s="179">
        <f>VLOOKUP(A77,'OI(Value)'!A77:O295,8,0)</f>
        <v>1483</v>
      </c>
      <c r="Q77" s="179">
        <f>VLOOKUP(A77,'OI(Value)'!A77:O295,9,0)</f>
        <v>382</v>
      </c>
      <c r="R77" s="179">
        <f>VLOOKUP(A77,'OI(Value)'!A77:O295,11,0)</f>
        <v>1191</v>
      </c>
      <c r="S77" s="179">
        <f>VLOOKUP(A77,'OI(Value)'!A77:O295,11,0)</f>
        <v>1191</v>
      </c>
    </row>
    <row r="78" spans="1:19" x14ac:dyDescent="0.25">
      <c r="A78" s="105" t="str">
        <f>'Data Vlaue (Cr)'!C73</f>
        <v>HAVELLS</v>
      </c>
      <c r="B78" s="143">
        <f>VLOOKUP($A78,'Data shares'!$C:$FA,118)</f>
        <v>0.94</v>
      </c>
      <c r="C78" s="143">
        <f>VLOOKUP($A78,'Data shares'!$C:$FA,119)</f>
        <v>0.94</v>
      </c>
      <c r="D78" s="143">
        <f>VLOOKUP($A78,'Data shares'!$C:$FA,121)*100</f>
        <v>0</v>
      </c>
      <c r="E78" s="143">
        <f>VLOOKUP($A78,'Data shares'!$C:$FA,124)</f>
        <v>0.52</v>
      </c>
      <c r="F78" s="143">
        <f>VLOOKUP($A78,'Data shares'!$C:$FA,125)</f>
        <v>1.02</v>
      </c>
      <c r="G78" s="143">
        <f>VLOOKUP($A78,'Data shares'!$C:$FA,127)*100</f>
        <v>-49.02</v>
      </c>
      <c r="H78" s="103">
        <f>VLOOKUP($A78,'OI(Volume)'!$A$7:$O$440,8)</f>
        <v>2008000</v>
      </c>
      <c r="I78" s="103">
        <f>VLOOKUP($A78,'OI(Volume)'!$A$7:$O$440,9)</f>
        <v>301500</v>
      </c>
      <c r="J78" s="103">
        <f>VLOOKUP($A78,'OI(Volume)'!$A$7:$O$440,11)</f>
        <v>1887000</v>
      </c>
      <c r="K78" s="103">
        <f>VLOOKUP($A78,'OI(Volume)'!$A$7:$O$440,12)</f>
        <v>289000</v>
      </c>
      <c r="L78" s="103">
        <f>VLOOKUP($A78,'OI(Value)'!$A$7:$O$323,8,0)</f>
        <v>260</v>
      </c>
      <c r="M78" s="103">
        <f>VLOOKUP($A78,'OI(Value)'!$A$7:$O$323,9,0)</f>
        <v>39</v>
      </c>
      <c r="N78" s="103">
        <f>VLOOKUP($A78,'OI(Value)'!$A$7:$O$323,11,0)</f>
        <v>244</v>
      </c>
      <c r="O78" s="103">
        <f>VLOOKUP($A78,'OI(Value)'!$A$7:$O$323,12,0)</f>
        <v>37</v>
      </c>
      <c r="P78" s="179">
        <f>VLOOKUP(A78,'OI(Value)'!A78:O296,8,0)</f>
        <v>260</v>
      </c>
      <c r="Q78" s="179">
        <f>VLOOKUP(A78,'OI(Value)'!A78:O296,9,0)</f>
        <v>39</v>
      </c>
      <c r="R78" s="179">
        <f>VLOOKUP(A78,'OI(Value)'!A78:O296,11,0)</f>
        <v>244</v>
      </c>
      <c r="S78" s="179">
        <f>VLOOKUP(A78,'OI(Value)'!A78:O296,11,0)</f>
        <v>244</v>
      </c>
    </row>
    <row r="79" spans="1:19" x14ac:dyDescent="0.25">
      <c r="A79" s="105" t="str">
        <f>'Data Vlaue (Cr)'!C74</f>
        <v>HCLTECH</v>
      </c>
      <c r="B79" s="143">
        <f>VLOOKUP($A79,'Data shares'!$C:$FA,118)</f>
        <v>0.83</v>
      </c>
      <c r="C79" s="143">
        <f>VLOOKUP($A79,'Data shares'!$C:$FA,119)</f>
        <v>0.77</v>
      </c>
      <c r="D79" s="143">
        <f>VLOOKUP($A79,'Data shares'!$C:$FA,121)*100</f>
        <v>7.79</v>
      </c>
      <c r="E79" s="143">
        <f>VLOOKUP($A79,'Data shares'!$C:$FA,124)</f>
        <v>0.56000000000000005</v>
      </c>
      <c r="F79" s="143">
        <f>VLOOKUP($A79,'Data shares'!$C:$FA,125)</f>
        <v>0.61</v>
      </c>
      <c r="G79" s="143">
        <f>VLOOKUP($A79,'Data shares'!$C:$FA,127)*100</f>
        <v>-8.2000000000000011</v>
      </c>
      <c r="H79" s="103">
        <f>VLOOKUP($A79,'OI(Volume)'!$A$7:$O$440,8)</f>
        <v>1983450</v>
      </c>
      <c r="I79" s="103">
        <f>VLOOKUP($A79,'OI(Volume)'!$A$7:$O$440,9)</f>
        <v>358050</v>
      </c>
      <c r="J79" s="103">
        <f>VLOOKUP($A79,'OI(Volume)'!$A$7:$O$440,11)</f>
        <v>1652350</v>
      </c>
      <c r="K79" s="103">
        <f>VLOOKUP($A79,'OI(Volume)'!$A$7:$O$440,12)</f>
        <v>396550</v>
      </c>
      <c r="L79" s="103">
        <f>VLOOKUP($A79,'OI(Value)'!$A$7:$O$323,8,0)</f>
        <v>344</v>
      </c>
      <c r="M79" s="103">
        <f>VLOOKUP($A79,'OI(Value)'!$A$7:$O$323,9,0)</f>
        <v>62</v>
      </c>
      <c r="N79" s="103">
        <f>VLOOKUP($A79,'OI(Value)'!$A$7:$O$323,11,0)</f>
        <v>287</v>
      </c>
      <c r="O79" s="103">
        <f>VLOOKUP($A79,'OI(Value)'!$A$7:$O$323,12,0)</f>
        <v>69</v>
      </c>
      <c r="P79" s="179">
        <f>VLOOKUP(A79,'OI(Value)'!A79:O297,8,0)</f>
        <v>344</v>
      </c>
      <c r="Q79" s="179">
        <f>VLOOKUP(A79,'OI(Value)'!A79:O297,9,0)</f>
        <v>62</v>
      </c>
      <c r="R79" s="179">
        <f>VLOOKUP(A79,'OI(Value)'!A79:O297,11,0)</f>
        <v>287</v>
      </c>
      <c r="S79" s="179">
        <f>VLOOKUP(A79,'OI(Value)'!A79:O297,11,0)</f>
        <v>287</v>
      </c>
    </row>
    <row r="80" spans="1:19" x14ac:dyDescent="0.25">
      <c r="A80" s="105" t="str">
        <f>'Data Vlaue (Cr)'!C75</f>
        <v>HDFCAMC</v>
      </c>
      <c r="B80" s="143">
        <f>VLOOKUP($A80,'Data shares'!$C:$FA,118)</f>
        <v>0.63</v>
      </c>
      <c r="C80" s="143">
        <f>VLOOKUP($A80,'Data shares'!$C:$FA,119)</f>
        <v>0.64</v>
      </c>
      <c r="D80" s="143">
        <f>VLOOKUP($A80,'Data shares'!$C:$FA,121)*100</f>
        <v>-1.5599999999999998</v>
      </c>
      <c r="E80" s="143">
        <f>VLOOKUP($A80,'Data shares'!$C:$FA,124)</f>
        <v>0.28999999999999998</v>
      </c>
      <c r="F80" s="143">
        <f>VLOOKUP($A80,'Data shares'!$C:$FA,125)</f>
        <v>0.71</v>
      </c>
      <c r="G80" s="143">
        <f>VLOOKUP($A80,'Data shares'!$C:$FA,127)*100</f>
        <v>-59.150000000000006</v>
      </c>
      <c r="H80" s="103">
        <f>VLOOKUP($A80,'OI(Volume)'!$A$7:$O$440,8)</f>
        <v>1002900</v>
      </c>
      <c r="I80" s="103">
        <f>VLOOKUP($A80,'OI(Volume)'!$A$7:$O$440,9)</f>
        <v>206100</v>
      </c>
      <c r="J80" s="103">
        <f>VLOOKUP($A80,'OI(Volume)'!$A$7:$O$440,11)</f>
        <v>634500</v>
      </c>
      <c r="K80" s="103">
        <f>VLOOKUP($A80,'OI(Volume)'!$A$7:$O$440,12)</f>
        <v>123900</v>
      </c>
      <c r="L80" s="103">
        <f>VLOOKUP($A80,'OI(Value)'!$A$7:$O$323,8,0)</f>
        <v>250</v>
      </c>
      <c r="M80" s="103">
        <f>VLOOKUP($A80,'OI(Value)'!$A$7:$O$323,9,0)</f>
        <v>51</v>
      </c>
      <c r="N80" s="103">
        <f>VLOOKUP($A80,'OI(Value)'!$A$7:$O$323,11,0)</f>
        <v>158</v>
      </c>
      <c r="O80" s="103">
        <f>VLOOKUP($A80,'OI(Value)'!$A$7:$O$323,12,0)</f>
        <v>31</v>
      </c>
      <c r="P80" s="179">
        <f>VLOOKUP(A80,'OI(Value)'!A80:O298,8,0)</f>
        <v>250</v>
      </c>
      <c r="Q80" s="179">
        <f>VLOOKUP(A80,'OI(Value)'!A80:O298,9,0)</f>
        <v>51</v>
      </c>
      <c r="R80" s="179">
        <f>VLOOKUP(A80,'OI(Value)'!A80:O298,11,0)</f>
        <v>158</v>
      </c>
      <c r="S80" s="179">
        <f>VLOOKUP(A80,'OI(Value)'!A80:O298,11,0)</f>
        <v>158</v>
      </c>
    </row>
    <row r="81" spans="1:19" x14ac:dyDescent="0.25">
      <c r="A81" s="105" t="str">
        <f>'Data Vlaue (Cr)'!C76</f>
        <v>HDFCBANK</v>
      </c>
      <c r="B81" s="143">
        <f>VLOOKUP($A81,'Data shares'!$C:$FA,118)</f>
        <v>0.71</v>
      </c>
      <c r="C81" s="143">
        <f>VLOOKUP($A81,'Data shares'!$C:$FA,119)</f>
        <v>0.69</v>
      </c>
      <c r="D81" s="143">
        <f>VLOOKUP($A81,'Data shares'!$C:$FA,121)*100</f>
        <v>2.9000000000000004</v>
      </c>
      <c r="E81" s="143">
        <f>VLOOKUP($A81,'Data shares'!$C:$FA,124)</f>
        <v>0.6</v>
      </c>
      <c r="F81" s="143">
        <f>VLOOKUP($A81,'Data shares'!$C:$FA,125)</f>
        <v>0.65</v>
      </c>
      <c r="G81" s="143">
        <f>VLOOKUP($A81,'Data shares'!$C:$FA,127)*100</f>
        <v>-7.6899999999999995</v>
      </c>
      <c r="H81" s="103">
        <f>VLOOKUP($A81,'OI(Volume)'!$A$7:$O$440,8)</f>
        <v>36298900</v>
      </c>
      <c r="I81" s="103">
        <f>VLOOKUP($A81,'OI(Volume)'!$A$7:$O$440,9)</f>
        <v>634700</v>
      </c>
      <c r="J81" s="103">
        <f>VLOOKUP($A81,'OI(Volume)'!$A$7:$O$440,11)</f>
        <v>25674000</v>
      </c>
      <c r="K81" s="103">
        <f>VLOOKUP($A81,'OI(Volume)'!$A$7:$O$440,12)</f>
        <v>1226500</v>
      </c>
      <c r="L81" s="103">
        <f>VLOOKUP($A81,'OI(Value)'!$A$7:$O$323,8,0)</f>
        <v>3398</v>
      </c>
      <c r="M81" s="103">
        <f>VLOOKUP($A81,'OI(Value)'!$A$7:$O$323,9,0)</f>
        <v>59</v>
      </c>
      <c r="N81" s="103">
        <f>VLOOKUP($A81,'OI(Value)'!$A$7:$O$323,11,0)</f>
        <v>2404</v>
      </c>
      <c r="O81" s="103">
        <f>VLOOKUP($A81,'OI(Value)'!$A$7:$O$323,12,0)</f>
        <v>115</v>
      </c>
      <c r="P81" s="179">
        <f>VLOOKUP(A81,'OI(Value)'!A81:O299,8,0)</f>
        <v>3398</v>
      </c>
      <c r="Q81" s="179">
        <f>VLOOKUP(A81,'OI(Value)'!A81:O299,9,0)</f>
        <v>59</v>
      </c>
      <c r="R81" s="179">
        <f>VLOOKUP(A81,'OI(Value)'!A81:O299,11,0)</f>
        <v>2404</v>
      </c>
      <c r="S81" s="179">
        <f>VLOOKUP(A81,'OI(Value)'!A81:O299,11,0)</f>
        <v>2404</v>
      </c>
    </row>
    <row r="82" spans="1:19" x14ac:dyDescent="0.25">
      <c r="A82" s="105" t="str">
        <f>'Data Vlaue (Cr)'!C77</f>
        <v>HDFCLIFE</v>
      </c>
      <c r="B82" s="143">
        <f>VLOOKUP($A82,'Data shares'!$C:$FA,118)</f>
        <v>0.59</v>
      </c>
      <c r="C82" s="143">
        <f>VLOOKUP($A82,'Data shares'!$C:$FA,119)</f>
        <v>0.86</v>
      </c>
      <c r="D82" s="143">
        <f>VLOOKUP($A82,'Data shares'!$C:$FA,121)*100</f>
        <v>-31.4</v>
      </c>
      <c r="E82" s="143">
        <f>VLOOKUP($A82,'Data shares'!$C:$FA,124)</f>
        <v>0.31</v>
      </c>
      <c r="F82" s="143">
        <f>VLOOKUP($A82,'Data shares'!$C:$FA,125)</f>
        <v>0.65</v>
      </c>
      <c r="G82" s="143">
        <f>VLOOKUP($A82,'Data shares'!$C:$FA,127)*100</f>
        <v>-52.31</v>
      </c>
      <c r="H82" s="103">
        <f>VLOOKUP($A82,'OI(Volume)'!$A$7:$O$440,8)</f>
        <v>5750800</v>
      </c>
      <c r="I82" s="103">
        <f>VLOOKUP($A82,'OI(Volume)'!$A$7:$O$440,9)</f>
        <v>2431000</v>
      </c>
      <c r="J82" s="103">
        <f>VLOOKUP($A82,'OI(Volume)'!$A$7:$O$440,11)</f>
        <v>3374800</v>
      </c>
      <c r="K82" s="103">
        <f>VLOOKUP($A82,'OI(Volume)'!$A$7:$O$440,12)</f>
        <v>507100</v>
      </c>
      <c r="L82" s="103">
        <f>VLOOKUP($A82,'OI(Value)'!$A$7:$O$323,8,0)</f>
        <v>420</v>
      </c>
      <c r="M82" s="103">
        <f>VLOOKUP($A82,'OI(Value)'!$A$7:$O$323,9,0)</f>
        <v>178</v>
      </c>
      <c r="N82" s="103">
        <f>VLOOKUP($A82,'OI(Value)'!$A$7:$O$323,11,0)</f>
        <v>247</v>
      </c>
      <c r="O82" s="103">
        <f>VLOOKUP($A82,'OI(Value)'!$A$7:$O$323,12,0)</f>
        <v>37</v>
      </c>
      <c r="P82" s="179">
        <f>VLOOKUP(A82,'OI(Value)'!A82:O300,8,0)</f>
        <v>420</v>
      </c>
      <c r="Q82" s="179">
        <f>VLOOKUP(A82,'OI(Value)'!A82:O300,9,0)</f>
        <v>178</v>
      </c>
      <c r="R82" s="179">
        <f>VLOOKUP(A82,'OI(Value)'!A82:O300,11,0)</f>
        <v>247</v>
      </c>
      <c r="S82" s="179">
        <f>VLOOKUP(A82,'OI(Value)'!A82:O300,11,0)</f>
        <v>247</v>
      </c>
    </row>
    <row r="83" spans="1:19" x14ac:dyDescent="0.25">
      <c r="A83" s="105" t="str">
        <f>'Data Vlaue (Cr)'!C78</f>
        <v>HEROMOTOCO</v>
      </c>
      <c r="B83" s="143">
        <f>VLOOKUP($A83,'Data shares'!$C:$FA,118)</f>
        <v>0.74</v>
      </c>
      <c r="C83" s="143">
        <f>VLOOKUP($A83,'Data shares'!$C:$FA,119)</f>
        <v>0.76</v>
      </c>
      <c r="D83" s="143">
        <f>VLOOKUP($A83,'Data shares'!$C:$FA,121)*100</f>
        <v>-2.63</v>
      </c>
      <c r="E83" s="143">
        <f>VLOOKUP($A83,'Data shares'!$C:$FA,124)</f>
        <v>0.46</v>
      </c>
      <c r="F83" s="143">
        <f>VLOOKUP($A83,'Data shares'!$C:$FA,125)</f>
        <v>0.51</v>
      </c>
      <c r="G83" s="143">
        <f>VLOOKUP($A83,'Data shares'!$C:$FA,127)*100</f>
        <v>-9.8000000000000007</v>
      </c>
      <c r="H83" s="103">
        <f>VLOOKUP($A83,'OI(Volume)'!$A$7:$O$440,8)</f>
        <v>934950</v>
      </c>
      <c r="I83" s="103">
        <f>VLOOKUP($A83,'OI(Volume)'!$A$7:$O$440,9)</f>
        <v>155550</v>
      </c>
      <c r="J83" s="103">
        <f>VLOOKUP($A83,'OI(Volume)'!$A$7:$O$440,11)</f>
        <v>690000</v>
      </c>
      <c r="K83" s="103">
        <f>VLOOKUP($A83,'OI(Volume)'!$A$7:$O$440,12)</f>
        <v>96600</v>
      </c>
      <c r="L83" s="103">
        <f>VLOOKUP($A83,'OI(Value)'!$A$7:$O$323,8,0)</f>
        <v>515</v>
      </c>
      <c r="M83" s="103">
        <f>VLOOKUP($A83,'OI(Value)'!$A$7:$O$323,9,0)</f>
        <v>86</v>
      </c>
      <c r="N83" s="103">
        <f>VLOOKUP($A83,'OI(Value)'!$A$7:$O$323,11,0)</f>
        <v>380</v>
      </c>
      <c r="O83" s="103">
        <f>VLOOKUP($A83,'OI(Value)'!$A$7:$O$323,12,0)</f>
        <v>53</v>
      </c>
      <c r="P83" s="179">
        <f>VLOOKUP(A83,'OI(Value)'!A83:O301,8,0)</f>
        <v>515</v>
      </c>
      <c r="Q83" s="179">
        <f>VLOOKUP(A83,'OI(Value)'!A83:O301,9,0)</f>
        <v>86</v>
      </c>
      <c r="R83" s="179">
        <f>VLOOKUP(A83,'OI(Value)'!A83:O301,11,0)</f>
        <v>380</v>
      </c>
      <c r="S83" s="179">
        <f>VLOOKUP(A83,'OI(Value)'!A83:O301,11,0)</f>
        <v>380</v>
      </c>
    </row>
    <row r="84" spans="1:19" x14ac:dyDescent="0.25">
      <c r="A84" s="105" t="str">
        <f>'Data Vlaue (Cr)'!C79</f>
        <v>HINDALCO</v>
      </c>
      <c r="B84" s="143">
        <f>VLOOKUP($A84,'Data shares'!$C:$FA,118)</f>
        <v>0.89</v>
      </c>
      <c r="C84" s="143">
        <f>VLOOKUP($A84,'Data shares'!$C:$FA,119)</f>
        <v>0.81</v>
      </c>
      <c r="D84" s="143">
        <f>VLOOKUP($A84,'Data shares'!$C:$FA,121)*100</f>
        <v>9.879999999999999</v>
      </c>
      <c r="E84" s="143">
        <f>VLOOKUP($A84,'Data shares'!$C:$FA,124)</f>
        <v>0.43</v>
      </c>
      <c r="F84" s="143">
        <f>VLOOKUP($A84,'Data shares'!$C:$FA,125)</f>
        <v>0.55000000000000004</v>
      </c>
      <c r="G84" s="143">
        <f>VLOOKUP($A84,'Data shares'!$C:$FA,127)*100</f>
        <v>-21.82</v>
      </c>
      <c r="H84" s="103">
        <f>VLOOKUP($A84,'OI(Volume)'!$A$7:$O$440,8)</f>
        <v>5546100</v>
      </c>
      <c r="I84" s="103">
        <f>VLOOKUP($A84,'OI(Volume)'!$A$7:$O$440,9)</f>
        <v>1026200</v>
      </c>
      <c r="J84" s="103">
        <f>VLOOKUP($A84,'OI(Volume)'!$A$7:$O$440,11)</f>
        <v>4935700</v>
      </c>
      <c r="K84" s="103">
        <f>VLOOKUP($A84,'OI(Volume)'!$A$7:$O$440,12)</f>
        <v>1278900</v>
      </c>
      <c r="L84" s="103">
        <f>VLOOKUP($A84,'OI(Value)'!$A$7:$O$323,8,0)</f>
        <v>554</v>
      </c>
      <c r="M84" s="103">
        <f>VLOOKUP($A84,'OI(Value)'!$A$7:$O$323,9,0)</f>
        <v>103</v>
      </c>
      <c r="N84" s="103">
        <f>VLOOKUP($A84,'OI(Value)'!$A$7:$O$323,11,0)</f>
        <v>493</v>
      </c>
      <c r="O84" s="103">
        <f>VLOOKUP($A84,'OI(Value)'!$A$7:$O$323,12,0)</f>
        <v>128</v>
      </c>
      <c r="P84" s="179">
        <f>VLOOKUP(A84,'OI(Value)'!A84:O302,8,0)</f>
        <v>554</v>
      </c>
      <c r="Q84" s="179">
        <f>VLOOKUP(A84,'OI(Value)'!A84:O302,9,0)</f>
        <v>103</v>
      </c>
      <c r="R84" s="179">
        <f>VLOOKUP(A84,'OI(Value)'!A84:O302,11,0)</f>
        <v>493</v>
      </c>
      <c r="S84" s="179">
        <f>VLOOKUP(A84,'OI(Value)'!A84:O302,11,0)</f>
        <v>493</v>
      </c>
    </row>
    <row r="85" spans="1:19" x14ac:dyDescent="0.25">
      <c r="A85" s="105" t="str">
        <f>'Data Vlaue (Cr)'!C80</f>
        <v>HINDPETRO</v>
      </c>
      <c r="B85" s="143">
        <f>VLOOKUP($A85,'Data shares'!$C:$FA,118)</f>
        <v>0.9</v>
      </c>
      <c r="C85" s="143">
        <f>VLOOKUP($A85,'Data shares'!$C:$FA,119)</f>
        <v>0.96</v>
      </c>
      <c r="D85" s="143">
        <f>VLOOKUP($A85,'Data shares'!$C:$FA,121)*100</f>
        <v>-6.25</v>
      </c>
      <c r="E85" s="143">
        <f>VLOOKUP($A85,'Data shares'!$C:$FA,124)</f>
        <v>0.44</v>
      </c>
      <c r="F85" s="143">
        <f>VLOOKUP($A85,'Data shares'!$C:$FA,125)</f>
        <v>0.66</v>
      </c>
      <c r="G85" s="143">
        <f>VLOOKUP($A85,'Data shares'!$C:$FA,127)*100</f>
        <v>-33.33</v>
      </c>
      <c r="H85" s="103">
        <f>VLOOKUP($A85,'OI(Volume)'!$A$7:$O$440,8)</f>
        <v>8237700</v>
      </c>
      <c r="I85" s="103">
        <f>VLOOKUP($A85,'OI(Volume)'!$A$7:$O$440,9)</f>
        <v>1330425</v>
      </c>
      <c r="J85" s="103">
        <f>VLOOKUP($A85,'OI(Volume)'!$A$7:$O$440,11)</f>
        <v>7417575</v>
      </c>
      <c r="K85" s="103">
        <f>VLOOKUP($A85,'OI(Volume)'!$A$7:$O$440,12)</f>
        <v>789750</v>
      </c>
      <c r="L85" s="103">
        <f>VLOOKUP($A85,'OI(Value)'!$A$7:$O$323,8,0)</f>
        <v>358</v>
      </c>
      <c r="M85" s="103">
        <f>VLOOKUP($A85,'OI(Value)'!$A$7:$O$323,9,0)</f>
        <v>58</v>
      </c>
      <c r="N85" s="103">
        <f>VLOOKUP($A85,'OI(Value)'!$A$7:$O$323,11,0)</f>
        <v>322</v>
      </c>
      <c r="O85" s="103">
        <f>VLOOKUP($A85,'OI(Value)'!$A$7:$O$323,12,0)</f>
        <v>34</v>
      </c>
      <c r="P85" s="179">
        <f>VLOOKUP(A85,'OI(Value)'!A85:O303,8,0)</f>
        <v>358</v>
      </c>
      <c r="Q85" s="179">
        <f>VLOOKUP(A85,'OI(Value)'!A85:O303,9,0)</f>
        <v>58</v>
      </c>
      <c r="R85" s="179">
        <f>VLOOKUP(A85,'OI(Value)'!A85:O303,11,0)</f>
        <v>322</v>
      </c>
      <c r="S85" s="179">
        <f>VLOOKUP(A85,'OI(Value)'!A85:O303,11,0)</f>
        <v>322</v>
      </c>
    </row>
    <row r="86" spans="1:19" x14ac:dyDescent="0.25">
      <c r="A86" s="105" t="str">
        <f>'Data Vlaue (Cr)'!C81</f>
        <v>HINDUNILVR</v>
      </c>
      <c r="B86" s="143">
        <f>VLOOKUP($A86,'Data shares'!$C:$FA,118)</f>
        <v>1.02</v>
      </c>
      <c r="C86" s="143">
        <f>VLOOKUP($A86,'Data shares'!$C:$FA,119)</f>
        <v>0.86</v>
      </c>
      <c r="D86" s="143">
        <f>VLOOKUP($A86,'Data shares'!$C:$FA,121)*100</f>
        <v>18.600000000000001</v>
      </c>
      <c r="E86" s="143">
        <f>VLOOKUP($A86,'Data shares'!$C:$FA,124)</f>
        <v>0.8</v>
      </c>
      <c r="F86" s="143">
        <f>VLOOKUP($A86,'Data shares'!$C:$FA,125)</f>
        <v>0.56999999999999995</v>
      </c>
      <c r="G86" s="143">
        <f>VLOOKUP($A86,'Data shares'!$C:$FA,127)*100</f>
        <v>40.35</v>
      </c>
      <c r="H86" s="103">
        <f>VLOOKUP($A86,'OI(Volume)'!$A$7:$O$440,8)</f>
        <v>2114700</v>
      </c>
      <c r="I86" s="103">
        <f>VLOOKUP($A86,'OI(Volume)'!$A$7:$O$440,9)</f>
        <v>491100</v>
      </c>
      <c r="J86" s="103">
        <f>VLOOKUP($A86,'OI(Volume)'!$A$7:$O$440,11)</f>
        <v>2148000</v>
      </c>
      <c r="K86" s="103">
        <f>VLOOKUP($A86,'OI(Volume)'!$A$7:$O$440,12)</f>
        <v>749700</v>
      </c>
      <c r="L86" s="103">
        <f>VLOOKUP($A86,'OI(Value)'!$A$7:$O$323,8,0)</f>
        <v>504</v>
      </c>
      <c r="M86" s="103">
        <f>VLOOKUP($A86,'OI(Value)'!$A$7:$O$323,9,0)</f>
        <v>117</v>
      </c>
      <c r="N86" s="103">
        <f>VLOOKUP($A86,'OI(Value)'!$A$7:$O$323,11,0)</f>
        <v>512</v>
      </c>
      <c r="O86" s="103">
        <f>VLOOKUP($A86,'OI(Value)'!$A$7:$O$323,12,0)</f>
        <v>179</v>
      </c>
      <c r="P86" s="179">
        <f>VLOOKUP(A86,'OI(Value)'!A86:O304,8,0)</f>
        <v>504</v>
      </c>
      <c r="Q86" s="179">
        <f>VLOOKUP(A86,'OI(Value)'!A86:O304,9,0)</f>
        <v>117</v>
      </c>
      <c r="R86" s="179">
        <f>VLOOKUP(A86,'OI(Value)'!A86:O304,11,0)</f>
        <v>512</v>
      </c>
      <c r="S86" s="179">
        <f>VLOOKUP(A86,'OI(Value)'!A86:O304,11,0)</f>
        <v>512</v>
      </c>
    </row>
    <row r="87" spans="1:19" x14ac:dyDescent="0.25">
      <c r="A87" s="105" t="str">
        <f>'Data Vlaue (Cr)'!C82</f>
        <v>HINDZINC</v>
      </c>
      <c r="B87" s="143">
        <f>VLOOKUP($A87,'Data shares'!$C:$FA,118)</f>
        <v>0.73</v>
      </c>
      <c r="C87" s="143">
        <f>VLOOKUP($A87,'Data shares'!$C:$FA,119)</f>
        <v>0.59</v>
      </c>
      <c r="D87" s="143">
        <f>VLOOKUP($A87,'Data shares'!$C:$FA,121)*100</f>
        <v>23.73</v>
      </c>
      <c r="E87" s="143">
        <f>VLOOKUP($A87,'Data shares'!$C:$FA,124)</f>
        <v>0.38</v>
      </c>
      <c r="F87" s="143">
        <f>VLOOKUP($A87,'Data shares'!$C:$FA,125)</f>
        <v>0.49</v>
      </c>
      <c r="G87" s="143">
        <f>VLOOKUP($A87,'Data shares'!$C:$FA,127)*100</f>
        <v>-22.45</v>
      </c>
      <c r="H87" s="103">
        <f>VLOOKUP($A87,'OI(Volume)'!$A$7:$O$440,8)</f>
        <v>33049275</v>
      </c>
      <c r="I87" s="103">
        <f>VLOOKUP($A87,'OI(Volume)'!$A$7:$O$440,9)</f>
        <v>6482700</v>
      </c>
      <c r="J87" s="103">
        <f>VLOOKUP($A87,'OI(Volume)'!$A$7:$O$440,11)</f>
        <v>24212125</v>
      </c>
      <c r="K87" s="103">
        <f>VLOOKUP($A87,'OI(Volume)'!$A$7:$O$440,12)</f>
        <v>8561525</v>
      </c>
      <c r="L87" s="103">
        <f>VLOOKUP($A87,'OI(Value)'!$A$7:$O$323,8,0)</f>
        <v>2334</v>
      </c>
      <c r="M87" s="103">
        <f>VLOOKUP($A87,'OI(Value)'!$A$7:$O$323,9,0)</f>
        <v>458</v>
      </c>
      <c r="N87" s="103">
        <f>VLOOKUP($A87,'OI(Value)'!$A$7:$O$323,11,0)</f>
        <v>1710</v>
      </c>
      <c r="O87" s="103">
        <f>VLOOKUP($A87,'OI(Value)'!$A$7:$O$323,12,0)</f>
        <v>605</v>
      </c>
      <c r="P87" s="179">
        <f>VLOOKUP(A87,'OI(Value)'!A87:O305,8,0)</f>
        <v>2334</v>
      </c>
      <c r="Q87" s="179">
        <f>VLOOKUP(A87,'OI(Value)'!A87:O305,9,0)</f>
        <v>458</v>
      </c>
      <c r="R87" s="179">
        <f>VLOOKUP(A87,'OI(Value)'!A87:O305,11,0)</f>
        <v>1710</v>
      </c>
      <c r="S87" s="179">
        <f>VLOOKUP(A87,'OI(Value)'!A87:O305,11,0)</f>
        <v>1710</v>
      </c>
    </row>
    <row r="88" spans="1:19" x14ac:dyDescent="0.25">
      <c r="A88" s="105" t="str">
        <f>'Data Vlaue (Cr)'!C83</f>
        <v>HUDCO</v>
      </c>
      <c r="B88" s="143">
        <f>VLOOKUP($A88,'Data shares'!$C:$FA,118)</f>
        <v>0.95</v>
      </c>
      <c r="C88" s="143">
        <f>VLOOKUP($A88,'Data shares'!$C:$FA,119)</f>
        <v>0.98</v>
      </c>
      <c r="D88" s="143">
        <f>VLOOKUP($A88,'Data shares'!$C:$FA,121)*100</f>
        <v>-3.06</v>
      </c>
      <c r="E88" s="143">
        <f>VLOOKUP($A88,'Data shares'!$C:$FA,124)</f>
        <v>0.51</v>
      </c>
      <c r="F88" s="143">
        <f>VLOOKUP($A88,'Data shares'!$C:$FA,125)</f>
        <v>0.94</v>
      </c>
      <c r="G88" s="143">
        <f>VLOOKUP($A88,'Data shares'!$C:$FA,127)*100</f>
        <v>-45.739999999999995</v>
      </c>
      <c r="H88" s="103">
        <f>VLOOKUP($A88,'OI(Volume)'!$A$7:$O$440,8)</f>
        <v>12298800</v>
      </c>
      <c r="I88" s="103">
        <f>VLOOKUP($A88,'OI(Volume)'!$A$7:$O$440,9)</f>
        <v>2095125</v>
      </c>
      <c r="J88" s="103">
        <f>VLOOKUP($A88,'OI(Volume)'!$A$7:$O$440,11)</f>
        <v>11702175</v>
      </c>
      <c r="K88" s="103">
        <f>VLOOKUP($A88,'OI(Volume)'!$A$7:$O$440,12)</f>
        <v>1701075</v>
      </c>
      <c r="L88" s="103">
        <f>VLOOKUP($A88,'OI(Value)'!$A$7:$O$323,8,0)</f>
        <v>252</v>
      </c>
      <c r="M88" s="103">
        <f>VLOOKUP($A88,'OI(Value)'!$A$7:$O$323,9,0)</f>
        <v>43</v>
      </c>
      <c r="N88" s="103">
        <f>VLOOKUP($A88,'OI(Value)'!$A$7:$O$323,11,0)</f>
        <v>240</v>
      </c>
      <c r="O88" s="103">
        <f>VLOOKUP($A88,'OI(Value)'!$A$7:$O$323,12,0)</f>
        <v>35</v>
      </c>
      <c r="P88" s="179">
        <f>VLOOKUP(A88,'OI(Value)'!A88:O306,8,0)</f>
        <v>252</v>
      </c>
      <c r="Q88" s="179">
        <f>VLOOKUP(A88,'OI(Value)'!A88:O306,9,0)</f>
        <v>43</v>
      </c>
      <c r="R88" s="179">
        <f>VLOOKUP(A88,'OI(Value)'!A88:O306,11,0)</f>
        <v>240</v>
      </c>
      <c r="S88" s="179">
        <f>VLOOKUP(A88,'OI(Value)'!A88:O306,11,0)</f>
        <v>240</v>
      </c>
    </row>
    <row r="89" spans="1:19" x14ac:dyDescent="0.25">
      <c r="A89" s="105" t="str">
        <f>'Data Vlaue (Cr)'!C84</f>
        <v>ICICIBANK</v>
      </c>
      <c r="B89" s="143">
        <f>VLOOKUP($A89,'Data shares'!$C:$FA,118)</f>
        <v>0.99</v>
      </c>
      <c r="C89" s="143">
        <f>VLOOKUP($A89,'Data shares'!$C:$FA,119)</f>
        <v>0.97</v>
      </c>
      <c r="D89" s="143">
        <f>VLOOKUP($A89,'Data shares'!$C:$FA,121)*100</f>
        <v>2.06</v>
      </c>
      <c r="E89" s="143">
        <f>VLOOKUP($A89,'Data shares'!$C:$FA,124)</f>
        <v>0.68</v>
      </c>
      <c r="F89" s="143">
        <f>VLOOKUP($A89,'Data shares'!$C:$FA,125)</f>
        <v>0.6</v>
      </c>
      <c r="G89" s="143">
        <f>VLOOKUP($A89,'Data shares'!$C:$FA,127)*100</f>
        <v>13.33</v>
      </c>
      <c r="H89" s="103">
        <f>VLOOKUP($A89,'OI(Volume)'!$A$7:$O$440,8)</f>
        <v>16459800</v>
      </c>
      <c r="I89" s="103">
        <f>VLOOKUP($A89,'OI(Volume)'!$A$7:$O$440,9)</f>
        <v>1253000</v>
      </c>
      <c r="J89" s="103">
        <f>VLOOKUP($A89,'OI(Volume)'!$A$7:$O$440,11)</f>
        <v>16323300</v>
      </c>
      <c r="K89" s="103">
        <f>VLOOKUP($A89,'OI(Volume)'!$A$7:$O$440,12)</f>
        <v>1644300</v>
      </c>
      <c r="L89" s="103">
        <f>VLOOKUP($A89,'OI(Value)'!$A$7:$O$323,8,0)</f>
        <v>2260</v>
      </c>
      <c r="M89" s="103">
        <f>VLOOKUP($A89,'OI(Value)'!$A$7:$O$323,9,0)</f>
        <v>172</v>
      </c>
      <c r="N89" s="103">
        <f>VLOOKUP($A89,'OI(Value)'!$A$7:$O$323,11,0)</f>
        <v>2242</v>
      </c>
      <c r="O89" s="103">
        <f>VLOOKUP($A89,'OI(Value)'!$A$7:$O$323,12,0)</f>
        <v>226</v>
      </c>
      <c r="P89" s="179">
        <f>VLOOKUP(A89,'OI(Value)'!A89:O307,8,0)</f>
        <v>2260</v>
      </c>
      <c r="Q89" s="179">
        <f>VLOOKUP(A89,'OI(Value)'!A89:O307,9,0)</f>
        <v>172</v>
      </c>
      <c r="R89" s="179">
        <f>VLOOKUP(A89,'OI(Value)'!A89:O307,11,0)</f>
        <v>2242</v>
      </c>
      <c r="S89" s="179">
        <f>VLOOKUP(A89,'OI(Value)'!A89:O307,11,0)</f>
        <v>2242</v>
      </c>
    </row>
    <row r="90" spans="1:19" x14ac:dyDescent="0.25">
      <c r="A90" s="105" t="str">
        <f>'Data Vlaue (Cr)'!C85</f>
        <v>ICICIGI</v>
      </c>
      <c r="B90" s="143">
        <f>VLOOKUP($A90,'Data shares'!$C:$FA,118)</f>
        <v>1.24</v>
      </c>
      <c r="C90" s="143">
        <f>VLOOKUP($A90,'Data shares'!$C:$FA,119)</f>
        <v>1.39</v>
      </c>
      <c r="D90" s="143">
        <f>VLOOKUP($A90,'Data shares'!$C:$FA,121)*100</f>
        <v>-10.79</v>
      </c>
      <c r="E90" s="143">
        <f>VLOOKUP($A90,'Data shares'!$C:$FA,124)</f>
        <v>1.05</v>
      </c>
      <c r="F90" s="143">
        <f>VLOOKUP($A90,'Data shares'!$C:$FA,125)</f>
        <v>1.45</v>
      </c>
      <c r="G90" s="143">
        <f>VLOOKUP($A90,'Data shares'!$C:$FA,127)*100</f>
        <v>-27.589999999999996</v>
      </c>
      <c r="H90" s="103">
        <f>VLOOKUP($A90,'OI(Volume)'!$A$7:$O$440,8)</f>
        <v>323050</v>
      </c>
      <c r="I90" s="103">
        <f>VLOOKUP($A90,'OI(Volume)'!$A$7:$O$440,9)</f>
        <v>69225</v>
      </c>
      <c r="J90" s="103">
        <f>VLOOKUP($A90,'OI(Volume)'!$A$7:$O$440,11)</f>
        <v>401375</v>
      </c>
      <c r="K90" s="103">
        <f>VLOOKUP($A90,'OI(Volume)'!$A$7:$O$440,12)</f>
        <v>49725</v>
      </c>
      <c r="L90" s="103">
        <f>VLOOKUP($A90,'OI(Value)'!$A$7:$O$323,8,0)</f>
        <v>59</v>
      </c>
      <c r="M90" s="103">
        <f>VLOOKUP($A90,'OI(Value)'!$A$7:$O$323,9,0)</f>
        <v>13</v>
      </c>
      <c r="N90" s="103">
        <f>VLOOKUP($A90,'OI(Value)'!$A$7:$O$323,11,0)</f>
        <v>73</v>
      </c>
      <c r="O90" s="103">
        <f>VLOOKUP($A90,'OI(Value)'!$A$7:$O$323,12,0)</f>
        <v>9</v>
      </c>
      <c r="P90" s="179">
        <f>VLOOKUP(A90,'OI(Value)'!A90:O308,8,0)</f>
        <v>59</v>
      </c>
      <c r="Q90" s="179">
        <f>VLOOKUP(A90,'OI(Value)'!A90:O308,9,0)</f>
        <v>13</v>
      </c>
      <c r="R90" s="179">
        <f>VLOOKUP(A90,'OI(Value)'!A90:O308,11,0)</f>
        <v>73</v>
      </c>
      <c r="S90" s="179">
        <f>VLOOKUP(A90,'OI(Value)'!A90:O308,11,0)</f>
        <v>73</v>
      </c>
    </row>
    <row r="91" spans="1:19" x14ac:dyDescent="0.25">
      <c r="A91" s="105" t="str">
        <f>'Data Vlaue (Cr)'!C86</f>
        <v>ICICIPRULI</v>
      </c>
      <c r="B91" s="143">
        <f>VLOOKUP($A91,'Data shares'!$C:$FA,118)</f>
        <v>0.96</v>
      </c>
      <c r="C91" s="143">
        <f>VLOOKUP($A91,'Data shares'!$C:$FA,119)</f>
        <v>0.81</v>
      </c>
      <c r="D91" s="143">
        <f>VLOOKUP($A91,'Data shares'!$C:$FA,121)*100</f>
        <v>18.52</v>
      </c>
      <c r="E91" s="143">
        <f>VLOOKUP($A91,'Data shares'!$C:$FA,124)</f>
        <v>0.88</v>
      </c>
      <c r="F91" s="143">
        <f>VLOOKUP($A91,'Data shares'!$C:$FA,125)</f>
        <v>0.86</v>
      </c>
      <c r="G91" s="143">
        <f>VLOOKUP($A91,'Data shares'!$C:$FA,127)*100</f>
        <v>2.33</v>
      </c>
      <c r="H91" s="103">
        <f>VLOOKUP($A91,'OI(Volume)'!$A$7:$O$440,8)</f>
        <v>1393975</v>
      </c>
      <c r="I91" s="103">
        <f>VLOOKUP($A91,'OI(Volume)'!$A$7:$O$440,9)</f>
        <v>269175</v>
      </c>
      <c r="J91" s="103">
        <f>VLOOKUP($A91,'OI(Volume)'!$A$7:$O$440,11)</f>
        <v>1334775</v>
      </c>
      <c r="K91" s="103">
        <f>VLOOKUP($A91,'OI(Volume)'!$A$7:$O$440,12)</f>
        <v>424575</v>
      </c>
      <c r="L91" s="103">
        <f>VLOOKUP($A91,'OI(Value)'!$A$7:$O$323,8,0)</f>
        <v>90</v>
      </c>
      <c r="M91" s="103">
        <f>VLOOKUP($A91,'OI(Value)'!$A$7:$O$323,9,0)</f>
        <v>17</v>
      </c>
      <c r="N91" s="103">
        <f>VLOOKUP($A91,'OI(Value)'!$A$7:$O$323,11,0)</f>
        <v>86</v>
      </c>
      <c r="O91" s="103">
        <f>VLOOKUP($A91,'OI(Value)'!$A$7:$O$323,12,0)</f>
        <v>27</v>
      </c>
      <c r="P91" s="179">
        <f>VLOOKUP(A91,'OI(Value)'!A91:O309,8,0)</f>
        <v>90</v>
      </c>
      <c r="Q91" s="179">
        <f>VLOOKUP(A91,'OI(Value)'!A91:O309,9,0)</f>
        <v>17</v>
      </c>
      <c r="R91" s="179">
        <f>VLOOKUP(A91,'OI(Value)'!A91:O309,11,0)</f>
        <v>86</v>
      </c>
      <c r="S91" s="179">
        <f>VLOOKUP(A91,'OI(Value)'!A91:O309,11,0)</f>
        <v>86</v>
      </c>
    </row>
    <row r="92" spans="1:19" x14ac:dyDescent="0.25">
      <c r="A92" s="105" t="str">
        <f>'Data Vlaue (Cr)'!C87</f>
        <v>IDEA</v>
      </c>
      <c r="B92" s="143">
        <f>VLOOKUP($A92,'Data shares'!$C:$FA,118)</f>
        <v>0.72</v>
      </c>
      <c r="C92" s="143">
        <f>VLOOKUP($A92,'Data shares'!$C:$FA,119)</f>
        <v>0.75</v>
      </c>
      <c r="D92" s="143">
        <f>VLOOKUP($A92,'Data shares'!$C:$FA,121)*100</f>
        <v>-4</v>
      </c>
      <c r="E92" s="143">
        <f>VLOOKUP($A92,'Data shares'!$C:$FA,124)</f>
        <v>0.26</v>
      </c>
      <c r="F92" s="143">
        <f>VLOOKUP($A92,'Data shares'!$C:$FA,125)</f>
        <v>0.76</v>
      </c>
      <c r="G92" s="143">
        <f>VLOOKUP($A92,'Data shares'!$C:$FA,127)*100</f>
        <v>-65.790000000000006</v>
      </c>
      <c r="H92" s="103">
        <f>VLOOKUP($A92,'OI(Volume)'!$A$7:$O$440,8)</f>
        <v>1164184800</v>
      </c>
      <c r="I92" s="103">
        <f>VLOOKUP($A92,'OI(Volume)'!$A$7:$O$440,9)</f>
        <v>158888925</v>
      </c>
      <c r="J92" s="103">
        <f>VLOOKUP($A92,'OI(Volume)'!$A$7:$O$440,11)</f>
        <v>838830600</v>
      </c>
      <c r="K92" s="103">
        <f>VLOOKUP($A92,'OI(Volume)'!$A$7:$O$440,12)</f>
        <v>80052000</v>
      </c>
      <c r="L92" s="103">
        <f>VLOOKUP($A92,'OI(Value)'!$A$7:$O$323,8,0)</f>
        <v>1165</v>
      </c>
      <c r="M92" s="103">
        <f>VLOOKUP($A92,'OI(Value)'!$A$7:$O$323,9,0)</f>
        <v>159</v>
      </c>
      <c r="N92" s="103">
        <f>VLOOKUP($A92,'OI(Value)'!$A$7:$O$323,11,0)</f>
        <v>840</v>
      </c>
      <c r="O92" s="103">
        <f>VLOOKUP($A92,'OI(Value)'!$A$7:$O$323,12,0)</f>
        <v>80</v>
      </c>
      <c r="P92" s="179">
        <f>VLOOKUP(A92,'OI(Value)'!A92:O310,8,0)</f>
        <v>1165</v>
      </c>
      <c r="Q92" s="179">
        <f>VLOOKUP(A92,'OI(Value)'!A92:O310,9,0)</f>
        <v>159</v>
      </c>
      <c r="R92" s="179">
        <f>VLOOKUP(A92,'OI(Value)'!A92:O310,11,0)</f>
        <v>840</v>
      </c>
      <c r="S92" s="179">
        <f>VLOOKUP(A92,'OI(Value)'!A92:O310,11,0)</f>
        <v>840</v>
      </c>
    </row>
    <row r="93" spans="1:19" x14ac:dyDescent="0.25">
      <c r="A93" s="105" t="str">
        <f>'Data Vlaue (Cr)'!C88</f>
        <v>IDFCFIRSTB</v>
      </c>
      <c r="B93" s="143">
        <f>VLOOKUP($A93,'Data shares'!$C:$FA,118)</f>
        <v>0.87</v>
      </c>
      <c r="C93" s="143">
        <f>VLOOKUP($A93,'Data shares'!$C:$FA,119)</f>
        <v>0.75</v>
      </c>
      <c r="D93" s="143">
        <f>VLOOKUP($A93,'Data shares'!$C:$FA,121)*100</f>
        <v>16</v>
      </c>
      <c r="E93" s="143">
        <f>VLOOKUP($A93,'Data shares'!$C:$FA,124)</f>
        <v>0.72</v>
      </c>
      <c r="F93" s="143">
        <f>VLOOKUP($A93,'Data shares'!$C:$FA,125)</f>
        <v>0.76</v>
      </c>
      <c r="G93" s="143">
        <f>VLOOKUP($A93,'Data shares'!$C:$FA,127)*100</f>
        <v>-5.26</v>
      </c>
      <c r="H93" s="103">
        <f>VLOOKUP($A93,'OI(Volume)'!$A$7:$O$440,8)</f>
        <v>80321500</v>
      </c>
      <c r="I93" s="103">
        <f>VLOOKUP($A93,'OI(Volume)'!$A$7:$O$440,9)</f>
        <v>12493425</v>
      </c>
      <c r="J93" s="103">
        <f>VLOOKUP($A93,'OI(Volume)'!$A$7:$O$440,11)</f>
        <v>69896400</v>
      </c>
      <c r="K93" s="103">
        <f>VLOOKUP($A93,'OI(Volume)'!$A$7:$O$440,12)</f>
        <v>18818975</v>
      </c>
      <c r="L93" s="103">
        <f>VLOOKUP($A93,'OI(Value)'!$A$7:$O$323,8,0)</f>
        <v>669</v>
      </c>
      <c r="M93" s="103">
        <f>VLOOKUP($A93,'OI(Value)'!$A$7:$O$323,9,0)</f>
        <v>104</v>
      </c>
      <c r="N93" s="103">
        <f>VLOOKUP($A93,'OI(Value)'!$A$7:$O$323,11,0)</f>
        <v>582</v>
      </c>
      <c r="O93" s="103">
        <f>VLOOKUP($A93,'OI(Value)'!$A$7:$O$323,12,0)</f>
        <v>157</v>
      </c>
      <c r="P93" s="179">
        <f>VLOOKUP(A93,'OI(Value)'!A93:O311,8,0)</f>
        <v>669</v>
      </c>
      <c r="Q93" s="179">
        <f>VLOOKUP(A93,'OI(Value)'!A93:O311,9,0)</f>
        <v>104</v>
      </c>
      <c r="R93" s="179">
        <f>VLOOKUP(A93,'OI(Value)'!A93:O311,11,0)</f>
        <v>582</v>
      </c>
      <c r="S93" s="179">
        <f>VLOOKUP(A93,'OI(Value)'!A93:O311,11,0)</f>
        <v>582</v>
      </c>
    </row>
    <row r="94" spans="1:19" x14ac:dyDescent="0.25">
      <c r="A94" s="105" t="str">
        <f>'Data Vlaue (Cr)'!C89</f>
        <v>IEX</v>
      </c>
      <c r="B94" s="143">
        <f>VLOOKUP($A94,'Data shares'!$C:$FA,118)</f>
        <v>0.93</v>
      </c>
      <c r="C94" s="143">
        <f>VLOOKUP($A94,'Data shares'!$C:$FA,119)</f>
        <v>1.03</v>
      </c>
      <c r="D94" s="143">
        <f>VLOOKUP($A94,'Data shares'!$C:$FA,121)*100</f>
        <v>-9.7100000000000009</v>
      </c>
      <c r="E94" s="143">
        <f>VLOOKUP($A94,'Data shares'!$C:$FA,124)</f>
        <v>0.42</v>
      </c>
      <c r="F94" s="143">
        <f>VLOOKUP($A94,'Data shares'!$C:$FA,125)</f>
        <v>0.7</v>
      </c>
      <c r="G94" s="143">
        <f>VLOOKUP($A94,'Data shares'!$C:$FA,127)*100</f>
        <v>-40</v>
      </c>
      <c r="H94" s="103">
        <f>VLOOKUP($A94,'OI(Volume)'!$A$7:$O$440,8)</f>
        <v>33011250</v>
      </c>
      <c r="I94" s="103">
        <f>VLOOKUP($A94,'OI(Volume)'!$A$7:$O$440,9)</f>
        <v>5073750</v>
      </c>
      <c r="J94" s="103">
        <f>VLOOKUP($A94,'OI(Volume)'!$A$7:$O$440,11)</f>
        <v>30821250</v>
      </c>
      <c r="K94" s="103">
        <f>VLOOKUP($A94,'OI(Volume)'!$A$7:$O$440,12)</f>
        <v>2032500</v>
      </c>
      <c r="L94" s="103">
        <f>VLOOKUP($A94,'OI(Value)'!$A$7:$O$323,8,0)</f>
        <v>424</v>
      </c>
      <c r="M94" s="103">
        <f>VLOOKUP($A94,'OI(Value)'!$A$7:$O$323,9,0)</f>
        <v>65</v>
      </c>
      <c r="N94" s="103">
        <f>VLOOKUP($A94,'OI(Value)'!$A$7:$O$323,11,0)</f>
        <v>395</v>
      </c>
      <c r="O94" s="103">
        <f>VLOOKUP($A94,'OI(Value)'!$A$7:$O$323,12,0)</f>
        <v>26</v>
      </c>
      <c r="P94" s="179">
        <f>VLOOKUP(A94,'OI(Value)'!A94:O312,8,0)</f>
        <v>424</v>
      </c>
      <c r="Q94" s="179">
        <f>VLOOKUP(A94,'OI(Value)'!A94:O312,9,0)</f>
        <v>65</v>
      </c>
      <c r="R94" s="179">
        <f>VLOOKUP(A94,'OI(Value)'!A94:O312,11,0)</f>
        <v>395</v>
      </c>
      <c r="S94" s="179">
        <f>VLOOKUP(A94,'OI(Value)'!A94:O312,11,0)</f>
        <v>395</v>
      </c>
    </row>
    <row r="95" spans="1:19" x14ac:dyDescent="0.25">
      <c r="A95" s="105" t="str">
        <f>'Data Vlaue (Cr)'!C90</f>
        <v>INDHOTEL</v>
      </c>
      <c r="B95" s="143">
        <f>VLOOKUP($A95,'Data shares'!$C:$FA,118)</f>
        <v>1.05</v>
      </c>
      <c r="C95" s="143">
        <f>VLOOKUP($A95,'Data shares'!$C:$FA,119)</f>
        <v>1.1000000000000001</v>
      </c>
      <c r="D95" s="143">
        <f>VLOOKUP($A95,'Data shares'!$C:$FA,121)*100</f>
        <v>-4.55</v>
      </c>
      <c r="E95" s="143">
        <f>VLOOKUP($A95,'Data shares'!$C:$FA,124)</f>
        <v>0.37</v>
      </c>
      <c r="F95" s="143">
        <f>VLOOKUP($A95,'Data shares'!$C:$FA,125)</f>
        <v>0.89</v>
      </c>
      <c r="G95" s="143">
        <f>VLOOKUP($A95,'Data shares'!$C:$FA,127)*100</f>
        <v>-58.430000000000007</v>
      </c>
      <c r="H95" s="103">
        <f>VLOOKUP($A95,'OI(Volume)'!$A$7:$O$440,8)</f>
        <v>5661000</v>
      </c>
      <c r="I95" s="103">
        <f>VLOOKUP($A95,'OI(Volume)'!$A$7:$O$440,9)</f>
        <v>504000</v>
      </c>
      <c r="J95" s="103">
        <f>VLOOKUP($A95,'OI(Volume)'!$A$7:$O$440,11)</f>
        <v>5934000</v>
      </c>
      <c r="K95" s="103">
        <f>VLOOKUP($A95,'OI(Volume)'!$A$7:$O$440,12)</f>
        <v>280000</v>
      </c>
      <c r="L95" s="103">
        <f>VLOOKUP($A95,'OI(Value)'!$A$7:$O$323,8,0)</f>
        <v>373</v>
      </c>
      <c r="M95" s="103">
        <f>VLOOKUP($A95,'OI(Value)'!$A$7:$O$323,9,0)</f>
        <v>33</v>
      </c>
      <c r="N95" s="103">
        <f>VLOOKUP($A95,'OI(Value)'!$A$7:$O$323,11,0)</f>
        <v>391</v>
      </c>
      <c r="O95" s="103">
        <f>VLOOKUP($A95,'OI(Value)'!$A$7:$O$323,12,0)</f>
        <v>18</v>
      </c>
      <c r="P95" s="179">
        <f>VLOOKUP(A95,'OI(Value)'!A95:O313,8,0)</f>
        <v>373</v>
      </c>
      <c r="Q95" s="179">
        <f>VLOOKUP(A95,'OI(Value)'!A95:O313,9,0)</f>
        <v>33</v>
      </c>
      <c r="R95" s="179">
        <f>VLOOKUP(A95,'OI(Value)'!A95:O313,11,0)</f>
        <v>391</v>
      </c>
      <c r="S95" s="179">
        <f>VLOOKUP(A95,'OI(Value)'!A95:O313,11,0)</f>
        <v>391</v>
      </c>
    </row>
    <row r="96" spans="1:19" x14ac:dyDescent="0.25">
      <c r="A96" s="105" t="str">
        <f>'Data Vlaue (Cr)'!C91</f>
        <v>INDIANB</v>
      </c>
      <c r="B96" s="143">
        <f>VLOOKUP($A96,'Data shares'!$C:$FA,118)</f>
        <v>0.66</v>
      </c>
      <c r="C96" s="143">
        <f>VLOOKUP($A96,'Data shares'!$C:$FA,119)</f>
        <v>0.62</v>
      </c>
      <c r="D96" s="143">
        <f>VLOOKUP($A96,'Data shares'!$C:$FA,121)*100</f>
        <v>6.45</v>
      </c>
      <c r="E96" s="143">
        <f>VLOOKUP($A96,'Data shares'!$C:$FA,124)</f>
        <v>0.3</v>
      </c>
      <c r="F96" s="143">
        <f>VLOOKUP($A96,'Data shares'!$C:$FA,125)</f>
        <v>0.57999999999999996</v>
      </c>
      <c r="G96" s="143">
        <f>VLOOKUP($A96,'Data shares'!$C:$FA,127)*100</f>
        <v>-48.28</v>
      </c>
      <c r="H96" s="103">
        <f>VLOOKUP($A96,'OI(Volume)'!$A$7:$O$440,8)</f>
        <v>2554000</v>
      </c>
      <c r="I96" s="103">
        <f>VLOOKUP($A96,'OI(Volume)'!$A$7:$O$440,9)</f>
        <v>338000</v>
      </c>
      <c r="J96" s="103">
        <f>VLOOKUP($A96,'OI(Volume)'!$A$7:$O$440,11)</f>
        <v>1674000</v>
      </c>
      <c r="K96" s="103">
        <f>VLOOKUP($A96,'OI(Volume)'!$A$7:$O$440,12)</f>
        <v>301000</v>
      </c>
      <c r="L96" s="103">
        <f>VLOOKUP($A96,'OI(Value)'!$A$7:$O$323,8,0)</f>
        <v>230</v>
      </c>
      <c r="M96" s="103">
        <f>VLOOKUP($A96,'OI(Value)'!$A$7:$O$323,9,0)</f>
        <v>30</v>
      </c>
      <c r="N96" s="103">
        <f>VLOOKUP($A96,'OI(Value)'!$A$7:$O$323,11,0)</f>
        <v>151</v>
      </c>
      <c r="O96" s="103">
        <f>VLOOKUP($A96,'OI(Value)'!$A$7:$O$323,12,0)</f>
        <v>27</v>
      </c>
      <c r="P96" s="179">
        <f>VLOOKUP(A96,'OI(Value)'!A96:O314,8,0)</f>
        <v>230</v>
      </c>
      <c r="Q96" s="179">
        <f>VLOOKUP(A96,'OI(Value)'!A96:O314,9,0)</f>
        <v>30</v>
      </c>
      <c r="R96" s="179">
        <f>VLOOKUP(A96,'OI(Value)'!A96:O314,11,0)</f>
        <v>151</v>
      </c>
      <c r="S96" s="179">
        <f>VLOOKUP(A96,'OI(Value)'!A96:O314,11,0)</f>
        <v>151</v>
      </c>
    </row>
    <row r="97" spans="1:19" x14ac:dyDescent="0.25">
      <c r="A97" s="105" t="str">
        <f>'Data Vlaue (Cr)'!C92</f>
        <v>INDIAVIX</v>
      </c>
      <c r="B97" s="143">
        <f>VLOOKUP($A97,'Data shares'!$C:$FA,118)</f>
        <v>0</v>
      </c>
      <c r="C97" s="143">
        <f>VLOOKUP($A97,'Data shares'!$C:$FA,119)</f>
        <v>0</v>
      </c>
      <c r="D97" s="143">
        <f>VLOOKUP($A97,'Data shares'!$C:$FA,121)*100</f>
        <v>0</v>
      </c>
      <c r="E97" s="143">
        <f>VLOOKUP($A97,'Data shares'!$C:$FA,124)</f>
        <v>0</v>
      </c>
      <c r="F97" s="143">
        <f>VLOOKUP($A97,'Data shares'!$C:$FA,125)</f>
        <v>0</v>
      </c>
      <c r="G97" s="143">
        <f>VLOOKUP($A97,'Data shares'!$C:$FA,127)*100</f>
        <v>0</v>
      </c>
      <c r="H97" s="103">
        <f>VLOOKUP($A97,'OI(Volume)'!$A$7:$O$440,8)</f>
        <v>0</v>
      </c>
      <c r="I97" s="103">
        <f>VLOOKUP($A97,'OI(Volume)'!$A$7:$O$440,9)</f>
        <v>0</v>
      </c>
      <c r="J97" s="103">
        <f>VLOOKUP($A97,'OI(Volume)'!$A$7:$O$440,11)</f>
        <v>0</v>
      </c>
      <c r="K97" s="103">
        <f>VLOOKUP($A97,'OI(Volume)'!$A$7:$O$440,12)</f>
        <v>0</v>
      </c>
      <c r="L97" s="103">
        <f>VLOOKUP($A97,'OI(Value)'!$A$7:$O$323,8,0)</f>
        <v>0</v>
      </c>
      <c r="M97" s="103">
        <f>VLOOKUP($A97,'OI(Value)'!$A$7:$O$323,9,0)</f>
        <v>0</v>
      </c>
      <c r="N97" s="103">
        <f>VLOOKUP($A97,'OI(Value)'!$A$7:$O$323,11,0)</f>
        <v>0</v>
      </c>
      <c r="O97" s="103">
        <f>VLOOKUP($A97,'OI(Value)'!$A$7:$O$323,12,0)</f>
        <v>0</v>
      </c>
      <c r="P97" s="179">
        <f>VLOOKUP(A97,'OI(Value)'!A97:O315,8,0)</f>
        <v>0</v>
      </c>
      <c r="Q97" s="179">
        <f>VLOOKUP(A97,'OI(Value)'!A97:O315,9,0)</f>
        <v>0</v>
      </c>
      <c r="R97" s="179">
        <f>VLOOKUP(A97,'OI(Value)'!A97:O315,11,0)</f>
        <v>0</v>
      </c>
      <c r="S97" s="179">
        <f>VLOOKUP(A97,'OI(Value)'!A97:O315,11,0)</f>
        <v>0</v>
      </c>
    </row>
    <row r="98" spans="1:19" x14ac:dyDescent="0.25">
      <c r="A98" s="105" t="str">
        <f>'Data Vlaue (Cr)'!C93</f>
        <v>INDIGO</v>
      </c>
      <c r="B98" s="143">
        <f>VLOOKUP($A98,'Data shares'!$C:$FA,118)</f>
        <v>0.9</v>
      </c>
      <c r="C98" s="143">
        <f>VLOOKUP($A98,'Data shares'!$C:$FA,119)</f>
        <v>0.89</v>
      </c>
      <c r="D98" s="143">
        <f>VLOOKUP($A98,'Data shares'!$C:$FA,121)*100</f>
        <v>1.1199999999999999</v>
      </c>
      <c r="E98" s="143">
        <f>VLOOKUP($A98,'Data shares'!$C:$FA,124)</f>
        <v>0.83</v>
      </c>
      <c r="F98" s="143">
        <f>VLOOKUP($A98,'Data shares'!$C:$FA,125)</f>
        <v>0.81</v>
      </c>
      <c r="G98" s="143">
        <f>VLOOKUP($A98,'Data shares'!$C:$FA,127)*100</f>
        <v>2.4699999999999998</v>
      </c>
      <c r="H98" s="103">
        <f>VLOOKUP($A98,'OI(Volume)'!$A$7:$O$440,8)</f>
        <v>2066700</v>
      </c>
      <c r="I98" s="103">
        <f>VLOOKUP($A98,'OI(Volume)'!$A$7:$O$440,9)</f>
        <v>244650</v>
      </c>
      <c r="J98" s="103">
        <f>VLOOKUP($A98,'OI(Volume)'!$A$7:$O$440,11)</f>
        <v>1855650</v>
      </c>
      <c r="K98" s="103">
        <f>VLOOKUP($A98,'OI(Volume)'!$A$7:$O$440,12)</f>
        <v>233250</v>
      </c>
      <c r="L98" s="103">
        <f>VLOOKUP($A98,'OI(Value)'!$A$7:$O$323,8,0)</f>
        <v>988</v>
      </c>
      <c r="M98" s="103">
        <f>VLOOKUP($A98,'OI(Value)'!$A$7:$O$323,9,0)</f>
        <v>117</v>
      </c>
      <c r="N98" s="103">
        <f>VLOOKUP($A98,'OI(Value)'!$A$7:$O$323,11,0)</f>
        <v>887</v>
      </c>
      <c r="O98" s="103">
        <f>VLOOKUP($A98,'OI(Value)'!$A$7:$O$323,12,0)</f>
        <v>111</v>
      </c>
      <c r="P98" s="179">
        <f>VLOOKUP(A98,'OI(Value)'!A98:O316,8,0)</f>
        <v>988</v>
      </c>
      <c r="Q98" s="179">
        <f>VLOOKUP(A98,'OI(Value)'!A98:O316,9,0)</f>
        <v>117</v>
      </c>
      <c r="R98" s="179">
        <f>VLOOKUP(A98,'OI(Value)'!A98:O316,11,0)</f>
        <v>887</v>
      </c>
      <c r="S98" s="179">
        <f>VLOOKUP(A98,'OI(Value)'!A98:O316,11,0)</f>
        <v>887</v>
      </c>
    </row>
    <row r="99" spans="1:19" x14ac:dyDescent="0.25">
      <c r="A99" s="105" t="str">
        <f>'Data Vlaue (Cr)'!C94</f>
        <v>INDUSINDBK</v>
      </c>
      <c r="B99" s="143">
        <f>VLOOKUP($A99,'Data shares'!$C:$FA,118)</f>
        <v>0.83</v>
      </c>
      <c r="C99" s="143">
        <f>VLOOKUP($A99,'Data shares'!$C:$FA,119)</f>
        <v>0.87</v>
      </c>
      <c r="D99" s="143">
        <f>VLOOKUP($A99,'Data shares'!$C:$FA,121)*100</f>
        <v>-4.5999999999999996</v>
      </c>
      <c r="E99" s="143">
        <f>VLOOKUP($A99,'Data shares'!$C:$FA,124)</f>
        <v>0.69</v>
      </c>
      <c r="F99" s="143">
        <f>VLOOKUP($A99,'Data shares'!$C:$FA,125)</f>
        <v>0.87</v>
      </c>
      <c r="G99" s="143">
        <f>VLOOKUP($A99,'Data shares'!$C:$FA,127)*100</f>
        <v>-20.69</v>
      </c>
      <c r="H99" s="103">
        <f>VLOOKUP($A99,'OI(Volume)'!$A$7:$O$440,8)</f>
        <v>5918500</v>
      </c>
      <c r="I99" s="103">
        <f>VLOOKUP($A99,'OI(Volume)'!$A$7:$O$440,9)</f>
        <v>643300</v>
      </c>
      <c r="J99" s="103">
        <f>VLOOKUP($A99,'OI(Volume)'!$A$7:$O$440,11)</f>
        <v>4930800</v>
      </c>
      <c r="K99" s="103">
        <f>VLOOKUP($A99,'OI(Volume)'!$A$7:$O$440,12)</f>
        <v>316400</v>
      </c>
      <c r="L99" s="103">
        <f>VLOOKUP($A99,'OI(Value)'!$A$7:$O$323,8,0)</f>
        <v>535</v>
      </c>
      <c r="M99" s="103">
        <f>VLOOKUP($A99,'OI(Value)'!$A$7:$O$323,9,0)</f>
        <v>58</v>
      </c>
      <c r="N99" s="103">
        <f>VLOOKUP($A99,'OI(Value)'!$A$7:$O$323,11,0)</f>
        <v>446</v>
      </c>
      <c r="O99" s="103">
        <f>VLOOKUP($A99,'OI(Value)'!$A$7:$O$323,12,0)</f>
        <v>29</v>
      </c>
      <c r="P99" s="179">
        <f>VLOOKUP(A99,'OI(Value)'!A99:O317,8,0)</f>
        <v>535</v>
      </c>
      <c r="Q99" s="179">
        <f>VLOOKUP(A99,'OI(Value)'!A99:O317,9,0)</f>
        <v>58</v>
      </c>
      <c r="R99" s="179">
        <f>VLOOKUP(A99,'OI(Value)'!A99:O317,11,0)</f>
        <v>446</v>
      </c>
      <c r="S99" s="179">
        <f>VLOOKUP(A99,'OI(Value)'!A99:O317,11,0)</f>
        <v>446</v>
      </c>
    </row>
    <row r="100" spans="1:19" x14ac:dyDescent="0.25">
      <c r="A100" s="105" t="str">
        <f>'Data Vlaue (Cr)'!C95</f>
        <v>INDUSTOWER</v>
      </c>
      <c r="B100" s="143">
        <f>VLOOKUP($A100,'Data shares'!$C:$FA,118)</f>
        <v>0.7</v>
      </c>
      <c r="C100" s="143">
        <f>VLOOKUP($A100,'Data shares'!$C:$FA,119)</f>
        <v>0.75</v>
      </c>
      <c r="D100" s="143">
        <f>VLOOKUP($A100,'Data shares'!$C:$FA,121)*100</f>
        <v>-6.67</v>
      </c>
      <c r="E100" s="143">
        <f>VLOOKUP($A100,'Data shares'!$C:$FA,124)</f>
        <v>0.53</v>
      </c>
      <c r="F100" s="143">
        <f>VLOOKUP($A100,'Data shares'!$C:$FA,125)</f>
        <v>0.66</v>
      </c>
      <c r="G100" s="143">
        <f>VLOOKUP($A100,'Data shares'!$C:$FA,127)*100</f>
        <v>-19.7</v>
      </c>
      <c r="H100" s="103">
        <f>VLOOKUP($A100,'OI(Volume)'!$A$7:$O$440,8)</f>
        <v>7954300</v>
      </c>
      <c r="I100" s="103">
        <f>VLOOKUP($A100,'OI(Volume)'!$A$7:$O$440,9)</f>
        <v>804100</v>
      </c>
      <c r="J100" s="103">
        <f>VLOOKUP($A100,'OI(Volume)'!$A$7:$O$440,11)</f>
        <v>5577700</v>
      </c>
      <c r="K100" s="103">
        <f>VLOOKUP($A100,'OI(Volume)'!$A$7:$O$440,12)</f>
        <v>209100</v>
      </c>
      <c r="L100" s="103">
        <f>VLOOKUP($A100,'OI(Value)'!$A$7:$O$323,8,0)</f>
        <v>340</v>
      </c>
      <c r="M100" s="103">
        <f>VLOOKUP($A100,'OI(Value)'!$A$7:$O$323,9,0)</f>
        <v>34</v>
      </c>
      <c r="N100" s="103">
        <f>VLOOKUP($A100,'OI(Value)'!$A$7:$O$323,11,0)</f>
        <v>238</v>
      </c>
      <c r="O100" s="103">
        <f>VLOOKUP($A100,'OI(Value)'!$A$7:$O$323,12,0)</f>
        <v>9</v>
      </c>
      <c r="P100" s="179">
        <f>VLOOKUP(A100,'OI(Value)'!A100:O318,8,0)</f>
        <v>340</v>
      </c>
      <c r="Q100" s="179">
        <f>VLOOKUP(A100,'OI(Value)'!A100:O318,9,0)</f>
        <v>34</v>
      </c>
      <c r="R100" s="179">
        <f>VLOOKUP(A100,'OI(Value)'!A100:O318,11,0)</f>
        <v>238</v>
      </c>
      <c r="S100" s="179">
        <f>VLOOKUP(A100,'OI(Value)'!A100:O318,11,0)</f>
        <v>238</v>
      </c>
    </row>
    <row r="101" spans="1:19" x14ac:dyDescent="0.25">
      <c r="A101" s="105" t="str">
        <f>'Data Vlaue (Cr)'!C96</f>
        <v>INFY</v>
      </c>
      <c r="B101" s="143">
        <f>VLOOKUP($A101,'Data shares'!$C:$FA,118)</f>
        <v>0.76</v>
      </c>
      <c r="C101" s="143">
        <f>VLOOKUP($A101,'Data shares'!$C:$FA,119)</f>
        <v>0.84</v>
      </c>
      <c r="D101" s="143">
        <f>VLOOKUP($A101,'Data shares'!$C:$FA,121)*100</f>
        <v>-9.5200000000000014</v>
      </c>
      <c r="E101" s="143">
        <f>VLOOKUP($A101,'Data shares'!$C:$FA,124)</f>
        <v>0.64</v>
      </c>
      <c r="F101" s="143">
        <f>VLOOKUP($A101,'Data shares'!$C:$FA,125)</f>
        <v>0.52</v>
      </c>
      <c r="G101" s="143">
        <f>VLOOKUP($A101,'Data shares'!$C:$FA,127)*100</f>
        <v>23.080000000000002</v>
      </c>
      <c r="H101" s="103">
        <f>VLOOKUP($A101,'OI(Volume)'!$A$7:$O$440,8)</f>
        <v>6992000</v>
      </c>
      <c r="I101" s="103">
        <f>VLOOKUP($A101,'OI(Volume)'!$A$7:$O$440,9)</f>
        <v>1954400</v>
      </c>
      <c r="J101" s="103">
        <f>VLOOKUP($A101,'OI(Volume)'!$A$7:$O$440,11)</f>
        <v>5302800</v>
      </c>
      <c r="K101" s="103">
        <f>VLOOKUP($A101,'OI(Volume)'!$A$7:$O$440,12)</f>
        <v>1049200</v>
      </c>
      <c r="L101" s="103">
        <f>VLOOKUP($A101,'OI(Value)'!$A$7:$O$323,8,0)</f>
        <v>1170</v>
      </c>
      <c r="M101" s="103">
        <f>VLOOKUP($A101,'OI(Value)'!$A$7:$O$323,9,0)</f>
        <v>327</v>
      </c>
      <c r="N101" s="103">
        <f>VLOOKUP($A101,'OI(Value)'!$A$7:$O$323,11,0)</f>
        <v>887</v>
      </c>
      <c r="O101" s="103">
        <f>VLOOKUP($A101,'OI(Value)'!$A$7:$O$323,12,0)</f>
        <v>176</v>
      </c>
      <c r="P101" s="179">
        <f>VLOOKUP(A101,'OI(Value)'!A101:O319,8,0)</f>
        <v>1170</v>
      </c>
      <c r="Q101" s="179">
        <f>VLOOKUP(A101,'OI(Value)'!A101:O319,9,0)</f>
        <v>327</v>
      </c>
      <c r="R101" s="179">
        <f>VLOOKUP(A101,'OI(Value)'!A101:O319,11,0)</f>
        <v>887</v>
      </c>
      <c r="S101" s="179">
        <f>VLOOKUP(A101,'OI(Value)'!A101:O319,11,0)</f>
        <v>887</v>
      </c>
    </row>
    <row r="102" spans="1:19" x14ac:dyDescent="0.25">
      <c r="A102" s="105" t="str">
        <f>'Data Vlaue (Cr)'!C97</f>
        <v>INOXWIND</v>
      </c>
      <c r="B102" s="143">
        <f>VLOOKUP($A102,'Data shares'!$C:$FA,118)</f>
        <v>1.1200000000000001</v>
      </c>
      <c r="C102" s="143">
        <f>VLOOKUP($A102,'Data shares'!$C:$FA,119)</f>
        <v>1.1599999999999999</v>
      </c>
      <c r="D102" s="143">
        <f>VLOOKUP($A102,'Data shares'!$C:$FA,121)*100</f>
        <v>-3.45</v>
      </c>
      <c r="E102" s="143">
        <f>VLOOKUP($A102,'Data shares'!$C:$FA,124)</f>
        <v>0.51</v>
      </c>
      <c r="F102" s="143">
        <f>VLOOKUP($A102,'Data shares'!$C:$FA,125)</f>
        <v>1.0900000000000001</v>
      </c>
      <c r="G102" s="143">
        <f>VLOOKUP($A102,'Data shares'!$C:$FA,127)*100</f>
        <v>-53.21</v>
      </c>
      <c r="H102" s="103">
        <f>VLOOKUP($A102,'OI(Volume)'!$A$7:$O$440,8)</f>
        <v>12794925</v>
      </c>
      <c r="I102" s="103">
        <f>VLOOKUP($A102,'OI(Volume)'!$A$7:$O$440,9)</f>
        <v>3081650</v>
      </c>
      <c r="J102" s="103">
        <f>VLOOKUP($A102,'OI(Volume)'!$A$7:$O$440,11)</f>
        <v>14289275</v>
      </c>
      <c r="K102" s="103">
        <f>VLOOKUP($A102,'OI(Volume)'!$A$7:$O$440,12)</f>
        <v>3038750</v>
      </c>
      <c r="L102" s="103">
        <f>VLOOKUP($A102,'OI(Value)'!$A$7:$O$323,8,0)</f>
        <v>140</v>
      </c>
      <c r="M102" s="103">
        <f>VLOOKUP($A102,'OI(Value)'!$A$7:$O$323,9,0)</f>
        <v>34</v>
      </c>
      <c r="N102" s="103">
        <f>VLOOKUP($A102,'OI(Value)'!$A$7:$O$323,11,0)</f>
        <v>157</v>
      </c>
      <c r="O102" s="103">
        <f>VLOOKUP($A102,'OI(Value)'!$A$7:$O$323,12,0)</f>
        <v>33</v>
      </c>
      <c r="P102" s="179">
        <f>VLOOKUP(A102,'OI(Value)'!A102:O320,8,0)</f>
        <v>140</v>
      </c>
      <c r="Q102" s="179">
        <f>VLOOKUP(A102,'OI(Value)'!A102:O320,9,0)</f>
        <v>34</v>
      </c>
      <c r="R102" s="179">
        <f>VLOOKUP(A102,'OI(Value)'!A102:O320,11,0)</f>
        <v>157</v>
      </c>
      <c r="S102" s="179">
        <f>VLOOKUP(A102,'OI(Value)'!A102:O320,11,0)</f>
        <v>157</v>
      </c>
    </row>
    <row r="103" spans="1:19" x14ac:dyDescent="0.25">
      <c r="A103" s="105" t="str">
        <f>'Data Vlaue (Cr)'!C98</f>
        <v>IOC</v>
      </c>
      <c r="B103" s="143">
        <f>VLOOKUP($A103,'Data shares'!$C:$FA,118)</f>
        <v>0.83</v>
      </c>
      <c r="C103" s="143">
        <f>VLOOKUP($A103,'Data shares'!$C:$FA,119)</f>
        <v>0.99</v>
      </c>
      <c r="D103" s="143">
        <f>VLOOKUP($A103,'Data shares'!$C:$FA,121)*100</f>
        <v>-16.16</v>
      </c>
      <c r="E103" s="143">
        <f>VLOOKUP($A103,'Data shares'!$C:$FA,124)</f>
        <v>0.37</v>
      </c>
      <c r="F103" s="143">
        <f>VLOOKUP($A103,'Data shares'!$C:$FA,125)</f>
        <v>0.51</v>
      </c>
      <c r="G103" s="143">
        <f>VLOOKUP($A103,'Data shares'!$C:$FA,127)*100</f>
        <v>-27.450000000000003</v>
      </c>
      <c r="H103" s="103">
        <f>VLOOKUP($A103,'OI(Volume)'!$A$7:$O$440,8)</f>
        <v>24526125</v>
      </c>
      <c r="I103" s="103">
        <f>VLOOKUP($A103,'OI(Volume)'!$A$7:$O$440,9)</f>
        <v>7078500</v>
      </c>
      <c r="J103" s="103">
        <f>VLOOKUP($A103,'OI(Volume)'!$A$7:$O$440,11)</f>
        <v>20299500</v>
      </c>
      <c r="K103" s="103">
        <f>VLOOKUP($A103,'OI(Volume)'!$A$7:$O$440,12)</f>
        <v>3056625</v>
      </c>
      <c r="L103" s="103">
        <f>VLOOKUP($A103,'OI(Value)'!$A$7:$O$323,8,0)</f>
        <v>402</v>
      </c>
      <c r="M103" s="103">
        <f>VLOOKUP($A103,'OI(Value)'!$A$7:$O$323,9,0)</f>
        <v>116</v>
      </c>
      <c r="N103" s="103">
        <f>VLOOKUP($A103,'OI(Value)'!$A$7:$O$323,11,0)</f>
        <v>332</v>
      </c>
      <c r="O103" s="103">
        <f>VLOOKUP($A103,'OI(Value)'!$A$7:$O$323,12,0)</f>
        <v>50</v>
      </c>
      <c r="P103" s="179">
        <f>VLOOKUP(A103,'OI(Value)'!A103:O321,8,0)</f>
        <v>402</v>
      </c>
      <c r="Q103" s="179">
        <f>VLOOKUP(A103,'OI(Value)'!A103:O321,9,0)</f>
        <v>116</v>
      </c>
      <c r="R103" s="179">
        <f>VLOOKUP(A103,'OI(Value)'!A103:O321,11,0)</f>
        <v>332</v>
      </c>
      <c r="S103" s="179">
        <f>VLOOKUP(A103,'OI(Value)'!A103:O321,11,0)</f>
        <v>332</v>
      </c>
    </row>
    <row r="104" spans="1:19" x14ac:dyDescent="0.25">
      <c r="A104" s="105" t="str">
        <f>'Data Vlaue (Cr)'!C99</f>
        <v>IRCTC</v>
      </c>
      <c r="B104" s="143">
        <f>VLOOKUP($A104,'Data shares'!$C:$FA,118)</f>
        <v>0.78</v>
      </c>
      <c r="C104" s="143">
        <f>VLOOKUP($A104,'Data shares'!$C:$FA,119)</f>
        <v>0.85</v>
      </c>
      <c r="D104" s="143">
        <f>VLOOKUP($A104,'Data shares'!$C:$FA,121)*100</f>
        <v>-8.24</v>
      </c>
      <c r="E104" s="143">
        <f>VLOOKUP($A104,'Data shares'!$C:$FA,124)</f>
        <v>0.31</v>
      </c>
      <c r="F104" s="143">
        <f>VLOOKUP($A104,'Data shares'!$C:$FA,125)</f>
        <v>0.6</v>
      </c>
      <c r="G104" s="143">
        <f>VLOOKUP($A104,'Data shares'!$C:$FA,127)*100</f>
        <v>-48.33</v>
      </c>
      <c r="H104" s="103">
        <f>VLOOKUP($A104,'OI(Volume)'!$A$7:$O$440,8)</f>
        <v>9079000</v>
      </c>
      <c r="I104" s="103">
        <f>VLOOKUP($A104,'OI(Volume)'!$A$7:$O$440,9)</f>
        <v>1215375</v>
      </c>
      <c r="J104" s="103">
        <f>VLOOKUP($A104,'OI(Volume)'!$A$7:$O$440,11)</f>
        <v>7100625</v>
      </c>
      <c r="K104" s="103">
        <f>VLOOKUP($A104,'OI(Volume)'!$A$7:$O$440,12)</f>
        <v>380625</v>
      </c>
      <c r="L104" s="103">
        <f>VLOOKUP($A104,'OI(Value)'!$A$7:$O$323,8,0)</f>
        <v>566</v>
      </c>
      <c r="M104" s="103">
        <f>VLOOKUP($A104,'OI(Value)'!$A$7:$O$323,9,0)</f>
        <v>76</v>
      </c>
      <c r="N104" s="103">
        <f>VLOOKUP($A104,'OI(Value)'!$A$7:$O$323,11,0)</f>
        <v>443</v>
      </c>
      <c r="O104" s="103">
        <f>VLOOKUP($A104,'OI(Value)'!$A$7:$O$323,12,0)</f>
        <v>24</v>
      </c>
      <c r="P104" s="179">
        <f>VLOOKUP(A104,'OI(Value)'!A104:O322,8,0)</f>
        <v>566</v>
      </c>
      <c r="Q104" s="179">
        <f>VLOOKUP(A104,'OI(Value)'!A104:O322,9,0)</f>
        <v>76</v>
      </c>
      <c r="R104" s="179">
        <f>VLOOKUP(A104,'OI(Value)'!A104:O322,11,0)</f>
        <v>443</v>
      </c>
      <c r="S104" s="179">
        <f>VLOOKUP(A104,'OI(Value)'!A104:O322,11,0)</f>
        <v>443</v>
      </c>
    </row>
    <row r="105" spans="1:19" x14ac:dyDescent="0.25">
      <c r="A105" s="105" t="str">
        <f>'Data Vlaue (Cr)'!C100</f>
        <v>IREDA</v>
      </c>
      <c r="B105" s="143">
        <f>VLOOKUP($A105,'Data shares'!$C:$FA,118)</f>
        <v>0.75</v>
      </c>
      <c r="C105" s="143">
        <f>VLOOKUP($A105,'Data shares'!$C:$FA,119)</f>
        <v>0.77</v>
      </c>
      <c r="D105" s="143">
        <f>VLOOKUP($A105,'Data shares'!$C:$FA,121)*100</f>
        <v>-2.6</v>
      </c>
      <c r="E105" s="143">
        <f>VLOOKUP($A105,'Data shares'!$C:$FA,124)</f>
        <v>0.32</v>
      </c>
      <c r="F105" s="143">
        <f>VLOOKUP($A105,'Data shares'!$C:$FA,125)</f>
        <v>0.54</v>
      </c>
      <c r="G105" s="143">
        <f>VLOOKUP($A105,'Data shares'!$C:$FA,127)*100</f>
        <v>-40.739999999999995</v>
      </c>
      <c r="H105" s="103">
        <f>VLOOKUP($A105,'OI(Volume)'!$A$7:$O$440,8)</f>
        <v>21507300</v>
      </c>
      <c r="I105" s="103">
        <f>VLOOKUP($A105,'OI(Volume)'!$A$7:$O$440,9)</f>
        <v>4267650</v>
      </c>
      <c r="J105" s="103">
        <f>VLOOKUP($A105,'OI(Volume)'!$A$7:$O$440,11)</f>
        <v>16166700</v>
      </c>
      <c r="K105" s="103">
        <f>VLOOKUP($A105,'OI(Volume)'!$A$7:$O$440,12)</f>
        <v>2829000</v>
      </c>
      <c r="L105" s="103">
        <f>VLOOKUP($A105,'OI(Value)'!$A$7:$O$323,8,0)</f>
        <v>283</v>
      </c>
      <c r="M105" s="103">
        <f>VLOOKUP($A105,'OI(Value)'!$A$7:$O$323,9,0)</f>
        <v>56</v>
      </c>
      <c r="N105" s="103">
        <f>VLOOKUP($A105,'OI(Value)'!$A$7:$O$323,11,0)</f>
        <v>213</v>
      </c>
      <c r="O105" s="103">
        <f>VLOOKUP($A105,'OI(Value)'!$A$7:$O$323,12,0)</f>
        <v>37</v>
      </c>
      <c r="P105" s="179">
        <f>VLOOKUP(A105,'OI(Value)'!A105:O323,8,0)</f>
        <v>283</v>
      </c>
      <c r="Q105" s="179">
        <f>VLOOKUP(A105,'OI(Value)'!A105:O323,9,0)</f>
        <v>56</v>
      </c>
      <c r="R105" s="179">
        <f>VLOOKUP(A105,'OI(Value)'!A105:O323,11,0)</f>
        <v>213</v>
      </c>
      <c r="S105" s="179">
        <f>VLOOKUP(A105,'OI(Value)'!A105:O323,11,0)</f>
        <v>213</v>
      </c>
    </row>
    <row r="106" spans="1:19" x14ac:dyDescent="0.25">
      <c r="A106" s="105" t="str">
        <f>'Data Vlaue (Cr)'!C101</f>
        <v>IRFC</v>
      </c>
      <c r="B106" s="143">
        <f>VLOOKUP($A106,'Data shares'!$C:$FA,118)</f>
        <v>0.62</v>
      </c>
      <c r="C106" s="143">
        <f>VLOOKUP($A106,'Data shares'!$C:$FA,119)</f>
        <v>0.64</v>
      </c>
      <c r="D106" s="143">
        <f>VLOOKUP($A106,'Data shares'!$C:$FA,121)*100</f>
        <v>-3.1300000000000003</v>
      </c>
      <c r="E106" s="143">
        <f>VLOOKUP($A106,'Data shares'!$C:$FA,124)</f>
        <v>0.23</v>
      </c>
      <c r="F106" s="143">
        <f>VLOOKUP($A106,'Data shares'!$C:$FA,125)</f>
        <v>0.43</v>
      </c>
      <c r="G106" s="143">
        <f>VLOOKUP($A106,'Data shares'!$C:$FA,127)*100</f>
        <v>-46.51</v>
      </c>
      <c r="H106" s="103">
        <f>VLOOKUP($A106,'OI(Volume)'!$A$7:$O$440,8)</f>
        <v>44688750</v>
      </c>
      <c r="I106" s="103">
        <f>VLOOKUP($A106,'OI(Volume)'!$A$7:$O$440,9)</f>
        <v>7331250</v>
      </c>
      <c r="J106" s="103">
        <f>VLOOKUP($A106,'OI(Volume)'!$A$7:$O$440,11)</f>
        <v>27705750</v>
      </c>
      <c r="K106" s="103">
        <f>VLOOKUP($A106,'OI(Volume)'!$A$7:$O$440,12)</f>
        <v>3871750</v>
      </c>
      <c r="L106" s="103">
        <f>VLOOKUP($A106,'OI(Value)'!$A$7:$O$323,8,0)</f>
        <v>538</v>
      </c>
      <c r="M106" s="103">
        <f>VLOOKUP($A106,'OI(Value)'!$A$7:$O$323,9,0)</f>
        <v>88</v>
      </c>
      <c r="N106" s="103">
        <f>VLOOKUP($A106,'OI(Value)'!$A$7:$O$323,11,0)</f>
        <v>333</v>
      </c>
      <c r="O106" s="103">
        <f>VLOOKUP($A106,'OI(Value)'!$A$7:$O$323,12,0)</f>
        <v>47</v>
      </c>
      <c r="P106" s="179">
        <f>VLOOKUP(A106,'OI(Value)'!A106:O324,8,0)</f>
        <v>538</v>
      </c>
      <c r="Q106" s="179">
        <f>VLOOKUP(A106,'OI(Value)'!A106:O324,9,0)</f>
        <v>88</v>
      </c>
      <c r="R106" s="179">
        <f>VLOOKUP(A106,'OI(Value)'!A106:O324,11,0)</f>
        <v>333</v>
      </c>
      <c r="S106" s="179">
        <f>VLOOKUP(A106,'OI(Value)'!A106:O324,11,0)</f>
        <v>333</v>
      </c>
    </row>
    <row r="107" spans="1:19" x14ac:dyDescent="0.25">
      <c r="A107" s="105" t="str">
        <f>'Data Vlaue (Cr)'!C102</f>
        <v>ITC</v>
      </c>
      <c r="B107" s="143">
        <f>VLOOKUP($A107,'Data shares'!$C:$FA,118)</f>
        <v>0.75</v>
      </c>
      <c r="C107" s="143">
        <f>VLOOKUP($A107,'Data shares'!$C:$FA,119)</f>
        <v>0.83</v>
      </c>
      <c r="D107" s="143">
        <f>VLOOKUP($A107,'Data shares'!$C:$FA,121)*100</f>
        <v>-9.64</v>
      </c>
      <c r="E107" s="143">
        <f>VLOOKUP($A107,'Data shares'!$C:$FA,124)</f>
        <v>0.51</v>
      </c>
      <c r="F107" s="143">
        <f>VLOOKUP($A107,'Data shares'!$C:$FA,125)</f>
        <v>0.99</v>
      </c>
      <c r="G107" s="143">
        <f>VLOOKUP($A107,'Data shares'!$C:$FA,127)*100</f>
        <v>-48.480000000000004</v>
      </c>
      <c r="H107" s="103">
        <f>VLOOKUP($A107,'OI(Volume)'!$A$7:$O$440,8)</f>
        <v>83595200</v>
      </c>
      <c r="I107" s="103">
        <f>VLOOKUP($A107,'OI(Volume)'!$A$7:$O$440,9)</f>
        <v>12936000</v>
      </c>
      <c r="J107" s="103">
        <f>VLOOKUP($A107,'OI(Volume)'!$A$7:$O$440,11)</f>
        <v>63046400</v>
      </c>
      <c r="K107" s="103">
        <f>VLOOKUP($A107,'OI(Volume)'!$A$7:$O$440,12)</f>
        <v>4732800</v>
      </c>
      <c r="L107" s="103">
        <f>VLOOKUP($A107,'OI(Value)'!$A$7:$O$323,8,0)</f>
        <v>2698</v>
      </c>
      <c r="M107" s="103">
        <f>VLOOKUP($A107,'OI(Value)'!$A$7:$O$323,9,0)</f>
        <v>418</v>
      </c>
      <c r="N107" s="103">
        <f>VLOOKUP($A107,'OI(Value)'!$A$7:$O$323,11,0)</f>
        <v>2035</v>
      </c>
      <c r="O107" s="103">
        <f>VLOOKUP($A107,'OI(Value)'!$A$7:$O$323,12,0)</f>
        <v>153</v>
      </c>
      <c r="P107" s="179">
        <f>VLOOKUP(A107,'OI(Value)'!A107:O325,8,0)</f>
        <v>2698</v>
      </c>
      <c r="Q107" s="179">
        <f>VLOOKUP(A107,'OI(Value)'!A107:O325,9,0)</f>
        <v>418</v>
      </c>
      <c r="R107" s="179">
        <f>VLOOKUP(A107,'OI(Value)'!A107:O325,11,0)</f>
        <v>2035</v>
      </c>
      <c r="S107" s="179">
        <f>VLOOKUP(A107,'OI(Value)'!A107:O325,11,0)</f>
        <v>2035</v>
      </c>
    </row>
    <row r="108" spans="1:19" x14ac:dyDescent="0.25">
      <c r="A108" s="105" t="str">
        <f>'Data Vlaue (Cr)'!C103</f>
        <v>JINDALSTEL</v>
      </c>
      <c r="B108" s="143">
        <f>VLOOKUP($A108,'Data shares'!$C:$FA,118)</f>
        <v>0.81</v>
      </c>
      <c r="C108" s="143">
        <f>VLOOKUP($A108,'Data shares'!$C:$FA,119)</f>
        <v>0.71</v>
      </c>
      <c r="D108" s="143">
        <f>VLOOKUP($A108,'Data shares'!$C:$FA,121)*100</f>
        <v>14.08</v>
      </c>
      <c r="E108" s="143">
        <f>VLOOKUP($A108,'Data shares'!$C:$FA,124)</f>
        <v>0.34</v>
      </c>
      <c r="F108" s="143">
        <f>VLOOKUP($A108,'Data shares'!$C:$FA,125)</f>
        <v>0.55000000000000004</v>
      </c>
      <c r="G108" s="143">
        <f>VLOOKUP($A108,'Data shares'!$C:$FA,127)*100</f>
        <v>-38.18</v>
      </c>
      <c r="H108" s="103">
        <f>VLOOKUP($A108,'OI(Volume)'!$A$7:$O$440,8)</f>
        <v>2569375</v>
      </c>
      <c r="I108" s="103">
        <f>VLOOKUP($A108,'OI(Volume)'!$A$7:$O$440,9)</f>
        <v>544375</v>
      </c>
      <c r="J108" s="103">
        <f>VLOOKUP($A108,'OI(Volume)'!$A$7:$O$440,11)</f>
        <v>2080000</v>
      </c>
      <c r="K108" s="103">
        <f>VLOOKUP($A108,'OI(Volume)'!$A$7:$O$440,12)</f>
        <v>643750</v>
      </c>
      <c r="L108" s="103">
        <f>VLOOKUP($A108,'OI(Value)'!$A$7:$O$323,8,0)</f>
        <v>289</v>
      </c>
      <c r="M108" s="103">
        <f>VLOOKUP($A108,'OI(Value)'!$A$7:$O$323,9,0)</f>
        <v>61</v>
      </c>
      <c r="N108" s="103">
        <f>VLOOKUP($A108,'OI(Value)'!$A$7:$O$323,11,0)</f>
        <v>234</v>
      </c>
      <c r="O108" s="103">
        <f>VLOOKUP($A108,'OI(Value)'!$A$7:$O$323,12,0)</f>
        <v>72</v>
      </c>
      <c r="P108" s="179">
        <f>VLOOKUP(A108,'OI(Value)'!A108:O326,8,0)</f>
        <v>289</v>
      </c>
      <c r="Q108" s="179">
        <f>VLOOKUP(A108,'OI(Value)'!A108:O326,9,0)</f>
        <v>61</v>
      </c>
      <c r="R108" s="179">
        <f>VLOOKUP(A108,'OI(Value)'!A108:O326,11,0)</f>
        <v>234</v>
      </c>
      <c r="S108" s="179">
        <f>VLOOKUP(A108,'OI(Value)'!A108:O326,11,0)</f>
        <v>234</v>
      </c>
    </row>
    <row r="109" spans="1:19" x14ac:dyDescent="0.25">
      <c r="A109" s="105" t="str">
        <f>'Data Vlaue (Cr)'!C104</f>
        <v>JIOFIN</v>
      </c>
      <c r="B109" s="143">
        <f>VLOOKUP($A109,'Data shares'!$C:$FA,118)</f>
        <v>0.72</v>
      </c>
      <c r="C109" s="143">
        <f>VLOOKUP($A109,'Data shares'!$C:$FA,119)</f>
        <v>0.84</v>
      </c>
      <c r="D109" s="143">
        <f>VLOOKUP($A109,'Data shares'!$C:$FA,121)*100</f>
        <v>-14.29</v>
      </c>
      <c r="E109" s="143">
        <f>VLOOKUP($A109,'Data shares'!$C:$FA,124)</f>
        <v>0.36</v>
      </c>
      <c r="F109" s="143">
        <f>VLOOKUP($A109,'Data shares'!$C:$FA,125)</f>
        <v>0.67</v>
      </c>
      <c r="G109" s="143">
        <f>VLOOKUP($A109,'Data shares'!$C:$FA,127)*100</f>
        <v>-46.27</v>
      </c>
      <c r="H109" s="103">
        <f>VLOOKUP($A109,'OI(Volume)'!$A$7:$O$440,8)</f>
        <v>54360200</v>
      </c>
      <c r="I109" s="103">
        <f>VLOOKUP($A109,'OI(Volume)'!$A$7:$O$440,9)</f>
        <v>12104850</v>
      </c>
      <c r="J109" s="103">
        <f>VLOOKUP($A109,'OI(Volume)'!$A$7:$O$440,11)</f>
        <v>38869000</v>
      </c>
      <c r="K109" s="103">
        <f>VLOOKUP($A109,'OI(Volume)'!$A$7:$O$440,12)</f>
        <v>3372250</v>
      </c>
      <c r="L109" s="103">
        <f>VLOOKUP($A109,'OI(Value)'!$A$7:$O$323,8,0)</f>
        <v>1397</v>
      </c>
      <c r="M109" s="103">
        <f>VLOOKUP($A109,'OI(Value)'!$A$7:$O$323,9,0)</f>
        <v>311</v>
      </c>
      <c r="N109" s="103">
        <f>VLOOKUP($A109,'OI(Value)'!$A$7:$O$323,11,0)</f>
        <v>999</v>
      </c>
      <c r="O109" s="103">
        <f>VLOOKUP($A109,'OI(Value)'!$A$7:$O$323,12,0)</f>
        <v>87</v>
      </c>
      <c r="P109" s="179">
        <f>VLOOKUP(A109,'OI(Value)'!A109:O327,8,0)</f>
        <v>1397</v>
      </c>
      <c r="Q109" s="179">
        <f>VLOOKUP(A109,'OI(Value)'!A109:O327,9,0)</f>
        <v>311</v>
      </c>
      <c r="R109" s="179">
        <f>VLOOKUP(A109,'OI(Value)'!A109:O327,11,0)</f>
        <v>999</v>
      </c>
      <c r="S109" s="179">
        <f>VLOOKUP(A109,'OI(Value)'!A109:O327,11,0)</f>
        <v>999</v>
      </c>
    </row>
    <row r="110" spans="1:19" x14ac:dyDescent="0.25">
      <c r="A110" s="105" t="str">
        <f>'Data Vlaue (Cr)'!C105</f>
        <v>JSWENERGY</v>
      </c>
      <c r="B110" s="143">
        <f>VLOOKUP($A110,'Data shares'!$C:$FA,118)</f>
        <v>0.98</v>
      </c>
      <c r="C110" s="143">
        <f>VLOOKUP($A110,'Data shares'!$C:$FA,119)</f>
        <v>1.05</v>
      </c>
      <c r="D110" s="143">
        <f>VLOOKUP($A110,'Data shares'!$C:$FA,121)*100</f>
        <v>-6.67</v>
      </c>
      <c r="E110" s="143">
        <f>VLOOKUP($A110,'Data shares'!$C:$FA,124)</f>
        <v>0.49</v>
      </c>
      <c r="F110" s="143">
        <f>VLOOKUP($A110,'Data shares'!$C:$FA,125)</f>
        <v>1.1599999999999999</v>
      </c>
      <c r="G110" s="143">
        <f>VLOOKUP($A110,'Data shares'!$C:$FA,127)*100</f>
        <v>-57.76</v>
      </c>
      <c r="H110" s="103">
        <f>VLOOKUP($A110,'OI(Volume)'!$A$7:$O$440,8)</f>
        <v>6470000</v>
      </c>
      <c r="I110" s="103">
        <f>VLOOKUP($A110,'OI(Volume)'!$A$7:$O$440,9)</f>
        <v>188000</v>
      </c>
      <c r="J110" s="103">
        <f>VLOOKUP($A110,'OI(Volume)'!$A$7:$O$440,11)</f>
        <v>6325000</v>
      </c>
      <c r="K110" s="103">
        <f>VLOOKUP($A110,'OI(Volume)'!$A$7:$O$440,12)</f>
        <v>-260000</v>
      </c>
      <c r="L110" s="103">
        <f>VLOOKUP($A110,'OI(Value)'!$A$7:$O$323,8,0)</f>
        <v>291</v>
      </c>
      <c r="M110" s="103">
        <f>VLOOKUP($A110,'OI(Value)'!$A$7:$O$323,9,0)</f>
        <v>8</v>
      </c>
      <c r="N110" s="103">
        <f>VLOOKUP($A110,'OI(Value)'!$A$7:$O$323,11,0)</f>
        <v>284</v>
      </c>
      <c r="O110" s="103">
        <f>VLOOKUP($A110,'OI(Value)'!$A$7:$O$323,12,0)</f>
        <v>-12</v>
      </c>
      <c r="P110" s="179">
        <f>VLOOKUP(A110,'OI(Value)'!A110:O328,8,0)</f>
        <v>291</v>
      </c>
      <c r="Q110" s="179">
        <f>VLOOKUP(A110,'OI(Value)'!A110:O328,9,0)</f>
        <v>8</v>
      </c>
      <c r="R110" s="179">
        <f>VLOOKUP(A110,'OI(Value)'!A110:O328,11,0)</f>
        <v>284</v>
      </c>
      <c r="S110" s="179">
        <f>VLOOKUP(A110,'OI(Value)'!A110:O328,11,0)</f>
        <v>284</v>
      </c>
    </row>
    <row r="111" spans="1:19" x14ac:dyDescent="0.25">
      <c r="A111" s="105" t="str">
        <f>'Data Vlaue (Cr)'!C106</f>
        <v>JSWSTEEL</v>
      </c>
      <c r="B111" s="143">
        <f>VLOOKUP($A111,'Data shares'!$C:$FA,118)</f>
        <v>0.68</v>
      </c>
      <c r="C111" s="143">
        <f>VLOOKUP($A111,'Data shares'!$C:$FA,119)</f>
        <v>0.73</v>
      </c>
      <c r="D111" s="143">
        <f>VLOOKUP($A111,'Data shares'!$C:$FA,121)*100</f>
        <v>-6.8500000000000005</v>
      </c>
      <c r="E111" s="143">
        <f>VLOOKUP($A111,'Data shares'!$C:$FA,124)</f>
        <v>0.39</v>
      </c>
      <c r="F111" s="143">
        <f>VLOOKUP($A111,'Data shares'!$C:$FA,125)</f>
        <v>0.53</v>
      </c>
      <c r="G111" s="143">
        <f>VLOOKUP($A111,'Data shares'!$C:$FA,127)*100</f>
        <v>-26.419999999999998</v>
      </c>
      <c r="H111" s="103">
        <f>VLOOKUP($A111,'OI(Volume)'!$A$7:$O$440,8)</f>
        <v>4301775</v>
      </c>
      <c r="I111" s="103">
        <f>VLOOKUP($A111,'OI(Volume)'!$A$7:$O$440,9)</f>
        <v>1068525</v>
      </c>
      <c r="J111" s="103">
        <f>VLOOKUP($A111,'OI(Volume)'!$A$7:$O$440,11)</f>
        <v>2905200</v>
      </c>
      <c r="K111" s="103">
        <f>VLOOKUP($A111,'OI(Volume)'!$A$7:$O$440,12)</f>
        <v>529200</v>
      </c>
      <c r="L111" s="103">
        <f>VLOOKUP($A111,'OI(Value)'!$A$7:$O$323,8,0)</f>
        <v>526</v>
      </c>
      <c r="M111" s="103">
        <f>VLOOKUP($A111,'OI(Value)'!$A$7:$O$323,9,0)</f>
        <v>131</v>
      </c>
      <c r="N111" s="103">
        <f>VLOOKUP($A111,'OI(Value)'!$A$7:$O$323,11,0)</f>
        <v>355</v>
      </c>
      <c r="O111" s="103">
        <f>VLOOKUP($A111,'OI(Value)'!$A$7:$O$323,12,0)</f>
        <v>65</v>
      </c>
      <c r="P111" s="179">
        <f>VLOOKUP(A111,'OI(Value)'!A111:O329,8,0)</f>
        <v>526</v>
      </c>
      <c r="Q111" s="179">
        <f>VLOOKUP(A111,'OI(Value)'!A111:O329,9,0)</f>
        <v>131</v>
      </c>
      <c r="R111" s="179">
        <f>VLOOKUP(A111,'OI(Value)'!A111:O329,11,0)</f>
        <v>355</v>
      </c>
      <c r="S111" s="179">
        <f>VLOOKUP(A111,'OI(Value)'!A111:O329,11,0)</f>
        <v>355</v>
      </c>
    </row>
    <row r="112" spans="1:19" x14ac:dyDescent="0.25">
      <c r="A112" s="105" t="str">
        <f>'Data Vlaue (Cr)'!C107</f>
        <v>JUBLFOOD</v>
      </c>
      <c r="B112" s="143">
        <f>VLOOKUP($A112,'Data shares'!$C:$FA,118)</f>
        <v>0.69</v>
      </c>
      <c r="C112" s="143">
        <f>VLOOKUP($A112,'Data shares'!$C:$FA,119)</f>
        <v>0.76</v>
      </c>
      <c r="D112" s="143">
        <f>VLOOKUP($A112,'Data shares'!$C:$FA,121)*100</f>
        <v>-9.2100000000000009</v>
      </c>
      <c r="E112" s="143">
        <f>VLOOKUP($A112,'Data shares'!$C:$FA,124)</f>
        <v>0.51</v>
      </c>
      <c r="F112" s="143">
        <f>VLOOKUP($A112,'Data shares'!$C:$FA,125)</f>
        <v>1.33</v>
      </c>
      <c r="G112" s="143">
        <f>VLOOKUP($A112,'Data shares'!$C:$FA,127)*100</f>
        <v>-61.650000000000006</v>
      </c>
      <c r="H112" s="103">
        <f>VLOOKUP($A112,'OI(Volume)'!$A$7:$O$440,8)</f>
        <v>4427500</v>
      </c>
      <c r="I112" s="103">
        <f>VLOOKUP($A112,'OI(Volume)'!$A$7:$O$440,9)</f>
        <v>892500</v>
      </c>
      <c r="J112" s="103">
        <f>VLOOKUP($A112,'OI(Volume)'!$A$7:$O$440,11)</f>
        <v>3045000</v>
      </c>
      <c r="K112" s="103">
        <f>VLOOKUP($A112,'OI(Volume)'!$A$7:$O$440,12)</f>
        <v>346250</v>
      </c>
      <c r="L112" s="103">
        <f>VLOOKUP($A112,'OI(Value)'!$A$7:$O$323,8,0)</f>
        <v>219</v>
      </c>
      <c r="M112" s="103">
        <f>VLOOKUP($A112,'OI(Value)'!$A$7:$O$323,9,0)</f>
        <v>44</v>
      </c>
      <c r="N112" s="103">
        <f>VLOOKUP($A112,'OI(Value)'!$A$7:$O$323,11,0)</f>
        <v>150</v>
      </c>
      <c r="O112" s="103">
        <f>VLOOKUP($A112,'OI(Value)'!$A$7:$O$323,12,0)</f>
        <v>17</v>
      </c>
      <c r="P112" s="179">
        <f>VLOOKUP(A112,'OI(Value)'!A112:O330,8,0)</f>
        <v>219</v>
      </c>
      <c r="Q112" s="179">
        <f>VLOOKUP(A112,'OI(Value)'!A112:O330,9,0)</f>
        <v>44</v>
      </c>
      <c r="R112" s="179">
        <f>VLOOKUP(A112,'OI(Value)'!A112:O330,11,0)</f>
        <v>150</v>
      </c>
      <c r="S112" s="179">
        <f>VLOOKUP(A112,'OI(Value)'!A112:O330,11,0)</f>
        <v>150</v>
      </c>
    </row>
    <row r="113" spans="1:19" x14ac:dyDescent="0.25">
      <c r="A113" s="105" t="str">
        <f>'Data Vlaue (Cr)'!C108</f>
        <v>KALYANKJIL</v>
      </c>
      <c r="B113" s="143">
        <f>VLOOKUP($A113,'Data shares'!$C:$FA,118)</f>
        <v>0.74</v>
      </c>
      <c r="C113" s="143">
        <f>VLOOKUP($A113,'Data shares'!$C:$FA,119)</f>
        <v>0.81</v>
      </c>
      <c r="D113" s="143">
        <f>VLOOKUP($A113,'Data shares'!$C:$FA,121)*100</f>
        <v>-8.64</v>
      </c>
      <c r="E113" s="143">
        <f>VLOOKUP($A113,'Data shares'!$C:$FA,124)</f>
        <v>0.59</v>
      </c>
      <c r="F113" s="143">
        <f>VLOOKUP($A113,'Data shares'!$C:$FA,125)</f>
        <v>0.84</v>
      </c>
      <c r="G113" s="143">
        <f>VLOOKUP($A113,'Data shares'!$C:$FA,127)*100</f>
        <v>-29.759999999999998</v>
      </c>
      <c r="H113" s="103">
        <f>VLOOKUP($A113,'OI(Volume)'!$A$7:$O$440,8)</f>
        <v>14453675</v>
      </c>
      <c r="I113" s="103">
        <f>VLOOKUP($A113,'OI(Volume)'!$A$7:$O$440,9)</f>
        <v>1529850</v>
      </c>
      <c r="J113" s="103">
        <f>VLOOKUP($A113,'OI(Volume)'!$A$7:$O$440,11)</f>
        <v>10625525</v>
      </c>
      <c r="K113" s="103">
        <f>VLOOKUP($A113,'OI(Volume)'!$A$7:$O$440,12)</f>
        <v>136300</v>
      </c>
      <c r="L113" s="103">
        <f>VLOOKUP($A113,'OI(Value)'!$A$7:$O$323,8,0)</f>
        <v>535</v>
      </c>
      <c r="M113" s="103">
        <f>VLOOKUP($A113,'OI(Value)'!$A$7:$O$323,9,0)</f>
        <v>57</v>
      </c>
      <c r="N113" s="103">
        <f>VLOOKUP($A113,'OI(Value)'!$A$7:$O$323,11,0)</f>
        <v>394</v>
      </c>
      <c r="O113" s="103">
        <f>VLOOKUP($A113,'OI(Value)'!$A$7:$O$323,12,0)</f>
        <v>5</v>
      </c>
      <c r="P113" s="179">
        <f>VLOOKUP(A113,'OI(Value)'!A113:O331,8,0)</f>
        <v>535</v>
      </c>
      <c r="Q113" s="179">
        <f>VLOOKUP(A113,'OI(Value)'!A113:O331,9,0)</f>
        <v>57</v>
      </c>
      <c r="R113" s="179">
        <f>VLOOKUP(A113,'OI(Value)'!A113:O331,11,0)</f>
        <v>394</v>
      </c>
      <c r="S113" s="179">
        <f>VLOOKUP(A113,'OI(Value)'!A113:O331,11,0)</f>
        <v>394</v>
      </c>
    </row>
    <row r="114" spans="1:19" x14ac:dyDescent="0.25">
      <c r="A114" s="105" t="str">
        <f>'Data Vlaue (Cr)'!C109</f>
        <v>KAYNES</v>
      </c>
      <c r="B114" s="143">
        <f>VLOOKUP($A114,'Data shares'!$C:$FA,118)</f>
        <v>0.89</v>
      </c>
      <c r="C114" s="143">
        <f>VLOOKUP($A114,'Data shares'!$C:$FA,119)</f>
        <v>0.89</v>
      </c>
      <c r="D114" s="143">
        <f>VLOOKUP($A114,'Data shares'!$C:$FA,121)*100</f>
        <v>0</v>
      </c>
      <c r="E114" s="143">
        <f>VLOOKUP($A114,'Data shares'!$C:$FA,124)</f>
        <v>0.43</v>
      </c>
      <c r="F114" s="143">
        <f>VLOOKUP($A114,'Data shares'!$C:$FA,125)</f>
        <v>0.64</v>
      </c>
      <c r="G114" s="143">
        <f>VLOOKUP($A114,'Data shares'!$C:$FA,127)*100</f>
        <v>-32.81</v>
      </c>
      <c r="H114" s="103">
        <f>VLOOKUP($A114,'OI(Volume)'!$A$7:$O$440,8)</f>
        <v>808300</v>
      </c>
      <c r="I114" s="103">
        <f>VLOOKUP($A114,'OI(Volume)'!$A$7:$O$440,9)</f>
        <v>109400</v>
      </c>
      <c r="J114" s="103">
        <f>VLOOKUP($A114,'OI(Volume)'!$A$7:$O$440,11)</f>
        <v>720300</v>
      </c>
      <c r="K114" s="103">
        <f>VLOOKUP($A114,'OI(Volume)'!$A$7:$O$440,12)</f>
        <v>97500</v>
      </c>
      <c r="L114" s="103">
        <f>VLOOKUP($A114,'OI(Value)'!$A$7:$O$323,8,0)</f>
        <v>283</v>
      </c>
      <c r="M114" s="103">
        <f>VLOOKUP($A114,'OI(Value)'!$A$7:$O$323,9,0)</f>
        <v>38</v>
      </c>
      <c r="N114" s="103">
        <f>VLOOKUP($A114,'OI(Value)'!$A$7:$O$323,11,0)</f>
        <v>252</v>
      </c>
      <c r="O114" s="103">
        <f>VLOOKUP($A114,'OI(Value)'!$A$7:$O$323,12,0)</f>
        <v>34</v>
      </c>
      <c r="P114" s="179">
        <f>VLOOKUP(A114,'OI(Value)'!A114:O332,8,0)</f>
        <v>283</v>
      </c>
      <c r="Q114" s="179">
        <f>VLOOKUP(A114,'OI(Value)'!A114:O332,9,0)</f>
        <v>38</v>
      </c>
      <c r="R114" s="179">
        <f>VLOOKUP(A114,'OI(Value)'!A114:O332,11,0)</f>
        <v>252</v>
      </c>
      <c r="S114" s="179">
        <f>VLOOKUP(A114,'OI(Value)'!A114:O332,11,0)</f>
        <v>252</v>
      </c>
    </row>
    <row r="115" spans="1:19" x14ac:dyDescent="0.25">
      <c r="A115" s="105" t="str">
        <f>'Data Vlaue (Cr)'!C110</f>
        <v>KEI</v>
      </c>
      <c r="B115" s="143">
        <f>VLOOKUP($A115,'Data shares'!$C:$FA,118)</f>
        <v>0.89</v>
      </c>
      <c r="C115" s="143">
        <f>VLOOKUP($A115,'Data shares'!$C:$FA,119)</f>
        <v>0.76</v>
      </c>
      <c r="D115" s="143">
        <f>VLOOKUP($A115,'Data shares'!$C:$FA,121)*100</f>
        <v>17.11</v>
      </c>
      <c r="E115" s="143">
        <f>VLOOKUP($A115,'Data shares'!$C:$FA,124)</f>
        <v>0.36</v>
      </c>
      <c r="F115" s="143">
        <f>VLOOKUP($A115,'Data shares'!$C:$FA,125)</f>
        <v>0.46</v>
      </c>
      <c r="G115" s="143">
        <f>VLOOKUP($A115,'Data shares'!$C:$FA,127)*100</f>
        <v>-21.740000000000002</v>
      </c>
      <c r="H115" s="103">
        <f>VLOOKUP($A115,'OI(Volume)'!$A$7:$O$440,8)</f>
        <v>223825</v>
      </c>
      <c r="I115" s="103">
        <f>VLOOKUP($A115,'OI(Volume)'!$A$7:$O$440,9)</f>
        <v>4725</v>
      </c>
      <c r="J115" s="103">
        <f>VLOOKUP($A115,'OI(Volume)'!$A$7:$O$440,11)</f>
        <v>198100</v>
      </c>
      <c r="K115" s="103">
        <f>VLOOKUP($A115,'OI(Volume)'!$A$7:$O$440,12)</f>
        <v>30625</v>
      </c>
      <c r="L115" s="103">
        <f>VLOOKUP($A115,'OI(Value)'!$A$7:$O$323,8,0)</f>
        <v>87</v>
      </c>
      <c r="M115" s="103">
        <f>VLOOKUP($A115,'OI(Value)'!$A$7:$O$323,9,0)</f>
        <v>2</v>
      </c>
      <c r="N115" s="103">
        <f>VLOOKUP($A115,'OI(Value)'!$A$7:$O$323,11,0)</f>
        <v>77</v>
      </c>
      <c r="O115" s="103">
        <f>VLOOKUP($A115,'OI(Value)'!$A$7:$O$323,12,0)</f>
        <v>12</v>
      </c>
      <c r="P115" s="179">
        <f>VLOOKUP(A115,'OI(Value)'!A115:O333,8,0)</f>
        <v>87</v>
      </c>
      <c r="Q115" s="179">
        <f>VLOOKUP(A115,'OI(Value)'!A115:O333,9,0)</f>
        <v>2</v>
      </c>
      <c r="R115" s="179">
        <f>VLOOKUP(A115,'OI(Value)'!A115:O333,11,0)</f>
        <v>77</v>
      </c>
      <c r="S115" s="179">
        <f>VLOOKUP(A115,'OI(Value)'!A115:O333,11,0)</f>
        <v>77</v>
      </c>
    </row>
    <row r="116" spans="1:19" x14ac:dyDescent="0.25">
      <c r="A116" s="105" t="str">
        <f>'Data Vlaue (Cr)'!C111</f>
        <v>KFINTECH</v>
      </c>
      <c r="B116" s="143">
        <f>VLOOKUP($A116,'Data shares'!$C:$FA,118)</f>
        <v>1</v>
      </c>
      <c r="C116" s="143">
        <f>VLOOKUP($A116,'Data shares'!$C:$FA,119)</f>
        <v>1.1000000000000001</v>
      </c>
      <c r="D116" s="143">
        <f>VLOOKUP($A116,'Data shares'!$C:$FA,121)*100</f>
        <v>-9.09</v>
      </c>
      <c r="E116" s="143">
        <f>VLOOKUP($A116,'Data shares'!$C:$FA,124)</f>
        <v>0.48</v>
      </c>
      <c r="F116" s="143">
        <f>VLOOKUP($A116,'Data shares'!$C:$FA,125)</f>
        <v>1.03</v>
      </c>
      <c r="G116" s="143">
        <f>VLOOKUP($A116,'Data shares'!$C:$FA,127)*100</f>
        <v>-53.400000000000006</v>
      </c>
      <c r="H116" s="103">
        <f>VLOOKUP($A116,'OI(Volume)'!$A$7:$O$440,8)</f>
        <v>570000</v>
      </c>
      <c r="I116" s="103">
        <f>VLOOKUP($A116,'OI(Volume)'!$A$7:$O$440,9)</f>
        <v>93000</v>
      </c>
      <c r="J116" s="103">
        <f>VLOOKUP($A116,'OI(Volume)'!$A$7:$O$440,11)</f>
        <v>571000</v>
      </c>
      <c r="K116" s="103">
        <f>VLOOKUP($A116,'OI(Volume)'!$A$7:$O$440,12)</f>
        <v>45500</v>
      </c>
      <c r="L116" s="103">
        <f>VLOOKUP($A116,'OI(Value)'!$A$7:$O$323,8,0)</f>
        <v>57</v>
      </c>
      <c r="M116" s="103">
        <f>VLOOKUP($A116,'OI(Value)'!$A$7:$O$323,9,0)</f>
        <v>9</v>
      </c>
      <c r="N116" s="103">
        <f>VLOOKUP($A116,'OI(Value)'!$A$7:$O$323,11,0)</f>
        <v>57</v>
      </c>
      <c r="O116" s="103">
        <f>VLOOKUP($A116,'OI(Value)'!$A$7:$O$323,12,0)</f>
        <v>5</v>
      </c>
      <c r="P116" s="179">
        <f>VLOOKUP(A116,'OI(Value)'!A116:O334,8,0)</f>
        <v>57</v>
      </c>
      <c r="Q116" s="179">
        <f>VLOOKUP(A116,'OI(Value)'!A116:O334,9,0)</f>
        <v>9</v>
      </c>
      <c r="R116" s="179">
        <f>VLOOKUP(A116,'OI(Value)'!A116:O334,11,0)</f>
        <v>57</v>
      </c>
      <c r="S116" s="179">
        <f>VLOOKUP(A116,'OI(Value)'!A116:O334,11,0)</f>
        <v>57</v>
      </c>
    </row>
    <row r="117" spans="1:19" x14ac:dyDescent="0.25">
      <c r="A117" s="105" t="str">
        <f>'Data Vlaue (Cr)'!C112</f>
        <v>KOTAKBANK</v>
      </c>
      <c r="B117" s="143">
        <f>VLOOKUP($A117,'Data shares'!$C:$FA,118)</f>
        <v>0.93</v>
      </c>
      <c r="C117" s="143">
        <f>VLOOKUP($A117,'Data shares'!$C:$FA,119)</f>
        <v>1.1000000000000001</v>
      </c>
      <c r="D117" s="143">
        <f>VLOOKUP($A117,'Data shares'!$C:$FA,121)*100</f>
        <v>-15.45</v>
      </c>
      <c r="E117" s="143">
        <f>VLOOKUP($A117,'Data shares'!$C:$FA,124)</f>
        <v>0.49</v>
      </c>
      <c r="F117" s="143">
        <f>VLOOKUP($A117,'Data shares'!$C:$FA,125)</f>
        <v>0.85</v>
      </c>
      <c r="G117" s="143">
        <f>VLOOKUP($A117,'Data shares'!$C:$FA,127)*100</f>
        <v>-42.35</v>
      </c>
      <c r="H117" s="103">
        <f>VLOOKUP($A117,'OI(Volume)'!$A$7:$O$440,8)</f>
        <v>19984000</v>
      </c>
      <c r="I117" s="103">
        <f>VLOOKUP($A117,'OI(Volume)'!$A$7:$O$440,9)</f>
        <v>5204000</v>
      </c>
      <c r="J117" s="103">
        <f>VLOOKUP($A117,'OI(Volume)'!$A$7:$O$440,11)</f>
        <v>18676000</v>
      </c>
      <c r="K117" s="103">
        <f>VLOOKUP($A117,'OI(Volume)'!$A$7:$O$440,12)</f>
        <v>2440000</v>
      </c>
      <c r="L117" s="103">
        <f>VLOOKUP($A117,'OI(Value)'!$A$7:$O$323,8,0)</f>
        <v>827</v>
      </c>
      <c r="M117" s="103">
        <f>VLOOKUP($A117,'OI(Value)'!$A$7:$O$323,9,0)</f>
        <v>215</v>
      </c>
      <c r="N117" s="103">
        <f>VLOOKUP($A117,'OI(Value)'!$A$7:$O$323,11,0)</f>
        <v>773</v>
      </c>
      <c r="O117" s="103">
        <f>VLOOKUP($A117,'OI(Value)'!$A$7:$O$323,12,0)</f>
        <v>101</v>
      </c>
      <c r="P117" s="179">
        <f>VLOOKUP(A117,'OI(Value)'!A117:O335,8,0)</f>
        <v>827</v>
      </c>
      <c r="Q117" s="179">
        <f>VLOOKUP(A117,'OI(Value)'!A117:O335,9,0)</f>
        <v>215</v>
      </c>
      <c r="R117" s="179">
        <f>VLOOKUP(A117,'OI(Value)'!A117:O335,11,0)</f>
        <v>773</v>
      </c>
      <c r="S117" s="179">
        <f>VLOOKUP(A117,'OI(Value)'!A117:O335,11,0)</f>
        <v>773</v>
      </c>
    </row>
    <row r="118" spans="1:19" x14ac:dyDescent="0.25">
      <c r="A118" s="105" t="str">
        <f>'Data Vlaue (Cr)'!C113</f>
        <v>KPITTECH</v>
      </c>
      <c r="B118" s="143">
        <f>VLOOKUP($A118,'Data shares'!$C:$FA,118)</f>
        <v>0.91</v>
      </c>
      <c r="C118" s="143">
        <f>VLOOKUP($A118,'Data shares'!$C:$FA,119)</f>
        <v>1.1299999999999999</v>
      </c>
      <c r="D118" s="143">
        <f>VLOOKUP($A118,'Data shares'!$C:$FA,121)*100</f>
        <v>-19.470000000000002</v>
      </c>
      <c r="E118" s="143">
        <f>VLOOKUP($A118,'Data shares'!$C:$FA,124)</f>
        <v>0.75</v>
      </c>
      <c r="F118" s="143">
        <f>VLOOKUP($A118,'Data shares'!$C:$FA,125)</f>
        <v>1.38</v>
      </c>
      <c r="G118" s="143">
        <f>VLOOKUP($A118,'Data shares'!$C:$FA,127)*100</f>
        <v>-45.65</v>
      </c>
      <c r="H118" s="103">
        <f>VLOOKUP($A118,'OI(Volume)'!$A$7:$O$440,8)</f>
        <v>847025</v>
      </c>
      <c r="I118" s="103">
        <f>VLOOKUP($A118,'OI(Volume)'!$A$7:$O$440,9)</f>
        <v>295800</v>
      </c>
      <c r="J118" s="103">
        <f>VLOOKUP($A118,'OI(Volume)'!$A$7:$O$440,11)</f>
        <v>773075</v>
      </c>
      <c r="K118" s="103">
        <f>VLOOKUP($A118,'OI(Volume)'!$A$7:$O$440,12)</f>
        <v>149175</v>
      </c>
      <c r="L118" s="103">
        <f>VLOOKUP($A118,'OI(Value)'!$A$7:$O$323,8,0)</f>
        <v>94</v>
      </c>
      <c r="M118" s="103">
        <f>VLOOKUP($A118,'OI(Value)'!$A$7:$O$323,9,0)</f>
        <v>33</v>
      </c>
      <c r="N118" s="103">
        <f>VLOOKUP($A118,'OI(Value)'!$A$7:$O$323,11,0)</f>
        <v>85</v>
      </c>
      <c r="O118" s="103">
        <f>VLOOKUP($A118,'OI(Value)'!$A$7:$O$323,12,0)</f>
        <v>16</v>
      </c>
      <c r="P118" s="179">
        <f>VLOOKUP(A118,'OI(Value)'!A118:O336,8,0)</f>
        <v>94</v>
      </c>
      <c r="Q118" s="179">
        <f>VLOOKUP(A118,'OI(Value)'!A118:O336,9,0)</f>
        <v>33</v>
      </c>
      <c r="R118" s="179">
        <f>VLOOKUP(A118,'OI(Value)'!A118:O336,11,0)</f>
        <v>85</v>
      </c>
      <c r="S118" s="179">
        <f>VLOOKUP(A118,'OI(Value)'!A118:O336,11,0)</f>
        <v>85</v>
      </c>
    </row>
    <row r="119" spans="1:19" x14ac:dyDescent="0.25">
      <c r="A119" s="105" t="str">
        <f>'Data Vlaue (Cr)'!C114</f>
        <v>LAURUSLABS</v>
      </c>
      <c r="B119" s="143">
        <f>VLOOKUP($A119,'Data shares'!$C:$FA,118)</f>
        <v>0.61</v>
      </c>
      <c r="C119" s="143">
        <f>VLOOKUP($A119,'Data shares'!$C:$FA,119)</f>
        <v>0.61</v>
      </c>
      <c r="D119" s="143">
        <f>VLOOKUP($A119,'Data shares'!$C:$FA,121)*100</f>
        <v>0</v>
      </c>
      <c r="E119" s="143">
        <f>VLOOKUP($A119,'Data shares'!$C:$FA,124)</f>
        <v>0.45</v>
      </c>
      <c r="F119" s="143">
        <f>VLOOKUP($A119,'Data shares'!$C:$FA,125)</f>
        <v>0.66</v>
      </c>
      <c r="G119" s="143">
        <f>VLOOKUP($A119,'Data shares'!$C:$FA,127)*100</f>
        <v>-31.819999999999997</v>
      </c>
      <c r="H119" s="103">
        <f>VLOOKUP($A119,'OI(Volume)'!$A$7:$O$440,8)</f>
        <v>6978500</v>
      </c>
      <c r="I119" s="103">
        <f>VLOOKUP($A119,'OI(Volume)'!$A$7:$O$440,9)</f>
        <v>1111800</v>
      </c>
      <c r="J119" s="103">
        <f>VLOOKUP($A119,'OI(Volume)'!$A$7:$O$440,11)</f>
        <v>4267850</v>
      </c>
      <c r="K119" s="103">
        <f>VLOOKUP($A119,'OI(Volume)'!$A$7:$O$440,12)</f>
        <v>666400</v>
      </c>
      <c r="L119" s="103">
        <f>VLOOKUP($A119,'OI(Value)'!$A$7:$O$323,8,0)</f>
        <v>702</v>
      </c>
      <c r="M119" s="103">
        <f>VLOOKUP($A119,'OI(Value)'!$A$7:$O$323,9,0)</f>
        <v>112</v>
      </c>
      <c r="N119" s="103">
        <f>VLOOKUP($A119,'OI(Value)'!$A$7:$O$323,11,0)</f>
        <v>429</v>
      </c>
      <c r="O119" s="103">
        <f>VLOOKUP($A119,'OI(Value)'!$A$7:$O$323,12,0)</f>
        <v>67</v>
      </c>
      <c r="P119" s="179">
        <f>VLOOKUP(A119,'OI(Value)'!A119:O337,8,0)</f>
        <v>702</v>
      </c>
      <c r="Q119" s="179">
        <f>VLOOKUP(A119,'OI(Value)'!A119:O337,9,0)</f>
        <v>112</v>
      </c>
      <c r="R119" s="179">
        <f>VLOOKUP(A119,'OI(Value)'!A119:O337,11,0)</f>
        <v>429</v>
      </c>
      <c r="S119" s="179">
        <f>VLOOKUP(A119,'OI(Value)'!A119:O337,11,0)</f>
        <v>429</v>
      </c>
    </row>
    <row r="120" spans="1:19" x14ac:dyDescent="0.25">
      <c r="A120" s="105" t="str">
        <f>'Data Vlaue (Cr)'!C115</f>
        <v>LICHSGFIN</v>
      </c>
      <c r="B120" s="143">
        <f>VLOOKUP($A120,'Data shares'!$C:$FA,118)</f>
        <v>1.06</v>
      </c>
      <c r="C120" s="143">
        <f>VLOOKUP($A120,'Data shares'!$C:$FA,119)</f>
        <v>1.1200000000000001</v>
      </c>
      <c r="D120" s="143">
        <f>VLOOKUP($A120,'Data shares'!$C:$FA,121)*100</f>
        <v>-5.36</v>
      </c>
      <c r="E120" s="143">
        <f>VLOOKUP($A120,'Data shares'!$C:$FA,124)</f>
        <v>0.44</v>
      </c>
      <c r="F120" s="143">
        <f>VLOOKUP($A120,'Data shares'!$C:$FA,125)</f>
        <v>0.73</v>
      </c>
      <c r="G120" s="143">
        <f>VLOOKUP($A120,'Data shares'!$C:$FA,127)*100</f>
        <v>-39.729999999999997</v>
      </c>
      <c r="H120" s="103">
        <f>VLOOKUP($A120,'OI(Volume)'!$A$7:$O$440,8)</f>
        <v>5864000</v>
      </c>
      <c r="I120" s="103">
        <f>VLOOKUP($A120,'OI(Volume)'!$A$7:$O$440,9)</f>
        <v>708000</v>
      </c>
      <c r="J120" s="103">
        <f>VLOOKUP($A120,'OI(Volume)'!$A$7:$O$440,11)</f>
        <v>6213000</v>
      </c>
      <c r="K120" s="103">
        <f>VLOOKUP($A120,'OI(Volume)'!$A$7:$O$440,12)</f>
        <v>461000</v>
      </c>
      <c r="L120" s="103">
        <f>VLOOKUP($A120,'OI(Value)'!$A$7:$O$323,8,0)</f>
        <v>306</v>
      </c>
      <c r="M120" s="103">
        <f>VLOOKUP($A120,'OI(Value)'!$A$7:$O$323,9,0)</f>
        <v>37</v>
      </c>
      <c r="N120" s="103">
        <f>VLOOKUP($A120,'OI(Value)'!$A$7:$O$323,11,0)</f>
        <v>324</v>
      </c>
      <c r="O120" s="103">
        <f>VLOOKUP($A120,'OI(Value)'!$A$7:$O$323,12,0)</f>
        <v>24</v>
      </c>
      <c r="P120" s="179">
        <f>VLOOKUP(A120,'OI(Value)'!A120:O338,8,0)</f>
        <v>306</v>
      </c>
      <c r="Q120" s="179">
        <f>VLOOKUP(A120,'OI(Value)'!A120:O338,9,0)</f>
        <v>37</v>
      </c>
      <c r="R120" s="179">
        <f>VLOOKUP(A120,'OI(Value)'!A120:O338,11,0)</f>
        <v>324</v>
      </c>
      <c r="S120" s="179">
        <f>VLOOKUP(A120,'OI(Value)'!A120:O338,11,0)</f>
        <v>324</v>
      </c>
    </row>
    <row r="121" spans="1:19" x14ac:dyDescent="0.25">
      <c r="A121" s="105" t="str">
        <f>'Data Vlaue (Cr)'!C116</f>
        <v>LICI</v>
      </c>
      <c r="B121" s="143">
        <f>VLOOKUP($A121,'Data shares'!$C:$FA,118)</f>
        <v>0.88</v>
      </c>
      <c r="C121" s="143">
        <f>VLOOKUP($A121,'Data shares'!$C:$FA,119)</f>
        <v>0.93</v>
      </c>
      <c r="D121" s="143">
        <f>VLOOKUP($A121,'Data shares'!$C:$FA,121)*100</f>
        <v>-5.38</v>
      </c>
      <c r="E121" s="143">
        <f>VLOOKUP($A121,'Data shares'!$C:$FA,124)</f>
        <v>0.52</v>
      </c>
      <c r="F121" s="143">
        <f>VLOOKUP($A121,'Data shares'!$C:$FA,125)</f>
        <v>0.67</v>
      </c>
      <c r="G121" s="143">
        <f>VLOOKUP($A121,'Data shares'!$C:$FA,127)*100</f>
        <v>-22.39</v>
      </c>
      <c r="H121" s="103">
        <f>VLOOKUP($A121,'OI(Volume)'!$A$7:$O$440,8)</f>
        <v>2650900</v>
      </c>
      <c r="I121" s="103">
        <f>VLOOKUP($A121,'OI(Volume)'!$A$7:$O$440,9)</f>
        <v>479500</v>
      </c>
      <c r="J121" s="103">
        <f>VLOOKUP($A121,'OI(Volume)'!$A$7:$O$440,11)</f>
        <v>2341500</v>
      </c>
      <c r="K121" s="103">
        <f>VLOOKUP($A121,'OI(Volume)'!$A$7:$O$440,12)</f>
        <v>331100</v>
      </c>
      <c r="L121" s="103">
        <f>VLOOKUP($A121,'OI(Value)'!$A$7:$O$323,8,0)</f>
        <v>219</v>
      </c>
      <c r="M121" s="103">
        <f>VLOOKUP($A121,'OI(Value)'!$A$7:$O$323,9,0)</f>
        <v>40</v>
      </c>
      <c r="N121" s="103">
        <f>VLOOKUP($A121,'OI(Value)'!$A$7:$O$323,11,0)</f>
        <v>194</v>
      </c>
      <c r="O121" s="103">
        <f>VLOOKUP($A121,'OI(Value)'!$A$7:$O$323,12,0)</f>
        <v>27</v>
      </c>
      <c r="P121" s="179">
        <f>VLOOKUP(A121,'OI(Value)'!A121:O339,8,0)</f>
        <v>219</v>
      </c>
      <c r="Q121" s="179">
        <f>VLOOKUP(A121,'OI(Value)'!A121:O339,9,0)</f>
        <v>40</v>
      </c>
      <c r="R121" s="179">
        <f>VLOOKUP(A121,'OI(Value)'!A121:O339,11,0)</f>
        <v>194</v>
      </c>
      <c r="S121" s="179">
        <f>VLOOKUP(A121,'OI(Value)'!A121:O339,11,0)</f>
        <v>194</v>
      </c>
    </row>
    <row r="122" spans="1:19" x14ac:dyDescent="0.25">
      <c r="A122" s="105" t="str">
        <f>'Data Vlaue (Cr)'!C117</f>
        <v>LODHA</v>
      </c>
      <c r="B122" s="143">
        <f>VLOOKUP($A122,'Data shares'!$C:$FA,118)</f>
        <v>0.99</v>
      </c>
      <c r="C122" s="143">
        <f>VLOOKUP($A122,'Data shares'!$C:$FA,119)</f>
        <v>1.06</v>
      </c>
      <c r="D122" s="143">
        <f>VLOOKUP($A122,'Data shares'!$C:$FA,121)*100</f>
        <v>-6.6000000000000005</v>
      </c>
      <c r="E122" s="143">
        <f>VLOOKUP($A122,'Data shares'!$C:$FA,124)</f>
        <v>0.6</v>
      </c>
      <c r="F122" s="143">
        <f>VLOOKUP($A122,'Data shares'!$C:$FA,125)</f>
        <v>1.4</v>
      </c>
      <c r="G122" s="143">
        <f>VLOOKUP($A122,'Data shares'!$C:$FA,127)*100</f>
        <v>-57.14</v>
      </c>
      <c r="H122" s="103">
        <f>VLOOKUP($A122,'OI(Volume)'!$A$7:$O$440,8)</f>
        <v>2057400</v>
      </c>
      <c r="I122" s="103">
        <f>VLOOKUP($A122,'OI(Volume)'!$A$7:$O$440,9)</f>
        <v>832950</v>
      </c>
      <c r="J122" s="103">
        <f>VLOOKUP($A122,'OI(Volume)'!$A$7:$O$440,11)</f>
        <v>2030850</v>
      </c>
      <c r="K122" s="103">
        <f>VLOOKUP($A122,'OI(Volume)'!$A$7:$O$440,12)</f>
        <v>733050</v>
      </c>
      <c r="L122" s="103">
        <f>VLOOKUP($A122,'OI(Value)'!$A$7:$O$323,8,0)</f>
        <v>192</v>
      </c>
      <c r="M122" s="103">
        <f>VLOOKUP($A122,'OI(Value)'!$A$7:$O$323,9,0)</f>
        <v>78</v>
      </c>
      <c r="N122" s="103">
        <f>VLOOKUP($A122,'OI(Value)'!$A$7:$O$323,11,0)</f>
        <v>189</v>
      </c>
      <c r="O122" s="103">
        <f>VLOOKUP($A122,'OI(Value)'!$A$7:$O$323,12,0)</f>
        <v>68</v>
      </c>
      <c r="P122" s="179">
        <f>VLOOKUP(A122,'OI(Value)'!A122:O340,8,0)</f>
        <v>192</v>
      </c>
      <c r="Q122" s="179">
        <f>VLOOKUP(A122,'OI(Value)'!A122:O340,9,0)</f>
        <v>78</v>
      </c>
      <c r="R122" s="179">
        <f>VLOOKUP(A122,'OI(Value)'!A122:O340,11,0)</f>
        <v>189</v>
      </c>
      <c r="S122" s="179">
        <f>VLOOKUP(A122,'OI(Value)'!A122:O340,11,0)</f>
        <v>189</v>
      </c>
    </row>
    <row r="123" spans="1:19" x14ac:dyDescent="0.25">
      <c r="A123" s="105" t="str">
        <f>'Data Vlaue (Cr)'!C118</f>
        <v>LT</v>
      </c>
      <c r="B123" s="143">
        <f>VLOOKUP($A123,'Data shares'!$C:$FA,118)</f>
        <v>0.74</v>
      </c>
      <c r="C123" s="143">
        <f>VLOOKUP($A123,'Data shares'!$C:$FA,119)</f>
        <v>0.93</v>
      </c>
      <c r="D123" s="143">
        <f>VLOOKUP($A123,'Data shares'!$C:$FA,121)*100</f>
        <v>-20.43</v>
      </c>
      <c r="E123" s="143">
        <f>VLOOKUP($A123,'Data shares'!$C:$FA,124)</f>
        <v>0.41</v>
      </c>
      <c r="F123" s="143">
        <f>VLOOKUP($A123,'Data shares'!$C:$FA,125)</f>
        <v>0.53</v>
      </c>
      <c r="G123" s="143">
        <f>VLOOKUP($A123,'Data shares'!$C:$FA,127)*100</f>
        <v>-22.64</v>
      </c>
      <c r="H123" s="103">
        <f>VLOOKUP($A123,'OI(Volume)'!$A$7:$O$440,8)</f>
        <v>3973725</v>
      </c>
      <c r="I123" s="103">
        <f>VLOOKUP($A123,'OI(Volume)'!$A$7:$O$440,9)</f>
        <v>1924650</v>
      </c>
      <c r="J123" s="103">
        <f>VLOOKUP($A123,'OI(Volume)'!$A$7:$O$440,11)</f>
        <v>2934225</v>
      </c>
      <c r="K123" s="103">
        <f>VLOOKUP($A123,'OI(Volume)'!$A$7:$O$440,12)</f>
        <v>1028475</v>
      </c>
      <c r="L123" s="103">
        <f>VLOOKUP($A123,'OI(Value)'!$A$7:$O$323,8,0)</f>
        <v>1516</v>
      </c>
      <c r="M123" s="103">
        <f>VLOOKUP($A123,'OI(Value)'!$A$7:$O$323,9,0)</f>
        <v>734</v>
      </c>
      <c r="N123" s="103">
        <f>VLOOKUP($A123,'OI(Value)'!$A$7:$O$323,11,0)</f>
        <v>1120</v>
      </c>
      <c r="O123" s="103">
        <f>VLOOKUP($A123,'OI(Value)'!$A$7:$O$323,12,0)</f>
        <v>392</v>
      </c>
      <c r="P123" s="179">
        <f>VLOOKUP(A123,'OI(Value)'!A123:O341,8,0)</f>
        <v>1516</v>
      </c>
      <c r="Q123" s="179">
        <f>VLOOKUP(A123,'OI(Value)'!A123:O341,9,0)</f>
        <v>734</v>
      </c>
      <c r="R123" s="179">
        <f>VLOOKUP(A123,'OI(Value)'!A123:O341,11,0)</f>
        <v>1120</v>
      </c>
      <c r="S123" s="179">
        <f>VLOOKUP(A123,'OI(Value)'!A123:O341,11,0)</f>
        <v>1120</v>
      </c>
    </row>
    <row r="124" spans="1:19" x14ac:dyDescent="0.25">
      <c r="A124" s="105" t="str">
        <f>'Data Vlaue (Cr)'!C119</f>
        <v>LTF</v>
      </c>
      <c r="B124" s="143">
        <f>VLOOKUP($A124,'Data shares'!$C:$FA,118)</f>
        <v>0.73</v>
      </c>
      <c r="C124" s="143">
        <f>VLOOKUP($A124,'Data shares'!$C:$FA,119)</f>
        <v>0.75</v>
      </c>
      <c r="D124" s="143">
        <f>VLOOKUP($A124,'Data shares'!$C:$FA,121)*100</f>
        <v>-2.67</v>
      </c>
      <c r="E124" s="143">
        <f>VLOOKUP($A124,'Data shares'!$C:$FA,124)</f>
        <v>0.61</v>
      </c>
      <c r="F124" s="143">
        <f>VLOOKUP($A124,'Data shares'!$C:$FA,125)</f>
        <v>0.44</v>
      </c>
      <c r="G124" s="143">
        <f>VLOOKUP($A124,'Data shares'!$C:$FA,127)*100</f>
        <v>38.64</v>
      </c>
      <c r="H124" s="103">
        <f>VLOOKUP($A124,'OI(Volume)'!$A$7:$O$440,8)</f>
        <v>17754750</v>
      </c>
      <c r="I124" s="103">
        <f>VLOOKUP($A124,'OI(Volume)'!$A$7:$O$440,9)</f>
        <v>1847250</v>
      </c>
      <c r="J124" s="103">
        <f>VLOOKUP($A124,'OI(Volume)'!$A$7:$O$440,11)</f>
        <v>12978000</v>
      </c>
      <c r="K124" s="103">
        <f>VLOOKUP($A124,'OI(Volume)'!$A$7:$O$440,12)</f>
        <v>1046250</v>
      </c>
      <c r="L124" s="103">
        <f>VLOOKUP($A124,'OI(Value)'!$A$7:$O$323,8,0)</f>
        <v>516</v>
      </c>
      <c r="M124" s="103">
        <f>VLOOKUP($A124,'OI(Value)'!$A$7:$O$323,9,0)</f>
        <v>54</v>
      </c>
      <c r="N124" s="103">
        <f>VLOOKUP($A124,'OI(Value)'!$A$7:$O$323,11,0)</f>
        <v>377</v>
      </c>
      <c r="O124" s="103">
        <f>VLOOKUP($A124,'OI(Value)'!$A$7:$O$323,12,0)</f>
        <v>30</v>
      </c>
      <c r="P124" s="179">
        <f>VLOOKUP(A124,'OI(Value)'!A124:O342,8,0)</f>
        <v>516</v>
      </c>
      <c r="Q124" s="179">
        <f>VLOOKUP(A124,'OI(Value)'!A124:O342,9,0)</f>
        <v>54</v>
      </c>
      <c r="R124" s="179">
        <f>VLOOKUP(A124,'OI(Value)'!A124:O342,11,0)</f>
        <v>377</v>
      </c>
      <c r="S124" s="179">
        <f>VLOOKUP(A124,'OI(Value)'!A124:O342,11,0)</f>
        <v>377</v>
      </c>
    </row>
    <row r="125" spans="1:19" x14ac:dyDescent="0.25">
      <c r="A125" s="105" t="str">
        <f>'Data Vlaue (Cr)'!C120</f>
        <v>LTIM</v>
      </c>
      <c r="B125" s="143">
        <f>VLOOKUP($A125,'Data shares'!$C:$FA,118)</f>
        <v>0.74</v>
      </c>
      <c r="C125" s="143">
        <f>VLOOKUP($A125,'Data shares'!$C:$FA,119)</f>
        <v>0.69</v>
      </c>
      <c r="D125" s="143">
        <f>VLOOKUP($A125,'Data shares'!$C:$FA,121)*100</f>
        <v>7.2499999999999991</v>
      </c>
      <c r="E125" s="143">
        <f>VLOOKUP($A125,'Data shares'!$C:$FA,124)</f>
        <v>0.31</v>
      </c>
      <c r="F125" s="143">
        <f>VLOOKUP($A125,'Data shares'!$C:$FA,125)</f>
        <v>0.63</v>
      </c>
      <c r="G125" s="143">
        <f>VLOOKUP($A125,'Data shares'!$C:$FA,127)*100</f>
        <v>-50.79</v>
      </c>
      <c r="H125" s="103">
        <f>VLOOKUP($A125,'OI(Volume)'!$A$7:$O$440,8)</f>
        <v>400650</v>
      </c>
      <c r="I125" s="103">
        <f>VLOOKUP($A125,'OI(Volume)'!$A$7:$O$440,9)</f>
        <v>44550</v>
      </c>
      <c r="J125" s="103">
        <f>VLOOKUP($A125,'OI(Volume)'!$A$7:$O$440,11)</f>
        <v>295950</v>
      </c>
      <c r="K125" s="103">
        <f>VLOOKUP($A125,'OI(Volume)'!$A$7:$O$440,12)</f>
        <v>49050</v>
      </c>
      <c r="L125" s="103">
        <f>VLOOKUP($A125,'OI(Value)'!$A$7:$O$323,8,0)</f>
        <v>242</v>
      </c>
      <c r="M125" s="103">
        <f>VLOOKUP($A125,'OI(Value)'!$A$7:$O$323,9,0)</f>
        <v>27</v>
      </c>
      <c r="N125" s="103">
        <f>VLOOKUP($A125,'OI(Value)'!$A$7:$O$323,11,0)</f>
        <v>179</v>
      </c>
      <c r="O125" s="103">
        <f>VLOOKUP($A125,'OI(Value)'!$A$7:$O$323,12,0)</f>
        <v>30</v>
      </c>
      <c r="P125" s="179">
        <f>VLOOKUP(A125,'OI(Value)'!A125:O343,8,0)</f>
        <v>242</v>
      </c>
      <c r="Q125" s="179">
        <f>VLOOKUP(A125,'OI(Value)'!A125:O343,9,0)</f>
        <v>27</v>
      </c>
      <c r="R125" s="179">
        <f>VLOOKUP(A125,'OI(Value)'!A125:O343,11,0)</f>
        <v>179</v>
      </c>
      <c r="S125" s="179">
        <f>VLOOKUP(A125,'OI(Value)'!A125:O343,11,0)</f>
        <v>179</v>
      </c>
    </row>
    <row r="126" spans="1:19" x14ac:dyDescent="0.25">
      <c r="A126" s="105" t="str">
        <f>'Data Vlaue (Cr)'!C121</f>
        <v>LUPIN</v>
      </c>
      <c r="B126" s="143">
        <f>VLOOKUP($A126,'Data shares'!$C:$FA,118)</f>
        <v>0.63</v>
      </c>
      <c r="C126" s="143">
        <f>VLOOKUP($A126,'Data shares'!$C:$FA,119)</f>
        <v>0.67</v>
      </c>
      <c r="D126" s="143">
        <f>VLOOKUP($A126,'Data shares'!$C:$FA,121)*100</f>
        <v>-5.9700000000000006</v>
      </c>
      <c r="E126" s="143">
        <f>VLOOKUP($A126,'Data shares'!$C:$FA,124)</f>
        <v>0.42</v>
      </c>
      <c r="F126" s="143">
        <f>VLOOKUP($A126,'Data shares'!$C:$FA,125)</f>
        <v>0.26</v>
      </c>
      <c r="G126" s="143">
        <f>VLOOKUP($A126,'Data shares'!$C:$FA,127)*100</f>
        <v>61.539999999999992</v>
      </c>
      <c r="H126" s="103">
        <f>VLOOKUP($A126,'OI(Volume)'!$A$7:$O$440,8)</f>
        <v>1108825</v>
      </c>
      <c r="I126" s="103">
        <f>VLOOKUP($A126,'OI(Volume)'!$A$7:$O$440,9)</f>
        <v>417350</v>
      </c>
      <c r="J126" s="103">
        <f>VLOOKUP($A126,'OI(Volume)'!$A$7:$O$440,11)</f>
        <v>697000</v>
      </c>
      <c r="K126" s="103">
        <f>VLOOKUP($A126,'OI(Volume)'!$A$7:$O$440,12)</f>
        <v>234600</v>
      </c>
      <c r="L126" s="103">
        <f>VLOOKUP($A126,'OI(Value)'!$A$7:$O$323,8,0)</f>
        <v>237</v>
      </c>
      <c r="M126" s="103">
        <f>VLOOKUP($A126,'OI(Value)'!$A$7:$O$323,9,0)</f>
        <v>89</v>
      </c>
      <c r="N126" s="103">
        <f>VLOOKUP($A126,'OI(Value)'!$A$7:$O$323,11,0)</f>
        <v>149</v>
      </c>
      <c r="O126" s="103">
        <f>VLOOKUP($A126,'OI(Value)'!$A$7:$O$323,12,0)</f>
        <v>50</v>
      </c>
      <c r="P126" s="179">
        <f>VLOOKUP(A126,'OI(Value)'!A126:O344,8,0)</f>
        <v>237</v>
      </c>
      <c r="Q126" s="179">
        <f>VLOOKUP(A126,'OI(Value)'!A126:O344,9,0)</f>
        <v>89</v>
      </c>
      <c r="R126" s="179">
        <f>VLOOKUP(A126,'OI(Value)'!A126:O344,11,0)</f>
        <v>149</v>
      </c>
      <c r="S126" s="179">
        <f>VLOOKUP(A126,'OI(Value)'!A126:O344,11,0)</f>
        <v>149</v>
      </c>
    </row>
    <row r="127" spans="1:19" x14ac:dyDescent="0.25">
      <c r="A127" s="105" t="str">
        <f>'Data Vlaue (Cr)'!C122</f>
        <v>M&amp;M</v>
      </c>
      <c r="B127" s="143">
        <f>VLOOKUP($A127,'Data shares'!$C:$FA,118)</f>
        <v>1.1399999999999999</v>
      </c>
      <c r="C127" s="143">
        <f>VLOOKUP($A127,'Data shares'!$C:$FA,119)</f>
        <v>1.1200000000000001</v>
      </c>
      <c r="D127" s="143">
        <f>VLOOKUP($A127,'Data shares'!$C:$FA,121)*100</f>
        <v>1.79</v>
      </c>
      <c r="E127" s="143">
        <f>VLOOKUP($A127,'Data shares'!$C:$FA,124)</f>
        <v>0.84</v>
      </c>
      <c r="F127" s="143">
        <f>VLOOKUP($A127,'Data shares'!$C:$FA,125)</f>
        <v>1.1200000000000001</v>
      </c>
      <c r="G127" s="143">
        <f>VLOOKUP($A127,'Data shares'!$C:$FA,127)*100</f>
        <v>-25</v>
      </c>
      <c r="H127" s="103">
        <f>VLOOKUP($A127,'OI(Volume)'!$A$7:$O$440,8)</f>
        <v>2055400</v>
      </c>
      <c r="I127" s="103">
        <f>VLOOKUP($A127,'OI(Volume)'!$A$7:$O$440,9)</f>
        <v>347000</v>
      </c>
      <c r="J127" s="103">
        <f>VLOOKUP($A127,'OI(Volume)'!$A$7:$O$440,11)</f>
        <v>2341600</v>
      </c>
      <c r="K127" s="103">
        <f>VLOOKUP($A127,'OI(Volume)'!$A$7:$O$440,12)</f>
        <v>421800</v>
      </c>
      <c r="L127" s="103">
        <f>VLOOKUP($A127,'OI(Value)'!$A$7:$O$323,8,0)</f>
        <v>713</v>
      </c>
      <c r="M127" s="103">
        <f>VLOOKUP($A127,'OI(Value)'!$A$7:$O$323,9,0)</f>
        <v>120</v>
      </c>
      <c r="N127" s="103">
        <f>VLOOKUP($A127,'OI(Value)'!$A$7:$O$323,11,0)</f>
        <v>813</v>
      </c>
      <c r="O127" s="103">
        <f>VLOOKUP($A127,'OI(Value)'!$A$7:$O$323,12,0)</f>
        <v>146</v>
      </c>
      <c r="P127" s="179">
        <f>VLOOKUP(A127,'OI(Value)'!A127:O345,8,0)</f>
        <v>713</v>
      </c>
      <c r="Q127" s="179">
        <f>VLOOKUP(A127,'OI(Value)'!A127:O345,9,0)</f>
        <v>120</v>
      </c>
      <c r="R127" s="179">
        <f>VLOOKUP(A127,'OI(Value)'!A127:O345,11,0)</f>
        <v>813</v>
      </c>
      <c r="S127" s="179">
        <f>VLOOKUP(A127,'OI(Value)'!A127:O345,11,0)</f>
        <v>813</v>
      </c>
    </row>
    <row r="128" spans="1:19" x14ac:dyDescent="0.25">
      <c r="A128" s="105" t="str">
        <f>'Data Vlaue (Cr)'!C123</f>
        <v>MANAPPURAM</v>
      </c>
      <c r="B128" s="143">
        <f>VLOOKUP($A128,'Data shares'!$C:$FA,118)</f>
        <v>0.85</v>
      </c>
      <c r="C128" s="143">
        <f>VLOOKUP($A128,'Data shares'!$C:$FA,119)</f>
        <v>0.83</v>
      </c>
      <c r="D128" s="143">
        <f>VLOOKUP($A128,'Data shares'!$C:$FA,121)*100</f>
        <v>2.41</v>
      </c>
      <c r="E128" s="143">
        <f>VLOOKUP($A128,'Data shares'!$C:$FA,124)</f>
        <v>0.66</v>
      </c>
      <c r="F128" s="143">
        <f>VLOOKUP($A128,'Data shares'!$C:$FA,125)</f>
        <v>0.9</v>
      </c>
      <c r="G128" s="143">
        <f>VLOOKUP($A128,'Data shares'!$C:$FA,127)*100</f>
        <v>-26.669999999999998</v>
      </c>
      <c r="H128" s="103">
        <f>VLOOKUP($A128,'OI(Volume)'!$A$7:$O$440,8)</f>
        <v>11487000</v>
      </c>
      <c r="I128" s="103">
        <f>VLOOKUP($A128,'OI(Volume)'!$A$7:$O$440,9)</f>
        <v>3186000</v>
      </c>
      <c r="J128" s="103">
        <f>VLOOKUP($A128,'OI(Volume)'!$A$7:$O$440,11)</f>
        <v>9741000</v>
      </c>
      <c r="K128" s="103">
        <f>VLOOKUP($A128,'OI(Volume)'!$A$7:$O$440,12)</f>
        <v>2841000</v>
      </c>
      <c r="L128" s="103">
        <f>VLOOKUP($A128,'OI(Value)'!$A$7:$O$323,8,0)</f>
        <v>336</v>
      </c>
      <c r="M128" s="103">
        <f>VLOOKUP($A128,'OI(Value)'!$A$7:$O$323,9,0)</f>
        <v>93</v>
      </c>
      <c r="N128" s="103">
        <f>VLOOKUP($A128,'OI(Value)'!$A$7:$O$323,11,0)</f>
        <v>285</v>
      </c>
      <c r="O128" s="103">
        <f>VLOOKUP($A128,'OI(Value)'!$A$7:$O$323,12,0)</f>
        <v>83</v>
      </c>
      <c r="P128" s="179">
        <f>VLOOKUP(A128,'OI(Value)'!A128:O346,8,0)</f>
        <v>336</v>
      </c>
      <c r="Q128" s="179">
        <f>VLOOKUP(A128,'OI(Value)'!A128:O346,9,0)</f>
        <v>93</v>
      </c>
      <c r="R128" s="179">
        <f>VLOOKUP(A128,'OI(Value)'!A128:O346,11,0)</f>
        <v>285</v>
      </c>
      <c r="S128" s="179">
        <f>VLOOKUP(A128,'OI(Value)'!A128:O346,11,0)</f>
        <v>285</v>
      </c>
    </row>
    <row r="129" spans="1:19" x14ac:dyDescent="0.25">
      <c r="A129" s="105" t="str">
        <f>'Data Vlaue (Cr)'!C124</f>
        <v>MANKIND</v>
      </c>
      <c r="B129" s="143">
        <f>VLOOKUP($A129,'Data shares'!$C:$FA,118)</f>
        <v>1.1399999999999999</v>
      </c>
      <c r="C129" s="143">
        <f>VLOOKUP($A129,'Data shares'!$C:$FA,119)</f>
        <v>1.63</v>
      </c>
      <c r="D129" s="143">
        <f>VLOOKUP($A129,'Data shares'!$C:$FA,121)*100</f>
        <v>-30.06</v>
      </c>
      <c r="E129" s="143">
        <f>VLOOKUP($A129,'Data shares'!$C:$FA,124)</f>
        <v>0.63</v>
      </c>
      <c r="F129" s="143">
        <f>VLOOKUP($A129,'Data shares'!$C:$FA,125)</f>
        <v>0.51</v>
      </c>
      <c r="G129" s="143">
        <f>VLOOKUP($A129,'Data shares'!$C:$FA,127)*100</f>
        <v>23.53</v>
      </c>
      <c r="H129" s="103">
        <f>VLOOKUP($A129,'OI(Volume)'!$A$7:$O$440,8)</f>
        <v>225675</v>
      </c>
      <c r="I129" s="103">
        <f>VLOOKUP($A129,'OI(Volume)'!$A$7:$O$440,9)</f>
        <v>124200</v>
      </c>
      <c r="J129" s="103">
        <f>VLOOKUP($A129,'OI(Volume)'!$A$7:$O$440,11)</f>
        <v>256500</v>
      </c>
      <c r="K129" s="103">
        <f>VLOOKUP($A129,'OI(Volume)'!$A$7:$O$440,12)</f>
        <v>90900</v>
      </c>
      <c r="L129" s="103">
        <f>VLOOKUP($A129,'OI(Value)'!$A$7:$O$323,8,0)</f>
        <v>48</v>
      </c>
      <c r="M129" s="103">
        <f>VLOOKUP($A129,'OI(Value)'!$A$7:$O$323,9,0)</f>
        <v>26</v>
      </c>
      <c r="N129" s="103">
        <f>VLOOKUP($A129,'OI(Value)'!$A$7:$O$323,11,0)</f>
        <v>54</v>
      </c>
      <c r="O129" s="103">
        <f>VLOOKUP($A129,'OI(Value)'!$A$7:$O$323,12,0)</f>
        <v>19</v>
      </c>
      <c r="P129" s="179">
        <f>VLOOKUP(A129,'OI(Value)'!A129:O347,8,0)</f>
        <v>48</v>
      </c>
      <c r="Q129" s="179">
        <f>VLOOKUP(A129,'OI(Value)'!A129:O347,9,0)</f>
        <v>26</v>
      </c>
      <c r="R129" s="179">
        <f>VLOOKUP(A129,'OI(Value)'!A129:O347,11,0)</f>
        <v>54</v>
      </c>
      <c r="S129" s="179">
        <f>VLOOKUP(A129,'OI(Value)'!A129:O347,11,0)</f>
        <v>54</v>
      </c>
    </row>
    <row r="130" spans="1:19" x14ac:dyDescent="0.25">
      <c r="A130" s="105" t="str">
        <f>'Data Vlaue (Cr)'!C125</f>
        <v>MARICO</v>
      </c>
      <c r="B130" s="143">
        <f>VLOOKUP($A130,'Data shares'!$C:$FA,118)</f>
        <v>0.77</v>
      </c>
      <c r="C130" s="143">
        <f>VLOOKUP($A130,'Data shares'!$C:$FA,119)</f>
        <v>0.91</v>
      </c>
      <c r="D130" s="143">
        <f>VLOOKUP($A130,'Data shares'!$C:$FA,121)*100</f>
        <v>-15.379999999999999</v>
      </c>
      <c r="E130" s="143">
        <f>VLOOKUP($A130,'Data shares'!$C:$FA,124)</f>
        <v>0.77</v>
      </c>
      <c r="F130" s="143">
        <f>VLOOKUP($A130,'Data shares'!$C:$FA,125)</f>
        <v>0.61</v>
      </c>
      <c r="G130" s="143">
        <f>VLOOKUP($A130,'Data shares'!$C:$FA,127)*100</f>
        <v>26.229999999999997</v>
      </c>
      <c r="H130" s="103">
        <f>VLOOKUP($A130,'OI(Volume)'!$A$7:$O$440,8)</f>
        <v>3178800</v>
      </c>
      <c r="I130" s="103">
        <f>VLOOKUP($A130,'OI(Volume)'!$A$7:$O$440,9)</f>
        <v>1088400</v>
      </c>
      <c r="J130" s="103">
        <f>VLOOKUP($A130,'OI(Volume)'!$A$7:$O$440,11)</f>
        <v>2442000</v>
      </c>
      <c r="K130" s="103">
        <f>VLOOKUP($A130,'OI(Volume)'!$A$7:$O$440,12)</f>
        <v>548400</v>
      </c>
      <c r="L130" s="103">
        <f>VLOOKUP($A130,'OI(Value)'!$A$7:$O$323,8,0)</f>
        <v>236</v>
      </c>
      <c r="M130" s="103">
        <f>VLOOKUP($A130,'OI(Value)'!$A$7:$O$323,9,0)</f>
        <v>81</v>
      </c>
      <c r="N130" s="103">
        <f>VLOOKUP($A130,'OI(Value)'!$A$7:$O$323,11,0)</f>
        <v>181</v>
      </c>
      <c r="O130" s="103">
        <f>VLOOKUP($A130,'OI(Value)'!$A$7:$O$323,12,0)</f>
        <v>41</v>
      </c>
      <c r="P130" s="179">
        <f>VLOOKUP(A130,'OI(Value)'!A130:O348,8,0)</f>
        <v>236</v>
      </c>
      <c r="Q130" s="179">
        <f>VLOOKUP(A130,'OI(Value)'!A130:O348,9,0)</f>
        <v>81</v>
      </c>
      <c r="R130" s="179">
        <f>VLOOKUP(A130,'OI(Value)'!A130:O348,11,0)</f>
        <v>181</v>
      </c>
      <c r="S130" s="179">
        <f>VLOOKUP(A130,'OI(Value)'!A130:O348,11,0)</f>
        <v>181</v>
      </c>
    </row>
    <row r="131" spans="1:19" x14ac:dyDescent="0.25">
      <c r="A131" s="105" t="str">
        <f>'Data Vlaue (Cr)'!C126</f>
        <v>MARUTI</v>
      </c>
      <c r="B131" s="143">
        <f>VLOOKUP($A131,'Data shares'!$C:$FA,118)</f>
        <v>0.59</v>
      </c>
      <c r="C131" s="143">
        <f>VLOOKUP($A131,'Data shares'!$C:$FA,119)</f>
        <v>0.76</v>
      </c>
      <c r="D131" s="143">
        <f>VLOOKUP($A131,'Data shares'!$C:$FA,121)*100</f>
        <v>-22.37</v>
      </c>
      <c r="E131" s="143">
        <f>VLOOKUP($A131,'Data shares'!$C:$FA,124)</f>
        <v>0.62</v>
      </c>
      <c r="F131" s="143">
        <f>VLOOKUP($A131,'Data shares'!$C:$FA,125)</f>
        <v>0.89</v>
      </c>
      <c r="G131" s="143">
        <f>VLOOKUP($A131,'Data shares'!$C:$FA,127)*100</f>
        <v>-30.34</v>
      </c>
      <c r="H131" s="103">
        <f>VLOOKUP($A131,'OI(Volume)'!$A$7:$O$440,8)</f>
        <v>1813400</v>
      </c>
      <c r="I131" s="103">
        <f>VLOOKUP($A131,'OI(Volume)'!$A$7:$O$440,9)</f>
        <v>1244550</v>
      </c>
      <c r="J131" s="103">
        <f>VLOOKUP($A131,'OI(Volume)'!$A$7:$O$440,11)</f>
        <v>1062500</v>
      </c>
      <c r="K131" s="103">
        <f>VLOOKUP($A131,'OI(Volume)'!$A$7:$O$440,12)</f>
        <v>630100</v>
      </c>
      <c r="L131" s="103">
        <f>VLOOKUP($A131,'OI(Value)'!$A$7:$O$323,8,0)</f>
        <v>2711</v>
      </c>
      <c r="M131" s="103">
        <f>VLOOKUP($A131,'OI(Value)'!$A$7:$O$323,9,0)</f>
        <v>1861</v>
      </c>
      <c r="N131" s="103">
        <f>VLOOKUP($A131,'OI(Value)'!$A$7:$O$323,11,0)</f>
        <v>1588</v>
      </c>
      <c r="O131" s="103">
        <f>VLOOKUP($A131,'OI(Value)'!$A$7:$O$323,12,0)</f>
        <v>942</v>
      </c>
      <c r="P131" s="179">
        <f>VLOOKUP(A131,'OI(Value)'!A131:O349,8,0)</f>
        <v>2711</v>
      </c>
      <c r="Q131" s="179">
        <f>VLOOKUP(A131,'OI(Value)'!A131:O349,9,0)</f>
        <v>1861</v>
      </c>
      <c r="R131" s="179">
        <f>VLOOKUP(A131,'OI(Value)'!A131:O349,11,0)</f>
        <v>1588</v>
      </c>
      <c r="S131" s="179">
        <f>VLOOKUP(A131,'OI(Value)'!A131:O349,11,0)</f>
        <v>1588</v>
      </c>
    </row>
    <row r="132" spans="1:19" x14ac:dyDescent="0.25">
      <c r="A132" s="105" t="str">
        <f>'Data Vlaue (Cr)'!C127</f>
        <v>MAXHEALTH</v>
      </c>
      <c r="B132" s="143">
        <f>VLOOKUP($A132,'Data shares'!$C:$FA,118)</f>
        <v>0.98</v>
      </c>
      <c r="C132" s="143">
        <f>VLOOKUP($A132,'Data shares'!$C:$FA,119)</f>
        <v>1.0900000000000001</v>
      </c>
      <c r="D132" s="143">
        <f>VLOOKUP($A132,'Data shares'!$C:$FA,121)*100</f>
        <v>-10.09</v>
      </c>
      <c r="E132" s="143">
        <f>VLOOKUP($A132,'Data shares'!$C:$FA,124)</f>
        <v>0.71</v>
      </c>
      <c r="F132" s="143">
        <f>VLOOKUP($A132,'Data shares'!$C:$FA,125)</f>
        <v>1.18</v>
      </c>
      <c r="G132" s="143">
        <f>VLOOKUP($A132,'Data shares'!$C:$FA,127)*100</f>
        <v>-39.83</v>
      </c>
      <c r="H132" s="103">
        <f>VLOOKUP($A132,'OI(Volume)'!$A$7:$O$440,8)</f>
        <v>1376025</v>
      </c>
      <c r="I132" s="103">
        <f>VLOOKUP($A132,'OI(Volume)'!$A$7:$O$440,9)</f>
        <v>394800</v>
      </c>
      <c r="J132" s="103">
        <f>VLOOKUP($A132,'OI(Volume)'!$A$7:$O$440,11)</f>
        <v>1352400</v>
      </c>
      <c r="K132" s="103">
        <f>VLOOKUP($A132,'OI(Volume)'!$A$7:$O$440,12)</f>
        <v>278775</v>
      </c>
      <c r="L132" s="103">
        <f>VLOOKUP($A132,'OI(Value)'!$A$7:$O$323,8,0)</f>
        <v>133</v>
      </c>
      <c r="M132" s="103">
        <f>VLOOKUP($A132,'OI(Value)'!$A$7:$O$323,9,0)</f>
        <v>38</v>
      </c>
      <c r="N132" s="103">
        <f>VLOOKUP($A132,'OI(Value)'!$A$7:$O$323,11,0)</f>
        <v>130</v>
      </c>
      <c r="O132" s="103">
        <f>VLOOKUP($A132,'OI(Value)'!$A$7:$O$323,12,0)</f>
        <v>27</v>
      </c>
      <c r="P132" s="179">
        <f>VLOOKUP(A132,'OI(Value)'!A132:O350,8,0)</f>
        <v>133</v>
      </c>
      <c r="Q132" s="179">
        <f>VLOOKUP(A132,'OI(Value)'!A132:O350,9,0)</f>
        <v>38</v>
      </c>
      <c r="R132" s="179">
        <f>VLOOKUP(A132,'OI(Value)'!A132:O350,11,0)</f>
        <v>130</v>
      </c>
      <c r="S132" s="179">
        <f>VLOOKUP(A132,'OI(Value)'!A132:O350,11,0)</f>
        <v>130</v>
      </c>
    </row>
    <row r="133" spans="1:19" x14ac:dyDescent="0.25">
      <c r="A133" s="105" t="str">
        <f>'Data Vlaue (Cr)'!C128</f>
        <v>MAZDOCK</v>
      </c>
      <c r="B133" s="143">
        <f>VLOOKUP($A133,'Data shares'!$C:$FA,118)</f>
        <v>0.75</v>
      </c>
      <c r="C133" s="143">
        <f>VLOOKUP($A133,'Data shares'!$C:$FA,119)</f>
        <v>0.94</v>
      </c>
      <c r="D133" s="143">
        <f>VLOOKUP($A133,'Data shares'!$C:$FA,121)*100</f>
        <v>-20.21</v>
      </c>
      <c r="E133" s="143">
        <f>VLOOKUP($A133,'Data shares'!$C:$FA,124)</f>
        <v>0.19</v>
      </c>
      <c r="F133" s="143">
        <f>VLOOKUP($A133,'Data shares'!$C:$FA,125)</f>
        <v>0.54</v>
      </c>
      <c r="G133" s="143">
        <f>VLOOKUP($A133,'Data shares'!$C:$FA,127)*100</f>
        <v>-64.81</v>
      </c>
      <c r="H133" s="103">
        <f>VLOOKUP($A133,'OI(Volume)'!$A$7:$O$440,8)</f>
        <v>1542000</v>
      </c>
      <c r="I133" s="103">
        <f>VLOOKUP($A133,'OI(Volume)'!$A$7:$O$440,9)</f>
        <v>527200</v>
      </c>
      <c r="J133" s="103">
        <f>VLOOKUP($A133,'OI(Volume)'!$A$7:$O$440,11)</f>
        <v>1157400</v>
      </c>
      <c r="K133" s="103">
        <f>VLOOKUP($A133,'OI(Volume)'!$A$7:$O$440,12)</f>
        <v>199800</v>
      </c>
      <c r="L133" s="103">
        <f>VLOOKUP($A133,'OI(Value)'!$A$7:$O$323,8,0)</f>
        <v>388</v>
      </c>
      <c r="M133" s="103">
        <f>VLOOKUP($A133,'OI(Value)'!$A$7:$O$323,9,0)</f>
        <v>133</v>
      </c>
      <c r="N133" s="103">
        <f>VLOOKUP($A133,'OI(Value)'!$A$7:$O$323,11,0)</f>
        <v>291</v>
      </c>
      <c r="O133" s="103">
        <f>VLOOKUP($A133,'OI(Value)'!$A$7:$O$323,12,0)</f>
        <v>50</v>
      </c>
      <c r="P133" s="179">
        <f>VLOOKUP(A133,'OI(Value)'!A133:O351,8,0)</f>
        <v>388</v>
      </c>
      <c r="Q133" s="179">
        <f>VLOOKUP(A133,'OI(Value)'!A133:O351,9,0)</f>
        <v>133</v>
      </c>
      <c r="R133" s="179">
        <f>VLOOKUP(A133,'OI(Value)'!A133:O351,11,0)</f>
        <v>291</v>
      </c>
      <c r="S133" s="179">
        <f>VLOOKUP(A133,'OI(Value)'!A133:O351,11,0)</f>
        <v>291</v>
      </c>
    </row>
    <row r="134" spans="1:19" x14ac:dyDescent="0.25">
      <c r="A134" s="105" t="str">
        <f>'Data Vlaue (Cr)'!C129</f>
        <v>MCX</v>
      </c>
      <c r="B134" s="143">
        <f>VLOOKUP($A134,'Data shares'!$C:$FA,118)</f>
        <v>0.88</v>
      </c>
      <c r="C134" s="143">
        <f>VLOOKUP($A134,'Data shares'!$C:$FA,119)</f>
        <v>0.67</v>
      </c>
      <c r="D134" s="143">
        <f>VLOOKUP($A134,'Data shares'!$C:$FA,121)*100</f>
        <v>31.34</v>
      </c>
      <c r="E134" s="143">
        <f>VLOOKUP($A134,'Data shares'!$C:$FA,124)</f>
        <v>0.52</v>
      </c>
      <c r="F134" s="143">
        <f>VLOOKUP($A134,'Data shares'!$C:$FA,125)</f>
        <v>0.32</v>
      </c>
      <c r="G134" s="143">
        <f>VLOOKUP($A134,'Data shares'!$C:$FA,127)*100</f>
        <v>62.5</v>
      </c>
      <c r="H134" s="103">
        <f>VLOOKUP($A134,'OI(Volume)'!$A$7:$O$440,8)</f>
        <v>5821875</v>
      </c>
      <c r="I134" s="103">
        <f>VLOOKUP($A134,'OI(Volume)'!$A$7:$O$440,9)</f>
        <v>968125</v>
      </c>
      <c r="J134" s="103">
        <f>VLOOKUP($A134,'OI(Volume)'!$A$7:$O$440,11)</f>
        <v>5118125</v>
      </c>
      <c r="K134" s="103">
        <f>VLOOKUP($A134,'OI(Volume)'!$A$7:$O$440,12)</f>
        <v>1875000</v>
      </c>
      <c r="L134" s="103">
        <f>VLOOKUP($A134,'OI(Value)'!$A$7:$O$323,8,0)</f>
        <v>1517</v>
      </c>
      <c r="M134" s="103">
        <f>VLOOKUP($A134,'OI(Value)'!$A$7:$O$323,9,0)</f>
        <v>252</v>
      </c>
      <c r="N134" s="103">
        <f>VLOOKUP($A134,'OI(Value)'!$A$7:$O$323,11,0)</f>
        <v>1333</v>
      </c>
      <c r="O134" s="103">
        <f>VLOOKUP($A134,'OI(Value)'!$A$7:$O$323,12,0)</f>
        <v>488</v>
      </c>
      <c r="P134" s="179">
        <f>VLOOKUP(A134,'OI(Value)'!A134:O352,8,0)</f>
        <v>1517</v>
      </c>
      <c r="Q134" s="179">
        <f>VLOOKUP(A134,'OI(Value)'!A134:O352,9,0)</f>
        <v>252</v>
      </c>
      <c r="R134" s="179">
        <f>VLOOKUP(A134,'OI(Value)'!A134:O352,11,0)</f>
        <v>1333</v>
      </c>
      <c r="S134" s="179">
        <f>VLOOKUP(A134,'OI(Value)'!A134:O352,11,0)</f>
        <v>1333</v>
      </c>
    </row>
    <row r="135" spans="1:19" x14ac:dyDescent="0.25">
      <c r="A135" s="105" t="str">
        <f>'Data Vlaue (Cr)'!C130</f>
        <v>MFSL</v>
      </c>
      <c r="B135" s="143">
        <f>VLOOKUP($A135,'Data shares'!$C:$FA,118)</f>
        <v>0.81</v>
      </c>
      <c r="C135" s="143">
        <f>VLOOKUP($A135,'Data shares'!$C:$FA,119)</f>
        <v>0.99</v>
      </c>
      <c r="D135" s="143">
        <f>VLOOKUP($A135,'Data shares'!$C:$FA,121)*100</f>
        <v>-18.18</v>
      </c>
      <c r="E135" s="143">
        <f>VLOOKUP($A135,'Data shares'!$C:$FA,124)</f>
        <v>0.56999999999999995</v>
      </c>
      <c r="F135" s="143">
        <f>VLOOKUP($A135,'Data shares'!$C:$FA,125)</f>
        <v>2.02</v>
      </c>
      <c r="G135" s="143">
        <f>VLOOKUP($A135,'Data shares'!$C:$FA,127)*100</f>
        <v>-71.78</v>
      </c>
      <c r="H135" s="103">
        <f>VLOOKUP($A135,'OI(Volume)'!$A$7:$O$440,8)</f>
        <v>620800</v>
      </c>
      <c r="I135" s="103">
        <f>VLOOKUP($A135,'OI(Volume)'!$A$7:$O$440,9)</f>
        <v>392000</v>
      </c>
      <c r="J135" s="103">
        <f>VLOOKUP($A135,'OI(Volume)'!$A$7:$O$440,11)</f>
        <v>502000</v>
      </c>
      <c r="K135" s="103">
        <f>VLOOKUP($A135,'OI(Volume)'!$A$7:$O$440,12)</f>
        <v>274800</v>
      </c>
      <c r="L135" s="103">
        <f>VLOOKUP($A135,'OI(Value)'!$A$7:$O$323,8,0)</f>
        <v>101</v>
      </c>
      <c r="M135" s="103">
        <f>VLOOKUP($A135,'OI(Value)'!$A$7:$O$323,9,0)</f>
        <v>64</v>
      </c>
      <c r="N135" s="103">
        <f>VLOOKUP($A135,'OI(Value)'!$A$7:$O$323,11,0)</f>
        <v>82</v>
      </c>
      <c r="O135" s="103">
        <f>VLOOKUP($A135,'OI(Value)'!$A$7:$O$323,12,0)</f>
        <v>45</v>
      </c>
      <c r="P135" s="179">
        <f>VLOOKUP(A135,'OI(Value)'!A135:O353,8,0)</f>
        <v>101</v>
      </c>
      <c r="Q135" s="179">
        <f>VLOOKUP(A135,'OI(Value)'!A135:O353,9,0)</f>
        <v>64</v>
      </c>
      <c r="R135" s="179">
        <f>VLOOKUP(A135,'OI(Value)'!A135:O353,11,0)</f>
        <v>82</v>
      </c>
      <c r="S135" s="179">
        <f>VLOOKUP(A135,'OI(Value)'!A135:O353,11,0)</f>
        <v>82</v>
      </c>
    </row>
    <row r="136" spans="1:19" x14ac:dyDescent="0.25">
      <c r="A136" s="105" t="str">
        <f>'Data Vlaue (Cr)'!C131</f>
        <v>MIDCPNIFTY</v>
      </c>
      <c r="B136" s="143">
        <f>VLOOKUP($A136,'Data shares'!$C:$FA,118)</f>
        <v>1.1399999999999999</v>
      </c>
      <c r="C136" s="143">
        <f>VLOOKUP($A136,'Data shares'!$C:$FA,119)</f>
        <v>1.06</v>
      </c>
      <c r="D136" s="143">
        <f>VLOOKUP($A136,'Data shares'!$C:$FA,121)*100</f>
        <v>7.55</v>
      </c>
      <c r="E136" s="143">
        <f>VLOOKUP($A136,'Data shares'!$C:$FA,124)</f>
        <v>0.86</v>
      </c>
      <c r="F136" s="143">
        <f>VLOOKUP($A136,'Data shares'!$C:$FA,125)</f>
        <v>0.88</v>
      </c>
      <c r="G136" s="143">
        <f>VLOOKUP($A136,'Data shares'!$C:$FA,127)*100</f>
        <v>-2.27</v>
      </c>
      <c r="H136" s="103">
        <f>VLOOKUP($A136,'OI(Volume)'!$A$7:$O$440,8)</f>
        <v>3551880</v>
      </c>
      <c r="I136" s="103">
        <f>VLOOKUP($A136,'OI(Volume)'!$A$7:$O$440,9)</f>
        <v>1649280</v>
      </c>
      <c r="J136" s="103">
        <f>VLOOKUP($A136,'OI(Volume)'!$A$7:$O$440,11)</f>
        <v>4038600</v>
      </c>
      <c r="K136" s="103">
        <f>VLOOKUP($A136,'OI(Volume)'!$A$7:$O$440,12)</f>
        <v>2013960</v>
      </c>
      <c r="L136" s="103">
        <f>VLOOKUP($A136,'OI(Value)'!$A$7:$O$323,8,0)</f>
        <v>4763</v>
      </c>
      <c r="M136" s="103">
        <f>VLOOKUP($A136,'OI(Value)'!$A$7:$O$323,9,0)</f>
        <v>2212</v>
      </c>
      <c r="N136" s="103">
        <f>VLOOKUP($A136,'OI(Value)'!$A$7:$O$323,11,0)</f>
        <v>5415</v>
      </c>
      <c r="O136" s="103">
        <f>VLOOKUP($A136,'OI(Value)'!$A$7:$O$323,12,0)</f>
        <v>2701</v>
      </c>
      <c r="P136" s="179">
        <f>VLOOKUP(A136,'OI(Value)'!A136:O354,8,0)</f>
        <v>4763</v>
      </c>
      <c r="Q136" s="179">
        <f>VLOOKUP(A136,'OI(Value)'!A136:O354,9,0)</f>
        <v>2212</v>
      </c>
      <c r="R136" s="179">
        <f>VLOOKUP(A136,'OI(Value)'!A136:O354,11,0)</f>
        <v>5415</v>
      </c>
      <c r="S136" s="179">
        <f>VLOOKUP(A136,'OI(Value)'!A136:O354,11,0)</f>
        <v>5415</v>
      </c>
    </row>
    <row r="137" spans="1:19" x14ac:dyDescent="0.25">
      <c r="A137" s="105" t="str">
        <f>'Data Vlaue (Cr)'!C132</f>
        <v>MOTHERSON</v>
      </c>
      <c r="B137" s="143">
        <f>VLOOKUP($A137,'Data shares'!$C:$FA,118)</f>
        <v>0.81</v>
      </c>
      <c r="C137" s="143">
        <f>VLOOKUP($A137,'Data shares'!$C:$FA,119)</f>
        <v>0.8</v>
      </c>
      <c r="D137" s="143">
        <f>VLOOKUP($A137,'Data shares'!$C:$FA,121)*100</f>
        <v>1.25</v>
      </c>
      <c r="E137" s="143">
        <f>VLOOKUP($A137,'Data shares'!$C:$FA,124)</f>
        <v>0.33</v>
      </c>
      <c r="F137" s="143">
        <f>VLOOKUP($A137,'Data shares'!$C:$FA,125)</f>
        <v>0.52</v>
      </c>
      <c r="G137" s="143">
        <f>VLOOKUP($A137,'Data shares'!$C:$FA,127)*100</f>
        <v>-36.54</v>
      </c>
      <c r="H137" s="103">
        <f>VLOOKUP($A137,'OI(Volume)'!$A$7:$O$440,8)</f>
        <v>22619700</v>
      </c>
      <c r="I137" s="103">
        <f>VLOOKUP($A137,'OI(Volume)'!$A$7:$O$440,9)</f>
        <v>1396050</v>
      </c>
      <c r="J137" s="103">
        <f>VLOOKUP($A137,'OI(Volume)'!$A$7:$O$440,11)</f>
        <v>18413100</v>
      </c>
      <c r="K137" s="103">
        <f>VLOOKUP($A137,'OI(Volume)'!$A$7:$O$440,12)</f>
        <v>1525200</v>
      </c>
      <c r="L137" s="103">
        <f>VLOOKUP($A137,'OI(Value)'!$A$7:$O$323,8,0)</f>
        <v>253</v>
      </c>
      <c r="M137" s="103">
        <f>VLOOKUP($A137,'OI(Value)'!$A$7:$O$323,9,0)</f>
        <v>16</v>
      </c>
      <c r="N137" s="103">
        <f>VLOOKUP($A137,'OI(Value)'!$A$7:$O$323,11,0)</f>
        <v>206</v>
      </c>
      <c r="O137" s="103">
        <f>VLOOKUP($A137,'OI(Value)'!$A$7:$O$323,12,0)</f>
        <v>17</v>
      </c>
      <c r="P137" s="179">
        <f>VLOOKUP(A137,'OI(Value)'!A137:O355,8,0)</f>
        <v>253</v>
      </c>
      <c r="Q137" s="179">
        <f>VLOOKUP(A137,'OI(Value)'!A137:O355,9,0)</f>
        <v>16</v>
      </c>
      <c r="R137" s="179">
        <f>VLOOKUP(A137,'OI(Value)'!A137:O355,11,0)</f>
        <v>206</v>
      </c>
      <c r="S137" s="179">
        <f>VLOOKUP(A137,'OI(Value)'!A137:O355,11,0)</f>
        <v>206</v>
      </c>
    </row>
    <row r="138" spans="1:19" x14ac:dyDescent="0.25">
      <c r="A138" s="105" t="str">
        <f>'Data Vlaue (Cr)'!C133</f>
        <v>MPHASIS</v>
      </c>
      <c r="B138" s="143">
        <f>VLOOKUP($A138,'Data shares'!$C:$FA,118)</f>
        <v>0.74</v>
      </c>
      <c r="C138" s="143">
        <f>VLOOKUP($A138,'Data shares'!$C:$FA,119)</f>
        <v>0.71</v>
      </c>
      <c r="D138" s="143">
        <f>VLOOKUP($A138,'Data shares'!$C:$FA,121)*100</f>
        <v>4.2299999999999995</v>
      </c>
      <c r="E138" s="143">
        <f>VLOOKUP($A138,'Data shares'!$C:$FA,124)</f>
        <v>0.52</v>
      </c>
      <c r="F138" s="143">
        <f>VLOOKUP($A138,'Data shares'!$C:$FA,125)</f>
        <v>0.62</v>
      </c>
      <c r="G138" s="143">
        <f>VLOOKUP($A138,'Data shares'!$C:$FA,127)*100</f>
        <v>-16.13</v>
      </c>
      <c r="H138" s="103">
        <f>VLOOKUP($A138,'OI(Volume)'!$A$7:$O$440,8)</f>
        <v>423500</v>
      </c>
      <c r="I138" s="103">
        <f>VLOOKUP($A138,'OI(Volume)'!$A$7:$O$440,9)</f>
        <v>33275</v>
      </c>
      <c r="J138" s="103">
        <f>VLOOKUP($A138,'OI(Volume)'!$A$7:$O$440,11)</f>
        <v>313500</v>
      </c>
      <c r="K138" s="103">
        <f>VLOOKUP($A138,'OI(Volume)'!$A$7:$O$440,12)</f>
        <v>37400</v>
      </c>
      <c r="L138" s="103">
        <f>VLOOKUP($A138,'OI(Value)'!$A$7:$O$323,8,0)</f>
        <v>120</v>
      </c>
      <c r="M138" s="103">
        <f>VLOOKUP($A138,'OI(Value)'!$A$7:$O$323,9,0)</f>
        <v>9</v>
      </c>
      <c r="N138" s="103">
        <f>VLOOKUP($A138,'OI(Value)'!$A$7:$O$323,11,0)</f>
        <v>89</v>
      </c>
      <c r="O138" s="103">
        <f>VLOOKUP($A138,'OI(Value)'!$A$7:$O$323,12,0)</f>
        <v>11</v>
      </c>
      <c r="P138" s="179">
        <f>VLOOKUP(A138,'OI(Value)'!A138:O356,8,0)</f>
        <v>120</v>
      </c>
      <c r="Q138" s="179">
        <f>VLOOKUP(A138,'OI(Value)'!A138:O356,9,0)</f>
        <v>9</v>
      </c>
      <c r="R138" s="179">
        <f>VLOOKUP(A138,'OI(Value)'!A138:O356,11,0)</f>
        <v>89</v>
      </c>
      <c r="S138" s="179">
        <f>VLOOKUP(A138,'OI(Value)'!A138:O356,11,0)</f>
        <v>89</v>
      </c>
    </row>
    <row r="139" spans="1:19" x14ac:dyDescent="0.25">
      <c r="A139" s="105" t="str">
        <f>'Data Vlaue (Cr)'!C134</f>
        <v>MUTHOOTFIN</v>
      </c>
      <c r="B139" s="143">
        <f>VLOOKUP($A139,'Data shares'!$C:$FA,118)</f>
        <v>0.69</v>
      </c>
      <c r="C139" s="143">
        <f>VLOOKUP($A139,'Data shares'!$C:$FA,119)</f>
        <v>0.72</v>
      </c>
      <c r="D139" s="143">
        <f>VLOOKUP($A139,'Data shares'!$C:$FA,121)*100</f>
        <v>-4.17</v>
      </c>
      <c r="E139" s="143">
        <f>VLOOKUP($A139,'Data shares'!$C:$FA,124)</f>
        <v>0.44</v>
      </c>
      <c r="F139" s="143">
        <f>VLOOKUP($A139,'Data shares'!$C:$FA,125)</f>
        <v>0.65</v>
      </c>
      <c r="G139" s="143">
        <f>VLOOKUP($A139,'Data shares'!$C:$FA,127)*100</f>
        <v>-32.31</v>
      </c>
      <c r="H139" s="103">
        <f>VLOOKUP($A139,'OI(Volume)'!$A$7:$O$440,8)</f>
        <v>971575</v>
      </c>
      <c r="I139" s="103">
        <f>VLOOKUP($A139,'OI(Volume)'!$A$7:$O$440,9)</f>
        <v>215875</v>
      </c>
      <c r="J139" s="103">
        <f>VLOOKUP($A139,'OI(Volume)'!$A$7:$O$440,11)</f>
        <v>671000</v>
      </c>
      <c r="K139" s="103">
        <f>VLOOKUP($A139,'OI(Volume)'!$A$7:$O$440,12)</f>
        <v>123750</v>
      </c>
      <c r="L139" s="103">
        <f>VLOOKUP($A139,'OI(Value)'!$A$7:$O$323,8,0)</f>
        <v>387</v>
      </c>
      <c r="M139" s="103">
        <f>VLOOKUP($A139,'OI(Value)'!$A$7:$O$323,9,0)</f>
        <v>86</v>
      </c>
      <c r="N139" s="103">
        <f>VLOOKUP($A139,'OI(Value)'!$A$7:$O$323,11,0)</f>
        <v>267</v>
      </c>
      <c r="O139" s="103">
        <f>VLOOKUP($A139,'OI(Value)'!$A$7:$O$323,12,0)</f>
        <v>49</v>
      </c>
      <c r="P139" s="179">
        <f>VLOOKUP(A139,'OI(Value)'!A139:O357,8,0)</f>
        <v>387</v>
      </c>
      <c r="Q139" s="179">
        <f>VLOOKUP(A139,'OI(Value)'!A139:O357,9,0)</f>
        <v>86</v>
      </c>
      <c r="R139" s="179">
        <f>VLOOKUP(A139,'OI(Value)'!A139:O357,11,0)</f>
        <v>267</v>
      </c>
      <c r="S139" s="179">
        <f>VLOOKUP(A139,'OI(Value)'!A139:O357,11,0)</f>
        <v>267</v>
      </c>
    </row>
    <row r="140" spans="1:19" x14ac:dyDescent="0.25">
      <c r="A140" s="105" t="str">
        <f>'Data Vlaue (Cr)'!C135</f>
        <v>NATIONALUM</v>
      </c>
      <c r="B140" s="143">
        <f>VLOOKUP($A140,'Data shares'!$C:$FA,118)</f>
        <v>0.87</v>
      </c>
      <c r="C140" s="143">
        <f>VLOOKUP($A140,'Data shares'!$C:$FA,119)</f>
        <v>0.78</v>
      </c>
      <c r="D140" s="143">
        <f>VLOOKUP($A140,'Data shares'!$C:$FA,121)*100</f>
        <v>11.540000000000001</v>
      </c>
      <c r="E140" s="143">
        <f>VLOOKUP($A140,'Data shares'!$C:$FA,124)</f>
        <v>0.43</v>
      </c>
      <c r="F140" s="143">
        <f>VLOOKUP($A140,'Data shares'!$C:$FA,125)</f>
        <v>0.5</v>
      </c>
      <c r="G140" s="143">
        <f>VLOOKUP($A140,'Data shares'!$C:$FA,127)*100</f>
        <v>-14.000000000000002</v>
      </c>
      <c r="H140" s="103">
        <f>VLOOKUP($A140,'OI(Volume)'!$A$7:$O$440,8)</f>
        <v>21401250</v>
      </c>
      <c r="I140" s="103">
        <f>VLOOKUP($A140,'OI(Volume)'!$A$7:$O$440,9)</f>
        <v>2156250</v>
      </c>
      <c r="J140" s="103">
        <f>VLOOKUP($A140,'OI(Volume)'!$A$7:$O$440,11)</f>
        <v>18521250</v>
      </c>
      <c r="K140" s="103">
        <f>VLOOKUP($A140,'OI(Volume)'!$A$7:$O$440,12)</f>
        <v>3588750</v>
      </c>
      <c r="L140" s="103">
        <f>VLOOKUP($A140,'OI(Value)'!$A$7:$O$323,8,0)</f>
        <v>865</v>
      </c>
      <c r="M140" s="103">
        <f>VLOOKUP($A140,'OI(Value)'!$A$7:$O$323,9,0)</f>
        <v>87</v>
      </c>
      <c r="N140" s="103">
        <f>VLOOKUP($A140,'OI(Value)'!$A$7:$O$323,11,0)</f>
        <v>748</v>
      </c>
      <c r="O140" s="103">
        <f>VLOOKUP($A140,'OI(Value)'!$A$7:$O$323,12,0)</f>
        <v>145</v>
      </c>
      <c r="P140" s="179">
        <f>VLOOKUP(A140,'OI(Value)'!A140:O358,8,0)</f>
        <v>865</v>
      </c>
      <c r="Q140" s="179">
        <f>VLOOKUP(A140,'OI(Value)'!A140:O358,9,0)</f>
        <v>87</v>
      </c>
      <c r="R140" s="179">
        <f>VLOOKUP(A140,'OI(Value)'!A140:O358,11,0)</f>
        <v>748</v>
      </c>
      <c r="S140" s="179">
        <f>VLOOKUP(A140,'OI(Value)'!A140:O358,11,0)</f>
        <v>748</v>
      </c>
    </row>
    <row r="141" spans="1:19" x14ac:dyDescent="0.25">
      <c r="A141" s="105" t="str">
        <f>'Data Vlaue (Cr)'!C136</f>
        <v>NAUKRI</v>
      </c>
      <c r="B141" s="143">
        <f>VLOOKUP($A141,'Data shares'!$C:$FA,118)</f>
        <v>0.88</v>
      </c>
      <c r="C141" s="143">
        <f>VLOOKUP($A141,'Data shares'!$C:$FA,119)</f>
        <v>0.96</v>
      </c>
      <c r="D141" s="143">
        <f>VLOOKUP($A141,'Data shares'!$C:$FA,121)*100</f>
        <v>-8.33</v>
      </c>
      <c r="E141" s="143">
        <f>VLOOKUP($A141,'Data shares'!$C:$FA,124)</f>
        <v>0.62</v>
      </c>
      <c r="F141" s="143">
        <f>VLOOKUP($A141,'Data shares'!$C:$FA,125)</f>
        <v>1.1200000000000001</v>
      </c>
      <c r="G141" s="143">
        <f>VLOOKUP($A141,'Data shares'!$C:$FA,127)*100</f>
        <v>-44.64</v>
      </c>
      <c r="H141" s="103">
        <f>VLOOKUP($A141,'OI(Volume)'!$A$7:$O$440,8)</f>
        <v>1081125</v>
      </c>
      <c r="I141" s="103">
        <f>VLOOKUP($A141,'OI(Volume)'!$A$7:$O$440,9)</f>
        <v>255750</v>
      </c>
      <c r="J141" s="103">
        <f>VLOOKUP($A141,'OI(Volume)'!$A$7:$O$440,11)</f>
        <v>956625</v>
      </c>
      <c r="K141" s="103">
        <f>VLOOKUP($A141,'OI(Volume)'!$A$7:$O$440,12)</f>
        <v>164625</v>
      </c>
      <c r="L141" s="103">
        <f>VLOOKUP($A141,'OI(Value)'!$A$7:$O$323,8,0)</f>
        <v>141</v>
      </c>
      <c r="M141" s="103">
        <f>VLOOKUP($A141,'OI(Value)'!$A$7:$O$323,9,0)</f>
        <v>33</v>
      </c>
      <c r="N141" s="103">
        <f>VLOOKUP($A141,'OI(Value)'!$A$7:$O$323,11,0)</f>
        <v>125</v>
      </c>
      <c r="O141" s="103">
        <f>VLOOKUP($A141,'OI(Value)'!$A$7:$O$323,12,0)</f>
        <v>22</v>
      </c>
      <c r="P141" s="179">
        <f>VLOOKUP(A141,'OI(Value)'!A141:O359,8,0)</f>
        <v>141</v>
      </c>
      <c r="Q141" s="179">
        <f>VLOOKUP(A141,'OI(Value)'!A141:O359,9,0)</f>
        <v>33</v>
      </c>
      <c r="R141" s="179">
        <f>VLOOKUP(A141,'OI(Value)'!A141:O359,11,0)</f>
        <v>125</v>
      </c>
      <c r="S141" s="179">
        <f>VLOOKUP(A141,'OI(Value)'!A141:O359,11,0)</f>
        <v>125</v>
      </c>
    </row>
    <row r="142" spans="1:19" x14ac:dyDescent="0.25">
      <c r="A142" s="105" t="str">
        <f>'Data Vlaue (Cr)'!C137</f>
        <v>NBCC</v>
      </c>
      <c r="B142" s="143">
        <f>VLOOKUP($A142,'Data shares'!$C:$FA,118)</f>
        <v>0.82</v>
      </c>
      <c r="C142" s="143">
        <f>VLOOKUP($A142,'Data shares'!$C:$FA,119)</f>
        <v>0.9</v>
      </c>
      <c r="D142" s="143">
        <f>VLOOKUP($A142,'Data shares'!$C:$FA,121)*100</f>
        <v>-8.89</v>
      </c>
      <c r="E142" s="143">
        <f>VLOOKUP($A142,'Data shares'!$C:$FA,124)</f>
        <v>0.35</v>
      </c>
      <c r="F142" s="143">
        <f>VLOOKUP($A142,'Data shares'!$C:$FA,125)</f>
        <v>0.69</v>
      </c>
      <c r="G142" s="143">
        <f>VLOOKUP($A142,'Data shares'!$C:$FA,127)*100</f>
        <v>-49.28</v>
      </c>
      <c r="H142" s="103">
        <f>VLOOKUP($A142,'OI(Volume)'!$A$7:$O$440,8)</f>
        <v>20650500</v>
      </c>
      <c r="I142" s="103">
        <f>VLOOKUP($A142,'OI(Volume)'!$A$7:$O$440,9)</f>
        <v>3796000</v>
      </c>
      <c r="J142" s="103">
        <f>VLOOKUP($A142,'OI(Volume)'!$A$7:$O$440,11)</f>
        <v>16932500</v>
      </c>
      <c r="K142" s="103">
        <f>VLOOKUP($A142,'OI(Volume)'!$A$7:$O$440,12)</f>
        <v>1748500</v>
      </c>
      <c r="L142" s="103">
        <f>VLOOKUP($A142,'OI(Value)'!$A$7:$O$323,8,0)</f>
        <v>206</v>
      </c>
      <c r="M142" s="103">
        <f>VLOOKUP($A142,'OI(Value)'!$A$7:$O$323,9,0)</f>
        <v>38</v>
      </c>
      <c r="N142" s="103">
        <f>VLOOKUP($A142,'OI(Value)'!$A$7:$O$323,11,0)</f>
        <v>169</v>
      </c>
      <c r="O142" s="103">
        <f>VLOOKUP($A142,'OI(Value)'!$A$7:$O$323,12,0)</f>
        <v>17</v>
      </c>
      <c r="P142" s="179">
        <f>VLOOKUP(A142,'OI(Value)'!A142:O360,8,0)</f>
        <v>206</v>
      </c>
      <c r="Q142" s="179">
        <f>VLOOKUP(A142,'OI(Value)'!A142:O360,9,0)</f>
        <v>38</v>
      </c>
      <c r="R142" s="179">
        <f>VLOOKUP(A142,'OI(Value)'!A142:O360,11,0)</f>
        <v>169</v>
      </c>
      <c r="S142" s="179">
        <f>VLOOKUP(A142,'OI(Value)'!A142:O360,11,0)</f>
        <v>169</v>
      </c>
    </row>
    <row r="143" spans="1:19" x14ac:dyDescent="0.25">
      <c r="A143" s="105" t="str">
        <f>'Data Vlaue (Cr)'!C138</f>
        <v>NESTLEIND</v>
      </c>
      <c r="B143" s="143">
        <f>VLOOKUP($A143,'Data shares'!$C:$FA,118)</f>
        <v>0.72</v>
      </c>
      <c r="C143" s="143">
        <f>VLOOKUP($A143,'Data shares'!$C:$FA,119)</f>
        <v>0.85</v>
      </c>
      <c r="D143" s="143">
        <f>VLOOKUP($A143,'Data shares'!$C:$FA,121)*100</f>
        <v>-15.290000000000001</v>
      </c>
      <c r="E143" s="143">
        <f>VLOOKUP($A143,'Data shares'!$C:$FA,124)</f>
        <v>0.59</v>
      </c>
      <c r="F143" s="143">
        <f>VLOOKUP($A143,'Data shares'!$C:$FA,125)</f>
        <v>0.67</v>
      </c>
      <c r="G143" s="143">
        <f>VLOOKUP($A143,'Data shares'!$C:$FA,127)*100</f>
        <v>-11.940000000000001</v>
      </c>
      <c r="H143" s="103">
        <f>VLOOKUP($A143,'OI(Volume)'!$A$7:$O$440,8)</f>
        <v>1539000</v>
      </c>
      <c r="I143" s="103">
        <f>VLOOKUP($A143,'OI(Volume)'!$A$7:$O$440,9)</f>
        <v>737000</v>
      </c>
      <c r="J143" s="103">
        <f>VLOOKUP($A143,'OI(Volume)'!$A$7:$O$440,11)</f>
        <v>1104500</v>
      </c>
      <c r="K143" s="103">
        <f>VLOOKUP($A143,'OI(Volume)'!$A$7:$O$440,12)</f>
        <v>419000</v>
      </c>
      <c r="L143" s="103">
        <f>VLOOKUP($A143,'OI(Value)'!$A$7:$O$323,8,0)</f>
        <v>198</v>
      </c>
      <c r="M143" s="103">
        <f>VLOOKUP($A143,'OI(Value)'!$A$7:$O$323,9,0)</f>
        <v>95</v>
      </c>
      <c r="N143" s="103">
        <f>VLOOKUP($A143,'OI(Value)'!$A$7:$O$323,11,0)</f>
        <v>142</v>
      </c>
      <c r="O143" s="103">
        <f>VLOOKUP($A143,'OI(Value)'!$A$7:$O$323,12,0)</f>
        <v>54</v>
      </c>
      <c r="P143" s="179">
        <f>VLOOKUP(A143,'OI(Value)'!A143:O361,8,0)</f>
        <v>198</v>
      </c>
      <c r="Q143" s="179">
        <f>VLOOKUP(A143,'OI(Value)'!A143:O361,9,0)</f>
        <v>95</v>
      </c>
      <c r="R143" s="179">
        <f>VLOOKUP(A143,'OI(Value)'!A143:O361,11,0)</f>
        <v>142</v>
      </c>
      <c r="S143" s="179">
        <f>VLOOKUP(A143,'OI(Value)'!A143:O361,11,0)</f>
        <v>142</v>
      </c>
    </row>
    <row r="144" spans="1:19" x14ac:dyDescent="0.25">
      <c r="A144" s="105" t="str">
        <f>'Data Vlaue (Cr)'!C139</f>
        <v>NHPC</v>
      </c>
      <c r="B144" s="143">
        <f>VLOOKUP($A144,'Data shares'!$C:$FA,118)</f>
        <v>0.89</v>
      </c>
      <c r="C144" s="143">
        <f>VLOOKUP($A144,'Data shares'!$C:$FA,119)</f>
        <v>0.93</v>
      </c>
      <c r="D144" s="143">
        <f>VLOOKUP($A144,'Data shares'!$C:$FA,121)*100</f>
        <v>-4.3</v>
      </c>
      <c r="E144" s="143">
        <f>VLOOKUP($A144,'Data shares'!$C:$FA,124)</f>
        <v>0.6</v>
      </c>
      <c r="F144" s="143">
        <f>VLOOKUP($A144,'Data shares'!$C:$FA,125)</f>
        <v>0.79</v>
      </c>
      <c r="G144" s="143">
        <f>VLOOKUP($A144,'Data shares'!$C:$FA,127)*100</f>
        <v>-24.05</v>
      </c>
      <c r="H144" s="103">
        <f>VLOOKUP($A144,'OI(Volume)'!$A$7:$O$440,8)</f>
        <v>13612800</v>
      </c>
      <c r="I144" s="103">
        <f>VLOOKUP($A144,'OI(Volume)'!$A$7:$O$440,9)</f>
        <v>2124800</v>
      </c>
      <c r="J144" s="103">
        <f>VLOOKUP($A144,'OI(Volume)'!$A$7:$O$440,11)</f>
        <v>12160000</v>
      </c>
      <c r="K144" s="103">
        <f>VLOOKUP($A144,'OI(Volume)'!$A$7:$O$440,12)</f>
        <v>1510400</v>
      </c>
      <c r="L144" s="103">
        <f>VLOOKUP($A144,'OI(Value)'!$A$7:$O$323,8,0)</f>
        <v>107</v>
      </c>
      <c r="M144" s="103">
        <f>VLOOKUP($A144,'OI(Value)'!$A$7:$O$323,9,0)</f>
        <v>17</v>
      </c>
      <c r="N144" s="103">
        <f>VLOOKUP($A144,'OI(Value)'!$A$7:$O$323,11,0)</f>
        <v>95</v>
      </c>
      <c r="O144" s="103">
        <f>VLOOKUP($A144,'OI(Value)'!$A$7:$O$323,12,0)</f>
        <v>12</v>
      </c>
      <c r="P144" s="179">
        <f>VLOOKUP(A144,'OI(Value)'!A144:O362,8,0)</f>
        <v>107</v>
      </c>
      <c r="Q144" s="179">
        <f>VLOOKUP(A144,'OI(Value)'!A144:O362,9,0)</f>
        <v>17</v>
      </c>
      <c r="R144" s="179">
        <f>VLOOKUP(A144,'OI(Value)'!A144:O362,11,0)</f>
        <v>95</v>
      </c>
      <c r="S144" s="179">
        <f>VLOOKUP(A144,'OI(Value)'!A144:O362,11,0)</f>
        <v>95</v>
      </c>
    </row>
    <row r="145" spans="1:19" x14ac:dyDescent="0.25">
      <c r="A145" s="105" t="str">
        <f>'Data Vlaue (Cr)'!C140</f>
        <v>NIFTY</v>
      </c>
      <c r="B145" s="143">
        <f>VLOOKUP($A145,'Data shares'!$C:$FA,118)</f>
        <v>0.97</v>
      </c>
      <c r="C145" s="143">
        <f>VLOOKUP($A145,'Data shares'!$C:$FA,119)</f>
        <v>1.02</v>
      </c>
      <c r="D145" s="143">
        <f>VLOOKUP($A145,'Data shares'!$C:$FA,121)*100</f>
        <v>-4.9000000000000004</v>
      </c>
      <c r="E145" s="143">
        <f>VLOOKUP($A145,'Data shares'!$C:$FA,124)</f>
        <v>0.93</v>
      </c>
      <c r="F145" s="143">
        <f>VLOOKUP($A145,'Data shares'!$C:$FA,125)</f>
        <v>0.92</v>
      </c>
      <c r="G145" s="143">
        <f>VLOOKUP($A145,'Data shares'!$C:$FA,127)*100</f>
        <v>1.0900000000000001</v>
      </c>
      <c r="H145" s="103">
        <f>VLOOKUP($A145,'OI(Volume)'!$A$7:$O$440,8)</f>
        <v>166048825</v>
      </c>
      <c r="I145" s="103">
        <f>VLOOKUP($A145,'OI(Volume)'!$A$7:$O$440,9)</f>
        <v>47421845</v>
      </c>
      <c r="J145" s="103">
        <f>VLOOKUP($A145,'OI(Volume)'!$A$7:$O$440,11)</f>
        <v>161205950</v>
      </c>
      <c r="K145" s="103">
        <f>VLOOKUP($A145,'OI(Volume)'!$A$7:$O$440,12)</f>
        <v>40533710</v>
      </c>
      <c r="L145" s="103">
        <f>VLOOKUP($A145,'OI(Value)'!$A$7:$O$323,8,0)</f>
        <v>422601</v>
      </c>
      <c r="M145" s="103">
        <f>VLOOKUP($A145,'OI(Value)'!$A$7:$O$323,9,0)</f>
        <v>120690</v>
      </c>
      <c r="N145" s="103">
        <f>VLOOKUP($A145,'OI(Value)'!$A$7:$O$323,11,0)</f>
        <v>410276</v>
      </c>
      <c r="O145" s="103">
        <f>VLOOKUP($A145,'OI(Value)'!$A$7:$O$323,12,0)</f>
        <v>103160</v>
      </c>
      <c r="P145" s="179">
        <f>VLOOKUP(A145,'OI(Value)'!A145:O363,8,0)</f>
        <v>422601</v>
      </c>
      <c r="Q145" s="179">
        <f>VLOOKUP(A145,'OI(Value)'!A145:O363,9,0)</f>
        <v>120690</v>
      </c>
      <c r="R145" s="179">
        <f>VLOOKUP(A145,'OI(Value)'!A145:O363,11,0)</f>
        <v>410276</v>
      </c>
      <c r="S145" s="179">
        <f>VLOOKUP(A145,'OI(Value)'!A145:O363,11,0)</f>
        <v>410276</v>
      </c>
    </row>
    <row r="146" spans="1:19" x14ac:dyDescent="0.25">
      <c r="A146" s="105" t="str">
        <f>'Data Vlaue (Cr)'!C141</f>
        <v>NIFTYNXT50</v>
      </c>
      <c r="B146" s="143">
        <f>VLOOKUP($A146,'Data shares'!$C:$FA,118)</f>
        <v>0.75</v>
      </c>
      <c r="C146" s="143">
        <f>VLOOKUP($A146,'Data shares'!$C:$FA,119)</f>
        <v>22</v>
      </c>
      <c r="D146" s="143">
        <f>VLOOKUP($A146,'Data shares'!$C:$FA,121)*100</f>
        <v>-96.59</v>
      </c>
      <c r="E146" s="143">
        <f>VLOOKUP($A146,'Data shares'!$C:$FA,124)</f>
        <v>0.65</v>
      </c>
      <c r="F146" s="143">
        <f>VLOOKUP($A146,'Data shares'!$C:$FA,125)</f>
        <v>0.33</v>
      </c>
      <c r="G146" s="143">
        <f>VLOOKUP($A146,'Data shares'!$C:$FA,127)*100</f>
        <v>96.97</v>
      </c>
      <c r="H146" s="103">
        <f>VLOOKUP($A146,'OI(Volume)'!$A$7:$O$440,8)</f>
        <v>1900</v>
      </c>
      <c r="I146" s="103">
        <f>VLOOKUP($A146,'OI(Volume)'!$A$7:$O$440,9)</f>
        <v>1875</v>
      </c>
      <c r="J146" s="103">
        <f>VLOOKUP($A146,'OI(Volume)'!$A$7:$O$440,11)</f>
        <v>1425</v>
      </c>
      <c r="K146" s="103">
        <f>VLOOKUP($A146,'OI(Volume)'!$A$7:$O$440,12)</f>
        <v>875</v>
      </c>
      <c r="L146" s="103">
        <f>VLOOKUP($A146,'OI(Value)'!$A$7:$O$323,8,0)</f>
        <v>13</v>
      </c>
      <c r="M146" s="103">
        <f>VLOOKUP($A146,'OI(Value)'!$A$7:$O$323,9,0)</f>
        <v>13</v>
      </c>
      <c r="N146" s="103">
        <f>VLOOKUP($A146,'OI(Value)'!$A$7:$O$323,11,0)</f>
        <v>10</v>
      </c>
      <c r="O146" s="103">
        <f>VLOOKUP($A146,'OI(Value)'!$A$7:$O$323,12,0)</f>
        <v>6</v>
      </c>
      <c r="P146" s="179">
        <f>VLOOKUP(A146,'OI(Value)'!A146:O364,8,0)</f>
        <v>13</v>
      </c>
      <c r="Q146" s="179">
        <f>VLOOKUP(A146,'OI(Value)'!A146:O364,9,0)</f>
        <v>13</v>
      </c>
      <c r="R146" s="179">
        <f>VLOOKUP(A146,'OI(Value)'!A146:O364,11,0)</f>
        <v>10</v>
      </c>
      <c r="S146" s="179">
        <f>VLOOKUP(A146,'OI(Value)'!A146:O364,11,0)</f>
        <v>10</v>
      </c>
    </row>
    <row r="147" spans="1:19" x14ac:dyDescent="0.25">
      <c r="A147" s="105" t="str">
        <f>'Data Vlaue (Cr)'!C142</f>
        <v>NMDC</v>
      </c>
      <c r="B147" s="143">
        <f>VLOOKUP($A147,'Data shares'!$C:$FA,118)</f>
        <v>0.6</v>
      </c>
      <c r="C147" s="143">
        <f>VLOOKUP($A147,'Data shares'!$C:$FA,119)</f>
        <v>0.69</v>
      </c>
      <c r="D147" s="143">
        <f>VLOOKUP($A147,'Data shares'!$C:$FA,121)*100</f>
        <v>-13.04</v>
      </c>
      <c r="E147" s="143">
        <f>VLOOKUP($A147,'Data shares'!$C:$FA,124)</f>
        <v>0.28000000000000003</v>
      </c>
      <c r="F147" s="143">
        <f>VLOOKUP($A147,'Data shares'!$C:$FA,125)</f>
        <v>0.49</v>
      </c>
      <c r="G147" s="143">
        <f>VLOOKUP($A147,'Data shares'!$C:$FA,127)*100</f>
        <v>-42.86</v>
      </c>
      <c r="H147" s="103">
        <f>VLOOKUP($A147,'OI(Volume)'!$A$7:$O$440,8)</f>
        <v>57341250</v>
      </c>
      <c r="I147" s="103">
        <f>VLOOKUP($A147,'OI(Volume)'!$A$7:$O$440,9)</f>
        <v>10341000</v>
      </c>
      <c r="J147" s="103">
        <f>VLOOKUP($A147,'OI(Volume)'!$A$7:$O$440,11)</f>
        <v>34161750</v>
      </c>
      <c r="K147" s="103">
        <f>VLOOKUP($A147,'OI(Volume)'!$A$7:$O$440,12)</f>
        <v>1923750</v>
      </c>
      <c r="L147" s="103">
        <f>VLOOKUP($A147,'OI(Value)'!$A$7:$O$323,8,0)</f>
        <v>468</v>
      </c>
      <c r="M147" s="103">
        <f>VLOOKUP($A147,'OI(Value)'!$A$7:$O$323,9,0)</f>
        <v>84</v>
      </c>
      <c r="N147" s="103">
        <f>VLOOKUP($A147,'OI(Value)'!$A$7:$O$323,11,0)</f>
        <v>279</v>
      </c>
      <c r="O147" s="103">
        <f>VLOOKUP($A147,'OI(Value)'!$A$7:$O$323,12,0)</f>
        <v>16</v>
      </c>
      <c r="P147" s="179">
        <f>VLOOKUP(A147,'OI(Value)'!A147:O365,8,0)</f>
        <v>468</v>
      </c>
      <c r="Q147" s="179">
        <f>VLOOKUP(A147,'OI(Value)'!A147:O365,9,0)</f>
        <v>84</v>
      </c>
      <c r="R147" s="179">
        <f>VLOOKUP(A147,'OI(Value)'!A147:O365,11,0)</f>
        <v>279</v>
      </c>
      <c r="S147" s="179">
        <f>VLOOKUP(A147,'OI(Value)'!A147:O365,11,0)</f>
        <v>279</v>
      </c>
    </row>
    <row r="148" spans="1:19" x14ac:dyDescent="0.25">
      <c r="A148" s="105" t="str">
        <f>'Data Vlaue (Cr)'!C143</f>
        <v>NTPC</v>
      </c>
      <c r="B148" s="143">
        <f>VLOOKUP($A148,'Data shares'!$C:$FA,118)</f>
        <v>0.81</v>
      </c>
      <c r="C148" s="143">
        <f>VLOOKUP($A148,'Data shares'!$C:$FA,119)</f>
        <v>0.86</v>
      </c>
      <c r="D148" s="143">
        <f>VLOOKUP($A148,'Data shares'!$C:$FA,121)*100</f>
        <v>-5.81</v>
      </c>
      <c r="E148" s="143">
        <f>VLOOKUP($A148,'Data shares'!$C:$FA,124)</f>
        <v>0.41</v>
      </c>
      <c r="F148" s="143">
        <f>VLOOKUP($A148,'Data shares'!$C:$FA,125)</f>
        <v>0.56000000000000005</v>
      </c>
      <c r="G148" s="143">
        <f>VLOOKUP($A148,'Data shares'!$C:$FA,127)*100</f>
        <v>-26.790000000000003</v>
      </c>
      <c r="H148" s="103">
        <f>VLOOKUP($A148,'OI(Volume)'!$A$7:$O$440,8)</f>
        <v>16818000</v>
      </c>
      <c r="I148" s="103">
        <f>VLOOKUP($A148,'OI(Volume)'!$A$7:$O$440,9)</f>
        <v>4572000</v>
      </c>
      <c r="J148" s="103">
        <f>VLOOKUP($A148,'OI(Volume)'!$A$7:$O$440,11)</f>
        <v>13540500</v>
      </c>
      <c r="K148" s="103">
        <f>VLOOKUP($A148,'OI(Volume)'!$A$7:$O$440,12)</f>
        <v>2977500</v>
      </c>
      <c r="L148" s="103">
        <f>VLOOKUP($A148,'OI(Value)'!$A$7:$O$323,8,0)</f>
        <v>584</v>
      </c>
      <c r="M148" s="103">
        <f>VLOOKUP($A148,'OI(Value)'!$A$7:$O$323,9,0)</f>
        <v>159</v>
      </c>
      <c r="N148" s="103">
        <f>VLOOKUP($A148,'OI(Value)'!$A$7:$O$323,11,0)</f>
        <v>471</v>
      </c>
      <c r="O148" s="103">
        <f>VLOOKUP($A148,'OI(Value)'!$A$7:$O$323,12,0)</f>
        <v>103</v>
      </c>
      <c r="P148" s="179">
        <f>VLOOKUP(A148,'OI(Value)'!A148:O366,8,0)</f>
        <v>584</v>
      </c>
      <c r="Q148" s="179">
        <f>VLOOKUP(A148,'OI(Value)'!A148:O366,9,0)</f>
        <v>159</v>
      </c>
      <c r="R148" s="179">
        <f>VLOOKUP(A148,'OI(Value)'!A148:O366,11,0)</f>
        <v>471</v>
      </c>
      <c r="S148" s="179">
        <f>VLOOKUP(A148,'OI(Value)'!A148:O366,11,0)</f>
        <v>471</v>
      </c>
    </row>
    <row r="149" spans="1:19" x14ac:dyDescent="0.25">
      <c r="A149" s="105" t="str">
        <f>'Data Vlaue (Cr)'!C144</f>
        <v>NUVAMA</v>
      </c>
      <c r="B149" s="143">
        <f>VLOOKUP($A149,'Data shares'!$C:$FA,118)</f>
        <v>0.88</v>
      </c>
      <c r="C149" s="143">
        <f>VLOOKUP($A149,'Data shares'!$C:$FA,119)</f>
        <v>0.92</v>
      </c>
      <c r="D149" s="143">
        <f>VLOOKUP($A149,'Data shares'!$C:$FA,121)*100</f>
        <v>-4.3499999999999996</v>
      </c>
      <c r="E149" s="143">
        <f>VLOOKUP($A149,'Data shares'!$C:$FA,124)</f>
        <v>0.45</v>
      </c>
      <c r="F149" s="143">
        <f>VLOOKUP($A149,'Data shares'!$C:$FA,125)</f>
        <v>0.91</v>
      </c>
      <c r="G149" s="143">
        <f>VLOOKUP($A149,'Data shares'!$C:$FA,127)*100</f>
        <v>-50.55</v>
      </c>
      <c r="H149" s="103">
        <f>VLOOKUP($A149,'OI(Volume)'!$A$7:$O$440,8)</f>
        <v>590000</v>
      </c>
      <c r="I149" s="103">
        <f>VLOOKUP($A149,'OI(Volume)'!$A$7:$O$440,9)</f>
        <v>155500</v>
      </c>
      <c r="J149" s="103">
        <f>VLOOKUP($A149,'OI(Volume)'!$A$7:$O$440,11)</f>
        <v>520000</v>
      </c>
      <c r="K149" s="103">
        <f>VLOOKUP($A149,'OI(Volume)'!$A$7:$O$440,12)</f>
        <v>119500</v>
      </c>
      <c r="L149" s="103">
        <f>VLOOKUP($A149,'OI(Value)'!$A$7:$O$323,8,0)</f>
        <v>79</v>
      </c>
      <c r="M149" s="103">
        <f>VLOOKUP($A149,'OI(Value)'!$A$7:$O$323,9,0)</f>
        <v>21</v>
      </c>
      <c r="N149" s="103">
        <f>VLOOKUP($A149,'OI(Value)'!$A$7:$O$323,11,0)</f>
        <v>69</v>
      </c>
      <c r="O149" s="103">
        <f>VLOOKUP($A149,'OI(Value)'!$A$7:$O$323,12,0)</f>
        <v>16</v>
      </c>
      <c r="P149" s="179">
        <f>VLOOKUP(A149,'OI(Value)'!A149:O367,8,0)</f>
        <v>79</v>
      </c>
      <c r="Q149" s="179">
        <f>VLOOKUP(A149,'OI(Value)'!A149:O367,9,0)</f>
        <v>21</v>
      </c>
      <c r="R149" s="179">
        <f>VLOOKUP(A149,'OI(Value)'!A149:O367,11,0)</f>
        <v>69</v>
      </c>
      <c r="S149" s="179">
        <f>VLOOKUP(A149,'OI(Value)'!A149:O367,11,0)</f>
        <v>69</v>
      </c>
    </row>
    <row r="150" spans="1:19" x14ac:dyDescent="0.25">
      <c r="A150" s="105" t="str">
        <f>'Data Vlaue (Cr)'!C145</f>
        <v>NYKAA</v>
      </c>
      <c r="B150" s="143">
        <f>VLOOKUP($A150,'Data shares'!$C:$FA,118)</f>
        <v>1.22</v>
      </c>
      <c r="C150" s="143">
        <f>VLOOKUP($A150,'Data shares'!$C:$FA,119)</f>
        <v>1.23</v>
      </c>
      <c r="D150" s="143">
        <f>VLOOKUP($A150,'Data shares'!$C:$FA,121)*100</f>
        <v>-0.80999999999999994</v>
      </c>
      <c r="E150" s="143">
        <f>VLOOKUP($A150,'Data shares'!$C:$FA,124)</f>
        <v>0.9</v>
      </c>
      <c r="F150" s="143">
        <f>VLOOKUP($A150,'Data shares'!$C:$FA,125)</f>
        <v>1.3</v>
      </c>
      <c r="G150" s="143">
        <f>VLOOKUP($A150,'Data shares'!$C:$FA,127)*100</f>
        <v>-30.769999999999996</v>
      </c>
      <c r="H150" s="103">
        <f>VLOOKUP($A150,'OI(Volume)'!$A$7:$O$440,8)</f>
        <v>5381250</v>
      </c>
      <c r="I150" s="103">
        <f>VLOOKUP($A150,'OI(Volume)'!$A$7:$O$440,9)</f>
        <v>775000</v>
      </c>
      <c r="J150" s="103">
        <f>VLOOKUP($A150,'OI(Volume)'!$A$7:$O$440,11)</f>
        <v>6553125</v>
      </c>
      <c r="K150" s="103">
        <f>VLOOKUP($A150,'OI(Volume)'!$A$7:$O$440,12)</f>
        <v>887500</v>
      </c>
      <c r="L150" s="103">
        <f>VLOOKUP($A150,'OI(Value)'!$A$7:$O$323,8,0)</f>
        <v>129</v>
      </c>
      <c r="M150" s="103">
        <f>VLOOKUP($A150,'OI(Value)'!$A$7:$O$323,9,0)</f>
        <v>19</v>
      </c>
      <c r="N150" s="103">
        <f>VLOOKUP($A150,'OI(Value)'!$A$7:$O$323,11,0)</f>
        <v>156</v>
      </c>
      <c r="O150" s="103">
        <f>VLOOKUP($A150,'OI(Value)'!$A$7:$O$323,12,0)</f>
        <v>21</v>
      </c>
      <c r="P150" s="179">
        <f>VLOOKUP(A150,'OI(Value)'!A150:O368,8,0)</f>
        <v>129</v>
      </c>
      <c r="Q150" s="179">
        <f>VLOOKUP(A150,'OI(Value)'!A150:O368,9,0)</f>
        <v>19</v>
      </c>
      <c r="R150" s="179">
        <f>VLOOKUP(A150,'OI(Value)'!A150:O368,11,0)</f>
        <v>156</v>
      </c>
      <c r="S150" s="179">
        <f>VLOOKUP(A150,'OI(Value)'!A150:O368,11,0)</f>
        <v>156</v>
      </c>
    </row>
    <row r="151" spans="1:19" x14ac:dyDescent="0.25">
      <c r="A151" s="105" t="str">
        <f>'Data Vlaue (Cr)'!C146</f>
        <v>OBEROIRLTY</v>
      </c>
      <c r="B151" s="143">
        <f>VLOOKUP($A151,'Data shares'!$C:$FA,118)</f>
        <v>1.39</v>
      </c>
      <c r="C151" s="143">
        <f>VLOOKUP($A151,'Data shares'!$C:$FA,119)</f>
        <v>1.29</v>
      </c>
      <c r="D151" s="143">
        <f>VLOOKUP($A151,'Data shares'!$C:$FA,121)*100</f>
        <v>7.75</v>
      </c>
      <c r="E151" s="143">
        <f>VLOOKUP($A151,'Data shares'!$C:$FA,124)</f>
        <v>0.76</v>
      </c>
      <c r="F151" s="143">
        <f>VLOOKUP($A151,'Data shares'!$C:$FA,125)</f>
        <v>0.67</v>
      </c>
      <c r="G151" s="143">
        <f>VLOOKUP($A151,'Data shares'!$C:$FA,127)*100</f>
        <v>13.43</v>
      </c>
      <c r="H151" s="103">
        <f>VLOOKUP($A151,'OI(Volume)'!$A$7:$O$440,8)</f>
        <v>722750</v>
      </c>
      <c r="I151" s="103">
        <f>VLOOKUP($A151,'OI(Volume)'!$A$7:$O$440,9)</f>
        <v>139650</v>
      </c>
      <c r="J151" s="103">
        <f>VLOOKUP($A151,'OI(Volume)'!$A$7:$O$440,11)</f>
        <v>1006250</v>
      </c>
      <c r="K151" s="103">
        <f>VLOOKUP($A151,'OI(Volume)'!$A$7:$O$440,12)</f>
        <v>252700</v>
      </c>
      <c r="L151" s="103">
        <f>VLOOKUP($A151,'OI(Value)'!$A$7:$O$323,8,0)</f>
        <v>108</v>
      </c>
      <c r="M151" s="103">
        <f>VLOOKUP($A151,'OI(Value)'!$A$7:$O$323,9,0)</f>
        <v>21</v>
      </c>
      <c r="N151" s="103">
        <f>VLOOKUP($A151,'OI(Value)'!$A$7:$O$323,11,0)</f>
        <v>150</v>
      </c>
      <c r="O151" s="103">
        <f>VLOOKUP($A151,'OI(Value)'!$A$7:$O$323,12,0)</f>
        <v>38</v>
      </c>
      <c r="P151" s="179">
        <f>VLOOKUP(A151,'OI(Value)'!A151:O369,8,0)</f>
        <v>108</v>
      </c>
      <c r="Q151" s="179">
        <f>VLOOKUP(A151,'OI(Value)'!A151:O369,9,0)</f>
        <v>21</v>
      </c>
      <c r="R151" s="179">
        <f>VLOOKUP(A151,'OI(Value)'!A151:O369,11,0)</f>
        <v>150</v>
      </c>
      <c r="S151" s="179">
        <f>VLOOKUP(A151,'OI(Value)'!A151:O369,11,0)</f>
        <v>150</v>
      </c>
    </row>
    <row r="152" spans="1:19" x14ac:dyDescent="0.25">
      <c r="A152" s="105" t="str">
        <f>'Data Vlaue (Cr)'!C147</f>
        <v>OFSS</v>
      </c>
      <c r="B152" s="143">
        <f>VLOOKUP($A152,'Data shares'!$C:$FA,118)</f>
        <v>0.82</v>
      </c>
      <c r="C152" s="143">
        <f>VLOOKUP($A152,'Data shares'!$C:$FA,119)</f>
        <v>0.82</v>
      </c>
      <c r="D152" s="143">
        <f>VLOOKUP($A152,'Data shares'!$C:$FA,121)*100</f>
        <v>0</v>
      </c>
      <c r="E152" s="143">
        <f>VLOOKUP($A152,'Data shares'!$C:$FA,124)</f>
        <v>0.48</v>
      </c>
      <c r="F152" s="143">
        <f>VLOOKUP($A152,'Data shares'!$C:$FA,125)</f>
        <v>0.78</v>
      </c>
      <c r="G152" s="143">
        <f>VLOOKUP($A152,'Data shares'!$C:$FA,127)*100</f>
        <v>-38.46</v>
      </c>
      <c r="H152" s="103">
        <f>VLOOKUP($A152,'OI(Volume)'!$A$7:$O$440,8)</f>
        <v>208575</v>
      </c>
      <c r="I152" s="103">
        <f>VLOOKUP($A152,'OI(Volume)'!$A$7:$O$440,9)</f>
        <v>22500</v>
      </c>
      <c r="J152" s="103">
        <f>VLOOKUP($A152,'OI(Volume)'!$A$7:$O$440,11)</f>
        <v>172050</v>
      </c>
      <c r="K152" s="103">
        <f>VLOOKUP($A152,'OI(Volume)'!$A$7:$O$440,12)</f>
        <v>19575</v>
      </c>
      <c r="L152" s="103">
        <f>VLOOKUP($A152,'OI(Value)'!$A$7:$O$323,8,0)</f>
        <v>168</v>
      </c>
      <c r="M152" s="103">
        <f>VLOOKUP($A152,'OI(Value)'!$A$7:$O$323,9,0)</f>
        <v>18</v>
      </c>
      <c r="N152" s="103">
        <f>VLOOKUP($A152,'OI(Value)'!$A$7:$O$323,11,0)</f>
        <v>139</v>
      </c>
      <c r="O152" s="103">
        <f>VLOOKUP($A152,'OI(Value)'!$A$7:$O$323,12,0)</f>
        <v>16</v>
      </c>
      <c r="P152" s="179">
        <f>VLOOKUP(A152,'OI(Value)'!A152:O370,8,0)</f>
        <v>168</v>
      </c>
      <c r="Q152" s="179">
        <f>VLOOKUP(A152,'OI(Value)'!A152:O370,9,0)</f>
        <v>18</v>
      </c>
      <c r="R152" s="179">
        <f>VLOOKUP(A152,'OI(Value)'!A152:O370,11,0)</f>
        <v>139</v>
      </c>
      <c r="S152" s="179">
        <f>VLOOKUP(A152,'OI(Value)'!A152:O370,11,0)</f>
        <v>139</v>
      </c>
    </row>
    <row r="153" spans="1:19" x14ac:dyDescent="0.25">
      <c r="A153" s="105" t="str">
        <f>'Data Vlaue (Cr)'!C148</f>
        <v>OIL</v>
      </c>
      <c r="B153" s="143">
        <f>VLOOKUP($A153,'Data shares'!$C:$FA,118)</f>
        <v>0.84</v>
      </c>
      <c r="C153" s="143">
        <f>VLOOKUP($A153,'Data shares'!$C:$FA,119)</f>
        <v>0.6</v>
      </c>
      <c r="D153" s="143">
        <f>VLOOKUP($A153,'Data shares'!$C:$FA,121)*100</f>
        <v>40</v>
      </c>
      <c r="E153" s="143">
        <f>VLOOKUP($A153,'Data shares'!$C:$FA,124)</f>
        <v>0.3</v>
      </c>
      <c r="F153" s="143">
        <f>VLOOKUP($A153,'Data shares'!$C:$FA,125)</f>
        <v>0.18</v>
      </c>
      <c r="G153" s="143">
        <f>VLOOKUP($A153,'Data shares'!$C:$FA,127)*100</f>
        <v>66.67</v>
      </c>
      <c r="H153" s="103">
        <f>VLOOKUP($A153,'OI(Volume)'!$A$7:$O$440,8)</f>
        <v>4776800</v>
      </c>
      <c r="I153" s="103">
        <f>VLOOKUP($A153,'OI(Volume)'!$A$7:$O$440,9)</f>
        <v>2079000</v>
      </c>
      <c r="J153" s="103">
        <f>VLOOKUP($A153,'OI(Volume)'!$A$7:$O$440,11)</f>
        <v>4030600</v>
      </c>
      <c r="K153" s="103">
        <f>VLOOKUP($A153,'OI(Volume)'!$A$7:$O$440,12)</f>
        <v>2412200</v>
      </c>
      <c r="L153" s="103">
        <f>VLOOKUP($A153,'OI(Value)'!$A$7:$O$323,8,0)</f>
        <v>234</v>
      </c>
      <c r="M153" s="103">
        <f>VLOOKUP($A153,'OI(Value)'!$A$7:$O$323,9,0)</f>
        <v>102</v>
      </c>
      <c r="N153" s="103">
        <f>VLOOKUP($A153,'OI(Value)'!$A$7:$O$323,11,0)</f>
        <v>198</v>
      </c>
      <c r="O153" s="103">
        <f>VLOOKUP($A153,'OI(Value)'!$A$7:$O$323,12,0)</f>
        <v>118</v>
      </c>
      <c r="P153" s="179">
        <f>VLOOKUP(A153,'OI(Value)'!A153:O371,8,0)</f>
        <v>234</v>
      </c>
      <c r="Q153" s="179">
        <f>VLOOKUP(A153,'OI(Value)'!A153:O371,9,0)</f>
        <v>102</v>
      </c>
      <c r="R153" s="179">
        <f>VLOOKUP(A153,'OI(Value)'!A153:O371,11,0)</f>
        <v>198</v>
      </c>
      <c r="S153" s="179">
        <f>VLOOKUP(A153,'OI(Value)'!A153:O371,11,0)</f>
        <v>198</v>
      </c>
    </row>
    <row r="154" spans="1:19" x14ac:dyDescent="0.25">
      <c r="A154" s="105" t="str">
        <f>'Data Vlaue (Cr)'!C149</f>
        <v>ONGC</v>
      </c>
      <c r="B154" s="143">
        <f>VLOOKUP($A154,'Data shares'!$C:$FA,118)</f>
        <v>0.88</v>
      </c>
      <c r="C154" s="143">
        <f>VLOOKUP($A154,'Data shares'!$C:$FA,119)</f>
        <v>0.82</v>
      </c>
      <c r="D154" s="143">
        <f>VLOOKUP($A154,'Data shares'!$C:$FA,121)*100</f>
        <v>7.32</v>
      </c>
      <c r="E154" s="143">
        <f>VLOOKUP($A154,'Data shares'!$C:$FA,124)</f>
        <v>0.35</v>
      </c>
      <c r="F154" s="143">
        <f>VLOOKUP($A154,'Data shares'!$C:$FA,125)</f>
        <v>0.37</v>
      </c>
      <c r="G154" s="143">
        <f>VLOOKUP($A154,'Data shares'!$C:$FA,127)*100</f>
        <v>-5.41</v>
      </c>
      <c r="H154" s="103">
        <f>VLOOKUP($A154,'OI(Volume)'!$A$7:$O$440,8)</f>
        <v>27582750</v>
      </c>
      <c r="I154" s="103">
        <f>VLOOKUP($A154,'OI(Volume)'!$A$7:$O$440,9)</f>
        <v>12570750</v>
      </c>
      <c r="J154" s="103">
        <f>VLOOKUP($A154,'OI(Volume)'!$A$7:$O$440,11)</f>
        <v>24394500</v>
      </c>
      <c r="K154" s="103">
        <f>VLOOKUP($A154,'OI(Volume)'!$A$7:$O$440,12)</f>
        <v>12127500</v>
      </c>
      <c r="L154" s="103">
        <f>VLOOKUP($A154,'OI(Value)'!$A$7:$O$323,8,0)</f>
        <v>739</v>
      </c>
      <c r="M154" s="103">
        <f>VLOOKUP($A154,'OI(Value)'!$A$7:$O$323,9,0)</f>
        <v>337</v>
      </c>
      <c r="N154" s="103">
        <f>VLOOKUP($A154,'OI(Value)'!$A$7:$O$323,11,0)</f>
        <v>654</v>
      </c>
      <c r="O154" s="103">
        <f>VLOOKUP($A154,'OI(Value)'!$A$7:$O$323,12,0)</f>
        <v>325</v>
      </c>
      <c r="P154" s="179">
        <f>VLOOKUP(A154,'OI(Value)'!A154:O372,8,0)</f>
        <v>739</v>
      </c>
      <c r="Q154" s="179">
        <f>VLOOKUP(A154,'OI(Value)'!A154:O372,9,0)</f>
        <v>337</v>
      </c>
      <c r="R154" s="179">
        <f>VLOOKUP(A154,'OI(Value)'!A154:O372,11,0)</f>
        <v>654</v>
      </c>
      <c r="S154" s="179">
        <f>VLOOKUP(A154,'OI(Value)'!A154:O372,11,0)</f>
        <v>654</v>
      </c>
    </row>
    <row r="155" spans="1:19" x14ac:dyDescent="0.25">
      <c r="A155" s="105" t="str">
        <f>'Data Vlaue (Cr)'!C150</f>
        <v>PAGEIND</v>
      </c>
      <c r="B155" s="143">
        <f>VLOOKUP($A155,'Data shares'!$C:$FA,118)</f>
        <v>0.68</v>
      </c>
      <c r="C155" s="143">
        <f>VLOOKUP($A155,'Data shares'!$C:$FA,119)</f>
        <v>0.66</v>
      </c>
      <c r="D155" s="143">
        <f>VLOOKUP($A155,'Data shares'!$C:$FA,121)*100</f>
        <v>3.0300000000000002</v>
      </c>
      <c r="E155" s="143">
        <f>VLOOKUP($A155,'Data shares'!$C:$FA,124)</f>
        <v>0.25</v>
      </c>
      <c r="F155" s="143">
        <f>VLOOKUP($A155,'Data shares'!$C:$FA,125)</f>
        <v>0.41</v>
      </c>
      <c r="G155" s="143">
        <f>VLOOKUP($A155,'Data shares'!$C:$FA,127)*100</f>
        <v>-39.019999999999996</v>
      </c>
      <c r="H155" s="103">
        <f>VLOOKUP($A155,'OI(Volume)'!$A$7:$O$440,8)</f>
        <v>39255</v>
      </c>
      <c r="I155" s="103">
        <f>VLOOKUP($A155,'OI(Volume)'!$A$7:$O$440,9)</f>
        <v>8610</v>
      </c>
      <c r="J155" s="103">
        <f>VLOOKUP($A155,'OI(Volume)'!$A$7:$O$440,11)</f>
        <v>26625</v>
      </c>
      <c r="K155" s="103">
        <f>VLOOKUP($A155,'OI(Volume)'!$A$7:$O$440,12)</f>
        <v>6435</v>
      </c>
      <c r="L155" s="103">
        <f>VLOOKUP($A155,'OI(Value)'!$A$7:$O$323,8,0)</f>
        <v>126</v>
      </c>
      <c r="M155" s="103">
        <f>VLOOKUP($A155,'OI(Value)'!$A$7:$O$323,9,0)</f>
        <v>28</v>
      </c>
      <c r="N155" s="103">
        <f>VLOOKUP($A155,'OI(Value)'!$A$7:$O$323,11,0)</f>
        <v>85</v>
      </c>
      <c r="O155" s="103">
        <f>VLOOKUP($A155,'OI(Value)'!$A$7:$O$323,12,0)</f>
        <v>21</v>
      </c>
      <c r="P155" s="179">
        <f>VLOOKUP(A155,'OI(Value)'!A155:O373,8,0)</f>
        <v>126</v>
      </c>
      <c r="Q155" s="179">
        <f>VLOOKUP(A155,'OI(Value)'!A155:O373,9,0)</f>
        <v>28</v>
      </c>
      <c r="R155" s="179">
        <f>VLOOKUP(A155,'OI(Value)'!A155:O373,11,0)</f>
        <v>85</v>
      </c>
      <c r="S155" s="179">
        <f>VLOOKUP(A155,'OI(Value)'!A155:O373,11,0)</f>
        <v>85</v>
      </c>
    </row>
    <row r="156" spans="1:19" x14ac:dyDescent="0.25">
      <c r="A156" s="105" t="str">
        <f>'Data Vlaue (Cr)'!C151</f>
        <v>PATANJALI</v>
      </c>
      <c r="B156" s="143">
        <f>VLOOKUP($A156,'Data shares'!$C:$FA,118)</f>
        <v>1.02</v>
      </c>
      <c r="C156" s="143">
        <f>VLOOKUP($A156,'Data shares'!$C:$FA,119)</f>
        <v>1.05</v>
      </c>
      <c r="D156" s="143">
        <f>VLOOKUP($A156,'Data shares'!$C:$FA,121)*100</f>
        <v>-2.86</v>
      </c>
      <c r="E156" s="143">
        <f>VLOOKUP($A156,'Data shares'!$C:$FA,124)</f>
        <v>0.68</v>
      </c>
      <c r="F156" s="143">
        <f>VLOOKUP($A156,'Data shares'!$C:$FA,125)</f>
        <v>0.96</v>
      </c>
      <c r="G156" s="143">
        <f>VLOOKUP($A156,'Data shares'!$C:$FA,127)*100</f>
        <v>-29.17</v>
      </c>
      <c r="H156" s="103">
        <f>VLOOKUP($A156,'OI(Volume)'!$A$7:$O$440,8)</f>
        <v>1131300</v>
      </c>
      <c r="I156" s="103">
        <f>VLOOKUP($A156,'OI(Volume)'!$A$7:$O$440,9)</f>
        <v>363600</v>
      </c>
      <c r="J156" s="103">
        <f>VLOOKUP($A156,'OI(Volume)'!$A$7:$O$440,11)</f>
        <v>1154700</v>
      </c>
      <c r="K156" s="103">
        <f>VLOOKUP($A156,'OI(Volume)'!$A$7:$O$440,12)</f>
        <v>351900</v>
      </c>
      <c r="L156" s="103">
        <f>VLOOKUP($A156,'OI(Value)'!$A$7:$O$323,8,0)</f>
        <v>57</v>
      </c>
      <c r="M156" s="103">
        <f>VLOOKUP($A156,'OI(Value)'!$A$7:$O$323,9,0)</f>
        <v>18</v>
      </c>
      <c r="N156" s="103">
        <f>VLOOKUP($A156,'OI(Value)'!$A$7:$O$323,11,0)</f>
        <v>59</v>
      </c>
      <c r="O156" s="103">
        <f>VLOOKUP($A156,'OI(Value)'!$A$7:$O$323,12,0)</f>
        <v>18</v>
      </c>
      <c r="P156" s="179">
        <f>VLOOKUP(A156,'OI(Value)'!A156:O374,8,0)</f>
        <v>57</v>
      </c>
      <c r="Q156" s="179">
        <f>VLOOKUP(A156,'OI(Value)'!A156:O374,9,0)</f>
        <v>18</v>
      </c>
      <c r="R156" s="179">
        <f>VLOOKUP(A156,'OI(Value)'!A156:O374,11,0)</f>
        <v>59</v>
      </c>
      <c r="S156" s="179">
        <f>VLOOKUP(A156,'OI(Value)'!A156:O374,11,0)</f>
        <v>59</v>
      </c>
    </row>
    <row r="157" spans="1:19" x14ac:dyDescent="0.25">
      <c r="A157" s="105" t="str">
        <f>'Data Vlaue (Cr)'!C152</f>
        <v>PAYTM</v>
      </c>
      <c r="B157" s="143">
        <f>VLOOKUP($A157,'Data shares'!$C:$FA,118)</f>
        <v>0.69</v>
      </c>
      <c r="C157" s="143">
        <f>VLOOKUP($A157,'Data shares'!$C:$FA,119)</f>
        <v>0.77</v>
      </c>
      <c r="D157" s="143">
        <f>VLOOKUP($A157,'Data shares'!$C:$FA,121)*100</f>
        <v>-10.39</v>
      </c>
      <c r="E157" s="143">
        <f>VLOOKUP($A157,'Data shares'!$C:$FA,124)</f>
        <v>0.35</v>
      </c>
      <c r="F157" s="143">
        <f>VLOOKUP($A157,'Data shares'!$C:$FA,125)</f>
        <v>0.73</v>
      </c>
      <c r="G157" s="143">
        <f>VLOOKUP($A157,'Data shares'!$C:$FA,127)*100</f>
        <v>-52.05</v>
      </c>
      <c r="H157" s="103">
        <f>VLOOKUP($A157,'OI(Volume)'!$A$7:$O$440,8)</f>
        <v>5457075</v>
      </c>
      <c r="I157" s="103">
        <f>VLOOKUP($A157,'OI(Volume)'!$A$7:$O$440,9)</f>
        <v>625675</v>
      </c>
      <c r="J157" s="103">
        <f>VLOOKUP($A157,'OI(Volume)'!$A$7:$O$440,11)</f>
        <v>3776525</v>
      </c>
      <c r="K157" s="103">
        <f>VLOOKUP($A157,'OI(Volume)'!$A$7:$O$440,12)</f>
        <v>61625</v>
      </c>
      <c r="L157" s="103">
        <f>VLOOKUP($A157,'OI(Value)'!$A$7:$O$323,8,0)</f>
        <v>646</v>
      </c>
      <c r="M157" s="103">
        <f>VLOOKUP($A157,'OI(Value)'!$A$7:$O$323,9,0)</f>
        <v>74</v>
      </c>
      <c r="N157" s="103">
        <f>VLOOKUP($A157,'OI(Value)'!$A$7:$O$323,11,0)</f>
        <v>447</v>
      </c>
      <c r="O157" s="103">
        <f>VLOOKUP($A157,'OI(Value)'!$A$7:$O$323,12,0)</f>
        <v>7</v>
      </c>
      <c r="P157" s="179">
        <f>VLOOKUP(A157,'OI(Value)'!A157:O375,8,0)</f>
        <v>646</v>
      </c>
      <c r="Q157" s="179">
        <f>VLOOKUP(A157,'OI(Value)'!A157:O375,9,0)</f>
        <v>74</v>
      </c>
      <c r="R157" s="179">
        <f>VLOOKUP(A157,'OI(Value)'!A157:O375,11,0)</f>
        <v>447</v>
      </c>
      <c r="S157" s="179">
        <f>VLOOKUP(A157,'OI(Value)'!A157:O375,11,0)</f>
        <v>447</v>
      </c>
    </row>
    <row r="158" spans="1:19" x14ac:dyDescent="0.25">
      <c r="A158" s="105" t="str">
        <f>'Data Vlaue (Cr)'!C153</f>
        <v>PERSISTENT</v>
      </c>
      <c r="B158" s="143">
        <f>VLOOKUP($A158,'Data shares'!$C:$FA,118)</f>
        <v>0.75</v>
      </c>
      <c r="C158" s="143">
        <f>VLOOKUP($A158,'Data shares'!$C:$FA,119)</f>
        <v>0.96</v>
      </c>
      <c r="D158" s="143">
        <f>VLOOKUP($A158,'Data shares'!$C:$FA,121)*100</f>
        <v>-21.87</v>
      </c>
      <c r="E158" s="143">
        <f>VLOOKUP($A158,'Data shares'!$C:$FA,124)</f>
        <v>0.46</v>
      </c>
      <c r="F158" s="143">
        <f>VLOOKUP($A158,'Data shares'!$C:$FA,125)</f>
        <v>0.63</v>
      </c>
      <c r="G158" s="143">
        <f>VLOOKUP($A158,'Data shares'!$C:$FA,127)*100</f>
        <v>-26.979999999999997</v>
      </c>
      <c r="H158" s="103">
        <f>VLOOKUP($A158,'OI(Volume)'!$A$7:$O$440,8)</f>
        <v>394600</v>
      </c>
      <c r="I158" s="103">
        <f>VLOOKUP($A158,'OI(Volume)'!$A$7:$O$440,9)</f>
        <v>141000</v>
      </c>
      <c r="J158" s="103">
        <f>VLOOKUP($A158,'OI(Volume)'!$A$7:$O$440,11)</f>
        <v>295200</v>
      </c>
      <c r="K158" s="103">
        <f>VLOOKUP($A158,'OI(Volume)'!$A$7:$O$440,12)</f>
        <v>52700</v>
      </c>
      <c r="L158" s="103">
        <f>VLOOKUP($A158,'OI(Value)'!$A$7:$O$323,8,0)</f>
        <v>246</v>
      </c>
      <c r="M158" s="103">
        <f>VLOOKUP($A158,'OI(Value)'!$A$7:$O$323,9,0)</f>
        <v>88</v>
      </c>
      <c r="N158" s="103">
        <f>VLOOKUP($A158,'OI(Value)'!$A$7:$O$323,11,0)</f>
        <v>184</v>
      </c>
      <c r="O158" s="103">
        <f>VLOOKUP($A158,'OI(Value)'!$A$7:$O$323,12,0)</f>
        <v>33</v>
      </c>
      <c r="P158" s="179">
        <f>VLOOKUP(A158,'OI(Value)'!A158:O376,8,0)</f>
        <v>246</v>
      </c>
      <c r="Q158" s="179">
        <f>VLOOKUP(A158,'OI(Value)'!A158:O376,9,0)</f>
        <v>88</v>
      </c>
      <c r="R158" s="179">
        <f>VLOOKUP(A158,'OI(Value)'!A158:O376,11,0)</f>
        <v>184</v>
      </c>
      <c r="S158" s="179">
        <f>VLOOKUP(A158,'OI(Value)'!A158:O376,11,0)</f>
        <v>184</v>
      </c>
    </row>
    <row r="159" spans="1:19" x14ac:dyDescent="0.25">
      <c r="A159" s="105" t="str">
        <f>'Data Vlaue (Cr)'!C154</f>
        <v>PETRONET</v>
      </c>
      <c r="B159" s="143">
        <f>VLOOKUP($A159,'Data shares'!$C:$FA,118)</f>
        <v>1.01</v>
      </c>
      <c r="C159" s="143">
        <f>VLOOKUP($A159,'Data shares'!$C:$FA,119)</f>
        <v>1.4</v>
      </c>
      <c r="D159" s="143">
        <f>VLOOKUP($A159,'Data shares'!$C:$FA,121)*100</f>
        <v>-27.860000000000003</v>
      </c>
      <c r="E159" s="143">
        <f>VLOOKUP($A159,'Data shares'!$C:$FA,124)</f>
        <v>0.25</v>
      </c>
      <c r="F159" s="143">
        <f>VLOOKUP($A159,'Data shares'!$C:$FA,125)</f>
        <v>1.64</v>
      </c>
      <c r="G159" s="143">
        <f>VLOOKUP($A159,'Data shares'!$C:$FA,127)*100</f>
        <v>-84.76</v>
      </c>
      <c r="H159" s="103">
        <f>VLOOKUP($A159,'OI(Volume)'!$A$7:$O$440,8)</f>
        <v>9954100</v>
      </c>
      <c r="I159" s="103">
        <f>VLOOKUP($A159,'OI(Volume)'!$A$7:$O$440,9)</f>
        <v>3530200</v>
      </c>
      <c r="J159" s="103">
        <f>VLOOKUP($A159,'OI(Volume)'!$A$7:$O$440,11)</f>
        <v>10070000</v>
      </c>
      <c r="K159" s="103">
        <f>VLOOKUP($A159,'OI(Volume)'!$A$7:$O$440,12)</f>
        <v>1100100</v>
      </c>
      <c r="L159" s="103">
        <f>VLOOKUP($A159,'OI(Value)'!$A$7:$O$323,8,0)</f>
        <v>291</v>
      </c>
      <c r="M159" s="103">
        <f>VLOOKUP($A159,'OI(Value)'!$A$7:$O$323,9,0)</f>
        <v>103</v>
      </c>
      <c r="N159" s="103">
        <f>VLOOKUP($A159,'OI(Value)'!$A$7:$O$323,11,0)</f>
        <v>295</v>
      </c>
      <c r="O159" s="103">
        <f>VLOOKUP($A159,'OI(Value)'!$A$7:$O$323,12,0)</f>
        <v>32</v>
      </c>
      <c r="P159" s="179">
        <f>VLOOKUP(A159,'OI(Value)'!A159:O377,8,0)</f>
        <v>291</v>
      </c>
      <c r="Q159" s="179">
        <f>VLOOKUP(A159,'OI(Value)'!A159:O377,9,0)</f>
        <v>103</v>
      </c>
      <c r="R159" s="179">
        <f>VLOOKUP(A159,'OI(Value)'!A159:O377,11,0)</f>
        <v>295</v>
      </c>
      <c r="S159" s="179">
        <f>VLOOKUP(A159,'OI(Value)'!A159:O377,11,0)</f>
        <v>295</v>
      </c>
    </row>
    <row r="160" spans="1:19" x14ac:dyDescent="0.25">
      <c r="A160" s="105" t="str">
        <f>'Data Vlaue (Cr)'!C155</f>
        <v>PFC</v>
      </c>
      <c r="B160" s="143">
        <f>VLOOKUP($A160,'Data shares'!$C:$FA,118)</f>
        <v>0.99</v>
      </c>
      <c r="C160" s="143">
        <f>VLOOKUP($A160,'Data shares'!$C:$FA,119)</f>
        <v>1.06</v>
      </c>
      <c r="D160" s="143">
        <f>VLOOKUP($A160,'Data shares'!$C:$FA,121)*100</f>
        <v>-6.6000000000000005</v>
      </c>
      <c r="E160" s="143">
        <f>VLOOKUP($A160,'Data shares'!$C:$FA,124)</f>
        <v>0.35</v>
      </c>
      <c r="F160" s="143">
        <f>VLOOKUP($A160,'Data shares'!$C:$FA,125)</f>
        <v>0.84</v>
      </c>
      <c r="G160" s="143">
        <f>VLOOKUP($A160,'Data shares'!$C:$FA,127)*100</f>
        <v>-58.330000000000005</v>
      </c>
      <c r="H160" s="103">
        <f>VLOOKUP($A160,'OI(Volume)'!$A$7:$O$440,8)</f>
        <v>16629600</v>
      </c>
      <c r="I160" s="103">
        <f>VLOOKUP($A160,'OI(Volume)'!$A$7:$O$440,9)</f>
        <v>2856100</v>
      </c>
      <c r="J160" s="103">
        <f>VLOOKUP($A160,'OI(Volume)'!$A$7:$O$440,11)</f>
        <v>16504800</v>
      </c>
      <c r="K160" s="103">
        <f>VLOOKUP($A160,'OI(Volume)'!$A$7:$O$440,12)</f>
        <v>1839500</v>
      </c>
      <c r="L160" s="103">
        <f>VLOOKUP($A160,'OI(Value)'!$A$7:$O$323,8,0)</f>
        <v>636</v>
      </c>
      <c r="M160" s="103">
        <f>VLOOKUP($A160,'OI(Value)'!$A$7:$O$323,9,0)</f>
        <v>109</v>
      </c>
      <c r="N160" s="103">
        <f>VLOOKUP($A160,'OI(Value)'!$A$7:$O$323,11,0)</f>
        <v>631</v>
      </c>
      <c r="O160" s="103">
        <f>VLOOKUP($A160,'OI(Value)'!$A$7:$O$323,12,0)</f>
        <v>70</v>
      </c>
      <c r="P160" s="179">
        <f>VLOOKUP(A160,'OI(Value)'!A160:O378,8,0)</f>
        <v>636</v>
      </c>
      <c r="Q160" s="179">
        <f>VLOOKUP(A160,'OI(Value)'!A160:O378,9,0)</f>
        <v>109</v>
      </c>
      <c r="R160" s="179">
        <f>VLOOKUP(A160,'OI(Value)'!A160:O378,11,0)</f>
        <v>631</v>
      </c>
      <c r="S160" s="179">
        <f>VLOOKUP(A160,'OI(Value)'!A160:O378,11,0)</f>
        <v>631</v>
      </c>
    </row>
    <row r="161" spans="1:19" x14ac:dyDescent="0.25">
      <c r="A161" s="105" t="str">
        <f>'Data Vlaue (Cr)'!C156</f>
        <v>PGEL</v>
      </c>
      <c r="B161" s="143">
        <f>VLOOKUP($A161,'Data shares'!$C:$FA,118)</f>
        <v>0.86</v>
      </c>
      <c r="C161" s="143">
        <f>VLOOKUP($A161,'Data shares'!$C:$FA,119)</f>
        <v>0.8</v>
      </c>
      <c r="D161" s="143">
        <f>VLOOKUP($A161,'Data shares'!$C:$FA,121)*100</f>
        <v>7.5</v>
      </c>
      <c r="E161" s="143">
        <f>VLOOKUP($A161,'Data shares'!$C:$FA,124)</f>
        <v>0.61</v>
      </c>
      <c r="F161" s="143">
        <f>VLOOKUP($A161,'Data shares'!$C:$FA,125)</f>
        <v>0.78</v>
      </c>
      <c r="G161" s="143">
        <f>VLOOKUP($A161,'Data shares'!$C:$FA,127)*100</f>
        <v>-21.790000000000003</v>
      </c>
      <c r="H161" s="103">
        <f>VLOOKUP($A161,'OI(Volume)'!$A$7:$O$440,8)</f>
        <v>1721400</v>
      </c>
      <c r="I161" s="103">
        <f>VLOOKUP($A161,'OI(Volume)'!$A$7:$O$440,9)</f>
        <v>141550</v>
      </c>
      <c r="J161" s="103">
        <f>VLOOKUP($A161,'OI(Volume)'!$A$7:$O$440,11)</f>
        <v>1486750</v>
      </c>
      <c r="K161" s="103">
        <f>VLOOKUP($A161,'OI(Volume)'!$A$7:$O$440,12)</f>
        <v>220400</v>
      </c>
      <c r="L161" s="103">
        <f>VLOOKUP($A161,'OI(Value)'!$A$7:$O$323,8,0)</f>
        <v>94</v>
      </c>
      <c r="M161" s="103">
        <f>VLOOKUP($A161,'OI(Value)'!$A$7:$O$323,9,0)</f>
        <v>8</v>
      </c>
      <c r="N161" s="103">
        <f>VLOOKUP($A161,'OI(Value)'!$A$7:$O$323,11,0)</f>
        <v>81</v>
      </c>
      <c r="O161" s="103">
        <f>VLOOKUP($A161,'OI(Value)'!$A$7:$O$323,12,0)</f>
        <v>12</v>
      </c>
      <c r="P161" s="179">
        <f>VLOOKUP(A161,'OI(Value)'!A161:O379,8,0)</f>
        <v>94</v>
      </c>
      <c r="Q161" s="179">
        <f>VLOOKUP(A161,'OI(Value)'!A161:O379,9,0)</f>
        <v>8</v>
      </c>
      <c r="R161" s="179">
        <f>VLOOKUP(A161,'OI(Value)'!A161:O379,11,0)</f>
        <v>81</v>
      </c>
      <c r="S161" s="179">
        <f>VLOOKUP(A161,'OI(Value)'!A161:O379,11,0)</f>
        <v>81</v>
      </c>
    </row>
    <row r="162" spans="1:19" x14ac:dyDescent="0.25">
      <c r="A162" s="105" t="str">
        <f>'Data Vlaue (Cr)'!C157</f>
        <v>PHOENIXLTD</v>
      </c>
      <c r="B162" s="143">
        <f>VLOOKUP($A162,'Data shares'!$C:$FA,118)</f>
        <v>0.6</v>
      </c>
      <c r="C162" s="143">
        <f>VLOOKUP($A162,'Data shares'!$C:$FA,119)</f>
        <v>0.54</v>
      </c>
      <c r="D162" s="143">
        <f>VLOOKUP($A162,'Data shares'!$C:$FA,121)*100</f>
        <v>11.110000000000001</v>
      </c>
      <c r="E162" s="143">
        <f>VLOOKUP($A162,'Data shares'!$C:$FA,124)</f>
        <v>0.88</v>
      </c>
      <c r="F162" s="143">
        <f>VLOOKUP($A162,'Data shares'!$C:$FA,125)</f>
        <v>2.15</v>
      </c>
      <c r="G162" s="143">
        <f>VLOOKUP($A162,'Data shares'!$C:$FA,127)*100</f>
        <v>-59.07</v>
      </c>
      <c r="H162" s="103">
        <f>VLOOKUP($A162,'OI(Volume)'!$A$7:$O$440,8)</f>
        <v>546350</v>
      </c>
      <c r="I162" s="103">
        <f>VLOOKUP($A162,'OI(Volume)'!$A$7:$O$440,9)</f>
        <v>176050</v>
      </c>
      <c r="J162" s="103">
        <f>VLOOKUP($A162,'OI(Volume)'!$A$7:$O$440,11)</f>
        <v>328650</v>
      </c>
      <c r="K162" s="103">
        <f>VLOOKUP($A162,'OI(Volume)'!$A$7:$O$440,12)</f>
        <v>130200</v>
      </c>
      <c r="L162" s="103">
        <f>VLOOKUP($A162,'OI(Value)'!$A$7:$O$323,8,0)</f>
        <v>95</v>
      </c>
      <c r="M162" s="103">
        <f>VLOOKUP($A162,'OI(Value)'!$A$7:$O$323,9,0)</f>
        <v>31</v>
      </c>
      <c r="N162" s="103">
        <f>VLOOKUP($A162,'OI(Value)'!$A$7:$O$323,11,0)</f>
        <v>57</v>
      </c>
      <c r="O162" s="103">
        <f>VLOOKUP($A162,'OI(Value)'!$A$7:$O$323,12,0)</f>
        <v>23</v>
      </c>
      <c r="P162" s="179">
        <f>VLOOKUP(A162,'OI(Value)'!A162:O380,8,0)</f>
        <v>95</v>
      </c>
      <c r="Q162" s="179">
        <f>VLOOKUP(A162,'OI(Value)'!A162:O380,9,0)</f>
        <v>31</v>
      </c>
      <c r="R162" s="179">
        <f>VLOOKUP(A162,'OI(Value)'!A162:O380,11,0)</f>
        <v>57</v>
      </c>
      <c r="S162" s="179">
        <f>VLOOKUP(A162,'OI(Value)'!A162:O380,11,0)</f>
        <v>57</v>
      </c>
    </row>
    <row r="163" spans="1:19" x14ac:dyDescent="0.25">
      <c r="A163" s="105" t="str">
        <f>'Data Vlaue (Cr)'!C158</f>
        <v>PIDILITIND</v>
      </c>
      <c r="B163" s="143">
        <f>VLOOKUP($A163,'Data shares'!$C:$FA,118)</f>
        <v>0.85</v>
      </c>
      <c r="C163" s="143">
        <f>VLOOKUP($A163,'Data shares'!$C:$FA,119)</f>
        <v>1.18</v>
      </c>
      <c r="D163" s="143">
        <f>VLOOKUP($A163,'Data shares'!$C:$FA,121)*100</f>
        <v>-27.97</v>
      </c>
      <c r="E163" s="143">
        <f>VLOOKUP($A163,'Data shares'!$C:$FA,124)</f>
        <v>0.56000000000000005</v>
      </c>
      <c r="F163" s="143">
        <f>VLOOKUP($A163,'Data shares'!$C:$FA,125)</f>
        <v>0.89</v>
      </c>
      <c r="G163" s="143">
        <f>VLOOKUP($A163,'Data shares'!$C:$FA,127)*100</f>
        <v>-37.08</v>
      </c>
      <c r="H163" s="103">
        <f>VLOOKUP($A163,'OI(Volume)'!$A$7:$O$440,8)</f>
        <v>703500</v>
      </c>
      <c r="I163" s="103">
        <f>VLOOKUP($A163,'OI(Volume)'!$A$7:$O$440,9)</f>
        <v>288500</v>
      </c>
      <c r="J163" s="103">
        <f>VLOOKUP($A163,'OI(Volume)'!$A$7:$O$440,11)</f>
        <v>600000</v>
      </c>
      <c r="K163" s="103">
        <f>VLOOKUP($A163,'OI(Volume)'!$A$7:$O$440,12)</f>
        <v>108500</v>
      </c>
      <c r="L163" s="103">
        <f>VLOOKUP($A163,'OI(Value)'!$A$7:$O$323,8,0)</f>
        <v>103</v>
      </c>
      <c r="M163" s="103">
        <f>VLOOKUP($A163,'OI(Value)'!$A$7:$O$323,9,0)</f>
        <v>42</v>
      </c>
      <c r="N163" s="103">
        <f>VLOOKUP($A163,'OI(Value)'!$A$7:$O$323,11,0)</f>
        <v>88</v>
      </c>
      <c r="O163" s="103">
        <f>VLOOKUP($A163,'OI(Value)'!$A$7:$O$323,12,0)</f>
        <v>16</v>
      </c>
      <c r="P163" s="179">
        <f>VLOOKUP(A163,'OI(Value)'!A163:O381,8,0)</f>
        <v>103</v>
      </c>
      <c r="Q163" s="179">
        <f>VLOOKUP(A163,'OI(Value)'!A163:O381,9,0)</f>
        <v>42</v>
      </c>
      <c r="R163" s="179">
        <f>VLOOKUP(A163,'OI(Value)'!A163:O381,11,0)</f>
        <v>88</v>
      </c>
      <c r="S163" s="179">
        <f>VLOOKUP(A163,'OI(Value)'!A163:O381,11,0)</f>
        <v>88</v>
      </c>
    </row>
    <row r="164" spans="1:19" x14ac:dyDescent="0.25">
      <c r="A164" s="105" t="str">
        <f>'Data Vlaue (Cr)'!C159</f>
        <v>PIIND</v>
      </c>
      <c r="B164" s="143">
        <f>VLOOKUP($A164,'Data shares'!$C:$FA,118)</f>
        <v>0.89</v>
      </c>
      <c r="C164" s="143">
        <f>VLOOKUP($A164,'Data shares'!$C:$FA,119)</f>
        <v>1.1100000000000001</v>
      </c>
      <c r="D164" s="143">
        <f>VLOOKUP($A164,'Data shares'!$C:$FA,121)*100</f>
        <v>-19.82</v>
      </c>
      <c r="E164" s="143">
        <f>VLOOKUP($A164,'Data shares'!$C:$FA,124)</f>
        <v>0.38</v>
      </c>
      <c r="F164" s="143">
        <f>VLOOKUP($A164,'Data shares'!$C:$FA,125)</f>
        <v>0.48</v>
      </c>
      <c r="G164" s="143">
        <f>VLOOKUP($A164,'Data shares'!$C:$FA,127)*100</f>
        <v>-20.830000000000002</v>
      </c>
      <c r="H164" s="103">
        <f>VLOOKUP($A164,'OI(Volume)'!$A$7:$O$440,8)</f>
        <v>259350</v>
      </c>
      <c r="I164" s="103">
        <f>VLOOKUP($A164,'OI(Volume)'!$A$7:$O$440,9)</f>
        <v>116550</v>
      </c>
      <c r="J164" s="103">
        <f>VLOOKUP($A164,'OI(Volume)'!$A$7:$O$440,11)</f>
        <v>229775</v>
      </c>
      <c r="K164" s="103">
        <f>VLOOKUP($A164,'OI(Volume)'!$A$7:$O$440,12)</f>
        <v>71400</v>
      </c>
      <c r="L164" s="103">
        <f>VLOOKUP($A164,'OI(Value)'!$A$7:$O$323,8,0)</f>
        <v>83</v>
      </c>
      <c r="M164" s="103">
        <f>VLOOKUP($A164,'OI(Value)'!$A$7:$O$323,9,0)</f>
        <v>37</v>
      </c>
      <c r="N164" s="103">
        <f>VLOOKUP($A164,'OI(Value)'!$A$7:$O$323,11,0)</f>
        <v>74</v>
      </c>
      <c r="O164" s="103">
        <f>VLOOKUP($A164,'OI(Value)'!$A$7:$O$323,12,0)</f>
        <v>23</v>
      </c>
      <c r="P164" s="179">
        <f>VLOOKUP(A164,'OI(Value)'!A164:O382,8,0)</f>
        <v>83</v>
      </c>
      <c r="Q164" s="179">
        <f>VLOOKUP(A164,'OI(Value)'!A164:O382,9,0)</f>
        <v>37</v>
      </c>
      <c r="R164" s="179">
        <f>VLOOKUP(A164,'OI(Value)'!A164:O382,11,0)</f>
        <v>74</v>
      </c>
      <c r="S164" s="179">
        <f>VLOOKUP(A164,'OI(Value)'!A164:O382,11,0)</f>
        <v>74</v>
      </c>
    </row>
    <row r="165" spans="1:19" x14ac:dyDescent="0.25">
      <c r="A165" s="105" t="str">
        <f>'Data Vlaue (Cr)'!C160</f>
        <v>PNB</v>
      </c>
      <c r="B165" s="143">
        <f>VLOOKUP($A165,'Data shares'!$C:$FA,118)</f>
        <v>0.65</v>
      </c>
      <c r="C165" s="143">
        <f>VLOOKUP($A165,'Data shares'!$C:$FA,119)</f>
        <v>0.6</v>
      </c>
      <c r="D165" s="143">
        <f>VLOOKUP($A165,'Data shares'!$C:$FA,121)*100</f>
        <v>8.33</v>
      </c>
      <c r="E165" s="143">
        <f>VLOOKUP($A165,'Data shares'!$C:$FA,124)</f>
        <v>0.39</v>
      </c>
      <c r="F165" s="143">
        <f>VLOOKUP($A165,'Data shares'!$C:$FA,125)</f>
        <v>0.59</v>
      </c>
      <c r="G165" s="143">
        <f>VLOOKUP($A165,'Data shares'!$C:$FA,127)*100</f>
        <v>-33.900000000000006</v>
      </c>
      <c r="H165" s="103">
        <f>VLOOKUP($A165,'OI(Volume)'!$A$7:$O$440,8)</f>
        <v>72336000</v>
      </c>
      <c r="I165" s="103">
        <f>VLOOKUP($A165,'OI(Volume)'!$A$7:$O$440,9)</f>
        <v>4088000</v>
      </c>
      <c r="J165" s="103">
        <f>VLOOKUP($A165,'OI(Volume)'!$A$7:$O$440,11)</f>
        <v>47160000</v>
      </c>
      <c r="K165" s="103">
        <f>VLOOKUP($A165,'OI(Volume)'!$A$7:$O$440,12)</f>
        <v>6488000</v>
      </c>
      <c r="L165" s="103">
        <f>VLOOKUP($A165,'OI(Value)'!$A$7:$O$323,8,0)</f>
        <v>906</v>
      </c>
      <c r="M165" s="103">
        <f>VLOOKUP($A165,'OI(Value)'!$A$7:$O$323,9,0)</f>
        <v>51</v>
      </c>
      <c r="N165" s="103">
        <f>VLOOKUP($A165,'OI(Value)'!$A$7:$O$323,11,0)</f>
        <v>591</v>
      </c>
      <c r="O165" s="103">
        <f>VLOOKUP($A165,'OI(Value)'!$A$7:$O$323,12,0)</f>
        <v>81</v>
      </c>
      <c r="P165" s="179">
        <f>VLOOKUP(A165,'OI(Value)'!A165:O383,8,0)</f>
        <v>906</v>
      </c>
      <c r="Q165" s="179">
        <f>VLOOKUP(A165,'OI(Value)'!A165:O383,9,0)</f>
        <v>51</v>
      </c>
      <c r="R165" s="179">
        <f>VLOOKUP(A165,'OI(Value)'!A165:O383,11,0)</f>
        <v>591</v>
      </c>
      <c r="S165" s="179">
        <f>VLOOKUP(A165,'OI(Value)'!A165:O383,11,0)</f>
        <v>591</v>
      </c>
    </row>
    <row r="166" spans="1:19" x14ac:dyDescent="0.25">
      <c r="A166" s="105" t="str">
        <f>'Data Vlaue (Cr)'!C161</f>
        <v>PNBHOUSING</v>
      </c>
      <c r="B166" s="143">
        <f>VLOOKUP($A166,'Data shares'!$C:$FA,118)</f>
        <v>0.83</v>
      </c>
      <c r="C166" s="143">
        <f>VLOOKUP($A166,'Data shares'!$C:$FA,119)</f>
        <v>0.93</v>
      </c>
      <c r="D166" s="143">
        <f>VLOOKUP($A166,'Data shares'!$C:$FA,121)*100</f>
        <v>-10.75</v>
      </c>
      <c r="E166" s="143">
        <f>VLOOKUP($A166,'Data shares'!$C:$FA,124)</f>
        <v>0.56000000000000005</v>
      </c>
      <c r="F166" s="143">
        <f>VLOOKUP($A166,'Data shares'!$C:$FA,125)</f>
        <v>0.68</v>
      </c>
      <c r="G166" s="143">
        <f>VLOOKUP($A166,'Data shares'!$C:$FA,127)*100</f>
        <v>-17.649999999999999</v>
      </c>
      <c r="H166" s="103">
        <f>VLOOKUP($A166,'OI(Volume)'!$A$7:$O$440,8)</f>
        <v>2568150</v>
      </c>
      <c r="I166" s="103">
        <f>VLOOKUP($A166,'OI(Volume)'!$A$7:$O$440,9)</f>
        <v>408850</v>
      </c>
      <c r="J166" s="103">
        <f>VLOOKUP($A166,'OI(Volume)'!$A$7:$O$440,11)</f>
        <v>2128100</v>
      </c>
      <c r="K166" s="103">
        <f>VLOOKUP($A166,'OI(Volume)'!$A$7:$O$440,12)</f>
        <v>118300</v>
      </c>
      <c r="L166" s="103">
        <f>VLOOKUP($A166,'OI(Value)'!$A$7:$O$323,8,0)</f>
        <v>218</v>
      </c>
      <c r="M166" s="103">
        <f>VLOOKUP($A166,'OI(Value)'!$A$7:$O$323,9,0)</f>
        <v>35</v>
      </c>
      <c r="N166" s="103">
        <f>VLOOKUP($A166,'OI(Value)'!$A$7:$O$323,11,0)</f>
        <v>181</v>
      </c>
      <c r="O166" s="103">
        <f>VLOOKUP($A166,'OI(Value)'!$A$7:$O$323,12,0)</f>
        <v>10</v>
      </c>
      <c r="P166" s="179">
        <f>VLOOKUP(A166,'OI(Value)'!A166:O384,8,0)</f>
        <v>218</v>
      </c>
      <c r="Q166" s="179">
        <f>VLOOKUP(A166,'OI(Value)'!A166:O384,9,0)</f>
        <v>35</v>
      </c>
      <c r="R166" s="179">
        <f>VLOOKUP(A166,'OI(Value)'!A166:O384,11,0)</f>
        <v>181</v>
      </c>
      <c r="S166" s="179">
        <f>VLOOKUP(A166,'OI(Value)'!A166:O384,11,0)</f>
        <v>181</v>
      </c>
    </row>
    <row r="167" spans="1:19" x14ac:dyDescent="0.25">
      <c r="A167" s="105" t="str">
        <f>'Data Vlaue (Cr)'!C162</f>
        <v>POLICYBZR</v>
      </c>
      <c r="B167" s="143">
        <f>VLOOKUP($A167,'Data shares'!$C:$FA,118)</f>
        <v>1.02</v>
      </c>
      <c r="C167" s="143">
        <f>VLOOKUP($A167,'Data shares'!$C:$FA,119)</f>
        <v>1.1599999999999999</v>
      </c>
      <c r="D167" s="143">
        <f>VLOOKUP($A167,'Data shares'!$C:$FA,121)*100</f>
        <v>-12.07</v>
      </c>
      <c r="E167" s="143">
        <f>VLOOKUP($A167,'Data shares'!$C:$FA,124)</f>
        <v>0.69</v>
      </c>
      <c r="F167" s="143">
        <f>VLOOKUP($A167,'Data shares'!$C:$FA,125)</f>
        <v>1.35</v>
      </c>
      <c r="G167" s="143">
        <f>VLOOKUP($A167,'Data shares'!$C:$FA,127)*100</f>
        <v>-48.89</v>
      </c>
      <c r="H167" s="103">
        <f>VLOOKUP($A167,'OI(Volume)'!$A$7:$O$440,8)</f>
        <v>694400</v>
      </c>
      <c r="I167" s="103">
        <f>VLOOKUP($A167,'OI(Volume)'!$A$7:$O$440,9)</f>
        <v>135450</v>
      </c>
      <c r="J167" s="103">
        <f>VLOOKUP($A167,'OI(Volume)'!$A$7:$O$440,11)</f>
        <v>706650</v>
      </c>
      <c r="K167" s="103">
        <f>VLOOKUP($A167,'OI(Volume)'!$A$7:$O$440,12)</f>
        <v>58450</v>
      </c>
      <c r="L167" s="103">
        <f>VLOOKUP($A167,'OI(Value)'!$A$7:$O$323,8,0)</f>
        <v>115</v>
      </c>
      <c r="M167" s="103">
        <f>VLOOKUP($A167,'OI(Value)'!$A$7:$O$323,9,0)</f>
        <v>22</v>
      </c>
      <c r="N167" s="103">
        <f>VLOOKUP($A167,'OI(Value)'!$A$7:$O$323,11,0)</f>
        <v>117</v>
      </c>
      <c r="O167" s="103">
        <f>VLOOKUP($A167,'OI(Value)'!$A$7:$O$323,12,0)</f>
        <v>10</v>
      </c>
      <c r="P167" s="179">
        <f>VLOOKUP(A167,'OI(Value)'!A167:O385,8,0)</f>
        <v>115</v>
      </c>
      <c r="Q167" s="179">
        <f>VLOOKUP(A167,'OI(Value)'!A167:O385,9,0)</f>
        <v>22</v>
      </c>
      <c r="R167" s="179">
        <f>VLOOKUP(A167,'OI(Value)'!A167:O385,11,0)</f>
        <v>117</v>
      </c>
      <c r="S167" s="179">
        <f>VLOOKUP(A167,'OI(Value)'!A167:O385,11,0)</f>
        <v>117</v>
      </c>
    </row>
    <row r="168" spans="1:19" x14ac:dyDescent="0.25">
      <c r="A168" s="105" t="str">
        <f>'Data Vlaue (Cr)'!C163</f>
        <v>POLYCAB</v>
      </c>
      <c r="B168" s="143">
        <f>VLOOKUP($A168,'Data shares'!$C:$FA,118)</f>
        <v>0.54</v>
      </c>
      <c r="C168" s="143">
        <f>VLOOKUP($A168,'Data shares'!$C:$FA,119)</f>
        <v>0.56999999999999995</v>
      </c>
      <c r="D168" s="143">
        <f>VLOOKUP($A168,'Data shares'!$C:$FA,121)*100</f>
        <v>-5.26</v>
      </c>
      <c r="E168" s="143">
        <f>VLOOKUP($A168,'Data shares'!$C:$FA,124)</f>
        <v>0.43</v>
      </c>
      <c r="F168" s="143">
        <f>VLOOKUP($A168,'Data shares'!$C:$FA,125)</f>
        <v>0.56000000000000005</v>
      </c>
      <c r="G168" s="143">
        <f>VLOOKUP($A168,'Data shares'!$C:$FA,127)*100</f>
        <v>-23.21</v>
      </c>
      <c r="H168" s="103">
        <f>VLOOKUP($A168,'OI(Volume)'!$A$7:$O$440,8)</f>
        <v>821125</v>
      </c>
      <c r="I168" s="103">
        <f>VLOOKUP($A168,'OI(Volume)'!$A$7:$O$440,9)</f>
        <v>91875</v>
      </c>
      <c r="J168" s="103">
        <f>VLOOKUP($A168,'OI(Volume)'!$A$7:$O$440,11)</f>
        <v>443250</v>
      </c>
      <c r="K168" s="103">
        <f>VLOOKUP($A168,'OI(Volume)'!$A$7:$O$440,12)</f>
        <v>25500</v>
      </c>
      <c r="L168" s="103">
        <f>VLOOKUP($A168,'OI(Value)'!$A$7:$O$323,8,0)</f>
        <v>571</v>
      </c>
      <c r="M168" s="103">
        <f>VLOOKUP($A168,'OI(Value)'!$A$7:$O$323,9,0)</f>
        <v>64</v>
      </c>
      <c r="N168" s="103">
        <f>VLOOKUP($A168,'OI(Value)'!$A$7:$O$323,11,0)</f>
        <v>308</v>
      </c>
      <c r="O168" s="103">
        <f>VLOOKUP($A168,'OI(Value)'!$A$7:$O$323,12,0)</f>
        <v>18</v>
      </c>
      <c r="P168" s="179">
        <f>VLOOKUP(A168,'OI(Value)'!A168:O386,8,0)</f>
        <v>571</v>
      </c>
      <c r="Q168" s="179">
        <f>VLOOKUP(A168,'OI(Value)'!A168:O386,9,0)</f>
        <v>64</v>
      </c>
      <c r="R168" s="179">
        <f>VLOOKUP(A168,'OI(Value)'!A168:O386,11,0)</f>
        <v>308</v>
      </c>
      <c r="S168" s="179">
        <f>VLOOKUP(A168,'OI(Value)'!A168:O386,11,0)</f>
        <v>308</v>
      </c>
    </row>
    <row r="169" spans="1:19" x14ac:dyDescent="0.25">
      <c r="A169" s="105" t="str">
        <f>'Data Vlaue (Cr)'!C164</f>
        <v>POWERGRID</v>
      </c>
      <c r="B169" s="143">
        <f>VLOOKUP($A169,'Data shares'!$C:$FA,118)</f>
        <v>1.1100000000000001</v>
      </c>
      <c r="C169" s="143">
        <f>VLOOKUP($A169,'Data shares'!$C:$FA,119)</f>
        <v>1.33</v>
      </c>
      <c r="D169" s="143">
        <f>VLOOKUP($A169,'Data shares'!$C:$FA,121)*100</f>
        <v>-16.54</v>
      </c>
      <c r="E169" s="143">
        <f>VLOOKUP($A169,'Data shares'!$C:$FA,124)</f>
        <v>0.37</v>
      </c>
      <c r="F169" s="143">
        <f>VLOOKUP($A169,'Data shares'!$C:$FA,125)</f>
        <v>0.97</v>
      </c>
      <c r="G169" s="143">
        <f>VLOOKUP($A169,'Data shares'!$C:$FA,127)*100</f>
        <v>-61.860000000000007</v>
      </c>
      <c r="H169" s="103">
        <f>VLOOKUP($A169,'OI(Volume)'!$A$7:$O$440,8)</f>
        <v>16283000</v>
      </c>
      <c r="I169" s="103">
        <f>VLOOKUP($A169,'OI(Volume)'!$A$7:$O$440,9)</f>
        <v>3972900</v>
      </c>
      <c r="J169" s="103">
        <f>VLOOKUP($A169,'OI(Volume)'!$A$7:$O$440,11)</f>
        <v>18061400</v>
      </c>
      <c r="K169" s="103">
        <f>VLOOKUP($A169,'OI(Volume)'!$A$7:$O$440,12)</f>
        <v>1738500</v>
      </c>
      <c r="L169" s="103">
        <f>VLOOKUP($A169,'OI(Value)'!$A$7:$O$323,8,0)</f>
        <v>420</v>
      </c>
      <c r="M169" s="103">
        <f>VLOOKUP($A169,'OI(Value)'!$A$7:$O$323,9,0)</f>
        <v>102</v>
      </c>
      <c r="N169" s="103">
        <f>VLOOKUP($A169,'OI(Value)'!$A$7:$O$323,11,0)</f>
        <v>466</v>
      </c>
      <c r="O169" s="103">
        <f>VLOOKUP($A169,'OI(Value)'!$A$7:$O$323,12,0)</f>
        <v>45</v>
      </c>
      <c r="P169" s="179">
        <f>VLOOKUP(A169,'OI(Value)'!A169:O387,8,0)</f>
        <v>420</v>
      </c>
      <c r="Q169" s="179">
        <f>VLOOKUP(A169,'OI(Value)'!A169:O387,9,0)</f>
        <v>102</v>
      </c>
      <c r="R169" s="179">
        <f>VLOOKUP(A169,'OI(Value)'!A169:O387,11,0)</f>
        <v>466</v>
      </c>
      <c r="S169" s="179">
        <f>VLOOKUP(A169,'OI(Value)'!A169:O387,11,0)</f>
        <v>466</v>
      </c>
    </row>
    <row r="170" spans="1:19" x14ac:dyDescent="0.25">
      <c r="A170" s="105" t="str">
        <f>'Data Vlaue (Cr)'!C165</f>
        <v>POWERINDIA</v>
      </c>
      <c r="B170" s="143">
        <f>VLOOKUP($A170,'Data shares'!$C:$FA,118)</f>
        <v>0.59</v>
      </c>
      <c r="C170" s="143">
        <f>VLOOKUP($A170,'Data shares'!$C:$FA,119)</f>
        <v>0.63</v>
      </c>
      <c r="D170" s="143">
        <f>VLOOKUP($A170,'Data shares'!$C:$FA,121)*100</f>
        <v>-6.35</v>
      </c>
      <c r="E170" s="143">
        <f>VLOOKUP($A170,'Data shares'!$C:$FA,124)</f>
        <v>0.26</v>
      </c>
      <c r="F170" s="143">
        <f>VLOOKUP($A170,'Data shares'!$C:$FA,125)</f>
        <v>1.48</v>
      </c>
      <c r="G170" s="143">
        <f>VLOOKUP($A170,'Data shares'!$C:$FA,127)*100</f>
        <v>-82.43</v>
      </c>
      <c r="H170" s="103">
        <f>VLOOKUP($A170,'OI(Volume)'!$A$7:$O$440,8)</f>
        <v>60200</v>
      </c>
      <c r="I170" s="103">
        <f>VLOOKUP($A170,'OI(Volume)'!$A$7:$O$440,9)</f>
        <v>19050</v>
      </c>
      <c r="J170" s="103">
        <f>VLOOKUP($A170,'OI(Volume)'!$A$7:$O$440,11)</f>
        <v>35400</v>
      </c>
      <c r="K170" s="103">
        <f>VLOOKUP($A170,'OI(Volume)'!$A$7:$O$440,12)</f>
        <v>9300</v>
      </c>
      <c r="L170" s="103">
        <f>VLOOKUP($A170,'OI(Value)'!$A$7:$O$323,8,0)</f>
        <v>107</v>
      </c>
      <c r="M170" s="103">
        <f>VLOOKUP($A170,'OI(Value)'!$A$7:$O$323,9,0)</f>
        <v>34</v>
      </c>
      <c r="N170" s="103">
        <f>VLOOKUP($A170,'OI(Value)'!$A$7:$O$323,11,0)</f>
        <v>63</v>
      </c>
      <c r="O170" s="103">
        <f>VLOOKUP($A170,'OI(Value)'!$A$7:$O$323,12,0)</f>
        <v>17</v>
      </c>
      <c r="P170" s="179">
        <f>VLOOKUP(A170,'OI(Value)'!A170:O388,8,0)</f>
        <v>107</v>
      </c>
      <c r="Q170" s="179">
        <f>VLOOKUP(A170,'OI(Value)'!A170:O388,9,0)</f>
        <v>34</v>
      </c>
      <c r="R170" s="179">
        <f>VLOOKUP(A170,'OI(Value)'!A170:O388,11,0)</f>
        <v>63</v>
      </c>
      <c r="S170" s="179">
        <f>VLOOKUP(A170,'OI(Value)'!A170:O388,11,0)</f>
        <v>63</v>
      </c>
    </row>
    <row r="171" spans="1:19" x14ac:dyDescent="0.25">
      <c r="A171" s="105" t="str">
        <f>'Data Vlaue (Cr)'!C166</f>
        <v>PPLPHARMA</v>
      </c>
      <c r="B171" s="143">
        <f>VLOOKUP($A171,'Data shares'!$C:$FA,118)</f>
        <v>1.07</v>
      </c>
      <c r="C171" s="143">
        <f>VLOOKUP($A171,'Data shares'!$C:$FA,119)</f>
        <v>1.19</v>
      </c>
      <c r="D171" s="143">
        <f>VLOOKUP($A171,'Data shares'!$C:$FA,121)*100</f>
        <v>-10.08</v>
      </c>
      <c r="E171" s="143">
        <f>VLOOKUP($A171,'Data shares'!$C:$FA,124)</f>
        <v>0.77</v>
      </c>
      <c r="F171" s="143">
        <f>VLOOKUP($A171,'Data shares'!$C:$FA,125)</f>
        <v>0.86</v>
      </c>
      <c r="G171" s="143">
        <f>VLOOKUP($A171,'Data shares'!$C:$FA,127)*100</f>
        <v>-10.47</v>
      </c>
      <c r="H171" s="103">
        <f>VLOOKUP($A171,'OI(Volume)'!$A$7:$O$440,8)</f>
        <v>6533625</v>
      </c>
      <c r="I171" s="103">
        <f>VLOOKUP($A171,'OI(Volume)'!$A$7:$O$440,9)</f>
        <v>4011000</v>
      </c>
      <c r="J171" s="103">
        <f>VLOOKUP($A171,'OI(Volume)'!$A$7:$O$440,11)</f>
        <v>7021875</v>
      </c>
      <c r="K171" s="103">
        <f>VLOOKUP($A171,'OI(Volume)'!$A$7:$O$440,12)</f>
        <v>4018875</v>
      </c>
      <c r="L171" s="103">
        <f>VLOOKUP($A171,'OI(Value)'!$A$7:$O$323,8,0)</f>
        <v>101</v>
      </c>
      <c r="M171" s="103">
        <f>VLOOKUP($A171,'OI(Value)'!$A$7:$O$323,9,0)</f>
        <v>62</v>
      </c>
      <c r="N171" s="103">
        <f>VLOOKUP($A171,'OI(Value)'!$A$7:$O$323,11,0)</f>
        <v>108</v>
      </c>
      <c r="O171" s="103">
        <f>VLOOKUP($A171,'OI(Value)'!$A$7:$O$323,12,0)</f>
        <v>62</v>
      </c>
      <c r="P171" s="179">
        <f>VLOOKUP(A171,'OI(Value)'!A171:O389,8,0)</f>
        <v>101</v>
      </c>
      <c r="Q171" s="179">
        <f>VLOOKUP(A171,'OI(Value)'!A171:O389,9,0)</f>
        <v>62</v>
      </c>
      <c r="R171" s="179">
        <f>VLOOKUP(A171,'OI(Value)'!A171:O389,11,0)</f>
        <v>108</v>
      </c>
      <c r="S171" s="179">
        <f>VLOOKUP(A171,'OI(Value)'!A171:O389,11,0)</f>
        <v>108</v>
      </c>
    </row>
    <row r="172" spans="1:19" x14ac:dyDescent="0.25">
      <c r="A172" s="105" t="str">
        <f>'Data Vlaue (Cr)'!C167</f>
        <v>PREMIERENE</v>
      </c>
      <c r="B172" s="143">
        <f>VLOOKUP($A172,'Data shares'!$C:$FA,118)</f>
        <v>0.6</v>
      </c>
      <c r="C172" s="143">
        <f>VLOOKUP($A172,'Data shares'!$C:$FA,119)</f>
        <v>0.56999999999999995</v>
      </c>
      <c r="D172" s="143">
        <f>VLOOKUP($A172,'Data shares'!$C:$FA,121)*100</f>
        <v>5.26</v>
      </c>
      <c r="E172" s="143">
        <f>VLOOKUP($A172,'Data shares'!$C:$FA,124)</f>
        <v>0.34</v>
      </c>
      <c r="F172" s="143">
        <f>VLOOKUP($A172,'Data shares'!$C:$FA,125)</f>
        <v>0.38</v>
      </c>
      <c r="G172" s="143">
        <f>VLOOKUP($A172,'Data shares'!$C:$FA,127)*100</f>
        <v>-10.530000000000001</v>
      </c>
      <c r="H172" s="103">
        <f>VLOOKUP($A172,'OI(Volume)'!$A$7:$O$440,8)</f>
        <v>1293750</v>
      </c>
      <c r="I172" s="103">
        <f>VLOOKUP($A172,'OI(Volume)'!$A$7:$O$440,9)</f>
        <v>66700</v>
      </c>
      <c r="J172" s="103">
        <f>VLOOKUP($A172,'OI(Volume)'!$A$7:$O$440,11)</f>
        <v>775675</v>
      </c>
      <c r="K172" s="103">
        <f>VLOOKUP($A172,'OI(Volume)'!$A$7:$O$440,12)</f>
        <v>79350</v>
      </c>
      <c r="L172" s="103">
        <f>VLOOKUP($A172,'OI(Value)'!$A$7:$O$323,8,0)</f>
        <v>93</v>
      </c>
      <c r="M172" s="103">
        <f>VLOOKUP($A172,'OI(Value)'!$A$7:$O$323,9,0)</f>
        <v>5</v>
      </c>
      <c r="N172" s="103">
        <f>VLOOKUP($A172,'OI(Value)'!$A$7:$O$323,11,0)</f>
        <v>56</v>
      </c>
      <c r="O172" s="103">
        <f>VLOOKUP($A172,'OI(Value)'!$A$7:$O$323,12,0)</f>
        <v>6</v>
      </c>
      <c r="P172" s="179">
        <f>VLOOKUP(A172,'OI(Value)'!A172:O390,8,0)</f>
        <v>93</v>
      </c>
      <c r="Q172" s="179">
        <f>VLOOKUP(A172,'OI(Value)'!A172:O390,9,0)</f>
        <v>5</v>
      </c>
      <c r="R172" s="179">
        <f>VLOOKUP(A172,'OI(Value)'!A172:O390,11,0)</f>
        <v>56</v>
      </c>
      <c r="S172" s="179">
        <f>VLOOKUP(A172,'OI(Value)'!A172:O390,11,0)</f>
        <v>56</v>
      </c>
    </row>
    <row r="173" spans="1:19" x14ac:dyDescent="0.25">
      <c r="A173" s="105" t="str">
        <f>'Data Vlaue (Cr)'!C168</f>
        <v>PRESTIGE</v>
      </c>
      <c r="B173" s="143">
        <f>VLOOKUP($A173,'Data shares'!$C:$FA,118)</f>
        <v>0.79</v>
      </c>
      <c r="C173" s="143">
        <f>VLOOKUP($A173,'Data shares'!$C:$FA,119)</f>
        <v>1.1200000000000001</v>
      </c>
      <c r="D173" s="143">
        <f>VLOOKUP($A173,'Data shares'!$C:$FA,121)*100</f>
        <v>-29.459999999999997</v>
      </c>
      <c r="E173" s="143">
        <f>VLOOKUP($A173,'Data shares'!$C:$FA,124)</f>
        <v>0.49</v>
      </c>
      <c r="F173" s="143">
        <f>VLOOKUP($A173,'Data shares'!$C:$FA,125)</f>
        <v>1.32</v>
      </c>
      <c r="G173" s="143">
        <f>VLOOKUP($A173,'Data shares'!$C:$FA,127)*100</f>
        <v>-62.88</v>
      </c>
      <c r="H173" s="103">
        <f>VLOOKUP($A173,'OI(Volume)'!$A$7:$O$440,8)</f>
        <v>452700</v>
      </c>
      <c r="I173" s="103">
        <f>VLOOKUP($A173,'OI(Volume)'!$A$7:$O$440,9)</f>
        <v>166950</v>
      </c>
      <c r="J173" s="103">
        <f>VLOOKUP($A173,'OI(Volume)'!$A$7:$O$440,11)</f>
        <v>358200</v>
      </c>
      <c r="K173" s="103">
        <f>VLOOKUP($A173,'OI(Volume)'!$A$7:$O$440,12)</f>
        <v>37800</v>
      </c>
      <c r="L173" s="103">
        <f>VLOOKUP($A173,'OI(Value)'!$A$7:$O$323,8,0)</f>
        <v>65</v>
      </c>
      <c r="M173" s="103">
        <f>VLOOKUP($A173,'OI(Value)'!$A$7:$O$323,9,0)</f>
        <v>24</v>
      </c>
      <c r="N173" s="103">
        <f>VLOOKUP($A173,'OI(Value)'!$A$7:$O$323,11,0)</f>
        <v>51</v>
      </c>
      <c r="O173" s="103">
        <f>VLOOKUP($A173,'OI(Value)'!$A$7:$O$323,12,0)</f>
        <v>5</v>
      </c>
    </row>
    <row r="174" spans="1:19" x14ac:dyDescent="0.25">
      <c r="A174" s="105" t="str">
        <f>'Data Vlaue (Cr)'!C169</f>
        <v>RBLBANK</v>
      </c>
      <c r="B174" s="143">
        <f>VLOOKUP($A174,'Data shares'!$C:$FA,118)</f>
        <v>0.66</v>
      </c>
      <c r="C174" s="143">
        <f>VLOOKUP($A174,'Data shares'!$C:$FA,119)</f>
        <v>0.74</v>
      </c>
      <c r="D174" s="143">
        <f>VLOOKUP($A174,'Data shares'!$C:$FA,121)*100</f>
        <v>-10.81</v>
      </c>
      <c r="E174" s="143">
        <f>VLOOKUP($A174,'Data shares'!$C:$FA,124)</f>
        <v>0.46</v>
      </c>
      <c r="F174" s="143">
        <f>VLOOKUP($A174,'Data shares'!$C:$FA,125)</f>
        <v>0.8</v>
      </c>
      <c r="G174" s="143">
        <f>VLOOKUP($A174,'Data shares'!$C:$FA,127)*100</f>
        <v>-42.5</v>
      </c>
      <c r="H174" s="103">
        <f>VLOOKUP($A174,'OI(Volume)'!$A$7:$O$440,8)</f>
        <v>20456525</v>
      </c>
      <c r="I174" s="103">
        <f>VLOOKUP($A174,'OI(Volume)'!$A$7:$O$440,9)</f>
        <v>3600450</v>
      </c>
      <c r="J174" s="103">
        <f>VLOOKUP($A174,'OI(Volume)'!$A$7:$O$440,11)</f>
        <v>13560425</v>
      </c>
      <c r="K174" s="103">
        <f>VLOOKUP($A174,'OI(Volume)'!$A$7:$O$440,12)</f>
        <v>1073150</v>
      </c>
      <c r="L174" s="103">
        <f>VLOOKUP($A174,'OI(Value)'!$A$7:$O$323,8,0)</f>
        <v>611</v>
      </c>
      <c r="M174" s="103">
        <f>VLOOKUP($A174,'OI(Value)'!$A$7:$O$323,9,0)</f>
        <v>108</v>
      </c>
      <c r="N174" s="103">
        <f>VLOOKUP($A174,'OI(Value)'!$A$7:$O$323,11,0)</f>
        <v>405</v>
      </c>
      <c r="O174" s="103">
        <f>VLOOKUP($A174,'OI(Value)'!$A$7:$O$323,12,0)</f>
        <v>32</v>
      </c>
    </row>
    <row r="175" spans="1:19" x14ac:dyDescent="0.25">
      <c r="A175" s="105" t="str">
        <f>'Data Vlaue (Cr)'!C170</f>
        <v>RECLTD</v>
      </c>
      <c r="B175" s="143">
        <f>VLOOKUP($A175,'Data shares'!$C:$FA,118)</f>
        <v>0.86</v>
      </c>
      <c r="C175" s="143">
        <f>VLOOKUP($A175,'Data shares'!$C:$FA,119)</f>
        <v>1</v>
      </c>
      <c r="D175" s="143">
        <f>VLOOKUP($A175,'Data shares'!$C:$FA,121)*100</f>
        <v>-14.000000000000002</v>
      </c>
      <c r="E175" s="143">
        <f>VLOOKUP($A175,'Data shares'!$C:$FA,124)</f>
        <v>0.39</v>
      </c>
      <c r="F175" s="143">
        <f>VLOOKUP($A175,'Data shares'!$C:$FA,125)</f>
        <v>1.08</v>
      </c>
      <c r="G175" s="143">
        <f>VLOOKUP($A175,'Data shares'!$C:$FA,127)*100</f>
        <v>-63.89</v>
      </c>
      <c r="H175" s="103">
        <f>VLOOKUP($A175,'OI(Volume)'!$A$7:$O$440,8)</f>
        <v>21655200</v>
      </c>
      <c r="I175" s="103">
        <f>VLOOKUP($A175,'OI(Volume)'!$A$7:$O$440,9)</f>
        <v>3267600</v>
      </c>
      <c r="J175" s="103">
        <f>VLOOKUP($A175,'OI(Volume)'!$A$7:$O$440,11)</f>
        <v>18676000</v>
      </c>
      <c r="K175" s="103">
        <f>VLOOKUP($A175,'OI(Volume)'!$A$7:$O$440,12)</f>
        <v>331800</v>
      </c>
      <c r="L175" s="103">
        <f>VLOOKUP($A175,'OI(Value)'!$A$7:$O$323,8,0)</f>
        <v>814</v>
      </c>
      <c r="M175" s="103">
        <f>VLOOKUP($A175,'OI(Value)'!$A$7:$O$323,9,0)</f>
        <v>123</v>
      </c>
      <c r="N175" s="103">
        <f>VLOOKUP($A175,'OI(Value)'!$A$7:$O$323,11,0)</f>
        <v>702</v>
      </c>
      <c r="O175" s="103">
        <f>VLOOKUP($A175,'OI(Value)'!$A$7:$O$323,12,0)</f>
        <v>12</v>
      </c>
    </row>
    <row r="176" spans="1:19" x14ac:dyDescent="0.25">
      <c r="A176" s="105" t="str">
        <f>'Data Vlaue (Cr)'!C171</f>
        <v>RELIANCE</v>
      </c>
      <c r="B176" s="143">
        <f>VLOOKUP($A176,'Data shares'!$C:$FA,118)</f>
        <v>0.65</v>
      </c>
      <c r="C176" s="143">
        <f>VLOOKUP($A176,'Data shares'!$C:$FA,119)</f>
        <v>0.68</v>
      </c>
      <c r="D176" s="143">
        <f>VLOOKUP($A176,'Data shares'!$C:$FA,121)*100</f>
        <v>-4.41</v>
      </c>
      <c r="E176" s="143">
        <f>VLOOKUP($A176,'Data shares'!$C:$FA,124)</f>
        <v>0.47</v>
      </c>
      <c r="F176" s="143">
        <f>VLOOKUP($A176,'Data shares'!$C:$FA,125)</f>
        <v>0.59</v>
      </c>
      <c r="G176" s="143">
        <f>VLOOKUP($A176,'Data shares'!$C:$FA,127)*100</f>
        <v>-20.34</v>
      </c>
      <c r="H176" s="103">
        <f>VLOOKUP($A176,'OI(Volume)'!$A$7:$O$440,8)</f>
        <v>41126500</v>
      </c>
      <c r="I176" s="103">
        <f>VLOOKUP($A176,'OI(Volume)'!$A$7:$O$440,9)</f>
        <v>4772000</v>
      </c>
      <c r="J176" s="103">
        <f>VLOOKUP($A176,'OI(Volume)'!$A$7:$O$440,11)</f>
        <v>26673000</v>
      </c>
      <c r="K176" s="103">
        <f>VLOOKUP($A176,'OI(Volume)'!$A$7:$O$440,12)</f>
        <v>1887500</v>
      </c>
      <c r="L176" s="103">
        <f>VLOOKUP($A176,'OI(Value)'!$A$7:$O$323,8,0)</f>
        <v>5769</v>
      </c>
      <c r="M176" s="103">
        <f>VLOOKUP($A176,'OI(Value)'!$A$7:$O$323,9,0)</f>
        <v>669</v>
      </c>
      <c r="N176" s="103">
        <f>VLOOKUP($A176,'OI(Value)'!$A$7:$O$323,11,0)</f>
        <v>3741</v>
      </c>
      <c r="O176" s="103">
        <f>VLOOKUP($A176,'OI(Value)'!$A$7:$O$323,12,0)</f>
        <v>265</v>
      </c>
    </row>
    <row r="177" spans="1:15" x14ac:dyDescent="0.25">
      <c r="A177" s="105" t="str">
        <f>'Data Vlaue (Cr)'!C172</f>
        <v>RVNL</v>
      </c>
      <c r="B177" s="143">
        <f>VLOOKUP($A177,'Data shares'!$C:$FA,118)</f>
        <v>0.55000000000000004</v>
      </c>
      <c r="C177" s="143">
        <f>VLOOKUP($A177,'Data shares'!$C:$FA,119)</f>
        <v>0.48</v>
      </c>
      <c r="D177" s="143">
        <f>VLOOKUP($A177,'Data shares'!$C:$FA,121)*100</f>
        <v>14.580000000000002</v>
      </c>
      <c r="E177" s="143">
        <f>VLOOKUP($A177,'Data shares'!$C:$FA,124)</f>
        <v>0.23</v>
      </c>
      <c r="F177" s="143">
        <f>VLOOKUP($A177,'Data shares'!$C:$FA,125)</f>
        <v>0.3</v>
      </c>
      <c r="G177" s="143">
        <f>VLOOKUP($A177,'Data shares'!$C:$FA,127)*100</f>
        <v>-23.330000000000002</v>
      </c>
      <c r="H177" s="103">
        <f>VLOOKUP($A177,'OI(Volume)'!$A$7:$O$440,8)</f>
        <v>20136100</v>
      </c>
      <c r="I177" s="103">
        <f>VLOOKUP($A177,'OI(Volume)'!$A$7:$O$440,9)</f>
        <v>4324900</v>
      </c>
      <c r="J177" s="103">
        <f>VLOOKUP($A177,'OI(Volume)'!$A$7:$O$440,11)</f>
        <v>11166050</v>
      </c>
      <c r="K177" s="103">
        <f>VLOOKUP($A177,'OI(Volume)'!$A$7:$O$440,12)</f>
        <v>3541050</v>
      </c>
      <c r="L177" s="103">
        <f>VLOOKUP($A177,'OI(Value)'!$A$7:$O$323,8,0)</f>
        <v>677</v>
      </c>
      <c r="M177" s="103">
        <f>VLOOKUP($A177,'OI(Value)'!$A$7:$O$323,9,0)</f>
        <v>145</v>
      </c>
      <c r="N177" s="103">
        <f>VLOOKUP($A177,'OI(Value)'!$A$7:$O$323,11,0)</f>
        <v>375</v>
      </c>
      <c r="O177" s="103">
        <f>VLOOKUP($A177,'OI(Value)'!$A$7:$O$323,12,0)</f>
        <v>119</v>
      </c>
    </row>
    <row r="178" spans="1:15" x14ac:dyDescent="0.25">
      <c r="A178" s="105" t="str">
        <f>'Data Vlaue (Cr)'!C173</f>
        <v>SAIL</v>
      </c>
      <c r="B178" s="143">
        <f>VLOOKUP($A178,'Data shares'!$C:$FA,118)</f>
        <v>0.63</v>
      </c>
      <c r="C178" s="143">
        <f>VLOOKUP($A178,'Data shares'!$C:$FA,119)</f>
        <v>0.65</v>
      </c>
      <c r="D178" s="143">
        <f>VLOOKUP($A178,'Data shares'!$C:$FA,121)*100</f>
        <v>-3.08</v>
      </c>
      <c r="E178" s="143">
        <f>VLOOKUP($A178,'Data shares'!$C:$FA,124)</f>
        <v>0.28999999999999998</v>
      </c>
      <c r="F178" s="143">
        <f>VLOOKUP($A178,'Data shares'!$C:$FA,125)</f>
        <v>0.53</v>
      </c>
      <c r="G178" s="143">
        <f>VLOOKUP($A178,'Data shares'!$C:$FA,127)*100</f>
        <v>-45.28</v>
      </c>
      <c r="H178" s="103">
        <f>VLOOKUP($A178,'OI(Volume)'!$A$7:$O$440,8)</f>
        <v>25572700</v>
      </c>
      <c r="I178" s="103">
        <f>VLOOKUP($A178,'OI(Volume)'!$A$7:$O$440,9)</f>
        <v>5851500</v>
      </c>
      <c r="J178" s="103">
        <f>VLOOKUP($A178,'OI(Volume)'!$A$7:$O$440,11)</f>
        <v>16210300</v>
      </c>
      <c r="K178" s="103">
        <f>VLOOKUP($A178,'OI(Volume)'!$A$7:$O$440,12)</f>
        <v>3304100</v>
      </c>
      <c r="L178" s="103">
        <f>VLOOKUP($A178,'OI(Value)'!$A$7:$O$323,8,0)</f>
        <v>401</v>
      </c>
      <c r="M178" s="103">
        <f>VLOOKUP($A178,'OI(Value)'!$A$7:$O$323,9,0)</f>
        <v>92</v>
      </c>
      <c r="N178" s="103">
        <f>VLOOKUP($A178,'OI(Value)'!$A$7:$O$323,11,0)</f>
        <v>254</v>
      </c>
      <c r="O178" s="103">
        <f>VLOOKUP($A178,'OI(Value)'!$A$7:$O$323,12,0)</f>
        <v>52</v>
      </c>
    </row>
    <row r="179" spans="1:15" x14ac:dyDescent="0.25">
      <c r="A179" s="105" t="str">
        <f>'Data Vlaue (Cr)'!C174</f>
        <v>SAMMAANCAP</v>
      </c>
      <c r="B179" s="143">
        <f>VLOOKUP($A179,'Data shares'!$C:$FA,118)</f>
        <v>0.78</v>
      </c>
      <c r="C179" s="143">
        <f>VLOOKUP($A179,'Data shares'!$C:$FA,119)</f>
        <v>0.13</v>
      </c>
      <c r="D179" s="143">
        <f>VLOOKUP($A179,'Data shares'!$C:$FA,121)*100</f>
        <v>500</v>
      </c>
      <c r="E179" s="143">
        <f>VLOOKUP($A179,'Data shares'!$C:$FA,124)</f>
        <v>0.69</v>
      </c>
      <c r="F179" s="143">
        <f>VLOOKUP($A179,'Data shares'!$C:$FA,125)</f>
        <v>0.77</v>
      </c>
      <c r="G179" s="143">
        <f>VLOOKUP($A179,'Data shares'!$C:$FA,127)*100</f>
        <v>-10.39</v>
      </c>
      <c r="H179" s="103">
        <f>VLOOKUP($A179,'OI(Volume)'!$A$7:$O$440,8)</f>
        <v>19143600</v>
      </c>
      <c r="I179" s="103">
        <f>VLOOKUP($A179,'OI(Volume)'!$A$7:$O$440,9)</f>
        <v>18679200</v>
      </c>
      <c r="J179" s="103">
        <f>VLOOKUP($A179,'OI(Volume)'!$A$7:$O$440,11)</f>
        <v>14856500</v>
      </c>
      <c r="K179" s="103">
        <f>VLOOKUP($A179,'OI(Volume)'!$A$7:$O$440,12)</f>
        <v>14796300</v>
      </c>
      <c r="L179" s="103">
        <f>VLOOKUP($A179,'OI(Value)'!$A$7:$O$323,8,0)</f>
        <v>273</v>
      </c>
      <c r="M179" s="103">
        <f>VLOOKUP($A179,'OI(Value)'!$A$7:$O$323,9,0)</f>
        <v>267</v>
      </c>
      <c r="N179" s="103">
        <f>VLOOKUP($A179,'OI(Value)'!$A$7:$O$323,11,0)</f>
        <v>212</v>
      </c>
      <c r="O179" s="103">
        <f>VLOOKUP($A179,'OI(Value)'!$A$7:$O$323,12,0)</f>
        <v>211</v>
      </c>
    </row>
    <row r="180" spans="1:15" x14ac:dyDescent="0.25">
      <c r="A180" s="105" t="str">
        <f>'Data Vlaue (Cr)'!C175</f>
        <v>SBICARD</v>
      </c>
      <c r="B180" s="143">
        <f>VLOOKUP($A180,'Data shares'!$C:$FA,118)</f>
        <v>0.64</v>
      </c>
      <c r="C180" s="143">
        <f>VLOOKUP($A180,'Data shares'!$C:$FA,119)</f>
        <v>0.76</v>
      </c>
      <c r="D180" s="143">
        <f>VLOOKUP($A180,'Data shares'!$C:$FA,121)*100</f>
        <v>-15.790000000000001</v>
      </c>
      <c r="E180" s="143">
        <f>VLOOKUP($A180,'Data shares'!$C:$FA,124)</f>
        <v>0.45</v>
      </c>
      <c r="F180" s="143">
        <f>VLOOKUP($A180,'Data shares'!$C:$FA,125)</f>
        <v>1.07</v>
      </c>
      <c r="G180" s="143">
        <f>VLOOKUP($A180,'Data shares'!$C:$FA,127)*100</f>
        <v>-57.940000000000005</v>
      </c>
      <c r="H180" s="103">
        <f>VLOOKUP($A180,'OI(Volume)'!$A$7:$O$440,8)</f>
        <v>4928000</v>
      </c>
      <c r="I180" s="103">
        <f>VLOOKUP($A180,'OI(Volume)'!$A$7:$O$440,9)</f>
        <v>2344800</v>
      </c>
      <c r="J180" s="103">
        <f>VLOOKUP($A180,'OI(Volume)'!$A$7:$O$440,11)</f>
        <v>3174400</v>
      </c>
      <c r="K180" s="103">
        <f>VLOOKUP($A180,'OI(Volume)'!$A$7:$O$440,12)</f>
        <v>1211200</v>
      </c>
      <c r="L180" s="103">
        <f>VLOOKUP($A180,'OI(Value)'!$A$7:$O$323,8,0)</f>
        <v>386</v>
      </c>
      <c r="M180" s="103">
        <f>VLOOKUP($A180,'OI(Value)'!$A$7:$O$323,9,0)</f>
        <v>184</v>
      </c>
      <c r="N180" s="103">
        <f>VLOOKUP($A180,'OI(Value)'!$A$7:$O$323,11,0)</f>
        <v>249</v>
      </c>
      <c r="O180" s="103">
        <f>VLOOKUP($A180,'OI(Value)'!$A$7:$O$323,12,0)</f>
        <v>95</v>
      </c>
    </row>
    <row r="181" spans="1:15" x14ac:dyDescent="0.25">
      <c r="A181" s="105" t="str">
        <f>'Data Vlaue (Cr)'!C176</f>
        <v>SBILIFE</v>
      </c>
      <c r="B181" s="143">
        <f>VLOOKUP($A181,'Data shares'!$C:$FA,118)</f>
        <v>0.87</v>
      </c>
      <c r="C181" s="143">
        <f>VLOOKUP($A181,'Data shares'!$C:$FA,119)</f>
        <v>0.89</v>
      </c>
      <c r="D181" s="143">
        <f>VLOOKUP($A181,'Data shares'!$C:$FA,121)*100</f>
        <v>-2.25</v>
      </c>
      <c r="E181" s="143">
        <f>VLOOKUP($A181,'Data shares'!$C:$FA,124)</f>
        <v>0.52</v>
      </c>
      <c r="F181" s="143">
        <f>VLOOKUP($A181,'Data shares'!$C:$FA,125)</f>
        <v>0.52</v>
      </c>
      <c r="G181" s="143">
        <f>VLOOKUP($A181,'Data shares'!$C:$FA,127)*100</f>
        <v>0</v>
      </c>
      <c r="H181" s="103">
        <f>VLOOKUP($A181,'OI(Volume)'!$A$7:$O$440,8)</f>
        <v>1689750</v>
      </c>
      <c r="I181" s="103">
        <f>VLOOKUP($A181,'OI(Volume)'!$A$7:$O$440,9)</f>
        <v>1066500</v>
      </c>
      <c r="J181" s="103">
        <f>VLOOKUP($A181,'OI(Volume)'!$A$7:$O$440,11)</f>
        <v>1469250</v>
      </c>
      <c r="K181" s="103">
        <f>VLOOKUP($A181,'OI(Volume)'!$A$7:$O$440,12)</f>
        <v>917250</v>
      </c>
      <c r="L181" s="103">
        <f>VLOOKUP($A181,'OI(Value)'!$A$7:$O$323,8,0)</f>
        <v>348</v>
      </c>
      <c r="M181" s="103">
        <f>VLOOKUP($A181,'OI(Value)'!$A$7:$O$323,9,0)</f>
        <v>220</v>
      </c>
      <c r="N181" s="103">
        <f>VLOOKUP($A181,'OI(Value)'!$A$7:$O$323,11,0)</f>
        <v>303</v>
      </c>
      <c r="O181" s="103">
        <f>VLOOKUP($A181,'OI(Value)'!$A$7:$O$323,12,0)</f>
        <v>189</v>
      </c>
    </row>
    <row r="182" spans="1:15" x14ac:dyDescent="0.25">
      <c r="A182" s="105" t="str">
        <f>'Data Vlaue (Cr)'!C177</f>
        <v>SBIN</v>
      </c>
      <c r="B182" s="143">
        <f>VLOOKUP($A182,'Data shares'!$C:$FA,118)</f>
        <v>1.1399999999999999</v>
      </c>
      <c r="C182" s="143">
        <f>VLOOKUP($A182,'Data shares'!$C:$FA,119)</f>
        <v>1.21</v>
      </c>
      <c r="D182" s="143">
        <f>VLOOKUP($A182,'Data shares'!$C:$FA,121)*100</f>
        <v>-5.79</v>
      </c>
      <c r="E182" s="143">
        <f>VLOOKUP($A182,'Data shares'!$C:$FA,124)</f>
        <v>0.69</v>
      </c>
      <c r="F182" s="143">
        <f>VLOOKUP($A182,'Data shares'!$C:$FA,125)</f>
        <v>0.74</v>
      </c>
      <c r="G182" s="143">
        <f>VLOOKUP($A182,'Data shares'!$C:$FA,127)*100</f>
        <v>-6.76</v>
      </c>
      <c r="H182" s="103">
        <f>VLOOKUP($A182,'OI(Volume)'!$A$7:$O$440,8)</f>
        <v>16641000</v>
      </c>
      <c r="I182" s="103">
        <f>VLOOKUP($A182,'OI(Volume)'!$A$7:$O$440,9)</f>
        <v>3675000</v>
      </c>
      <c r="J182" s="103">
        <f>VLOOKUP($A182,'OI(Volume)'!$A$7:$O$440,11)</f>
        <v>19053750</v>
      </c>
      <c r="K182" s="103">
        <f>VLOOKUP($A182,'OI(Volume)'!$A$7:$O$440,12)</f>
        <v>3306750</v>
      </c>
      <c r="L182" s="103">
        <f>VLOOKUP($A182,'OI(Value)'!$A$7:$O$323,8,0)</f>
        <v>1776</v>
      </c>
      <c r="M182" s="103">
        <f>VLOOKUP($A182,'OI(Value)'!$A$7:$O$323,9,0)</f>
        <v>392</v>
      </c>
      <c r="N182" s="103">
        <f>VLOOKUP($A182,'OI(Value)'!$A$7:$O$323,11,0)</f>
        <v>2034</v>
      </c>
      <c r="O182" s="103">
        <f>VLOOKUP($A182,'OI(Value)'!$A$7:$O$323,12,0)</f>
        <v>353</v>
      </c>
    </row>
    <row r="183" spans="1:15" x14ac:dyDescent="0.25">
      <c r="A183" s="105" t="str">
        <f>'Data Vlaue (Cr)'!C178</f>
        <v>SHREECEM</v>
      </c>
      <c r="B183" s="143">
        <f>VLOOKUP($A183,'Data shares'!$C:$FA,118)</f>
        <v>0.9</v>
      </c>
      <c r="C183" s="143">
        <f>VLOOKUP($A183,'Data shares'!$C:$FA,119)</f>
        <v>0.95</v>
      </c>
      <c r="D183" s="143">
        <f>VLOOKUP($A183,'Data shares'!$C:$FA,121)*100</f>
        <v>-5.26</v>
      </c>
      <c r="E183" s="143">
        <f>VLOOKUP($A183,'Data shares'!$C:$FA,124)</f>
        <v>0.94</v>
      </c>
      <c r="F183" s="143">
        <f>VLOOKUP($A183,'Data shares'!$C:$FA,125)</f>
        <v>0.78</v>
      </c>
      <c r="G183" s="143">
        <f>VLOOKUP($A183,'Data shares'!$C:$FA,127)*100</f>
        <v>20.51</v>
      </c>
      <c r="H183" s="103">
        <f>VLOOKUP($A183,'OI(Volume)'!$A$7:$O$440,8)</f>
        <v>16075</v>
      </c>
      <c r="I183" s="103">
        <f>VLOOKUP($A183,'OI(Volume)'!$A$7:$O$440,9)</f>
        <v>3475</v>
      </c>
      <c r="J183" s="103">
        <f>VLOOKUP($A183,'OI(Volume)'!$A$7:$O$440,11)</f>
        <v>14525</v>
      </c>
      <c r="K183" s="103">
        <f>VLOOKUP($A183,'OI(Volume)'!$A$7:$O$440,12)</f>
        <v>2500</v>
      </c>
      <c r="L183" s="103">
        <f>VLOOKUP($A183,'OI(Value)'!$A$7:$O$323,8,0)</f>
        <v>44</v>
      </c>
      <c r="M183" s="103">
        <f>VLOOKUP($A183,'OI(Value)'!$A$7:$O$323,9,0)</f>
        <v>10</v>
      </c>
      <c r="N183" s="103">
        <f>VLOOKUP($A183,'OI(Value)'!$A$7:$O$323,11,0)</f>
        <v>40</v>
      </c>
      <c r="O183" s="103">
        <f>VLOOKUP($A183,'OI(Value)'!$A$7:$O$323,12,0)</f>
        <v>7</v>
      </c>
    </row>
    <row r="184" spans="1:15" x14ac:dyDescent="0.25">
      <c r="A184" s="105" t="str">
        <f>'Data Vlaue (Cr)'!C179</f>
        <v>SHRIRAMFIN</v>
      </c>
      <c r="B184" s="143">
        <f>VLOOKUP($A184,'Data shares'!$C:$FA,118)</f>
        <v>0.6</v>
      </c>
      <c r="C184" s="143">
        <f>VLOOKUP($A184,'Data shares'!$C:$FA,119)</f>
        <v>0.61</v>
      </c>
      <c r="D184" s="143">
        <f>VLOOKUP($A184,'Data shares'!$C:$FA,121)*100</f>
        <v>-1.6400000000000001</v>
      </c>
      <c r="E184" s="143">
        <f>VLOOKUP($A184,'Data shares'!$C:$FA,124)</f>
        <v>0.63</v>
      </c>
      <c r="F184" s="143">
        <f>VLOOKUP($A184,'Data shares'!$C:$FA,125)</f>
        <v>0.71</v>
      </c>
      <c r="G184" s="143">
        <f>VLOOKUP($A184,'Data shares'!$C:$FA,127)*100</f>
        <v>-11.27</v>
      </c>
      <c r="H184" s="103">
        <f>VLOOKUP($A184,'OI(Volume)'!$A$7:$O$440,8)</f>
        <v>7842450</v>
      </c>
      <c r="I184" s="103">
        <f>VLOOKUP($A184,'OI(Volume)'!$A$7:$O$440,9)</f>
        <v>1473450</v>
      </c>
      <c r="J184" s="103">
        <f>VLOOKUP($A184,'OI(Volume)'!$A$7:$O$440,11)</f>
        <v>4695900</v>
      </c>
      <c r="K184" s="103">
        <f>VLOOKUP($A184,'OI(Volume)'!$A$7:$O$440,12)</f>
        <v>801075</v>
      </c>
      <c r="L184" s="103">
        <f>VLOOKUP($A184,'OI(Value)'!$A$7:$O$323,8,0)</f>
        <v>802</v>
      </c>
      <c r="M184" s="103">
        <f>VLOOKUP($A184,'OI(Value)'!$A$7:$O$323,9,0)</f>
        <v>151</v>
      </c>
      <c r="N184" s="103">
        <f>VLOOKUP($A184,'OI(Value)'!$A$7:$O$323,11,0)</f>
        <v>480</v>
      </c>
      <c r="O184" s="103">
        <f>VLOOKUP($A184,'OI(Value)'!$A$7:$O$323,12,0)</f>
        <v>82</v>
      </c>
    </row>
    <row r="185" spans="1:15" x14ac:dyDescent="0.25">
      <c r="A185" s="105" t="str">
        <f>'Data Vlaue (Cr)'!C180</f>
        <v>SIEMENS</v>
      </c>
      <c r="B185" s="143">
        <f>VLOOKUP($A185,'Data shares'!$C:$FA,118)</f>
        <v>0.67</v>
      </c>
      <c r="C185" s="143">
        <f>VLOOKUP($A185,'Data shares'!$C:$FA,119)</f>
        <v>0.69</v>
      </c>
      <c r="D185" s="143">
        <f>VLOOKUP($A185,'Data shares'!$C:$FA,121)*100</f>
        <v>-2.9000000000000004</v>
      </c>
      <c r="E185" s="143">
        <f>VLOOKUP($A185,'Data shares'!$C:$FA,124)</f>
        <v>0.28000000000000003</v>
      </c>
      <c r="F185" s="143">
        <f>VLOOKUP($A185,'Data shares'!$C:$FA,125)</f>
        <v>0.59</v>
      </c>
      <c r="G185" s="143">
        <f>VLOOKUP($A185,'Data shares'!$C:$FA,127)*100</f>
        <v>-52.54</v>
      </c>
      <c r="H185" s="103">
        <f>VLOOKUP($A185,'OI(Volume)'!$A$7:$O$440,8)</f>
        <v>393050</v>
      </c>
      <c r="I185" s="103">
        <f>VLOOKUP($A185,'OI(Volume)'!$A$7:$O$440,9)</f>
        <v>119700</v>
      </c>
      <c r="J185" s="103">
        <f>VLOOKUP($A185,'OI(Volume)'!$A$7:$O$440,11)</f>
        <v>264425</v>
      </c>
      <c r="K185" s="103">
        <f>VLOOKUP($A185,'OI(Volume)'!$A$7:$O$440,12)</f>
        <v>75425</v>
      </c>
      <c r="L185" s="103">
        <f>VLOOKUP($A185,'OI(Value)'!$A$7:$O$323,8,0)</f>
        <v>118</v>
      </c>
      <c r="M185" s="103">
        <f>VLOOKUP($A185,'OI(Value)'!$A$7:$O$323,9,0)</f>
        <v>36</v>
      </c>
      <c r="N185" s="103">
        <f>VLOOKUP($A185,'OI(Value)'!$A$7:$O$323,11,0)</f>
        <v>79</v>
      </c>
      <c r="O185" s="103">
        <f>VLOOKUP($A185,'OI(Value)'!$A$7:$O$323,12,0)</f>
        <v>23</v>
      </c>
    </row>
    <row r="186" spans="1:15" x14ac:dyDescent="0.25">
      <c r="A186" s="105" t="str">
        <f>'Data Vlaue (Cr)'!C181</f>
        <v>SOLARINDS</v>
      </c>
      <c r="B186" s="143">
        <f>VLOOKUP($A186,'Data shares'!$C:$FA,118)</f>
        <v>0.74</v>
      </c>
      <c r="C186" s="143">
        <f>VLOOKUP($A186,'Data shares'!$C:$FA,119)</f>
        <v>1.22</v>
      </c>
      <c r="D186" s="143">
        <f>VLOOKUP($A186,'Data shares'!$C:$FA,121)*100</f>
        <v>-39.340000000000003</v>
      </c>
      <c r="E186" s="143">
        <f>VLOOKUP($A186,'Data shares'!$C:$FA,124)</f>
        <v>0.18</v>
      </c>
      <c r="F186" s="143">
        <f>VLOOKUP($A186,'Data shares'!$C:$FA,125)</f>
        <v>0.57999999999999996</v>
      </c>
      <c r="G186" s="143">
        <f>VLOOKUP($A186,'Data shares'!$C:$FA,127)*100</f>
        <v>-68.97</v>
      </c>
      <c r="H186" s="103">
        <f>VLOOKUP($A186,'OI(Volume)'!$A$7:$O$440,8)</f>
        <v>185950</v>
      </c>
      <c r="I186" s="103">
        <f>VLOOKUP($A186,'OI(Volume)'!$A$7:$O$440,9)</f>
        <v>118550</v>
      </c>
      <c r="J186" s="103">
        <f>VLOOKUP($A186,'OI(Volume)'!$A$7:$O$440,11)</f>
        <v>137950</v>
      </c>
      <c r="K186" s="103">
        <f>VLOOKUP($A186,'OI(Volume)'!$A$7:$O$440,12)</f>
        <v>55550</v>
      </c>
      <c r="L186" s="103">
        <f>VLOOKUP($A186,'OI(Value)'!$A$7:$O$323,8,0)</f>
        <v>260</v>
      </c>
      <c r="M186" s="103">
        <f>VLOOKUP($A186,'OI(Value)'!$A$7:$O$323,9,0)</f>
        <v>166</v>
      </c>
      <c r="N186" s="103">
        <f>VLOOKUP($A186,'OI(Value)'!$A$7:$O$323,11,0)</f>
        <v>193</v>
      </c>
      <c r="O186" s="103">
        <f>VLOOKUP($A186,'OI(Value)'!$A$7:$O$323,12,0)</f>
        <v>78</v>
      </c>
    </row>
    <row r="187" spans="1:15" x14ac:dyDescent="0.25">
      <c r="A187" s="105" t="str">
        <f>'Data Vlaue (Cr)'!C182</f>
        <v>SONACOMS</v>
      </c>
      <c r="B187" s="143">
        <f>VLOOKUP($A187,'Data shares'!$C:$FA,118)</f>
        <v>0.83</v>
      </c>
      <c r="C187" s="143">
        <f>VLOOKUP($A187,'Data shares'!$C:$FA,119)</f>
        <v>0.75</v>
      </c>
      <c r="D187" s="143">
        <f>VLOOKUP($A187,'Data shares'!$C:$FA,121)*100</f>
        <v>10.67</v>
      </c>
      <c r="E187" s="143">
        <f>VLOOKUP($A187,'Data shares'!$C:$FA,124)</f>
        <v>0.34</v>
      </c>
      <c r="F187" s="143">
        <f>VLOOKUP($A187,'Data shares'!$C:$FA,125)</f>
        <v>0.27</v>
      </c>
      <c r="G187" s="143">
        <f>VLOOKUP($A187,'Data shares'!$C:$FA,127)*100</f>
        <v>25.929999999999996</v>
      </c>
      <c r="H187" s="103">
        <f>VLOOKUP($A187,'OI(Volume)'!$A$7:$O$440,8)</f>
        <v>1945300</v>
      </c>
      <c r="I187" s="103">
        <f>VLOOKUP($A187,'OI(Volume)'!$A$7:$O$440,9)</f>
        <v>151900</v>
      </c>
      <c r="J187" s="103">
        <f>VLOOKUP($A187,'OI(Volume)'!$A$7:$O$440,11)</f>
        <v>1613325</v>
      </c>
      <c r="K187" s="103">
        <f>VLOOKUP($A187,'OI(Volume)'!$A$7:$O$440,12)</f>
        <v>265825</v>
      </c>
      <c r="L187" s="103">
        <f>VLOOKUP($A187,'OI(Value)'!$A$7:$O$323,8,0)</f>
        <v>96</v>
      </c>
      <c r="M187" s="103">
        <f>VLOOKUP($A187,'OI(Value)'!$A$7:$O$323,9,0)</f>
        <v>8</v>
      </c>
      <c r="N187" s="103">
        <f>VLOOKUP($A187,'OI(Value)'!$A$7:$O$323,11,0)</f>
        <v>80</v>
      </c>
      <c r="O187" s="103">
        <f>VLOOKUP($A187,'OI(Value)'!$A$7:$O$323,12,0)</f>
        <v>13</v>
      </c>
    </row>
    <row r="188" spans="1:15" x14ac:dyDescent="0.25">
      <c r="A188" s="105" t="str">
        <f>'Data Vlaue (Cr)'!C183</f>
        <v>SRF</v>
      </c>
      <c r="B188" s="143">
        <f>VLOOKUP($A188,'Data shares'!$C:$FA,118)</f>
        <v>0.75</v>
      </c>
      <c r="C188" s="143">
        <f>VLOOKUP($A188,'Data shares'!$C:$FA,119)</f>
        <v>0.65</v>
      </c>
      <c r="D188" s="143">
        <f>VLOOKUP($A188,'Data shares'!$C:$FA,121)*100</f>
        <v>15.379999999999999</v>
      </c>
      <c r="E188" s="143">
        <f>VLOOKUP($A188,'Data shares'!$C:$FA,124)</f>
        <v>0.36</v>
      </c>
      <c r="F188" s="143">
        <f>VLOOKUP($A188,'Data shares'!$C:$FA,125)</f>
        <v>0.49</v>
      </c>
      <c r="G188" s="143">
        <f>VLOOKUP($A188,'Data shares'!$C:$FA,127)*100</f>
        <v>-26.529999999999998</v>
      </c>
      <c r="H188" s="103">
        <f>VLOOKUP($A188,'OI(Volume)'!$A$7:$O$440,8)</f>
        <v>732600</v>
      </c>
      <c r="I188" s="103">
        <f>VLOOKUP($A188,'OI(Volume)'!$A$7:$O$440,9)</f>
        <v>78400</v>
      </c>
      <c r="J188" s="103">
        <f>VLOOKUP($A188,'OI(Volume)'!$A$7:$O$440,11)</f>
        <v>552200</v>
      </c>
      <c r="K188" s="103">
        <f>VLOOKUP($A188,'OI(Volume)'!$A$7:$O$440,12)</f>
        <v>127400</v>
      </c>
      <c r="L188" s="103">
        <f>VLOOKUP($A188,'OI(Value)'!$A$7:$O$323,8,0)</f>
        <v>208</v>
      </c>
      <c r="M188" s="103">
        <f>VLOOKUP($A188,'OI(Value)'!$A$7:$O$323,9,0)</f>
        <v>22</v>
      </c>
      <c r="N188" s="103">
        <f>VLOOKUP($A188,'OI(Value)'!$A$7:$O$323,11,0)</f>
        <v>157</v>
      </c>
      <c r="O188" s="103">
        <f>VLOOKUP($A188,'OI(Value)'!$A$7:$O$323,12,0)</f>
        <v>36</v>
      </c>
    </row>
    <row r="189" spans="1:15" x14ac:dyDescent="0.25">
      <c r="A189" s="105" t="str">
        <f>'Data Vlaue (Cr)'!C184</f>
        <v>SUNPHARMA</v>
      </c>
      <c r="B189" s="143">
        <f>VLOOKUP($A189,'Data shares'!$C:$FA,118)</f>
        <v>0.71</v>
      </c>
      <c r="C189" s="143">
        <f>VLOOKUP($A189,'Data shares'!$C:$FA,119)</f>
        <v>0.96</v>
      </c>
      <c r="D189" s="143">
        <f>VLOOKUP($A189,'Data shares'!$C:$FA,121)*100</f>
        <v>-26.040000000000003</v>
      </c>
      <c r="E189" s="143">
        <f>VLOOKUP($A189,'Data shares'!$C:$FA,124)</f>
        <v>0.56000000000000005</v>
      </c>
      <c r="F189" s="143">
        <f>VLOOKUP($A189,'Data shares'!$C:$FA,125)</f>
        <v>0.96</v>
      </c>
      <c r="G189" s="143">
        <f>VLOOKUP($A189,'Data shares'!$C:$FA,127)*100</f>
        <v>-41.67</v>
      </c>
      <c r="H189" s="103">
        <f>VLOOKUP($A189,'OI(Volume)'!$A$7:$O$440,8)</f>
        <v>2975350</v>
      </c>
      <c r="I189" s="103">
        <f>VLOOKUP($A189,'OI(Volume)'!$A$7:$O$440,9)</f>
        <v>1360450</v>
      </c>
      <c r="J189" s="103">
        <f>VLOOKUP($A189,'OI(Volume)'!$A$7:$O$440,11)</f>
        <v>2100350</v>
      </c>
      <c r="K189" s="103">
        <f>VLOOKUP($A189,'OI(Volume)'!$A$7:$O$440,12)</f>
        <v>556850</v>
      </c>
      <c r="L189" s="103">
        <f>VLOOKUP($A189,'OI(Value)'!$A$7:$O$323,8,0)</f>
        <v>478</v>
      </c>
      <c r="M189" s="103">
        <f>VLOOKUP($A189,'OI(Value)'!$A$7:$O$323,9,0)</f>
        <v>219</v>
      </c>
      <c r="N189" s="103">
        <f>VLOOKUP($A189,'OI(Value)'!$A$7:$O$323,11,0)</f>
        <v>338</v>
      </c>
      <c r="O189" s="103">
        <f>VLOOKUP($A189,'OI(Value)'!$A$7:$O$323,12,0)</f>
        <v>90</v>
      </c>
    </row>
    <row r="190" spans="1:15" x14ac:dyDescent="0.25">
      <c r="A190" s="105" t="str">
        <f>'Data Vlaue (Cr)'!C185</f>
        <v>SUPREMEIND</v>
      </c>
      <c r="B190" s="143">
        <f>VLOOKUP($A190,'Data shares'!$C:$FA,118)</f>
        <v>0.78</v>
      </c>
      <c r="C190" s="143">
        <f>VLOOKUP($A190,'Data shares'!$C:$FA,119)</f>
        <v>1.03</v>
      </c>
      <c r="D190" s="143">
        <f>VLOOKUP($A190,'Data shares'!$C:$FA,121)*100</f>
        <v>-24.27</v>
      </c>
      <c r="E190" s="143">
        <f>VLOOKUP($A190,'Data shares'!$C:$FA,124)</f>
        <v>0.21</v>
      </c>
      <c r="F190" s="143">
        <f>VLOOKUP($A190,'Data shares'!$C:$FA,125)</f>
        <v>0.91</v>
      </c>
      <c r="G190" s="143">
        <f>VLOOKUP($A190,'Data shares'!$C:$FA,127)*100</f>
        <v>-76.92</v>
      </c>
      <c r="H190" s="103">
        <f>VLOOKUP($A190,'OI(Volume)'!$A$7:$O$440,8)</f>
        <v>227850</v>
      </c>
      <c r="I190" s="103">
        <f>VLOOKUP($A190,'OI(Volume)'!$A$7:$O$440,9)</f>
        <v>67375</v>
      </c>
      <c r="J190" s="103">
        <f>VLOOKUP($A190,'OI(Volume)'!$A$7:$O$440,11)</f>
        <v>178675</v>
      </c>
      <c r="K190" s="103">
        <f>VLOOKUP($A190,'OI(Volume)'!$A$7:$O$440,12)</f>
        <v>13650</v>
      </c>
      <c r="L190" s="103">
        <f>VLOOKUP($A190,'OI(Value)'!$A$7:$O$323,8,0)</f>
        <v>81</v>
      </c>
      <c r="M190" s="103">
        <f>VLOOKUP($A190,'OI(Value)'!$A$7:$O$323,9,0)</f>
        <v>24</v>
      </c>
      <c r="N190" s="103">
        <f>VLOOKUP($A190,'OI(Value)'!$A$7:$O$323,11,0)</f>
        <v>63</v>
      </c>
      <c r="O190" s="103">
        <f>VLOOKUP($A190,'OI(Value)'!$A$7:$O$323,12,0)</f>
        <v>5</v>
      </c>
    </row>
    <row r="191" spans="1:15" x14ac:dyDescent="0.25">
      <c r="A191" s="105" t="str">
        <f>'Data Vlaue (Cr)'!C186</f>
        <v>SUZLON</v>
      </c>
      <c r="B191" s="143">
        <f>VLOOKUP($A191,'Data shares'!$C:$FA,118)</f>
        <v>0.72</v>
      </c>
      <c r="C191" s="143">
        <f>VLOOKUP($A191,'Data shares'!$C:$FA,119)</f>
        <v>0.75</v>
      </c>
      <c r="D191" s="143">
        <f>VLOOKUP($A191,'Data shares'!$C:$FA,121)*100</f>
        <v>-4</v>
      </c>
      <c r="E191" s="143">
        <f>VLOOKUP($A191,'Data shares'!$C:$FA,124)</f>
        <v>0.33</v>
      </c>
      <c r="F191" s="143">
        <f>VLOOKUP($A191,'Data shares'!$C:$FA,125)</f>
        <v>0.73</v>
      </c>
      <c r="G191" s="143">
        <f>VLOOKUP($A191,'Data shares'!$C:$FA,127)*100</f>
        <v>-54.790000000000006</v>
      </c>
      <c r="H191" s="103">
        <f>VLOOKUP($A191,'OI(Volume)'!$A$7:$O$440,8)</f>
        <v>67353575</v>
      </c>
      <c r="I191" s="103">
        <f>VLOOKUP($A191,'OI(Volume)'!$A$7:$O$440,9)</f>
        <v>7707350</v>
      </c>
      <c r="J191" s="103">
        <f>VLOOKUP($A191,'OI(Volume)'!$A$7:$O$440,11)</f>
        <v>48698900</v>
      </c>
      <c r="K191" s="103">
        <f>VLOOKUP($A191,'OI(Volume)'!$A$7:$O$440,12)</f>
        <v>3808550</v>
      </c>
      <c r="L191" s="103">
        <f>VLOOKUP($A191,'OI(Value)'!$A$7:$O$323,8,0)</f>
        <v>323</v>
      </c>
      <c r="M191" s="103">
        <f>VLOOKUP($A191,'OI(Value)'!$A$7:$O$323,9,0)</f>
        <v>37</v>
      </c>
      <c r="N191" s="103">
        <f>VLOOKUP($A191,'OI(Value)'!$A$7:$O$323,11,0)</f>
        <v>234</v>
      </c>
      <c r="O191" s="103">
        <f>VLOOKUP($A191,'OI(Value)'!$A$7:$O$323,12,0)</f>
        <v>18</v>
      </c>
    </row>
    <row r="192" spans="1:15" x14ac:dyDescent="0.25">
      <c r="A192" s="105" t="str">
        <f>'Data Vlaue (Cr)'!C187</f>
        <v>SWIGGY</v>
      </c>
      <c r="B192" s="143">
        <f>VLOOKUP($A192,'Data shares'!$C:$FA,118)</f>
        <v>1.19</v>
      </c>
      <c r="C192" s="143">
        <f>VLOOKUP($A192,'Data shares'!$C:$FA,119)</f>
        <v>1.2</v>
      </c>
      <c r="D192" s="143">
        <f>VLOOKUP($A192,'Data shares'!$C:$FA,121)*100</f>
        <v>-0.83</v>
      </c>
      <c r="E192" s="143">
        <f>VLOOKUP($A192,'Data shares'!$C:$FA,124)</f>
        <v>0.61</v>
      </c>
      <c r="F192" s="143">
        <f>VLOOKUP($A192,'Data shares'!$C:$FA,125)</f>
        <v>1.37</v>
      </c>
      <c r="G192" s="143">
        <f>VLOOKUP($A192,'Data shares'!$C:$FA,127)*100</f>
        <v>-55.47</v>
      </c>
      <c r="H192" s="103">
        <f>VLOOKUP($A192,'OI(Volume)'!$A$7:$O$440,8)</f>
        <v>2771600</v>
      </c>
      <c r="I192" s="103">
        <f>VLOOKUP($A192,'OI(Volume)'!$A$7:$O$440,9)</f>
        <v>760500</v>
      </c>
      <c r="J192" s="103">
        <f>VLOOKUP($A192,'OI(Volume)'!$A$7:$O$440,11)</f>
        <v>3287700</v>
      </c>
      <c r="K192" s="103">
        <f>VLOOKUP($A192,'OI(Volume)'!$A$7:$O$440,12)</f>
        <v>873600</v>
      </c>
      <c r="L192" s="103">
        <f>VLOOKUP($A192,'OI(Value)'!$A$7:$O$323,8,0)</f>
        <v>90</v>
      </c>
      <c r="M192" s="103">
        <f>VLOOKUP($A192,'OI(Value)'!$A$7:$O$323,9,0)</f>
        <v>25</v>
      </c>
      <c r="N192" s="103">
        <f>VLOOKUP($A192,'OI(Value)'!$A$7:$O$323,11,0)</f>
        <v>107</v>
      </c>
      <c r="O192" s="103">
        <f>VLOOKUP($A192,'OI(Value)'!$A$7:$O$323,12,0)</f>
        <v>28</v>
      </c>
    </row>
    <row r="193" spans="1:15" x14ac:dyDescent="0.25">
      <c r="A193" s="105" t="str">
        <f>'Data Vlaue (Cr)'!C188</f>
        <v>SYNGENE</v>
      </c>
      <c r="B193" s="143">
        <f>VLOOKUP($A193,'Data shares'!$C:$FA,118)</f>
        <v>0.67</v>
      </c>
      <c r="C193" s="143">
        <f>VLOOKUP($A193,'Data shares'!$C:$FA,119)</f>
        <v>0.65</v>
      </c>
      <c r="D193" s="143">
        <f>VLOOKUP($A193,'Data shares'!$C:$FA,121)*100</f>
        <v>3.08</v>
      </c>
      <c r="E193" s="143">
        <f>VLOOKUP($A193,'Data shares'!$C:$FA,124)</f>
        <v>1</v>
      </c>
      <c r="F193" s="143">
        <f>VLOOKUP($A193,'Data shares'!$C:$FA,125)</f>
        <v>1.66</v>
      </c>
      <c r="G193" s="143">
        <f>VLOOKUP($A193,'Data shares'!$C:$FA,127)*100</f>
        <v>-39.76</v>
      </c>
      <c r="H193" s="103">
        <f>VLOOKUP($A193,'OI(Volume)'!$A$7:$O$440,8)</f>
        <v>6454000</v>
      </c>
      <c r="I193" s="103">
        <f>VLOOKUP($A193,'OI(Volume)'!$A$7:$O$440,9)</f>
        <v>1132000</v>
      </c>
      <c r="J193" s="103">
        <f>VLOOKUP($A193,'OI(Volume)'!$A$7:$O$440,11)</f>
        <v>4308000</v>
      </c>
      <c r="K193" s="103">
        <f>VLOOKUP($A193,'OI(Volume)'!$A$7:$O$440,12)</f>
        <v>836000</v>
      </c>
      <c r="L193" s="103">
        <f>VLOOKUP($A193,'OI(Value)'!$A$7:$O$323,8,0)</f>
        <v>312</v>
      </c>
      <c r="M193" s="103">
        <f>VLOOKUP($A193,'OI(Value)'!$A$7:$O$323,9,0)</f>
        <v>55</v>
      </c>
      <c r="N193" s="103">
        <f>VLOOKUP($A193,'OI(Value)'!$A$7:$O$323,11,0)</f>
        <v>208</v>
      </c>
      <c r="O193" s="103">
        <f>VLOOKUP($A193,'OI(Value)'!$A$7:$O$323,12,0)</f>
        <v>40</v>
      </c>
    </row>
    <row r="194" spans="1:15" x14ac:dyDescent="0.25">
      <c r="A194" s="105" t="str">
        <f>'Data Vlaue (Cr)'!C189</f>
        <v>TATACONSUM</v>
      </c>
      <c r="B194" s="143">
        <f>VLOOKUP($A194,'Data shares'!$C:$FA,118)</f>
        <v>0.78</v>
      </c>
      <c r="C194" s="143">
        <f>VLOOKUP($A194,'Data shares'!$C:$FA,119)</f>
        <v>0.75</v>
      </c>
      <c r="D194" s="143">
        <f>VLOOKUP($A194,'Data shares'!$C:$FA,121)*100</f>
        <v>4</v>
      </c>
      <c r="E194" s="143">
        <f>VLOOKUP($A194,'Data shares'!$C:$FA,124)</f>
        <v>0.78</v>
      </c>
      <c r="F194" s="143">
        <f>VLOOKUP($A194,'Data shares'!$C:$FA,125)</f>
        <v>0.38</v>
      </c>
      <c r="G194" s="143">
        <f>VLOOKUP($A194,'Data shares'!$C:$FA,127)*100</f>
        <v>105.25999999999999</v>
      </c>
      <c r="H194" s="103">
        <f>VLOOKUP($A194,'OI(Volume)'!$A$7:$O$440,8)</f>
        <v>4424200</v>
      </c>
      <c r="I194" s="103">
        <f>VLOOKUP($A194,'OI(Volume)'!$A$7:$O$440,9)</f>
        <v>2554750</v>
      </c>
      <c r="J194" s="103">
        <f>VLOOKUP($A194,'OI(Volume)'!$A$7:$O$440,11)</f>
        <v>3446850</v>
      </c>
      <c r="K194" s="103">
        <f>VLOOKUP($A194,'OI(Volume)'!$A$7:$O$440,12)</f>
        <v>2044900</v>
      </c>
      <c r="L194" s="103">
        <f>VLOOKUP($A194,'OI(Value)'!$A$7:$O$323,8,0)</f>
        <v>503</v>
      </c>
      <c r="M194" s="103">
        <f>VLOOKUP($A194,'OI(Value)'!$A$7:$O$323,9,0)</f>
        <v>290</v>
      </c>
      <c r="N194" s="103">
        <f>VLOOKUP($A194,'OI(Value)'!$A$7:$O$323,11,0)</f>
        <v>392</v>
      </c>
      <c r="O194" s="103">
        <f>VLOOKUP($A194,'OI(Value)'!$A$7:$O$323,12,0)</f>
        <v>232</v>
      </c>
    </row>
    <row r="195" spans="1:15" x14ac:dyDescent="0.25">
      <c r="A195" s="105" t="str">
        <f>'Data Vlaue (Cr)'!C190</f>
        <v>TATAELXSI</v>
      </c>
      <c r="B195" s="143">
        <f>VLOOKUP($A195,'Data shares'!$C:$FA,118)</f>
        <v>0.38</v>
      </c>
      <c r="C195" s="143">
        <f>VLOOKUP($A195,'Data shares'!$C:$FA,119)</f>
        <v>0.38</v>
      </c>
      <c r="D195" s="143">
        <f>VLOOKUP($A195,'Data shares'!$C:$FA,121)*100</f>
        <v>0</v>
      </c>
      <c r="E195" s="143">
        <f>VLOOKUP($A195,'Data shares'!$C:$FA,124)</f>
        <v>0.42</v>
      </c>
      <c r="F195" s="143">
        <f>VLOOKUP($A195,'Data shares'!$C:$FA,125)</f>
        <v>0.5</v>
      </c>
      <c r="G195" s="143">
        <f>VLOOKUP($A195,'Data shares'!$C:$FA,127)*100</f>
        <v>-16</v>
      </c>
      <c r="H195" s="103">
        <f>VLOOKUP($A195,'OI(Volume)'!$A$7:$O$440,8)</f>
        <v>595100</v>
      </c>
      <c r="I195" s="103">
        <f>VLOOKUP($A195,'OI(Volume)'!$A$7:$O$440,9)</f>
        <v>141400</v>
      </c>
      <c r="J195" s="103">
        <f>VLOOKUP($A195,'OI(Volume)'!$A$7:$O$440,11)</f>
        <v>225400</v>
      </c>
      <c r="K195" s="103">
        <f>VLOOKUP($A195,'OI(Volume)'!$A$7:$O$440,12)</f>
        <v>53700</v>
      </c>
      <c r="L195" s="103">
        <f>VLOOKUP($A195,'OI(Value)'!$A$7:$O$323,8,0)</f>
        <v>323</v>
      </c>
      <c r="M195" s="103">
        <f>VLOOKUP($A195,'OI(Value)'!$A$7:$O$323,9,0)</f>
        <v>77</v>
      </c>
      <c r="N195" s="103">
        <f>VLOOKUP($A195,'OI(Value)'!$A$7:$O$323,11,0)</f>
        <v>122</v>
      </c>
      <c r="O195" s="103">
        <f>VLOOKUP($A195,'OI(Value)'!$A$7:$O$323,12,0)</f>
        <v>29</v>
      </c>
    </row>
    <row r="196" spans="1:15" x14ac:dyDescent="0.25">
      <c r="A196" s="105" t="str">
        <f>'Data Vlaue (Cr)'!C191</f>
        <v>TATAPOWER</v>
      </c>
      <c r="B196" s="143">
        <f>VLOOKUP($A196,'Data shares'!$C:$FA,118)</f>
        <v>1.1399999999999999</v>
      </c>
      <c r="C196" s="143">
        <f>VLOOKUP($A196,'Data shares'!$C:$FA,119)</f>
        <v>1.26</v>
      </c>
      <c r="D196" s="143">
        <f>VLOOKUP($A196,'Data shares'!$C:$FA,121)*100</f>
        <v>-9.5200000000000014</v>
      </c>
      <c r="E196" s="143">
        <f>VLOOKUP($A196,'Data shares'!$C:$FA,124)</f>
        <v>0.44</v>
      </c>
      <c r="F196" s="143">
        <f>VLOOKUP($A196,'Data shares'!$C:$FA,125)</f>
        <v>0.87</v>
      </c>
      <c r="G196" s="143">
        <f>VLOOKUP($A196,'Data shares'!$C:$FA,127)*100</f>
        <v>-49.43</v>
      </c>
      <c r="H196" s="103">
        <f>VLOOKUP($A196,'OI(Volume)'!$A$7:$O$440,8)</f>
        <v>17745100</v>
      </c>
      <c r="I196" s="103">
        <f>VLOOKUP($A196,'OI(Volume)'!$A$7:$O$440,9)</f>
        <v>2620150</v>
      </c>
      <c r="J196" s="103">
        <f>VLOOKUP($A196,'OI(Volume)'!$A$7:$O$440,11)</f>
        <v>20268100</v>
      </c>
      <c r="K196" s="103">
        <f>VLOOKUP($A196,'OI(Volume)'!$A$7:$O$440,12)</f>
        <v>1158550</v>
      </c>
      <c r="L196" s="103">
        <f>VLOOKUP($A196,'OI(Value)'!$A$7:$O$323,8,0)</f>
        <v>634</v>
      </c>
      <c r="M196" s="103">
        <f>VLOOKUP($A196,'OI(Value)'!$A$7:$O$323,9,0)</f>
        <v>94</v>
      </c>
      <c r="N196" s="103">
        <f>VLOOKUP($A196,'OI(Value)'!$A$7:$O$323,11,0)</f>
        <v>724</v>
      </c>
      <c r="O196" s="103">
        <f>VLOOKUP($A196,'OI(Value)'!$A$7:$O$323,12,0)</f>
        <v>41</v>
      </c>
    </row>
    <row r="197" spans="1:15" x14ac:dyDescent="0.25">
      <c r="A197" s="105" t="str">
        <f>'Data Vlaue (Cr)'!C192</f>
        <v>TATASTEEL</v>
      </c>
      <c r="B197" s="143">
        <f>VLOOKUP($A197,'Data shares'!$C:$FA,118)</f>
        <v>0.85</v>
      </c>
      <c r="C197" s="143">
        <f>VLOOKUP($A197,'Data shares'!$C:$FA,119)</f>
        <v>0.85</v>
      </c>
      <c r="D197" s="143">
        <f>VLOOKUP($A197,'Data shares'!$C:$FA,121)*100</f>
        <v>0</v>
      </c>
      <c r="E197" s="143">
        <f>VLOOKUP($A197,'Data shares'!$C:$FA,124)</f>
        <v>0.52</v>
      </c>
      <c r="F197" s="143">
        <f>VLOOKUP($A197,'Data shares'!$C:$FA,125)</f>
        <v>0.55000000000000004</v>
      </c>
      <c r="G197" s="143">
        <f>VLOOKUP($A197,'Data shares'!$C:$FA,127)*100</f>
        <v>-5.45</v>
      </c>
      <c r="H197" s="103">
        <f>VLOOKUP($A197,'OI(Volume)'!$A$7:$O$440,8)</f>
        <v>63503000</v>
      </c>
      <c r="I197" s="103">
        <f>VLOOKUP($A197,'OI(Volume)'!$A$7:$O$440,9)</f>
        <v>7238000</v>
      </c>
      <c r="J197" s="103">
        <f>VLOOKUP($A197,'OI(Volume)'!$A$7:$O$440,11)</f>
        <v>54263000</v>
      </c>
      <c r="K197" s="103">
        <f>VLOOKUP($A197,'OI(Volume)'!$A$7:$O$440,12)</f>
        <v>6545000</v>
      </c>
      <c r="L197" s="103">
        <f>VLOOKUP($A197,'OI(Value)'!$A$7:$O$323,8,0)</f>
        <v>1238</v>
      </c>
      <c r="M197" s="103">
        <f>VLOOKUP($A197,'OI(Value)'!$A$7:$O$323,9,0)</f>
        <v>141</v>
      </c>
      <c r="N197" s="103">
        <f>VLOOKUP($A197,'OI(Value)'!$A$7:$O$323,11,0)</f>
        <v>1058</v>
      </c>
      <c r="O197" s="103">
        <f>VLOOKUP($A197,'OI(Value)'!$A$7:$O$323,12,0)</f>
        <v>128</v>
      </c>
    </row>
    <row r="198" spans="1:15" x14ac:dyDescent="0.25">
      <c r="A198" s="105" t="str">
        <f>'Data Vlaue (Cr)'!C193</f>
        <v>TATATECH</v>
      </c>
      <c r="B198" s="143">
        <f>VLOOKUP($A198,'Data shares'!$C:$FA,118)</f>
        <v>0.8</v>
      </c>
      <c r="C198" s="143">
        <f>VLOOKUP($A198,'Data shares'!$C:$FA,119)</f>
        <v>0.8</v>
      </c>
      <c r="D198" s="143">
        <f>VLOOKUP($A198,'Data shares'!$C:$FA,121)*100</f>
        <v>0</v>
      </c>
      <c r="E198" s="143">
        <f>VLOOKUP($A198,'Data shares'!$C:$FA,124)</f>
        <v>0.45</v>
      </c>
      <c r="F198" s="143">
        <f>VLOOKUP($A198,'Data shares'!$C:$FA,125)</f>
        <v>0.48</v>
      </c>
      <c r="G198" s="143">
        <f>VLOOKUP($A198,'Data shares'!$C:$FA,127)*100</f>
        <v>-6.25</v>
      </c>
      <c r="H198" s="103">
        <f>VLOOKUP($A198,'OI(Volume)'!$A$7:$O$440,8)</f>
        <v>2236000</v>
      </c>
      <c r="I198" s="103">
        <f>VLOOKUP($A198,'OI(Volume)'!$A$7:$O$440,9)</f>
        <v>197600</v>
      </c>
      <c r="J198" s="103">
        <f>VLOOKUP($A198,'OI(Volume)'!$A$7:$O$440,11)</f>
        <v>1787200</v>
      </c>
      <c r="K198" s="103">
        <f>VLOOKUP($A198,'OI(Volume)'!$A$7:$O$440,12)</f>
        <v>157600</v>
      </c>
      <c r="L198" s="103">
        <f>VLOOKUP($A198,'OI(Value)'!$A$7:$O$323,8,0)</f>
        <v>149</v>
      </c>
      <c r="M198" s="103">
        <f>VLOOKUP($A198,'OI(Value)'!$A$7:$O$323,9,0)</f>
        <v>13</v>
      </c>
      <c r="N198" s="103">
        <f>VLOOKUP($A198,'OI(Value)'!$A$7:$O$323,11,0)</f>
        <v>119</v>
      </c>
      <c r="O198" s="103">
        <f>VLOOKUP($A198,'OI(Value)'!$A$7:$O$323,12,0)</f>
        <v>10</v>
      </c>
    </row>
    <row r="199" spans="1:15" x14ac:dyDescent="0.25">
      <c r="A199" s="105" t="str">
        <f>'Data Vlaue (Cr)'!C194</f>
        <v>TCS</v>
      </c>
      <c r="B199" s="143">
        <f>VLOOKUP($A199,'Data shares'!$C:$FA,118)</f>
        <v>1.08</v>
      </c>
      <c r="C199" s="143">
        <f>VLOOKUP($A199,'Data shares'!$C:$FA,119)</f>
        <v>1.1599999999999999</v>
      </c>
      <c r="D199" s="143">
        <f>VLOOKUP($A199,'Data shares'!$C:$FA,121)*100</f>
        <v>-6.9</v>
      </c>
      <c r="E199" s="143">
        <f>VLOOKUP($A199,'Data shares'!$C:$FA,124)</f>
        <v>0.61</v>
      </c>
      <c r="F199" s="143">
        <f>VLOOKUP($A199,'Data shares'!$C:$FA,125)</f>
        <v>0.81</v>
      </c>
      <c r="G199" s="143">
        <f>VLOOKUP($A199,'Data shares'!$C:$FA,127)*100</f>
        <v>-24.69</v>
      </c>
      <c r="H199" s="103">
        <f>VLOOKUP($A199,'OI(Volume)'!$A$7:$O$440,8)</f>
        <v>4010475</v>
      </c>
      <c r="I199" s="103">
        <f>VLOOKUP($A199,'OI(Volume)'!$A$7:$O$440,9)</f>
        <v>592025</v>
      </c>
      <c r="J199" s="103">
        <f>VLOOKUP($A199,'OI(Volume)'!$A$7:$O$440,11)</f>
        <v>4316550</v>
      </c>
      <c r="K199" s="103">
        <f>VLOOKUP($A199,'OI(Volume)'!$A$7:$O$440,12)</f>
        <v>354025</v>
      </c>
      <c r="L199" s="103">
        <f>VLOOKUP($A199,'OI(Value)'!$A$7:$O$323,8,0)</f>
        <v>1287</v>
      </c>
      <c r="M199" s="103">
        <f>VLOOKUP($A199,'OI(Value)'!$A$7:$O$323,9,0)</f>
        <v>190</v>
      </c>
      <c r="N199" s="103">
        <f>VLOOKUP($A199,'OI(Value)'!$A$7:$O$323,11,0)</f>
        <v>1386</v>
      </c>
      <c r="O199" s="103">
        <f>VLOOKUP($A199,'OI(Value)'!$A$7:$O$323,12,0)</f>
        <v>114</v>
      </c>
    </row>
    <row r="200" spans="1:15" x14ac:dyDescent="0.25">
      <c r="A200" s="105" t="str">
        <f>'Data Vlaue (Cr)'!C195</f>
        <v>TECHM</v>
      </c>
      <c r="B200" s="143">
        <f>VLOOKUP($A200,'Data shares'!$C:$FA,118)</f>
        <v>0.79</v>
      </c>
      <c r="C200" s="143">
        <f>VLOOKUP($A200,'Data shares'!$C:$FA,119)</f>
        <v>0.91</v>
      </c>
      <c r="D200" s="143">
        <f>VLOOKUP($A200,'Data shares'!$C:$FA,121)*100</f>
        <v>-13.19</v>
      </c>
      <c r="E200" s="143">
        <f>VLOOKUP($A200,'Data shares'!$C:$FA,124)</f>
        <v>0.55000000000000004</v>
      </c>
      <c r="F200" s="143">
        <f>VLOOKUP($A200,'Data shares'!$C:$FA,125)</f>
        <v>0.45</v>
      </c>
      <c r="G200" s="143">
        <f>VLOOKUP($A200,'Data shares'!$C:$FA,127)*100</f>
        <v>22.220000000000002</v>
      </c>
      <c r="H200" s="103">
        <f>VLOOKUP($A200,'OI(Volume)'!$A$7:$O$440,8)</f>
        <v>2928600</v>
      </c>
      <c r="I200" s="103">
        <f>VLOOKUP($A200,'OI(Volume)'!$A$7:$O$440,9)</f>
        <v>820800</v>
      </c>
      <c r="J200" s="103">
        <f>VLOOKUP($A200,'OI(Volume)'!$A$7:$O$440,11)</f>
        <v>2305200</v>
      </c>
      <c r="K200" s="103">
        <f>VLOOKUP($A200,'OI(Volume)'!$A$7:$O$440,12)</f>
        <v>385800</v>
      </c>
      <c r="L200" s="103">
        <f>VLOOKUP($A200,'OI(Value)'!$A$7:$O$323,8,0)</f>
        <v>518</v>
      </c>
      <c r="M200" s="103">
        <f>VLOOKUP($A200,'OI(Value)'!$A$7:$O$323,9,0)</f>
        <v>145</v>
      </c>
      <c r="N200" s="103">
        <f>VLOOKUP($A200,'OI(Value)'!$A$7:$O$323,11,0)</f>
        <v>408</v>
      </c>
      <c r="O200" s="103">
        <f>VLOOKUP($A200,'OI(Value)'!$A$7:$O$323,12,0)</f>
        <v>68</v>
      </c>
    </row>
    <row r="201" spans="1:15" x14ac:dyDescent="0.25">
      <c r="A201" s="105" t="str">
        <f>'Data Vlaue (Cr)'!C196</f>
        <v>TIINDIA</v>
      </c>
      <c r="B201" s="143">
        <f>VLOOKUP($A201,'Data shares'!$C:$FA,118)</f>
        <v>0.6</v>
      </c>
      <c r="C201" s="143">
        <f>VLOOKUP($A201,'Data shares'!$C:$FA,119)</f>
        <v>1.06</v>
      </c>
      <c r="D201" s="143">
        <f>VLOOKUP($A201,'Data shares'!$C:$FA,121)*100</f>
        <v>-43.4</v>
      </c>
      <c r="E201" s="143">
        <f>VLOOKUP($A201,'Data shares'!$C:$FA,124)</f>
        <v>0.31</v>
      </c>
      <c r="F201" s="143">
        <f>VLOOKUP($A201,'Data shares'!$C:$FA,125)</f>
        <v>0.9</v>
      </c>
      <c r="G201" s="143">
        <f>VLOOKUP($A201,'Data shares'!$C:$FA,127)*100</f>
        <v>-65.56</v>
      </c>
      <c r="H201" s="103">
        <f>VLOOKUP($A201,'OI(Volume)'!$A$7:$O$440,8)</f>
        <v>593800</v>
      </c>
      <c r="I201" s="103">
        <f>VLOOKUP($A201,'OI(Volume)'!$A$7:$O$440,9)</f>
        <v>374400</v>
      </c>
      <c r="J201" s="103">
        <f>VLOOKUP($A201,'OI(Volume)'!$A$7:$O$440,11)</f>
        <v>353800</v>
      </c>
      <c r="K201" s="103">
        <f>VLOOKUP($A201,'OI(Volume)'!$A$7:$O$440,12)</f>
        <v>121200</v>
      </c>
      <c r="L201" s="103">
        <f>VLOOKUP($A201,'OI(Value)'!$A$7:$O$323,8,0)</f>
        <v>136</v>
      </c>
      <c r="M201" s="103">
        <f>VLOOKUP($A201,'OI(Value)'!$A$7:$O$323,9,0)</f>
        <v>86</v>
      </c>
      <c r="N201" s="103">
        <f>VLOOKUP($A201,'OI(Value)'!$A$7:$O$323,11,0)</f>
        <v>81</v>
      </c>
      <c r="O201" s="103">
        <f>VLOOKUP($A201,'OI(Value)'!$A$7:$O$323,12,0)</f>
        <v>28</v>
      </c>
    </row>
    <row r="202" spans="1:15" x14ac:dyDescent="0.25">
      <c r="A202" s="105" t="str">
        <f>'Data Vlaue (Cr)'!C197</f>
        <v>TITAN</v>
      </c>
      <c r="B202" s="143">
        <f>VLOOKUP($A202,'Data shares'!$C:$FA,118)</f>
        <v>0.88</v>
      </c>
      <c r="C202" s="143">
        <f>VLOOKUP($A202,'Data shares'!$C:$FA,119)</f>
        <v>0.71</v>
      </c>
      <c r="D202" s="143">
        <f>VLOOKUP($A202,'Data shares'!$C:$FA,121)*100</f>
        <v>23.94</v>
      </c>
      <c r="E202" s="143">
        <f>VLOOKUP($A202,'Data shares'!$C:$FA,124)</f>
        <v>0.66</v>
      </c>
      <c r="F202" s="143">
        <f>VLOOKUP($A202,'Data shares'!$C:$FA,125)</f>
        <v>0.75</v>
      </c>
      <c r="G202" s="143">
        <f>VLOOKUP($A202,'Data shares'!$C:$FA,127)*100</f>
        <v>-12</v>
      </c>
      <c r="H202" s="103">
        <f>VLOOKUP($A202,'OI(Volume)'!$A$7:$O$440,8)</f>
        <v>1478225</v>
      </c>
      <c r="I202" s="103">
        <f>VLOOKUP($A202,'OI(Volume)'!$A$7:$O$440,9)</f>
        <v>118475</v>
      </c>
      <c r="J202" s="103">
        <f>VLOOKUP($A202,'OI(Volume)'!$A$7:$O$440,11)</f>
        <v>1307775</v>
      </c>
      <c r="K202" s="103">
        <f>VLOOKUP($A202,'OI(Volume)'!$A$7:$O$440,12)</f>
        <v>342650</v>
      </c>
      <c r="L202" s="103">
        <f>VLOOKUP($A202,'OI(Value)'!$A$7:$O$323,8,0)</f>
        <v>590</v>
      </c>
      <c r="M202" s="103">
        <f>VLOOKUP($A202,'OI(Value)'!$A$7:$O$323,9,0)</f>
        <v>47</v>
      </c>
      <c r="N202" s="103">
        <f>VLOOKUP($A202,'OI(Value)'!$A$7:$O$323,11,0)</f>
        <v>522</v>
      </c>
      <c r="O202" s="103">
        <f>VLOOKUP($A202,'OI(Value)'!$A$7:$O$323,12,0)</f>
        <v>137</v>
      </c>
    </row>
    <row r="203" spans="1:15" x14ac:dyDescent="0.25">
      <c r="A203" s="105" t="str">
        <f>'Data Vlaue (Cr)'!C198</f>
        <v>TMPV</v>
      </c>
      <c r="B203" s="143">
        <f>VLOOKUP($A203,'Data shares'!$C:$FA,118)</f>
        <v>1.03</v>
      </c>
      <c r="C203" s="143">
        <f>VLOOKUP($A203,'Data shares'!$C:$FA,119)</f>
        <v>0.95</v>
      </c>
      <c r="D203" s="143">
        <f>VLOOKUP($A203,'Data shares'!$C:$FA,121)*100</f>
        <v>8.42</v>
      </c>
      <c r="E203" s="143">
        <f>VLOOKUP($A203,'Data shares'!$C:$FA,124)</f>
        <v>0.91</v>
      </c>
      <c r="F203" s="143">
        <f>VLOOKUP($A203,'Data shares'!$C:$FA,125)</f>
        <v>0.81</v>
      </c>
      <c r="G203" s="143">
        <f>VLOOKUP($A203,'Data shares'!$C:$FA,127)*100</f>
        <v>12.35</v>
      </c>
      <c r="H203" s="103">
        <f>VLOOKUP($A203,'OI(Volume)'!$A$7:$O$440,8)</f>
        <v>18353600</v>
      </c>
      <c r="I203" s="103">
        <f>VLOOKUP($A203,'OI(Volume)'!$A$7:$O$440,9)</f>
        <v>2624000</v>
      </c>
      <c r="J203" s="103">
        <f>VLOOKUP($A203,'OI(Volume)'!$A$7:$O$440,11)</f>
        <v>18994400</v>
      </c>
      <c r="K203" s="103">
        <f>VLOOKUP($A203,'OI(Volume)'!$A$7:$O$440,12)</f>
        <v>4036000</v>
      </c>
      <c r="L203" s="103">
        <f>VLOOKUP($A203,'OI(Value)'!$A$7:$O$323,8,0)</f>
        <v>628</v>
      </c>
      <c r="M203" s="103">
        <f>VLOOKUP($A203,'OI(Value)'!$A$7:$O$323,9,0)</f>
        <v>90</v>
      </c>
      <c r="N203" s="103">
        <f>VLOOKUP($A203,'OI(Value)'!$A$7:$O$323,11,0)</f>
        <v>650</v>
      </c>
      <c r="O203" s="103">
        <f>VLOOKUP($A203,'OI(Value)'!$A$7:$O$323,12,0)</f>
        <v>138</v>
      </c>
    </row>
    <row r="204" spans="1:15" x14ac:dyDescent="0.25">
      <c r="A204" s="105" t="str">
        <f>'Data Vlaue (Cr)'!C199</f>
        <v>TORNTPHARM</v>
      </c>
      <c r="B204" s="143">
        <f>VLOOKUP($A204,'Data shares'!$C:$FA,118)</f>
        <v>0.66</v>
      </c>
      <c r="C204" s="143">
        <f>VLOOKUP($A204,'Data shares'!$C:$FA,119)</f>
        <v>0.66</v>
      </c>
      <c r="D204" s="143">
        <f>VLOOKUP($A204,'Data shares'!$C:$FA,121)*100</f>
        <v>0</v>
      </c>
      <c r="E204" s="143">
        <f>VLOOKUP($A204,'Data shares'!$C:$FA,124)</f>
        <v>0.43</v>
      </c>
      <c r="F204" s="143">
        <f>VLOOKUP($A204,'Data shares'!$C:$FA,125)</f>
        <v>1.24</v>
      </c>
      <c r="G204" s="143">
        <f>VLOOKUP($A204,'Data shares'!$C:$FA,127)*100</f>
        <v>-65.319999999999993</v>
      </c>
      <c r="H204" s="103">
        <f>VLOOKUP($A204,'OI(Volume)'!$A$7:$O$440,8)</f>
        <v>186750</v>
      </c>
      <c r="I204" s="103">
        <f>VLOOKUP($A204,'OI(Volume)'!$A$7:$O$440,9)</f>
        <v>34500</v>
      </c>
      <c r="J204" s="103">
        <f>VLOOKUP($A204,'OI(Volume)'!$A$7:$O$440,11)</f>
        <v>122750</v>
      </c>
      <c r="K204" s="103">
        <f>VLOOKUP($A204,'OI(Volume)'!$A$7:$O$440,12)</f>
        <v>22750</v>
      </c>
      <c r="L204" s="103">
        <f>VLOOKUP($A204,'OI(Value)'!$A$7:$O$323,8,0)</f>
        <v>74</v>
      </c>
      <c r="M204" s="103">
        <f>VLOOKUP($A204,'OI(Value)'!$A$7:$O$323,9,0)</f>
        <v>14</v>
      </c>
      <c r="N204" s="103">
        <f>VLOOKUP($A204,'OI(Value)'!$A$7:$O$323,11,0)</f>
        <v>48</v>
      </c>
      <c r="O204" s="103">
        <f>VLOOKUP($A204,'OI(Value)'!$A$7:$O$323,12,0)</f>
        <v>9</v>
      </c>
    </row>
    <row r="205" spans="1:15" x14ac:dyDescent="0.25">
      <c r="A205" s="105" t="str">
        <f>'Data Vlaue (Cr)'!C200</f>
        <v>TORNTPOWER</v>
      </c>
      <c r="B205" s="143">
        <f>VLOOKUP($A205,'Data shares'!$C:$FA,118)</f>
        <v>1.19</v>
      </c>
      <c r="C205" s="143">
        <f>VLOOKUP($A205,'Data shares'!$C:$FA,119)</f>
        <v>1.26</v>
      </c>
      <c r="D205" s="143">
        <f>VLOOKUP($A205,'Data shares'!$C:$FA,121)*100</f>
        <v>-5.56</v>
      </c>
      <c r="E205" s="143">
        <f>VLOOKUP($A205,'Data shares'!$C:$FA,124)</f>
        <v>0.35</v>
      </c>
      <c r="F205" s="143">
        <f>VLOOKUP($A205,'Data shares'!$C:$FA,125)</f>
        <v>0.59</v>
      </c>
      <c r="G205" s="143">
        <f>VLOOKUP($A205,'Data shares'!$C:$FA,127)*100</f>
        <v>-40.68</v>
      </c>
      <c r="H205" s="103">
        <f>VLOOKUP($A205,'OI(Volume)'!$A$7:$O$440,8)</f>
        <v>356575</v>
      </c>
      <c r="I205" s="103">
        <f>VLOOKUP($A205,'OI(Volume)'!$A$7:$O$440,9)</f>
        <v>90525</v>
      </c>
      <c r="J205" s="103">
        <f>VLOOKUP($A205,'OI(Volume)'!$A$7:$O$440,11)</f>
        <v>423300</v>
      </c>
      <c r="K205" s="103">
        <f>VLOOKUP($A205,'OI(Volume)'!$A$7:$O$440,12)</f>
        <v>88825</v>
      </c>
      <c r="L205" s="103">
        <f>VLOOKUP($A205,'OI(Value)'!$A$7:$O$323,8,0)</f>
        <v>47</v>
      </c>
      <c r="M205" s="103">
        <f>VLOOKUP($A205,'OI(Value)'!$A$7:$O$323,9,0)</f>
        <v>12</v>
      </c>
      <c r="N205" s="103">
        <f>VLOOKUP($A205,'OI(Value)'!$A$7:$O$323,11,0)</f>
        <v>56</v>
      </c>
      <c r="O205" s="103">
        <f>VLOOKUP($A205,'OI(Value)'!$A$7:$O$323,12,0)</f>
        <v>12</v>
      </c>
    </row>
    <row r="206" spans="1:15" x14ac:dyDescent="0.25">
      <c r="A206" s="105" t="str">
        <f>'Data Vlaue (Cr)'!C201</f>
        <v>TRENT</v>
      </c>
      <c r="B206" s="143">
        <f>VLOOKUP($A206,'Data shares'!$C:$FA,118)</f>
        <v>0.98</v>
      </c>
      <c r="C206" s="143">
        <f>VLOOKUP($A206,'Data shares'!$C:$FA,119)</f>
        <v>1.2</v>
      </c>
      <c r="D206" s="143">
        <f>VLOOKUP($A206,'Data shares'!$C:$FA,121)*100</f>
        <v>-18.329999999999998</v>
      </c>
      <c r="E206" s="143">
        <f>VLOOKUP($A206,'Data shares'!$C:$FA,124)</f>
        <v>0.38</v>
      </c>
      <c r="F206" s="143">
        <f>VLOOKUP($A206,'Data shares'!$C:$FA,125)</f>
        <v>0.7</v>
      </c>
      <c r="G206" s="143">
        <f>VLOOKUP($A206,'Data shares'!$C:$FA,127)*100</f>
        <v>-45.71</v>
      </c>
      <c r="H206" s="103">
        <f>VLOOKUP($A206,'OI(Volume)'!$A$7:$O$440,8)</f>
        <v>0</v>
      </c>
      <c r="I206" s="103">
        <f>VLOOKUP($A206,'OI(Volume)'!$A$7:$O$440,9)</f>
        <v>0</v>
      </c>
      <c r="J206" s="103">
        <f>VLOOKUP($A206,'OI(Volume)'!$A$7:$O$440,11)</f>
        <v>0</v>
      </c>
      <c r="K206" s="103">
        <f>VLOOKUP($A206,'OI(Volume)'!$A$7:$O$440,12)</f>
        <v>0</v>
      </c>
      <c r="L206" s="103">
        <f>VLOOKUP($A206,'OI(Value)'!$A$7:$O$323,8,0)</f>
        <v>638</v>
      </c>
      <c r="M206" s="103">
        <f>VLOOKUP($A206,'OI(Value)'!$A$7:$O$323,9,0)</f>
        <v>126</v>
      </c>
      <c r="N206" s="103">
        <f>VLOOKUP($A206,'OI(Value)'!$A$7:$O$323,11,0)</f>
        <v>627</v>
      </c>
      <c r="O206" s="103">
        <f>VLOOKUP($A206,'OI(Value)'!$A$7:$O$323,12,0)</f>
        <v>13</v>
      </c>
    </row>
    <row r="207" spans="1:15" x14ac:dyDescent="0.25">
      <c r="A207" s="105" t="str">
        <f>'Data Vlaue (Cr)'!C202</f>
        <v>TVSMOTOR</v>
      </c>
      <c r="B207" s="143">
        <f>VLOOKUP($A207,'Data shares'!$C:$FA,118)</f>
        <v>0.77</v>
      </c>
      <c r="C207" s="143">
        <f>VLOOKUP($A207,'Data shares'!$C:$FA,119)</f>
        <v>0.79</v>
      </c>
      <c r="D207" s="143">
        <f>VLOOKUP($A207,'Data shares'!$C:$FA,121)*100</f>
        <v>-2.5299999999999998</v>
      </c>
      <c r="E207" s="143">
        <f>VLOOKUP($A207,'Data shares'!$C:$FA,124)</f>
        <v>0.39</v>
      </c>
      <c r="F207" s="143">
        <f>VLOOKUP($A207,'Data shares'!$C:$FA,125)</f>
        <v>0.74</v>
      </c>
      <c r="G207" s="143">
        <f>VLOOKUP($A207,'Data shares'!$C:$FA,127)*100</f>
        <v>-47.3</v>
      </c>
      <c r="H207" s="103">
        <f>VLOOKUP($A207,'OI(Volume)'!$A$7:$O$440,8)</f>
        <v>0</v>
      </c>
      <c r="I207" s="103">
        <f>VLOOKUP($A207,'OI(Volume)'!$A$7:$O$440,9)</f>
        <v>0</v>
      </c>
      <c r="J207" s="103">
        <f>VLOOKUP($A207,'OI(Volume)'!$A$7:$O$440,11)</f>
        <v>0</v>
      </c>
      <c r="K207" s="103">
        <f>VLOOKUP($A207,'OI(Volume)'!$A$7:$O$440,12)</f>
        <v>0</v>
      </c>
      <c r="L207" s="103">
        <f>VLOOKUP($A207,'OI(Value)'!$A$7:$O$323,8,0)</f>
        <v>632</v>
      </c>
      <c r="M207" s="103">
        <f>VLOOKUP($A207,'OI(Value)'!$A$7:$O$323,9,0)</f>
        <v>339</v>
      </c>
      <c r="N207" s="103">
        <f>VLOOKUP($A207,'OI(Value)'!$A$7:$O$323,11,0)</f>
        <v>488</v>
      </c>
      <c r="O207" s="103">
        <f>VLOOKUP($A207,'OI(Value)'!$A$7:$O$323,12,0)</f>
        <v>257</v>
      </c>
    </row>
    <row r="208" spans="1:15" x14ac:dyDescent="0.25">
      <c r="A208" s="105" t="str">
        <f>'Data Vlaue (Cr)'!C203</f>
        <v>ULTRACEMCO</v>
      </c>
      <c r="B208" s="143">
        <f>VLOOKUP($A208,'Data shares'!$C:$FA,118)</f>
        <v>0.71</v>
      </c>
      <c r="C208" s="143">
        <f>VLOOKUP($A208,'Data shares'!$C:$FA,119)</f>
        <v>0.62</v>
      </c>
      <c r="D208" s="143">
        <f>VLOOKUP($A208,'Data shares'!$C:$FA,121)*100</f>
        <v>14.52</v>
      </c>
      <c r="E208" s="143">
        <f>VLOOKUP($A208,'Data shares'!$C:$FA,124)</f>
        <v>0.54</v>
      </c>
      <c r="F208" s="143">
        <f>VLOOKUP($A208,'Data shares'!$C:$FA,125)</f>
        <v>0.36</v>
      </c>
      <c r="G208" s="143">
        <f>VLOOKUP($A208,'Data shares'!$C:$FA,127)*100</f>
        <v>50</v>
      </c>
      <c r="H208" s="103">
        <f>VLOOKUP($A208,'OI(Volume)'!$A$7:$O$440,8)</f>
        <v>0</v>
      </c>
      <c r="I208" s="103">
        <f>VLOOKUP($A208,'OI(Volume)'!$A$7:$O$440,9)</f>
        <v>0</v>
      </c>
      <c r="J208" s="103">
        <f>VLOOKUP($A208,'OI(Volume)'!$A$7:$O$440,11)</f>
        <v>0</v>
      </c>
      <c r="K208" s="103">
        <f>VLOOKUP($A208,'OI(Volume)'!$A$7:$O$440,12)</f>
        <v>0</v>
      </c>
      <c r="L208" s="103">
        <f>VLOOKUP($A208,'OI(Value)'!$A$7:$O$323,8,0)</f>
        <v>448</v>
      </c>
      <c r="M208" s="103">
        <f>VLOOKUP($A208,'OI(Value)'!$A$7:$O$323,9,0)</f>
        <v>66</v>
      </c>
      <c r="N208" s="103">
        <f>VLOOKUP($A208,'OI(Value)'!$A$7:$O$323,11,0)</f>
        <v>318</v>
      </c>
      <c r="O208" s="103">
        <f>VLOOKUP($A208,'OI(Value)'!$A$7:$O$323,12,0)</f>
        <v>82</v>
      </c>
    </row>
    <row r="209" spans="1:15" x14ac:dyDescent="0.25">
      <c r="A209" s="105" t="str">
        <f>'Data Vlaue (Cr)'!C204</f>
        <v>UNIONBANK</v>
      </c>
      <c r="B209" s="143">
        <f>VLOOKUP($A209,'Data shares'!$C:$FA,118)</f>
        <v>0.7</v>
      </c>
      <c r="C209" s="143">
        <f>VLOOKUP($A209,'Data shares'!$C:$FA,119)</f>
        <v>0.66</v>
      </c>
      <c r="D209" s="143">
        <f>VLOOKUP($A209,'Data shares'!$C:$FA,121)*100</f>
        <v>6.0600000000000005</v>
      </c>
      <c r="E209" s="143">
        <f>VLOOKUP($A209,'Data shares'!$C:$FA,124)</f>
        <v>0.31</v>
      </c>
      <c r="F209" s="143">
        <f>VLOOKUP($A209,'Data shares'!$C:$FA,125)</f>
        <v>0.49</v>
      </c>
      <c r="G209" s="143">
        <f>VLOOKUP($A209,'Data shares'!$C:$FA,127)*100</f>
        <v>-36.730000000000004</v>
      </c>
      <c r="H209" s="103">
        <f>VLOOKUP($A209,'OI(Volume)'!$A$7:$O$440,8)</f>
        <v>0</v>
      </c>
      <c r="I209" s="103">
        <f>VLOOKUP($A209,'OI(Volume)'!$A$7:$O$440,9)</f>
        <v>0</v>
      </c>
      <c r="J209" s="103">
        <f>VLOOKUP($A209,'OI(Volume)'!$A$7:$O$440,11)</f>
        <v>0</v>
      </c>
      <c r="K209" s="103">
        <f>VLOOKUP($A209,'OI(Volume)'!$A$7:$O$440,12)</f>
        <v>0</v>
      </c>
      <c r="L209" s="103">
        <f>VLOOKUP($A209,'OI(Value)'!$A$7:$O$323,8,0)</f>
        <v>438</v>
      </c>
      <c r="M209" s="103">
        <f>VLOOKUP($A209,'OI(Value)'!$A$7:$O$323,9,0)</f>
        <v>137</v>
      </c>
      <c r="N209" s="103">
        <f>VLOOKUP($A209,'OI(Value)'!$A$7:$O$323,11,0)</f>
        <v>309</v>
      </c>
      <c r="O209" s="103">
        <f>VLOOKUP($A209,'OI(Value)'!$A$7:$O$323,12,0)</f>
        <v>110</v>
      </c>
    </row>
    <row r="210" spans="1:15" x14ac:dyDescent="0.25">
      <c r="A210" s="105" t="str">
        <f>'Data Vlaue (Cr)'!C205</f>
        <v>UNITDSPR</v>
      </c>
      <c r="B210" s="143">
        <f>VLOOKUP($A210,'Data shares'!$C:$FA,118)</f>
        <v>0.91</v>
      </c>
      <c r="C210" s="143">
        <f>VLOOKUP($A210,'Data shares'!$C:$FA,119)</f>
        <v>1.24</v>
      </c>
      <c r="D210" s="143">
        <f>VLOOKUP($A210,'Data shares'!$C:$FA,121)*100</f>
        <v>-26.61</v>
      </c>
      <c r="E210" s="143">
        <f>VLOOKUP($A210,'Data shares'!$C:$FA,124)</f>
        <v>0.4</v>
      </c>
      <c r="F210" s="143">
        <f>VLOOKUP($A210,'Data shares'!$C:$FA,125)</f>
        <v>0.78</v>
      </c>
      <c r="G210" s="143">
        <f>VLOOKUP($A210,'Data shares'!$C:$FA,127)*100</f>
        <v>-48.72</v>
      </c>
      <c r="H210" s="103">
        <f>VLOOKUP($A210,'OI(Volume)'!$A$7:$O$440,8)</f>
        <v>0</v>
      </c>
      <c r="I210" s="103">
        <f>VLOOKUP($A210,'OI(Volume)'!$A$7:$O$440,9)</f>
        <v>0</v>
      </c>
      <c r="J210" s="103">
        <f>VLOOKUP($A210,'OI(Volume)'!$A$7:$O$440,11)</f>
        <v>0</v>
      </c>
      <c r="K210" s="103">
        <f>VLOOKUP($A210,'OI(Volume)'!$A$7:$O$440,12)</f>
        <v>0</v>
      </c>
      <c r="L210" s="103">
        <f>VLOOKUP($A210,'OI(Value)'!$A$7:$O$323,8,0)</f>
        <v>304</v>
      </c>
      <c r="M210" s="103">
        <f>VLOOKUP($A210,'OI(Value)'!$A$7:$O$323,9,0)</f>
        <v>110</v>
      </c>
      <c r="N210" s="103">
        <f>VLOOKUP($A210,'OI(Value)'!$A$7:$O$323,11,0)</f>
        <v>278</v>
      </c>
      <c r="O210" s="103">
        <f>VLOOKUP($A210,'OI(Value)'!$A$7:$O$323,12,0)</f>
        <v>38</v>
      </c>
    </row>
    <row r="211" spans="1:15" x14ac:dyDescent="0.25">
      <c r="A211" s="105" t="str">
        <f>'Data Vlaue (Cr)'!C206</f>
        <v>UNOMINDA</v>
      </c>
      <c r="B211" s="143">
        <f>VLOOKUP($A211,'Data shares'!$C:$FA,118)</f>
        <v>1.1499999999999999</v>
      </c>
      <c r="C211" s="143">
        <f>VLOOKUP($A211,'Data shares'!$C:$FA,119)</f>
        <v>1.23</v>
      </c>
      <c r="D211" s="143">
        <f>VLOOKUP($A211,'Data shares'!$C:$FA,121)*100</f>
        <v>-6.5</v>
      </c>
      <c r="E211" s="143">
        <f>VLOOKUP($A211,'Data shares'!$C:$FA,124)</f>
        <v>0.49</v>
      </c>
      <c r="F211" s="143">
        <f>VLOOKUP($A211,'Data shares'!$C:$FA,125)</f>
        <v>0.28999999999999998</v>
      </c>
      <c r="G211" s="143">
        <f>VLOOKUP($A211,'Data shares'!$C:$FA,127)*100</f>
        <v>68.97</v>
      </c>
      <c r="H211" s="103">
        <f>VLOOKUP($A211,'OI(Volume)'!$A$7:$O$440,8)</f>
        <v>0</v>
      </c>
      <c r="I211" s="103">
        <f>VLOOKUP($A211,'OI(Volume)'!$A$7:$O$440,9)</f>
        <v>0</v>
      </c>
      <c r="J211" s="103">
        <f>VLOOKUP($A211,'OI(Volume)'!$A$7:$O$440,11)</f>
        <v>0</v>
      </c>
      <c r="K211" s="103">
        <f>VLOOKUP($A211,'OI(Volume)'!$A$7:$O$440,12)</f>
        <v>0</v>
      </c>
      <c r="L211" s="103">
        <f>VLOOKUP($A211,'OI(Value)'!$A$7:$O$323,8,0)</f>
        <v>29</v>
      </c>
      <c r="M211" s="103">
        <f>VLOOKUP($A211,'OI(Value)'!$A$7:$O$323,9,0)</f>
        <v>5</v>
      </c>
      <c r="N211" s="103">
        <f>VLOOKUP($A211,'OI(Value)'!$A$7:$O$323,11,0)</f>
        <v>33</v>
      </c>
      <c r="O211" s="103">
        <f>VLOOKUP($A211,'OI(Value)'!$A$7:$O$323,12,0)</f>
        <v>4</v>
      </c>
    </row>
    <row r="212" spans="1:15" x14ac:dyDescent="0.25">
      <c r="A212" s="105" t="str">
        <f>'Data Vlaue (Cr)'!C207</f>
        <v>UPL</v>
      </c>
      <c r="B212" s="143">
        <f>VLOOKUP($A212,'Data shares'!$C:$FA,118)</f>
        <v>0.74</v>
      </c>
      <c r="C212" s="143">
        <f>VLOOKUP($A212,'Data shares'!$C:$FA,119)</f>
        <v>0.75</v>
      </c>
      <c r="D212" s="143">
        <f>VLOOKUP($A212,'Data shares'!$C:$FA,121)*100</f>
        <v>-1.3299999999999998</v>
      </c>
      <c r="E212" s="143">
        <f>VLOOKUP($A212,'Data shares'!$C:$FA,124)</f>
        <v>0.51</v>
      </c>
      <c r="F212" s="143">
        <f>VLOOKUP($A212,'Data shares'!$C:$FA,125)</f>
        <v>0.46</v>
      </c>
      <c r="G212" s="143">
        <f>VLOOKUP($A212,'Data shares'!$C:$FA,127)*100</f>
        <v>10.870000000000001</v>
      </c>
      <c r="H212" s="103">
        <f>VLOOKUP($A212,'OI(Volume)'!$A$7:$O$440,8)</f>
        <v>0</v>
      </c>
      <c r="I212" s="103">
        <f>VLOOKUP($A212,'OI(Volume)'!$A$7:$O$440,9)</f>
        <v>0</v>
      </c>
      <c r="J212" s="103">
        <f>VLOOKUP($A212,'OI(Volume)'!$A$7:$O$440,11)</f>
        <v>0</v>
      </c>
      <c r="K212" s="103">
        <f>VLOOKUP($A212,'OI(Volume)'!$A$7:$O$440,12)</f>
        <v>0</v>
      </c>
      <c r="L212" s="103">
        <f>VLOOKUP($A212,'OI(Value)'!$A$7:$O$323,8,0)</f>
        <v>567</v>
      </c>
      <c r="M212" s="103">
        <f>VLOOKUP($A212,'OI(Value)'!$A$7:$O$323,9,0)</f>
        <v>54</v>
      </c>
      <c r="N212" s="103">
        <f>VLOOKUP($A212,'OI(Value)'!$A$7:$O$323,11,0)</f>
        <v>419</v>
      </c>
      <c r="O212" s="103">
        <f>VLOOKUP($A212,'OI(Value)'!$A$7:$O$323,12,0)</f>
        <v>34</v>
      </c>
    </row>
    <row r="213" spans="1:15" x14ac:dyDescent="0.25">
      <c r="A213" s="105" t="str">
        <f>'Data Vlaue (Cr)'!C208</f>
        <v>VBL</v>
      </c>
      <c r="B213" s="143">
        <f>VLOOKUP($A213,'Data shares'!$C:$FA,118)</f>
        <v>0.91</v>
      </c>
      <c r="C213" s="143">
        <f>VLOOKUP($A213,'Data shares'!$C:$FA,119)</f>
        <v>0.87</v>
      </c>
      <c r="D213" s="143">
        <f>VLOOKUP($A213,'Data shares'!$C:$FA,121)*100</f>
        <v>4.5999999999999996</v>
      </c>
      <c r="E213" s="143">
        <f>VLOOKUP($A213,'Data shares'!$C:$FA,124)</f>
        <v>0.84</v>
      </c>
      <c r="F213" s="143">
        <f>VLOOKUP($A213,'Data shares'!$C:$FA,125)</f>
        <v>1.52</v>
      </c>
      <c r="G213" s="143">
        <f>VLOOKUP($A213,'Data shares'!$C:$FA,127)*100</f>
        <v>-44.74</v>
      </c>
      <c r="H213" s="103">
        <f>VLOOKUP($A213,'OI(Volume)'!$A$7:$O$440,8)</f>
        <v>0</v>
      </c>
      <c r="I213" s="103">
        <f>VLOOKUP($A213,'OI(Volume)'!$A$7:$O$440,9)</f>
        <v>0</v>
      </c>
      <c r="J213" s="103">
        <f>VLOOKUP($A213,'OI(Volume)'!$A$7:$O$440,11)</f>
        <v>0</v>
      </c>
      <c r="K213" s="103">
        <f>VLOOKUP($A213,'OI(Volume)'!$A$7:$O$440,12)</f>
        <v>0</v>
      </c>
      <c r="L213" s="103">
        <f>VLOOKUP($A213,'OI(Value)'!$A$7:$O$323,8,0)</f>
        <v>258</v>
      </c>
      <c r="M213" s="103">
        <f>VLOOKUP($A213,'OI(Value)'!$A$7:$O$323,9,0)</f>
        <v>64</v>
      </c>
      <c r="N213" s="103">
        <f>VLOOKUP($A213,'OI(Value)'!$A$7:$O$323,11,0)</f>
        <v>235</v>
      </c>
      <c r="O213" s="103">
        <f>VLOOKUP($A213,'OI(Value)'!$A$7:$O$323,12,0)</f>
        <v>66</v>
      </c>
    </row>
    <row r="214" spans="1:15" x14ac:dyDescent="0.25">
      <c r="A214" s="105" t="str">
        <f>'Data Vlaue (Cr)'!C209</f>
        <v>VEDL</v>
      </c>
      <c r="B214" s="143">
        <f>VLOOKUP($A214,'Data shares'!$C:$FA,118)</f>
        <v>0.71</v>
      </c>
      <c r="C214" s="143">
        <f>VLOOKUP($A214,'Data shares'!$C:$FA,119)</f>
        <v>0.56999999999999995</v>
      </c>
      <c r="D214" s="143">
        <f>VLOOKUP($A214,'Data shares'!$C:$FA,121)*100</f>
        <v>24.560000000000002</v>
      </c>
      <c r="E214" s="143">
        <f>VLOOKUP($A214,'Data shares'!$C:$FA,124)</f>
        <v>0.36</v>
      </c>
      <c r="F214" s="143">
        <f>VLOOKUP($A214,'Data shares'!$C:$FA,125)</f>
        <v>0.44</v>
      </c>
      <c r="G214" s="143">
        <f>VLOOKUP($A214,'Data shares'!$C:$FA,127)*100</f>
        <v>-18.18</v>
      </c>
      <c r="H214" s="103">
        <f>VLOOKUP($A214,'OI(Volume)'!$A$7:$O$440,8)</f>
        <v>0</v>
      </c>
      <c r="I214" s="103">
        <f>VLOOKUP($A214,'OI(Volume)'!$A$7:$O$440,9)</f>
        <v>0</v>
      </c>
      <c r="J214" s="103">
        <f>VLOOKUP($A214,'OI(Volume)'!$A$7:$O$440,11)</f>
        <v>0</v>
      </c>
      <c r="K214" s="103">
        <f>VLOOKUP($A214,'OI(Volume)'!$A$7:$O$440,12)</f>
        <v>0</v>
      </c>
      <c r="L214" s="103">
        <f>VLOOKUP($A214,'OI(Value)'!$A$7:$O$323,8,0)</f>
        <v>2050</v>
      </c>
      <c r="M214" s="103">
        <f>VLOOKUP($A214,'OI(Value)'!$A$7:$O$323,9,0)</f>
        <v>45</v>
      </c>
      <c r="N214" s="103">
        <f>VLOOKUP($A214,'OI(Value)'!$A$7:$O$323,11,0)</f>
        <v>1453</v>
      </c>
      <c r="O214" s="103">
        <f>VLOOKUP($A214,'OI(Value)'!$A$7:$O$323,12,0)</f>
        <v>316</v>
      </c>
    </row>
    <row r="215" spans="1:15" x14ac:dyDescent="0.25">
      <c r="A215" s="105" t="str">
        <f>'Data Vlaue (Cr)'!C210</f>
        <v>VOLTAS</v>
      </c>
      <c r="B215" s="143">
        <f>VLOOKUP($A215,'Data shares'!$C:$FA,118)</f>
        <v>0.87</v>
      </c>
      <c r="C215" s="143">
        <f>VLOOKUP($A215,'Data shares'!$C:$FA,119)</f>
        <v>0.76</v>
      </c>
      <c r="D215" s="143">
        <f>VLOOKUP($A215,'Data shares'!$C:$FA,121)*100</f>
        <v>14.469999999999999</v>
      </c>
      <c r="E215" s="143">
        <f>VLOOKUP($A215,'Data shares'!$C:$FA,124)</f>
        <v>0.35</v>
      </c>
      <c r="F215" s="143">
        <f>VLOOKUP($A215,'Data shares'!$C:$FA,125)</f>
        <v>0.49</v>
      </c>
      <c r="G215" s="143">
        <f>VLOOKUP($A215,'Data shares'!$C:$FA,127)*100</f>
        <v>-28.57</v>
      </c>
      <c r="H215" s="103">
        <f>VLOOKUP($A215,'OI(Volume)'!$A$7:$O$440,8)</f>
        <v>0</v>
      </c>
      <c r="I215" s="103">
        <f>VLOOKUP($A215,'OI(Volume)'!$A$7:$O$440,9)</f>
        <v>0</v>
      </c>
      <c r="J215" s="103">
        <f>VLOOKUP($A215,'OI(Volume)'!$A$7:$O$440,11)</f>
        <v>0</v>
      </c>
      <c r="K215" s="103">
        <f>VLOOKUP($A215,'OI(Volume)'!$A$7:$O$440,12)</f>
        <v>0</v>
      </c>
      <c r="L215" s="103">
        <f>VLOOKUP($A215,'OI(Value)'!$A$7:$O$323,8,0)</f>
        <v>216</v>
      </c>
      <c r="M215" s="103">
        <f>VLOOKUP($A215,'OI(Value)'!$A$7:$O$323,9,0)</f>
        <v>22</v>
      </c>
      <c r="N215" s="103">
        <f>VLOOKUP($A215,'OI(Value)'!$A$7:$O$323,11,0)</f>
        <v>187</v>
      </c>
      <c r="O215" s="103">
        <f>VLOOKUP($A215,'OI(Value)'!$A$7:$O$323,12,0)</f>
        <v>39</v>
      </c>
    </row>
    <row r="216" spans="1:15" x14ac:dyDescent="0.25">
      <c r="A216" s="105" t="str">
        <f>'Data Vlaue (Cr)'!C211</f>
        <v>WAAREEENER</v>
      </c>
      <c r="B216" s="143">
        <f>VLOOKUP($A216,'Data shares'!$C:$FA,118)</f>
        <v>0.74</v>
      </c>
      <c r="C216" s="143">
        <f>VLOOKUP($A216,'Data shares'!$C:$FA,119)</f>
        <v>0.76</v>
      </c>
      <c r="D216" s="143">
        <f>VLOOKUP($A216,'Data shares'!$C:$FA,121)*100</f>
        <v>-2.63</v>
      </c>
      <c r="E216" s="143">
        <f>VLOOKUP($A216,'Data shares'!$C:$FA,124)</f>
        <v>0.36</v>
      </c>
      <c r="F216" s="143">
        <f>VLOOKUP($A216,'Data shares'!$C:$FA,125)</f>
        <v>0.56000000000000005</v>
      </c>
      <c r="G216" s="143">
        <f>VLOOKUP($A216,'Data shares'!$C:$FA,127)*100</f>
        <v>-35.709999999999994</v>
      </c>
      <c r="H216" s="103">
        <f>VLOOKUP($A216,'OI(Volume)'!$A$7:$O$440,8)</f>
        <v>0</v>
      </c>
      <c r="I216" s="103">
        <f>VLOOKUP($A216,'OI(Volume)'!$A$7:$O$440,9)</f>
        <v>0</v>
      </c>
      <c r="J216" s="103">
        <f>VLOOKUP($A216,'OI(Volume)'!$A$7:$O$440,11)</f>
        <v>0</v>
      </c>
      <c r="K216" s="103">
        <f>VLOOKUP($A216,'OI(Volume)'!$A$7:$O$440,12)</f>
        <v>0</v>
      </c>
      <c r="L216" s="103">
        <f>VLOOKUP($A216,'OI(Value)'!$A$7:$O$323,8,0)</f>
        <v>184</v>
      </c>
      <c r="M216" s="103">
        <f>VLOOKUP($A216,'OI(Value)'!$A$7:$O$323,9,0)</f>
        <v>16</v>
      </c>
      <c r="N216" s="103">
        <f>VLOOKUP($A216,'OI(Value)'!$A$7:$O$323,11,0)</f>
        <v>135</v>
      </c>
      <c r="O216" s="103">
        <f>VLOOKUP($A216,'OI(Value)'!$A$7:$O$323,12,0)</f>
        <v>7</v>
      </c>
    </row>
    <row r="217" spans="1:15" x14ac:dyDescent="0.25">
      <c r="A217" s="105" t="str">
        <f>'Data Vlaue (Cr)'!C212</f>
        <v>WIPRO</v>
      </c>
      <c r="B217" s="143">
        <f>VLOOKUP($A217,'Data shares'!$C:$FA,118)</f>
        <v>0.66</v>
      </c>
      <c r="C217" s="143">
        <f>VLOOKUP($A217,'Data shares'!$C:$FA,119)</f>
        <v>0.76</v>
      </c>
      <c r="D217" s="143">
        <f>VLOOKUP($A217,'Data shares'!$C:$FA,121)*100</f>
        <v>-13.16</v>
      </c>
      <c r="E217" s="143">
        <f>VLOOKUP($A217,'Data shares'!$C:$FA,124)</f>
        <v>0.47</v>
      </c>
      <c r="F217" s="143">
        <f>VLOOKUP($A217,'Data shares'!$C:$FA,125)</f>
        <v>0.71</v>
      </c>
      <c r="G217" s="143">
        <f>VLOOKUP($A217,'Data shares'!$C:$FA,127)*100</f>
        <v>-33.800000000000004</v>
      </c>
      <c r="H217" s="103">
        <f>VLOOKUP($A217,'OI(Volume)'!$A$7:$O$440,8)</f>
        <v>0</v>
      </c>
      <c r="I217" s="103">
        <f>VLOOKUP($A217,'OI(Volume)'!$A$7:$O$440,9)</f>
        <v>0</v>
      </c>
      <c r="J217" s="103">
        <f>VLOOKUP($A217,'OI(Volume)'!$A$7:$O$440,11)</f>
        <v>0</v>
      </c>
      <c r="K217" s="103">
        <f>VLOOKUP($A217,'OI(Volume)'!$A$7:$O$440,12)</f>
        <v>0</v>
      </c>
      <c r="L217" s="103">
        <f>VLOOKUP($A217,'OI(Value)'!$A$7:$O$323,8,0)</f>
        <v>836</v>
      </c>
      <c r="M217" s="103">
        <f>VLOOKUP($A217,'OI(Value)'!$A$7:$O$323,9,0)</f>
        <v>185</v>
      </c>
      <c r="N217" s="103">
        <f>VLOOKUP($A217,'OI(Value)'!$A$7:$O$323,11,0)</f>
        <v>548</v>
      </c>
      <c r="O217" s="103">
        <f>VLOOKUP($A217,'OI(Value)'!$A$7:$O$323,12,0)</f>
        <v>55</v>
      </c>
    </row>
    <row r="218" spans="1:15" x14ac:dyDescent="0.25">
      <c r="A218" s="105" t="str">
        <f>'Data Vlaue (Cr)'!C213</f>
        <v>YESBANK</v>
      </c>
      <c r="B218" s="143">
        <f>VLOOKUP($A218,'Data shares'!$C:$FA,118)</f>
        <v>0.66</v>
      </c>
      <c r="C218" s="143">
        <f>VLOOKUP($A218,'Data shares'!$C:$FA,119)</f>
        <v>0.69</v>
      </c>
      <c r="D218" s="143">
        <f>VLOOKUP($A218,'Data shares'!$C:$FA,121)*100</f>
        <v>-4.3499999999999996</v>
      </c>
      <c r="E218" s="143">
        <f>VLOOKUP($A218,'Data shares'!$C:$FA,124)</f>
        <v>0.4</v>
      </c>
      <c r="F218" s="143">
        <f>VLOOKUP($A218,'Data shares'!$C:$FA,125)</f>
        <v>0.51</v>
      </c>
      <c r="G218" s="143">
        <f>VLOOKUP($A218,'Data shares'!$C:$FA,127)*100</f>
        <v>-21.57</v>
      </c>
      <c r="H218" s="103">
        <f>VLOOKUP($A218,'OI(Volume)'!$A$7:$O$440,8)</f>
        <v>0</v>
      </c>
      <c r="I218" s="103">
        <f>VLOOKUP($A218,'OI(Volume)'!$A$7:$O$440,9)</f>
        <v>0</v>
      </c>
      <c r="J218" s="103">
        <f>VLOOKUP($A218,'OI(Volume)'!$A$7:$O$440,11)</f>
        <v>0</v>
      </c>
      <c r="K218" s="103">
        <f>VLOOKUP($A218,'OI(Volume)'!$A$7:$O$440,12)</f>
        <v>0</v>
      </c>
      <c r="L218" s="103">
        <f>VLOOKUP($A218,'OI(Value)'!$A$7:$O$323,8,0)</f>
        <v>637</v>
      </c>
      <c r="M218" s="103">
        <f>VLOOKUP($A218,'OI(Value)'!$A$7:$O$323,9,0)</f>
        <v>58</v>
      </c>
      <c r="N218" s="103">
        <f>VLOOKUP($A218,'OI(Value)'!$A$7:$O$323,11,0)</f>
        <v>421</v>
      </c>
      <c r="O218" s="103">
        <f>VLOOKUP($A218,'OI(Value)'!$A$7:$O$323,12,0)</f>
        <v>23</v>
      </c>
    </row>
    <row r="219" spans="1:15" x14ac:dyDescent="0.25">
      <c r="A219" s="105"/>
      <c r="B219" s="143"/>
      <c r="C219" s="143"/>
      <c r="D219" s="143"/>
      <c r="E219" s="143"/>
      <c r="F219" s="143"/>
      <c r="G219" s="143"/>
      <c r="H219" s="103"/>
      <c r="I219" s="103"/>
      <c r="J219" s="103"/>
      <c r="K219" s="103"/>
      <c r="L219" s="103"/>
      <c r="M219" s="103"/>
      <c r="N219" s="103"/>
      <c r="O219" s="103"/>
    </row>
    <row r="220" spans="1:15" x14ac:dyDescent="0.25">
      <c r="A220" s="105" t="str">
        <f>'Data Vlaue (Cr)'!C214</f>
        <v>ZYDUSLIFE</v>
      </c>
      <c r="B220" s="143">
        <f>VLOOKUP($A220,'Data shares'!$C:$FA,118)</f>
        <v>1.1000000000000001</v>
      </c>
      <c r="C220" s="143">
        <f>VLOOKUP($A220,'Data shares'!$C:$FA,119)</f>
        <v>1.37</v>
      </c>
      <c r="D220" s="143">
        <f>VLOOKUP($A220,'Data shares'!$C:$FA,121)*100</f>
        <v>-19.71</v>
      </c>
      <c r="E220" s="143">
        <f>VLOOKUP($A220,'Data shares'!$C:$FA,124)</f>
        <v>0.82</v>
      </c>
      <c r="F220" s="143">
        <f>VLOOKUP($A220,'Data shares'!$C:$FA,125)</f>
        <v>0.7</v>
      </c>
      <c r="G220" s="143">
        <f>VLOOKUP($A220,'Data shares'!$C:$FA,127)*100</f>
        <v>17.14</v>
      </c>
      <c r="H220" s="103">
        <f>VLOOKUP($A220,'OI(Volume)'!$A$7:$O$440,8)</f>
        <v>0</v>
      </c>
      <c r="I220" s="103">
        <f>VLOOKUP($A220,'OI(Volume)'!$A$7:$O$440,9)</f>
        <v>0</v>
      </c>
      <c r="J220" s="103">
        <f>VLOOKUP($A220,'OI(Volume)'!$A$7:$O$440,11)</f>
        <v>0</v>
      </c>
      <c r="K220" s="103">
        <f>VLOOKUP($A220,'OI(Volume)'!$A$7:$O$440,12)</f>
        <v>0</v>
      </c>
      <c r="L220" s="103">
        <f>VLOOKUP($A220,'OI(Value)'!$A$7:$O$323,8,0)</f>
        <v>117</v>
      </c>
      <c r="M220" s="103">
        <f>VLOOKUP($A220,'OI(Value)'!$A$7:$O$323,9,0)</f>
        <v>36</v>
      </c>
      <c r="N220" s="103">
        <f>VLOOKUP($A220,'OI(Value)'!$A$7:$O$323,11,0)</f>
        <v>129</v>
      </c>
      <c r="O220" s="103">
        <f>VLOOKUP($A220,'OI(Value)'!$A$7:$O$323,12,0)</f>
        <v>18</v>
      </c>
    </row>
    <row r="221" spans="1:15" x14ac:dyDescent="0.25">
      <c r="A221" s="105">
        <f>'Data Vlaue (Cr)'!C215</f>
        <v>0</v>
      </c>
      <c r="B221" s="143"/>
      <c r="C221" s="143"/>
      <c r="D221" s="143"/>
      <c r="E221" s="143"/>
      <c r="F221" s="143"/>
      <c r="G221" s="143"/>
      <c r="H221" s="103"/>
      <c r="I221" s="103"/>
      <c r="J221" s="103"/>
      <c r="K221" s="103"/>
      <c r="L221" s="103"/>
      <c r="M221" s="103"/>
      <c r="N221" s="103"/>
      <c r="O221" s="103"/>
    </row>
    <row r="222" spans="1:15" x14ac:dyDescent="0.25">
      <c r="A222" s="105"/>
      <c r="B222" s="143"/>
      <c r="C222" s="143"/>
      <c r="D222" s="143"/>
      <c r="E222" s="143"/>
      <c r="F222" s="143"/>
      <c r="G222" s="143"/>
      <c r="H222" s="103"/>
      <c r="I222" s="103"/>
      <c r="J222" s="103"/>
      <c r="K222" s="103"/>
      <c r="L222" s="103"/>
      <c r="M222" s="103"/>
      <c r="N222" s="103"/>
      <c r="O222" s="103"/>
    </row>
    <row r="223" spans="1:15" x14ac:dyDescent="0.25">
      <c r="A223" s="105"/>
      <c r="B223" s="143"/>
      <c r="C223" s="143"/>
      <c r="D223" s="143"/>
      <c r="E223" s="143"/>
      <c r="F223" s="143"/>
      <c r="G223" s="143"/>
      <c r="H223" s="103"/>
      <c r="I223" s="103"/>
      <c r="J223" s="103"/>
      <c r="K223" s="103"/>
      <c r="L223" s="103"/>
      <c r="M223" s="103"/>
      <c r="N223" s="103"/>
      <c r="O223" s="103"/>
    </row>
    <row r="224" spans="1:15" x14ac:dyDescent="0.25">
      <c r="A224" s="105"/>
      <c r="B224" s="143"/>
      <c r="C224" s="143"/>
      <c r="D224" s="143"/>
      <c r="E224" s="143"/>
      <c r="F224" s="143"/>
      <c r="G224" s="143"/>
      <c r="H224" s="103"/>
      <c r="I224" s="103"/>
      <c r="J224" s="103"/>
      <c r="K224" s="103"/>
      <c r="L224" s="103"/>
      <c r="M224" s="103"/>
      <c r="N224" s="103"/>
      <c r="O224" s="103"/>
    </row>
    <row r="225" spans="1:15" x14ac:dyDescent="0.25">
      <c r="A225" s="105"/>
      <c r="B225" s="143"/>
      <c r="C225" s="143"/>
      <c r="D225" s="143"/>
      <c r="E225" s="143"/>
      <c r="F225" s="143"/>
      <c r="G225" s="143"/>
      <c r="H225" s="103"/>
      <c r="I225" s="103"/>
      <c r="J225" s="103"/>
      <c r="K225" s="103"/>
      <c r="L225" s="103"/>
      <c r="M225" s="103"/>
      <c r="N225" s="103"/>
      <c r="O225" s="103"/>
    </row>
    <row r="226" spans="1:15" x14ac:dyDescent="0.25">
      <c r="A226" s="105"/>
      <c r="B226" s="143"/>
      <c r="C226" s="143"/>
      <c r="D226" s="143"/>
      <c r="E226" s="143"/>
      <c r="F226" s="143"/>
      <c r="G226" s="143"/>
      <c r="H226" s="103"/>
      <c r="I226" s="103"/>
      <c r="J226" s="103"/>
      <c r="K226" s="103"/>
      <c r="L226" s="103"/>
      <c r="M226" s="103"/>
      <c r="N226" s="103"/>
      <c r="O226" s="103"/>
    </row>
    <row r="227" spans="1:15" x14ac:dyDescent="0.25">
      <c r="A227" s="105"/>
      <c r="B227" s="143"/>
      <c r="C227" s="143"/>
      <c r="D227" s="143"/>
      <c r="E227" s="143"/>
      <c r="F227" s="143"/>
      <c r="G227" s="143"/>
      <c r="H227" s="103"/>
      <c r="I227" s="103"/>
      <c r="J227" s="103"/>
      <c r="K227" s="103"/>
      <c r="L227" s="103"/>
      <c r="M227" s="103"/>
      <c r="N227" s="103"/>
      <c r="O227" s="103"/>
    </row>
    <row r="228" spans="1:15" x14ac:dyDescent="0.25">
      <c r="A228" s="105"/>
      <c r="B228" s="143"/>
      <c r="C228" s="143"/>
      <c r="D228" s="143"/>
      <c r="E228" s="143"/>
      <c r="F228" s="143"/>
      <c r="G228" s="143"/>
      <c r="H228" s="103"/>
      <c r="I228" s="103"/>
      <c r="J228" s="103"/>
      <c r="K228" s="103"/>
      <c r="L228" s="103"/>
      <c r="M228" s="103"/>
      <c r="N228" s="103"/>
      <c r="O228" s="103"/>
    </row>
    <row r="229" spans="1:15" x14ac:dyDescent="0.25">
      <c r="A229" s="105"/>
      <c r="B229" s="143"/>
      <c r="C229" s="143"/>
      <c r="D229" s="143"/>
      <c r="E229" s="143"/>
      <c r="F229" s="143"/>
      <c r="G229" s="143"/>
      <c r="H229" s="103"/>
      <c r="I229" s="103"/>
      <c r="J229" s="103"/>
      <c r="K229" s="103"/>
      <c r="L229" s="103"/>
      <c r="M229" s="103"/>
      <c r="N229" s="103"/>
      <c r="O229" s="103"/>
    </row>
    <row r="230" spans="1:15" x14ac:dyDescent="0.25">
      <c r="A230" s="105"/>
      <c r="B230" s="143"/>
      <c r="C230" s="143"/>
      <c r="D230" s="143"/>
      <c r="E230" s="143"/>
      <c r="F230" s="143"/>
      <c r="G230" s="143"/>
      <c r="H230" s="103"/>
      <c r="I230" s="103"/>
      <c r="J230" s="103"/>
      <c r="K230" s="103"/>
      <c r="L230" s="103"/>
      <c r="M230" s="103"/>
      <c r="N230" s="103"/>
      <c r="O230" s="103"/>
    </row>
    <row r="231" spans="1:15" x14ac:dyDescent="0.25">
      <c r="A231" s="105"/>
      <c r="B231" s="143"/>
      <c r="C231" s="143"/>
      <c r="D231" s="143"/>
      <c r="E231" s="143"/>
      <c r="F231" s="143"/>
      <c r="G231" s="143"/>
      <c r="H231" s="103"/>
      <c r="I231" s="103"/>
      <c r="J231" s="103"/>
      <c r="K231" s="103"/>
      <c r="L231" s="103"/>
      <c r="M231" s="103"/>
      <c r="N231" s="103"/>
      <c r="O231" s="103"/>
    </row>
    <row r="232" spans="1:15" x14ac:dyDescent="0.25">
      <c r="A232" s="105"/>
      <c r="B232" s="143"/>
      <c r="C232" s="143"/>
      <c r="D232" s="143"/>
      <c r="E232" s="143"/>
      <c r="F232" s="143"/>
      <c r="G232" s="143"/>
      <c r="H232" s="103"/>
      <c r="I232" s="103"/>
      <c r="J232" s="103"/>
      <c r="K232" s="103"/>
      <c r="L232" s="103"/>
      <c r="M232" s="103"/>
      <c r="N232" s="103"/>
      <c r="O232" s="103"/>
    </row>
    <row r="233" spans="1:15" x14ac:dyDescent="0.25">
      <c r="A233" s="105"/>
      <c r="B233" s="143"/>
      <c r="C233" s="143"/>
      <c r="D233" s="143"/>
      <c r="E233" s="143"/>
      <c r="F233" s="143"/>
      <c r="G233" s="143"/>
      <c r="H233" s="103"/>
      <c r="I233" s="103"/>
      <c r="J233" s="103"/>
      <c r="K233" s="103"/>
      <c r="L233" s="103"/>
      <c r="M233" s="103"/>
      <c r="N233" s="103"/>
      <c r="O233" s="103"/>
    </row>
    <row r="234" spans="1:15" x14ac:dyDescent="0.25">
      <c r="A234" s="105"/>
      <c r="B234" s="143"/>
      <c r="C234" s="143"/>
      <c r="D234" s="143"/>
      <c r="E234" s="143"/>
      <c r="F234" s="143"/>
      <c r="G234" s="143"/>
      <c r="H234" s="103"/>
      <c r="I234" s="103"/>
      <c r="J234" s="103"/>
      <c r="K234" s="103"/>
      <c r="L234" s="103"/>
      <c r="M234" s="103"/>
      <c r="N234" s="103"/>
      <c r="O234" s="103"/>
    </row>
    <row r="235" spans="1:15" x14ac:dyDescent="0.25">
      <c r="A235" s="105"/>
      <c r="B235" s="143"/>
      <c r="C235" s="143"/>
      <c r="D235" s="143"/>
      <c r="E235" s="143"/>
      <c r="F235" s="143"/>
      <c r="G235" s="143"/>
      <c r="H235" s="103"/>
      <c r="I235" s="103"/>
      <c r="J235" s="103"/>
      <c r="K235" s="103"/>
      <c r="L235" s="103"/>
      <c r="M235" s="103"/>
      <c r="N235" s="103"/>
      <c r="O235" s="103"/>
    </row>
    <row r="236" spans="1:15" x14ac:dyDescent="0.25">
      <c r="A236" s="105"/>
      <c r="B236" s="143"/>
      <c r="C236" s="143"/>
      <c r="D236" s="143"/>
      <c r="E236" s="143"/>
      <c r="F236" s="143"/>
      <c r="G236" s="143"/>
      <c r="H236" s="103"/>
      <c r="I236" s="103"/>
      <c r="J236" s="103"/>
      <c r="K236" s="103"/>
      <c r="L236" s="103"/>
      <c r="M236" s="103"/>
      <c r="N236" s="103"/>
      <c r="O236" s="103"/>
    </row>
    <row r="237" spans="1:15" x14ac:dyDescent="0.25">
      <c r="A237" s="105"/>
      <c r="B237" s="143"/>
      <c r="C237" s="143"/>
      <c r="D237" s="143"/>
      <c r="E237" s="143"/>
      <c r="F237" s="143"/>
      <c r="G237" s="143"/>
      <c r="H237" s="103"/>
      <c r="I237" s="103"/>
      <c r="J237" s="103"/>
      <c r="K237" s="103"/>
      <c r="L237" s="103"/>
      <c r="M237" s="103"/>
      <c r="N237" s="103"/>
      <c r="O237" s="103"/>
    </row>
    <row r="238" spans="1:15" x14ac:dyDescent="0.25">
      <c r="A238" s="105"/>
      <c r="B238" s="143"/>
      <c r="C238" s="143"/>
      <c r="D238" s="143"/>
      <c r="E238" s="143"/>
      <c r="F238" s="143"/>
      <c r="G238" s="143"/>
      <c r="H238" s="103"/>
      <c r="I238" s="103"/>
      <c r="J238" s="103"/>
      <c r="K238" s="103"/>
      <c r="L238" s="103"/>
      <c r="M238" s="103"/>
      <c r="N238" s="103"/>
      <c r="O238" s="103"/>
    </row>
    <row r="239" spans="1:15" x14ac:dyDescent="0.25">
      <c r="A239" s="105"/>
      <c r="B239" s="143"/>
      <c r="C239" s="143"/>
      <c r="D239" s="143"/>
      <c r="E239" s="143"/>
      <c r="F239" s="143"/>
      <c r="G239" s="143"/>
      <c r="H239" s="103"/>
      <c r="I239" s="103"/>
      <c r="J239" s="103"/>
      <c r="K239" s="103"/>
      <c r="L239" s="103"/>
      <c r="M239" s="103"/>
      <c r="N239" s="103"/>
      <c r="O239" s="103"/>
    </row>
    <row r="240" spans="1:15" x14ac:dyDescent="0.25">
      <c r="A240" s="105"/>
      <c r="B240" s="143"/>
      <c r="C240" s="143"/>
      <c r="D240" s="143"/>
      <c r="E240" s="143"/>
      <c r="F240" s="143"/>
      <c r="G240" s="143"/>
      <c r="H240" s="103"/>
      <c r="I240" s="103"/>
      <c r="J240" s="103"/>
      <c r="K240" s="103"/>
      <c r="L240" s="103"/>
      <c r="M240" s="103"/>
      <c r="N240" s="103"/>
      <c r="O240" s="103"/>
    </row>
    <row r="241" spans="1:15" x14ac:dyDescent="0.25">
      <c r="A241" s="126" t="s">
        <v>391</v>
      </c>
      <c r="B241" s="136"/>
      <c r="C241" s="136"/>
      <c r="D241" s="136"/>
      <c r="E241" s="136"/>
      <c r="F241" s="136"/>
      <c r="G241" s="136"/>
      <c r="H241" s="135">
        <f t="shared" ref="H241:N241" si="0">SUM(H7:H227)</f>
        <v>3291088155</v>
      </c>
      <c r="I241" s="135">
        <f t="shared" si="0"/>
        <v>578461329</v>
      </c>
      <c r="J241" s="135">
        <f t="shared" si="0"/>
        <v>2575974178</v>
      </c>
      <c r="K241" s="135">
        <f t="shared" si="0"/>
        <v>379760259</v>
      </c>
      <c r="L241" s="135">
        <f t="shared" si="0"/>
        <v>582487</v>
      </c>
      <c r="M241" s="135">
        <f t="shared" si="0"/>
        <v>155369</v>
      </c>
      <c r="N241" s="135">
        <f t="shared" si="0"/>
        <v>555512</v>
      </c>
      <c r="O241" s="135">
        <f>SUM(O7:O240)</f>
        <v>132308</v>
      </c>
    </row>
    <row r="242" spans="1:15" x14ac:dyDescent="0.25">
      <c r="A242" s="126" t="s">
        <v>415</v>
      </c>
      <c r="B242" s="136"/>
      <c r="C242" s="136"/>
      <c r="D242" s="136"/>
      <c r="E242" s="136"/>
      <c r="F242" s="136"/>
      <c r="G242" s="136"/>
      <c r="H242" s="137">
        <f>H241/10000000</f>
        <v>329.10881549999999</v>
      </c>
      <c r="I242" s="137">
        <f>I241/10000000</f>
        <v>57.846132900000001</v>
      </c>
      <c r="J242" s="137">
        <f>J241/10000000</f>
        <v>257.59741780000002</v>
      </c>
      <c r="K242" s="137">
        <f>K241/10000000</f>
        <v>37.976025900000003</v>
      </c>
      <c r="L242" s="138">
        <f>L241</f>
        <v>582487</v>
      </c>
      <c r="M242" s="138">
        <f>M241</f>
        <v>155369</v>
      </c>
      <c r="N242" s="138">
        <f>N241</f>
        <v>555512</v>
      </c>
      <c r="O242" s="138">
        <f>O241</f>
        <v>132308</v>
      </c>
    </row>
  </sheetData>
  <autoFilter ref="A6:O6">
    <sortState ref="A7:O154">
      <sortCondition ref="A6"/>
    </sortState>
  </autoFilter>
  <mergeCells count="11">
    <mergeCell ref="J5:K5"/>
    <mergeCell ref="L5:M5"/>
    <mergeCell ref="N5:O5"/>
    <mergeCell ref="A3:O3"/>
    <mergeCell ref="A4:A5"/>
    <mergeCell ref="B4:G4"/>
    <mergeCell ref="H4:K4"/>
    <mergeCell ref="L4:O4"/>
    <mergeCell ref="B5:D5"/>
    <mergeCell ref="E5:G5"/>
    <mergeCell ref="H5:I5"/>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5</vt:i4>
      </vt:variant>
    </vt:vector>
  </HeadingPairs>
  <TitlesOfParts>
    <vt:vector size="29" baseType="lpstr">
      <vt:lpstr>Snapshot (Value)</vt:lpstr>
      <vt:lpstr>Snapshot (Volume)</vt:lpstr>
      <vt:lpstr>Sectorwise OI</vt:lpstr>
      <vt:lpstr>OI(Volume)</vt:lpstr>
      <vt:lpstr>OI(Value)</vt:lpstr>
      <vt:lpstr>Nifty Baskets</vt:lpstr>
      <vt:lpstr>Total Value</vt:lpstr>
      <vt:lpstr>Total Valume</vt:lpstr>
      <vt:lpstr>PCR</vt:lpstr>
      <vt:lpstr>Basis</vt:lpstr>
      <vt:lpstr>IV</vt:lpstr>
      <vt:lpstr>Open Interest Position</vt:lpstr>
      <vt:lpstr>Margin</vt:lpstr>
      <vt:lpstr>Rollover</vt:lpstr>
      <vt:lpstr>Disclaimar</vt:lpstr>
      <vt:lpstr>NIFTY GRP</vt:lpstr>
      <vt:lpstr>Data Vlaue (Cr)</vt:lpstr>
      <vt:lpstr>Data shares</vt:lpstr>
      <vt:lpstr>FII</vt:lpstr>
      <vt:lpstr>Sheet1</vt:lpstr>
      <vt:lpstr>Participantwise OI</vt:lpstr>
      <vt:lpstr>Compatibility Report</vt:lpstr>
      <vt:lpstr>snap</vt:lpstr>
      <vt:lpstr>Sheet2</vt:lpstr>
      <vt:lpstr>'Data shares'!Expry_Roll___19</vt:lpstr>
      <vt:lpstr>'NIFTY GRP'!Expry_Roll___20</vt:lpstr>
      <vt:lpstr>FII!fii</vt:lpstr>
      <vt:lpstr>Disclaimar!Print_Area</vt:lpstr>
      <vt:lpstr>'Data Vlaue (Cr)'!stats__2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Ambuj</dc:creator>
  <cp:lastModifiedBy>Administrator</cp:lastModifiedBy>
  <cp:lastPrinted>2023-02-10T03:48:31Z</cp:lastPrinted>
  <dcterms:created xsi:type="dcterms:W3CDTF">2020-04-05T11:10:02Z</dcterms:created>
  <dcterms:modified xsi:type="dcterms:W3CDTF">2026-01-29T03:33:21Z</dcterms:modified>
</cp:coreProperties>
</file>